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bishe\对比\"/>
    </mc:Choice>
  </mc:AlternateContent>
  <bookViews>
    <workbookView minimized="1" xWindow="0" yWindow="0" windowWidth="21600" windowHeight="9735" tabRatio="601"/>
  </bookViews>
  <sheets>
    <sheet name="Sheet2" sheetId="4" r:id="rId1"/>
    <sheet name="Sheet1" sheetId="9" r:id="rId2"/>
    <sheet name="Sheet4" sheetId="11" r:id="rId3"/>
    <sheet name="Sheet5" sheetId="12" r:id="rId4"/>
    <sheet name="Sheet7" sheetId="13" r:id="rId5"/>
    <sheet name="Sheet6" sheetId="8" state="hidden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3" l="1"/>
  <c r="I32" i="13"/>
  <c r="I33" i="13"/>
  <c r="I34" i="13"/>
  <c r="I35" i="13"/>
  <c r="I30" i="13"/>
  <c r="H37" i="13"/>
  <c r="H38" i="13"/>
  <c r="H39" i="13"/>
  <c r="H40" i="13"/>
  <c r="H41" i="13"/>
  <c r="H36" i="13"/>
  <c r="F31" i="13"/>
  <c r="F32" i="13"/>
  <c r="F33" i="13"/>
  <c r="F34" i="13"/>
  <c r="F35" i="13"/>
  <c r="F30" i="13"/>
  <c r="G37" i="13"/>
  <c r="G38" i="13"/>
  <c r="G39" i="13"/>
  <c r="G40" i="13"/>
  <c r="G41" i="13"/>
  <c r="G36" i="13"/>
  <c r="F3" i="13"/>
  <c r="F4" i="13"/>
  <c r="F5" i="13"/>
  <c r="F6" i="13"/>
  <c r="F7" i="13"/>
  <c r="F2" i="13"/>
  <c r="I3" i="13"/>
  <c r="I4" i="13"/>
  <c r="I5" i="13"/>
  <c r="I6" i="13"/>
  <c r="I7" i="13"/>
  <c r="I2" i="13"/>
  <c r="H8" i="13"/>
  <c r="H9" i="13"/>
  <c r="H10" i="13"/>
  <c r="H11" i="13"/>
  <c r="H12" i="13"/>
  <c r="H13" i="13"/>
  <c r="H3" i="13"/>
  <c r="H4" i="13"/>
  <c r="H5" i="13"/>
  <c r="H6" i="13"/>
  <c r="H7" i="13"/>
  <c r="H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2" i="12"/>
  <c r="K11" i="12"/>
  <c r="K12" i="12"/>
  <c r="K13" i="12"/>
  <c r="K14" i="12"/>
  <c r="K15" i="12"/>
  <c r="K18" i="12"/>
  <c r="K19" i="12"/>
  <c r="K20" i="12"/>
  <c r="K21" i="12"/>
  <c r="K22" i="12"/>
  <c r="K23" i="12"/>
  <c r="K26" i="12"/>
  <c r="K27" i="12"/>
  <c r="K28" i="12"/>
  <c r="K29" i="12"/>
  <c r="K30" i="12"/>
  <c r="K31" i="12"/>
  <c r="K10" i="12"/>
  <c r="B10" i="11"/>
  <c r="C10" i="11"/>
  <c r="D10" i="11"/>
  <c r="E10" i="11"/>
  <c r="F10" i="11"/>
  <c r="G10" i="11"/>
  <c r="B11" i="11"/>
  <c r="C11" i="11"/>
  <c r="D11" i="11"/>
  <c r="E11" i="11"/>
  <c r="F11" i="11"/>
  <c r="G11" i="11"/>
  <c r="B12" i="11"/>
  <c r="C12" i="11"/>
  <c r="D12" i="11"/>
  <c r="E12" i="11"/>
  <c r="F12" i="11"/>
  <c r="G12" i="11"/>
  <c r="B13" i="11"/>
  <c r="C13" i="11"/>
  <c r="D13" i="11"/>
  <c r="E13" i="11"/>
  <c r="F13" i="11"/>
  <c r="G13" i="11"/>
  <c r="B14" i="11"/>
  <c r="C14" i="11"/>
  <c r="D14" i="11"/>
  <c r="E14" i="11"/>
  <c r="F14" i="11"/>
  <c r="G14" i="11"/>
  <c r="B15" i="11"/>
  <c r="C15" i="11"/>
  <c r="D15" i="11"/>
  <c r="E15" i="11"/>
  <c r="F15" i="11"/>
  <c r="G15" i="11"/>
  <c r="J10" i="11"/>
  <c r="K10" i="11"/>
  <c r="L10" i="11"/>
  <c r="M10" i="11"/>
  <c r="N10" i="11"/>
  <c r="O10" i="11"/>
  <c r="I10" i="11"/>
  <c r="J4" i="11"/>
  <c r="I27" i="11"/>
  <c r="J27" i="11"/>
  <c r="K27" i="11"/>
  <c r="L27" i="11"/>
  <c r="M27" i="11"/>
  <c r="N27" i="11"/>
  <c r="O27" i="11"/>
  <c r="I28" i="11"/>
  <c r="J28" i="11"/>
  <c r="K28" i="11"/>
  <c r="L28" i="11"/>
  <c r="M28" i="11"/>
  <c r="N28" i="11"/>
  <c r="O28" i="11"/>
  <c r="I29" i="11"/>
  <c r="J29" i="11"/>
  <c r="K29" i="11"/>
  <c r="L29" i="11"/>
  <c r="M29" i="11"/>
  <c r="N29" i="11"/>
  <c r="O29" i="11"/>
  <c r="I30" i="11"/>
  <c r="J30" i="11"/>
  <c r="K30" i="11"/>
  <c r="L30" i="11"/>
  <c r="M30" i="11"/>
  <c r="N30" i="11"/>
  <c r="O30" i="11"/>
  <c r="I31" i="11"/>
  <c r="J31" i="11"/>
  <c r="K31" i="11"/>
  <c r="L31" i="11"/>
  <c r="M31" i="11"/>
  <c r="N31" i="11"/>
  <c r="O31" i="11"/>
  <c r="J26" i="11"/>
  <c r="K26" i="11"/>
  <c r="L26" i="11"/>
  <c r="M26" i="11"/>
  <c r="N26" i="11"/>
  <c r="O26" i="11"/>
  <c r="I26" i="11"/>
  <c r="I19" i="11"/>
  <c r="J19" i="11"/>
  <c r="K19" i="11"/>
  <c r="L19" i="11"/>
  <c r="M19" i="11"/>
  <c r="N19" i="11"/>
  <c r="O19" i="11"/>
  <c r="I20" i="11"/>
  <c r="J20" i="11"/>
  <c r="K20" i="11"/>
  <c r="L20" i="11"/>
  <c r="M20" i="11"/>
  <c r="N20" i="11"/>
  <c r="O20" i="11"/>
  <c r="I21" i="11"/>
  <c r="J21" i="11"/>
  <c r="K21" i="11"/>
  <c r="L21" i="11"/>
  <c r="M21" i="11"/>
  <c r="N21" i="11"/>
  <c r="O21" i="11"/>
  <c r="I22" i="11"/>
  <c r="J22" i="11"/>
  <c r="K22" i="11"/>
  <c r="L22" i="11"/>
  <c r="M22" i="11"/>
  <c r="N22" i="11"/>
  <c r="O22" i="11"/>
  <c r="I23" i="11"/>
  <c r="J23" i="11"/>
  <c r="K23" i="11"/>
  <c r="L23" i="11"/>
  <c r="M23" i="11"/>
  <c r="N23" i="11"/>
  <c r="O23" i="11"/>
  <c r="J18" i="11"/>
  <c r="K18" i="11"/>
  <c r="L18" i="11"/>
  <c r="M18" i="11"/>
  <c r="N18" i="11"/>
  <c r="O18" i="11"/>
  <c r="I18" i="11"/>
  <c r="I11" i="11"/>
  <c r="J11" i="11"/>
  <c r="K11" i="11"/>
  <c r="L11" i="11"/>
  <c r="M11" i="11"/>
  <c r="N11" i="11"/>
  <c r="O11" i="11"/>
  <c r="I12" i="11"/>
  <c r="J12" i="11"/>
  <c r="K12" i="11"/>
  <c r="L12" i="11"/>
  <c r="M12" i="11"/>
  <c r="N12" i="11"/>
  <c r="O12" i="11"/>
  <c r="I13" i="11"/>
  <c r="J13" i="11"/>
  <c r="K13" i="11"/>
  <c r="L13" i="11"/>
  <c r="M13" i="11"/>
  <c r="N13" i="11"/>
  <c r="O13" i="11"/>
  <c r="I14" i="11"/>
  <c r="J14" i="11"/>
  <c r="K14" i="11"/>
  <c r="L14" i="11"/>
  <c r="M14" i="11"/>
  <c r="N14" i="11"/>
  <c r="O14" i="11"/>
  <c r="I15" i="11"/>
  <c r="J15" i="11"/>
  <c r="K15" i="11"/>
  <c r="L15" i="11"/>
  <c r="M15" i="11"/>
  <c r="N15" i="11"/>
  <c r="O15" i="11"/>
  <c r="H31" i="11"/>
  <c r="G31" i="11"/>
  <c r="F31" i="11"/>
  <c r="E31" i="11"/>
  <c r="D31" i="11"/>
  <c r="C31" i="11"/>
  <c r="B31" i="11"/>
  <c r="A31" i="11"/>
  <c r="H30" i="11"/>
  <c r="G30" i="11"/>
  <c r="F30" i="11"/>
  <c r="E30" i="11"/>
  <c r="D30" i="11"/>
  <c r="C30" i="11"/>
  <c r="B30" i="11"/>
  <c r="A30" i="11"/>
  <c r="H29" i="11"/>
  <c r="G29" i="11"/>
  <c r="F29" i="11"/>
  <c r="E29" i="11"/>
  <c r="D29" i="11"/>
  <c r="C29" i="11"/>
  <c r="B29" i="11"/>
  <c r="A29" i="11"/>
  <c r="H28" i="11"/>
  <c r="G28" i="11"/>
  <c r="F28" i="11"/>
  <c r="E28" i="11"/>
  <c r="D28" i="11"/>
  <c r="C28" i="11"/>
  <c r="B28" i="11"/>
  <c r="A28" i="11"/>
  <c r="H27" i="11"/>
  <c r="G27" i="11"/>
  <c r="F27" i="11"/>
  <c r="E27" i="11"/>
  <c r="D27" i="11"/>
  <c r="C27" i="11"/>
  <c r="B27" i="11"/>
  <c r="A27" i="11"/>
  <c r="H26" i="11"/>
  <c r="G26" i="11"/>
  <c r="F26" i="11"/>
  <c r="E26" i="11"/>
  <c r="D26" i="11"/>
  <c r="C26" i="11"/>
  <c r="B26" i="11"/>
  <c r="A26" i="11"/>
  <c r="A25" i="11"/>
  <c r="H23" i="11"/>
  <c r="G23" i="11"/>
  <c r="F23" i="11"/>
  <c r="E23" i="11"/>
  <c r="D23" i="11"/>
  <c r="C23" i="11"/>
  <c r="B23" i="11"/>
  <c r="A23" i="11"/>
  <c r="H22" i="11"/>
  <c r="G22" i="11"/>
  <c r="F22" i="11"/>
  <c r="E22" i="11"/>
  <c r="D22" i="11"/>
  <c r="C22" i="11"/>
  <c r="B22" i="11"/>
  <c r="A22" i="11"/>
  <c r="H21" i="11"/>
  <c r="G21" i="11"/>
  <c r="F21" i="11"/>
  <c r="E21" i="11"/>
  <c r="D21" i="11"/>
  <c r="C21" i="11"/>
  <c r="B21" i="11"/>
  <c r="A21" i="11"/>
  <c r="H20" i="11"/>
  <c r="G20" i="11"/>
  <c r="F20" i="11"/>
  <c r="E20" i="11"/>
  <c r="D20" i="11"/>
  <c r="C20" i="11"/>
  <c r="B20" i="11"/>
  <c r="A20" i="11"/>
  <c r="H19" i="11"/>
  <c r="G19" i="11"/>
  <c r="F19" i="11"/>
  <c r="E19" i="11"/>
  <c r="D19" i="11"/>
  <c r="C19" i="11"/>
  <c r="B19" i="11"/>
  <c r="A19" i="11"/>
  <c r="H18" i="11"/>
  <c r="G18" i="11"/>
  <c r="F18" i="11"/>
  <c r="E18" i="11"/>
  <c r="D18" i="11"/>
  <c r="C18" i="11"/>
  <c r="B18" i="11"/>
  <c r="A18" i="11"/>
  <c r="A17" i="11"/>
  <c r="H15" i="11"/>
  <c r="A15" i="11"/>
  <c r="H14" i="11"/>
  <c r="A14" i="11"/>
  <c r="H13" i="11"/>
  <c r="A13" i="11"/>
  <c r="H12" i="11"/>
  <c r="A12" i="11"/>
  <c r="H11" i="11"/>
  <c r="A11" i="11"/>
  <c r="H10" i="11"/>
  <c r="A10" i="11"/>
  <c r="O9" i="11"/>
  <c r="N9" i="11"/>
  <c r="M9" i="11"/>
  <c r="L9" i="11"/>
  <c r="K9" i="11"/>
  <c r="J9" i="11"/>
  <c r="I9" i="11"/>
  <c r="A9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7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6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5" i="11"/>
  <c r="N4" i="11"/>
  <c r="M4" i="11"/>
  <c r="L4" i="11"/>
  <c r="K4" i="11"/>
  <c r="I4" i="11"/>
  <c r="H4" i="11"/>
  <c r="G4" i="11"/>
  <c r="F4" i="11"/>
  <c r="E4" i="11"/>
  <c r="D4" i="11"/>
  <c r="C4" i="11"/>
  <c r="B4" i="11"/>
  <c r="A4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3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A2" i="11"/>
  <c r="G1" i="11"/>
  <c r="N1" i="11" s="1"/>
  <c r="F1" i="11"/>
  <c r="M1" i="11" s="1"/>
  <c r="E1" i="11"/>
  <c r="L1" i="11" s="1"/>
  <c r="D1" i="11"/>
  <c r="K1" i="11" s="1"/>
  <c r="C1" i="11"/>
  <c r="J1" i="11" s="1"/>
  <c r="B1" i="11"/>
  <c r="I1" i="11" s="1"/>
  <c r="A1" i="11"/>
  <c r="AJ41" i="9" l="1"/>
  <c r="AJ62" i="9"/>
  <c r="AJ63" i="9"/>
  <c r="AJ64" i="9"/>
  <c r="AJ65" i="9"/>
  <c r="AI60" i="9"/>
  <c r="S68" i="9"/>
  <c r="G68" i="9"/>
  <c r="S67" i="9"/>
  <c r="G67" i="9"/>
  <c r="AL65" i="9"/>
  <c r="AK65" i="9"/>
  <c r="AI65" i="9"/>
  <c r="AH65" i="9"/>
  <c r="AG65" i="9"/>
  <c r="AF65" i="9"/>
  <c r="AE65" i="9"/>
  <c r="AD65" i="9"/>
  <c r="AL64" i="9"/>
  <c r="AK64" i="9"/>
  <c r="AD64" i="9"/>
  <c r="S64" i="9"/>
  <c r="R64" i="9"/>
  <c r="AI64" i="9" s="1"/>
  <c r="Q64" i="9"/>
  <c r="AH64" i="9" s="1"/>
  <c r="P64" i="9"/>
  <c r="AG64" i="9" s="1"/>
  <c r="O64" i="9"/>
  <c r="AF64" i="9" s="1"/>
  <c r="N64" i="9"/>
  <c r="AE64" i="9" s="1"/>
  <c r="L64" i="9"/>
  <c r="K64" i="9"/>
  <c r="J64" i="9"/>
  <c r="I64" i="9"/>
  <c r="H64" i="9"/>
  <c r="AL63" i="9"/>
  <c r="AK63" i="9"/>
  <c r="AD63" i="9"/>
  <c r="S63" i="9"/>
  <c r="R63" i="9"/>
  <c r="AI63" i="9" s="1"/>
  <c r="Q63" i="9"/>
  <c r="AH63" i="9" s="1"/>
  <c r="P63" i="9"/>
  <c r="AG63" i="9" s="1"/>
  <c r="O63" i="9"/>
  <c r="AF63" i="9" s="1"/>
  <c r="N63" i="9"/>
  <c r="AE63" i="9" s="1"/>
  <c r="AL62" i="9"/>
  <c r="AK62" i="9"/>
  <c r="AI62" i="9"/>
  <c r="AH62" i="9"/>
  <c r="AG62" i="9"/>
  <c r="AF62" i="9"/>
  <c r="AE62" i="9"/>
  <c r="AD62" i="9"/>
  <c r="AL61" i="9"/>
  <c r="AK61" i="9"/>
  <c r="AD61" i="9"/>
  <c r="S61" i="9"/>
  <c r="AJ61" i="9" s="1"/>
  <c r="R61" i="9"/>
  <c r="AI61" i="9" s="1"/>
  <c r="Q61" i="9"/>
  <c r="AH61" i="9" s="1"/>
  <c r="P61" i="9"/>
  <c r="AG61" i="9" s="1"/>
  <c r="O61" i="9"/>
  <c r="AF61" i="9" s="1"/>
  <c r="N61" i="9"/>
  <c r="AE61" i="9" s="1"/>
  <c r="AL60" i="9"/>
  <c r="AK60" i="9"/>
  <c r="AD60" i="9"/>
  <c r="S60" i="9"/>
  <c r="AJ60" i="9" s="1"/>
  <c r="R60" i="9"/>
  <c r="Q60" i="9"/>
  <c r="AH60" i="9" s="1"/>
  <c r="P60" i="9"/>
  <c r="AG60" i="9" s="1"/>
  <c r="O60" i="9"/>
  <c r="AF60" i="9" s="1"/>
  <c r="N60" i="9"/>
  <c r="AE60" i="9" s="1"/>
  <c r="S49" i="9"/>
  <c r="S48" i="9"/>
  <c r="G49" i="9"/>
  <c r="G48" i="9"/>
  <c r="AJ46" i="9"/>
  <c r="AD46" i="9"/>
  <c r="AK46" i="9"/>
  <c r="AI46" i="9"/>
  <c r="AH46" i="9"/>
  <c r="AG46" i="9"/>
  <c r="AF46" i="9"/>
  <c r="AE46" i="9"/>
  <c r="AD45" i="9"/>
  <c r="AK45" i="9"/>
  <c r="S45" i="9"/>
  <c r="AJ45" i="9" s="1"/>
  <c r="R45" i="9"/>
  <c r="Q45" i="9"/>
  <c r="P45" i="9"/>
  <c r="O45" i="9"/>
  <c r="N45" i="9"/>
  <c r="L45" i="9"/>
  <c r="K45" i="9"/>
  <c r="J45" i="9"/>
  <c r="I45" i="9"/>
  <c r="H45" i="9"/>
  <c r="AD44" i="9"/>
  <c r="AK44" i="9"/>
  <c r="S44" i="9"/>
  <c r="AJ44" i="9" s="1"/>
  <c r="R44" i="9"/>
  <c r="Q44" i="9"/>
  <c r="P44" i="9"/>
  <c r="AG44" i="9" s="1"/>
  <c r="O44" i="9"/>
  <c r="N44" i="9"/>
  <c r="AJ43" i="9"/>
  <c r="AD43" i="9"/>
  <c r="AK43" i="9"/>
  <c r="AI43" i="9"/>
  <c r="AH43" i="9"/>
  <c r="AG43" i="9"/>
  <c r="AF43" i="9"/>
  <c r="AE43" i="9"/>
  <c r="AD42" i="9"/>
  <c r="AK42" i="9"/>
  <c r="S42" i="9"/>
  <c r="AJ42" i="9" s="1"/>
  <c r="R42" i="9"/>
  <c r="Q42" i="9"/>
  <c r="AH42" i="9" s="1"/>
  <c r="P42" i="9"/>
  <c r="O42" i="9"/>
  <c r="N42" i="9"/>
  <c r="AD41" i="9"/>
  <c r="AK41" i="9"/>
  <c r="S41" i="9"/>
  <c r="R41" i="9"/>
  <c r="Q41" i="9"/>
  <c r="P41" i="9"/>
  <c r="O41" i="9"/>
  <c r="N41" i="9"/>
  <c r="B21" i="9"/>
  <c r="B20" i="9"/>
  <c r="AF44" i="9" l="1"/>
  <c r="AE45" i="9"/>
  <c r="AI45" i="9"/>
  <c r="AG41" i="9"/>
  <c r="AL41" i="9"/>
  <c r="AE42" i="9"/>
  <c r="AI42" i="9"/>
  <c r="AF45" i="9"/>
  <c r="AH41" i="9"/>
  <c r="AL44" i="9"/>
  <c r="AE41" i="9"/>
  <c r="AI41" i="9"/>
  <c r="AF42" i="9"/>
  <c r="AH44" i="9"/>
  <c r="AG45" i="9"/>
  <c r="AF41" i="9"/>
  <c r="AG42" i="9"/>
  <c r="AE44" i="9"/>
  <c r="AI44" i="9"/>
  <c r="AH45" i="9"/>
  <c r="AL42" i="9"/>
  <c r="AL43" i="9"/>
  <c r="AL45" i="9"/>
  <c r="AL46" i="9"/>
  <c r="N11" i="9"/>
  <c r="N12" i="9"/>
  <c r="N13" i="9"/>
  <c r="N14" i="9"/>
  <c r="N15" i="9"/>
  <c r="N10" i="9"/>
  <c r="AK5" i="9"/>
  <c r="AK8" i="9"/>
  <c r="AE4" i="9"/>
  <c r="AE5" i="9"/>
  <c r="AE6" i="9"/>
  <c r="AE7" i="9"/>
  <c r="AE8" i="9"/>
  <c r="AE3" i="9"/>
  <c r="V9" i="9"/>
  <c r="M9" i="9"/>
  <c r="M16" i="9"/>
  <c r="N16" i="9" s="1"/>
  <c r="W9" i="9" l="1"/>
  <c r="K21" i="9"/>
  <c r="K22" i="9"/>
  <c r="K23" i="9"/>
  <c r="K24" i="9"/>
  <c r="K25" i="9"/>
  <c r="K20" i="9"/>
  <c r="H22" i="9"/>
  <c r="H33" i="9" s="1"/>
  <c r="H25" i="9"/>
  <c r="H36" i="9" s="1"/>
  <c r="F22" i="9"/>
  <c r="F25" i="9"/>
  <c r="G22" i="9"/>
  <c r="G25" i="9"/>
  <c r="E22" i="9"/>
  <c r="E25" i="9"/>
  <c r="D22" i="9"/>
  <c r="D25" i="9"/>
  <c r="C22" i="9"/>
  <c r="C25" i="9"/>
  <c r="B22" i="9"/>
  <c r="B23" i="9"/>
  <c r="B24" i="9"/>
  <c r="B25" i="9"/>
  <c r="H30" i="4"/>
  <c r="H29" i="4"/>
  <c r="AC4" i="9"/>
  <c r="AC5" i="9"/>
  <c r="AC6" i="9"/>
  <c r="AC7" i="9"/>
  <c r="AC8" i="9"/>
  <c r="AC3" i="9"/>
  <c r="AA4" i="9"/>
  <c r="AA5" i="9"/>
  <c r="AA6" i="9"/>
  <c r="AA7" i="9"/>
  <c r="AA8" i="9"/>
  <c r="AA3" i="9"/>
  <c r="Z4" i="9"/>
  <c r="Z5" i="9"/>
  <c r="Z6" i="9"/>
  <c r="Z7" i="9"/>
  <c r="Z8" i="9"/>
  <c r="Z3" i="9"/>
  <c r="Y5" i="9"/>
  <c r="Y4" i="9"/>
  <c r="Y6" i="9"/>
  <c r="Y7" i="9"/>
  <c r="Y8" i="9"/>
  <c r="Y3" i="9"/>
  <c r="X4" i="9"/>
  <c r="X5" i="9"/>
  <c r="X6" i="9"/>
  <c r="X7" i="9"/>
  <c r="X8" i="9"/>
  <c r="X3" i="9"/>
  <c r="W4" i="9"/>
  <c r="W5" i="9"/>
  <c r="W6" i="9"/>
  <c r="W7" i="9"/>
  <c r="W8" i="9"/>
  <c r="W3" i="9"/>
  <c r="I13" i="4"/>
  <c r="O7" i="9"/>
  <c r="D24" i="9" s="1"/>
  <c r="P7" i="9"/>
  <c r="E24" i="9" s="1"/>
  <c r="Q7" i="9"/>
  <c r="F24" i="9" s="1"/>
  <c r="R7" i="9"/>
  <c r="G24" i="9" s="1"/>
  <c r="S7" i="9"/>
  <c r="N7" i="9"/>
  <c r="C24" i="9" s="1"/>
  <c r="O6" i="9"/>
  <c r="D23" i="9" s="1"/>
  <c r="P6" i="9"/>
  <c r="E23" i="9" s="1"/>
  <c r="Q6" i="9"/>
  <c r="F23" i="9" s="1"/>
  <c r="R6" i="9"/>
  <c r="G23" i="9" s="1"/>
  <c r="S6" i="9"/>
  <c r="N6" i="9"/>
  <c r="C23" i="9" s="1"/>
  <c r="S4" i="9"/>
  <c r="R4" i="9"/>
  <c r="G21" i="9" s="1"/>
  <c r="Q4" i="9"/>
  <c r="F21" i="9" s="1"/>
  <c r="P4" i="9"/>
  <c r="E21" i="9" s="1"/>
  <c r="O4" i="9"/>
  <c r="D21" i="9" s="1"/>
  <c r="N4" i="9"/>
  <c r="C21" i="9" s="1"/>
  <c r="S3" i="9"/>
  <c r="R3" i="9"/>
  <c r="G20" i="9" s="1"/>
  <c r="Q3" i="9"/>
  <c r="F20" i="9" s="1"/>
  <c r="P3" i="9"/>
  <c r="E20" i="9" s="1"/>
  <c r="O3" i="9"/>
  <c r="D20" i="9" s="1"/>
  <c r="N3" i="9"/>
  <c r="C20" i="9" s="1"/>
  <c r="L6" i="4"/>
  <c r="L5" i="4"/>
  <c r="L4" i="4"/>
  <c r="L15" i="4"/>
  <c r="L14" i="4"/>
  <c r="L13" i="4"/>
  <c r="L12" i="4"/>
  <c r="I7" i="9"/>
  <c r="J7" i="9"/>
  <c r="K7" i="9"/>
  <c r="L7" i="9"/>
  <c r="H7" i="9"/>
  <c r="O21" i="9" l="1"/>
  <c r="F32" i="9" s="1"/>
  <c r="AI4" i="9"/>
  <c r="L23" i="9"/>
  <c r="C34" i="9" s="1"/>
  <c r="AF6" i="9"/>
  <c r="M25" i="9"/>
  <c r="D36" i="9" s="1"/>
  <c r="AG8" i="9"/>
  <c r="M21" i="9"/>
  <c r="D32" i="9" s="1"/>
  <c r="AG4" i="9"/>
  <c r="N23" i="9"/>
  <c r="AH6" i="9"/>
  <c r="O25" i="9"/>
  <c r="F36" i="9" s="1"/>
  <c r="AI8" i="9"/>
  <c r="P23" i="9"/>
  <c r="AJ6" i="9"/>
  <c r="AD8" i="9"/>
  <c r="AL8" i="9"/>
  <c r="AD4" i="9"/>
  <c r="AL4" i="9"/>
  <c r="H20" i="9"/>
  <c r="H31" i="9" s="1"/>
  <c r="AK3" i="9"/>
  <c r="H23" i="9"/>
  <c r="H34" i="9" s="1"/>
  <c r="AK6" i="9"/>
  <c r="L20" i="9"/>
  <c r="C31" i="9" s="1"/>
  <c r="AF3" i="9"/>
  <c r="L22" i="9"/>
  <c r="C33" i="9" s="1"/>
  <c r="AF5" i="9"/>
  <c r="M24" i="9"/>
  <c r="D35" i="9" s="1"/>
  <c r="AG7" i="9"/>
  <c r="N20" i="9"/>
  <c r="AH3" i="9"/>
  <c r="N21" i="9"/>
  <c r="E32" i="9" s="1"/>
  <c r="AH4" i="9"/>
  <c r="O24" i="9"/>
  <c r="AI7" i="9"/>
  <c r="P20" i="9"/>
  <c r="G31" i="9" s="1"/>
  <c r="AJ3" i="9"/>
  <c r="P22" i="9"/>
  <c r="G33" i="9" s="1"/>
  <c r="AJ5" i="9"/>
  <c r="AD7" i="9"/>
  <c r="AL7" i="9"/>
  <c r="L25" i="9"/>
  <c r="C36" i="9" s="1"/>
  <c r="AF8" i="9"/>
  <c r="L21" i="9"/>
  <c r="C32" i="9" s="1"/>
  <c r="AF4" i="9"/>
  <c r="M23" i="9"/>
  <c r="D34" i="9" s="1"/>
  <c r="AG6" i="9"/>
  <c r="N25" i="9"/>
  <c r="E36" i="9" s="1"/>
  <c r="AH8" i="9"/>
  <c r="N22" i="9"/>
  <c r="E33" i="9" s="1"/>
  <c r="AH5" i="9"/>
  <c r="O23" i="9"/>
  <c r="F34" i="9" s="1"/>
  <c r="AI6" i="9"/>
  <c r="P25" i="9"/>
  <c r="G36" i="9" s="1"/>
  <c r="AJ8" i="9"/>
  <c r="P21" i="9"/>
  <c r="G32" i="9" s="1"/>
  <c r="AJ4" i="9"/>
  <c r="AD6" i="9"/>
  <c r="AL6" i="9"/>
  <c r="I22" i="9"/>
  <c r="H21" i="9"/>
  <c r="H32" i="9" s="1"/>
  <c r="AK4" i="9"/>
  <c r="H24" i="9"/>
  <c r="H35" i="9" s="1"/>
  <c r="AK7" i="9"/>
  <c r="L24" i="9"/>
  <c r="C35" i="9" s="1"/>
  <c r="AF7" i="9"/>
  <c r="M20" i="9"/>
  <c r="D31" i="9" s="1"/>
  <c r="AG3" i="9"/>
  <c r="M22" i="9"/>
  <c r="D33" i="9" s="1"/>
  <c r="AG5" i="9"/>
  <c r="N24" i="9"/>
  <c r="E35" i="9" s="1"/>
  <c r="AH7" i="9"/>
  <c r="O20" i="9"/>
  <c r="F31" i="9" s="1"/>
  <c r="AI3" i="9"/>
  <c r="O22" i="9"/>
  <c r="F33" i="9" s="1"/>
  <c r="AI5" i="9"/>
  <c r="P24" i="9"/>
  <c r="G35" i="9" s="1"/>
  <c r="AJ7" i="9"/>
  <c r="AD3" i="9"/>
  <c r="AL3" i="9"/>
  <c r="AD5" i="9"/>
  <c r="AL5" i="9"/>
  <c r="E34" i="9"/>
  <c r="G34" i="9"/>
  <c r="B31" i="9"/>
  <c r="B35" i="9"/>
  <c r="B33" i="9"/>
  <c r="E31" i="9"/>
  <c r="F35" i="9"/>
  <c r="B36" i="9"/>
  <c r="B34" i="9"/>
  <c r="B32" i="9"/>
  <c r="I25" i="9"/>
  <c r="I23" i="9"/>
  <c r="R20" i="9"/>
  <c r="R22" i="9"/>
  <c r="R24" i="9"/>
  <c r="R25" i="9"/>
  <c r="R23" i="9"/>
  <c r="R21" i="9"/>
  <c r="I20" i="9" l="1"/>
  <c r="I21" i="9"/>
  <c r="S20" i="9"/>
  <c r="J31" i="9" s="1"/>
  <c r="AM3" i="9"/>
  <c r="S23" i="9"/>
  <c r="J34" i="9" s="1"/>
  <c r="AM6" i="9"/>
  <c r="S21" i="9"/>
  <c r="J32" i="9" s="1"/>
  <c r="AM4" i="9"/>
  <c r="I24" i="9"/>
  <c r="S22" i="9"/>
  <c r="J33" i="9" s="1"/>
  <c r="AM5" i="9"/>
  <c r="S24" i="9"/>
  <c r="J35" i="9" s="1"/>
  <c r="AM7" i="9"/>
  <c r="S25" i="9"/>
  <c r="J36" i="9" s="1"/>
  <c r="AM8" i="9"/>
  <c r="I34" i="9"/>
  <c r="I35" i="9"/>
  <c r="I31" i="9"/>
  <c r="I32" i="9"/>
  <c r="I36" i="9"/>
  <c r="I33" i="9"/>
  <c r="T23" i="9" l="1"/>
  <c r="T22" i="9"/>
  <c r="J22" i="9" s="1"/>
  <c r="T33" i="9" s="1"/>
  <c r="T20" i="9"/>
  <c r="J20" i="9" s="1"/>
  <c r="T31" i="9" s="1"/>
  <c r="M31" i="9" s="1"/>
  <c r="T25" i="9"/>
  <c r="T21" i="9"/>
  <c r="T24" i="9"/>
  <c r="H24" i="4"/>
  <c r="S11" i="9"/>
  <c r="S10" i="9"/>
  <c r="G11" i="9"/>
  <c r="G10" i="9"/>
  <c r="N31" i="9" l="1"/>
  <c r="Q33" i="9"/>
  <c r="N33" i="9"/>
  <c r="S33" i="9"/>
  <c r="Q31" i="9"/>
  <c r="O31" i="9"/>
  <c r="S31" i="9"/>
  <c r="R31" i="9"/>
  <c r="J23" i="9"/>
  <c r="T34" i="9" s="1"/>
  <c r="K34" i="9" s="1"/>
  <c r="L31" i="9"/>
  <c r="K31" i="9"/>
  <c r="P31" i="9"/>
  <c r="J25" i="9"/>
  <c r="T36" i="9" s="1"/>
  <c r="K36" i="9" s="1"/>
  <c r="M36" i="9"/>
  <c r="L33" i="9"/>
  <c r="P33" i="9"/>
  <c r="O33" i="9"/>
  <c r="K33" i="9"/>
  <c r="M33" i="9"/>
  <c r="J24" i="9"/>
  <c r="T35" i="9" s="1"/>
  <c r="M35" i="9" s="1"/>
  <c r="S36" i="9"/>
  <c r="J21" i="9"/>
  <c r="T32" i="9" s="1"/>
  <c r="P32" i="9" s="1"/>
  <c r="R33" i="9"/>
  <c r="R36" i="9"/>
  <c r="N105" i="4"/>
  <c r="N106" i="4"/>
  <c r="N107" i="4"/>
  <c r="N108" i="4"/>
  <c r="N109" i="4"/>
  <c r="N110" i="4"/>
  <c r="N111" i="4"/>
  <c r="N104" i="4"/>
  <c r="N112" i="4" s="1"/>
  <c r="M110" i="4"/>
  <c r="M109" i="4"/>
  <c r="M108" i="4"/>
  <c r="M107" i="4"/>
  <c r="M104" i="4"/>
  <c r="P36" i="9" l="1"/>
  <c r="N36" i="9"/>
  <c r="O36" i="9"/>
  <c r="L36" i="9"/>
  <c r="Q36" i="9"/>
  <c r="O32" i="9"/>
  <c r="M32" i="9"/>
  <c r="R34" i="9"/>
  <c r="U31" i="9"/>
  <c r="Q35" i="9"/>
  <c r="S34" i="9"/>
  <c r="L34" i="9"/>
  <c r="P34" i="9"/>
  <c r="N32" i="9"/>
  <c r="O34" i="9"/>
  <c r="M34" i="9"/>
  <c r="Q34" i="9"/>
  <c r="N34" i="9"/>
  <c r="R35" i="9"/>
  <c r="S35" i="9"/>
  <c r="L32" i="9"/>
  <c r="L35" i="9"/>
  <c r="N35" i="9"/>
  <c r="R32" i="9"/>
  <c r="S32" i="9"/>
  <c r="O35" i="9"/>
  <c r="Q32" i="9"/>
  <c r="K32" i="9"/>
  <c r="K35" i="9"/>
  <c r="P35" i="9"/>
  <c r="U33" i="9"/>
  <c r="H34" i="4"/>
  <c r="U36" i="9" l="1"/>
  <c r="U35" i="9"/>
  <c r="U34" i="9"/>
  <c r="U32" i="9"/>
  <c r="O42" i="4"/>
  <c r="L42" i="4"/>
  <c r="R51" i="4" l="1"/>
  <c r="T51" i="4" s="1"/>
  <c r="R50" i="4"/>
  <c r="T50" i="4" s="1"/>
  <c r="R49" i="4"/>
  <c r="T49" i="4" s="1"/>
  <c r="R48" i="4"/>
  <c r="T48" i="4" s="1"/>
  <c r="R47" i="4"/>
  <c r="T47" i="4" s="1"/>
  <c r="R46" i="4"/>
  <c r="T46" i="4" s="1"/>
  <c r="R45" i="4"/>
  <c r="T45" i="4" s="1"/>
  <c r="R44" i="4"/>
  <c r="T44" i="4" s="1"/>
  <c r="I7" i="4" l="1"/>
  <c r="I8" i="4"/>
  <c r="I9" i="4"/>
  <c r="I10" i="4"/>
  <c r="I11" i="4"/>
  <c r="I12" i="4"/>
  <c r="I6" i="4"/>
  <c r="I5" i="4"/>
  <c r="I4" i="4"/>
  <c r="H21" i="4" l="1"/>
  <c r="O47" i="4"/>
  <c r="W51" i="4"/>
  <c r="W49" i="4"/>
  <c r="W47" i="4"/>
  <c r="W45" i="4"/>
  <c r="W50" i="4"/>
  <c r="W48" i="4"/>
  <c r="W46" i="4"/>
  <c r="W44" i="4"/>
  <c r="I30" i="4"/>
  <c r="I17" i="4"/>
  <c r="H20" i="4"/>
  <c r="H26" i="4" s="1"/>
  <c r="H22" i="4"/>
  <c r="H27" i="4" s="1"/>
  <c r="I16" i="4"/>
  <c r="Z47" i="4" l="1"/>
  <c r="O49" i="4"/>
  <c r="Z49" i="4" s="1"/>
  <c r="O51" i="4"/>
  <c r="Z51" i="4" s="1"/>
  <c r="O48" i="4"/>
  <c r="Z48" i="4" s="1"/>
  <c r="O46" i="4"/>
  <c r="Z46" i="4" s="1"/>
  <c r="O44" i="4"/>
  <c r="Z44" i="4" s="1"/>
  <c r="O50" i="4"/>
  <c r="Z50" i="4" s="1"/>
  <c r="Q47" i="4"/>
  <c r="O45" i="4"/>
  <c r="Z45" i="4" s="1"/>
  <c r="H23" i="4"/>
  <c r="H28" i="4" s="1"/>
  <c r="Z52" i="4" l="1"/>
  <c r="Q44" i="4"/>
  <c r="Q48" i="4"/>
  <c r="Q49" i="4"/>
  <c r="Q45" i="4"/>
  <c r="Q50" i="4"/>
  <c r="Q46" i="4"/>
  <c r="Q51" i="4"/>
  <c r="L47" i="4" l="1"/>
  <c r="L45" i="4"/>
  <c r="L48" i="4"/>
  <c r="L50" i="4"/>
  <c r="L46" i="4"/>
  <c r="L51" i="4"/>
  <c r="L49" i="4"/>
  <c r="L44" i="4"/>
  <c r="N44" i="4" l="1"/>
  <c r="K92" i="4" s="1"/>
  <c r="V44" i="4"/>
  <c r="N51" i="4"/>
  <c r="V51" i="4"/>
  <c r="N50" i="4"/>
  <c r="K98" i="4" s="1"/>
  <c r="V50" i="4"/>
  <c r="N45" i="4"/>
  <c r="K93" i="4" s="1"/>
  <c r="V45" i="4"/>
  <c r="N49" i="4"/>
  <c r="K97" i="4" s="1"/>
  <c r="V49" i="4"/>
  <c r="N46" i="4"/>
  <c r="K94" i="4" s="1"/>
  <c r="V46" i="4"/>
  <c r="N48" i="4"/>
  <c r="K96" i="4" s="1"/>
  <c r="V48" i="4"/>
  <c r="N47" i="4"/>
  <c r="K95" i="4" s="1"/>
  <c r="V47" i="4"/>
  <c r="K99" i="4"/>
  <c r="Y47" i="4" l="1"/>
  <c r="AB47" i="4" s="1"/>
  <c r="X47" i="4"/>
  <c r="AA47" i="4" s="1"/>
  <c r="Y48" i="4"/>
  <c r="AB48" i="4" s="1"/>
  <c r="X48" i="4"/>
  <c r="AA48" i="4" s="1"/>
  <c r="Y46" i="4"/>
  <c r="AB46" i="4" s="1"/>
  <c r="X46" i="4"/>
  <c r="AA46" i="4" s="1"/>
  <c r="Y49" i="4"/>
  <c r="AB49" i="4" s="1"/>
  <c r="X49" i="4"/>
  <c r="AA49" i="4" s="1"/>
  <c r="Y45" i="4"/>
  <c r="AB45" i="4" s="1"/>
  <c r="X45" i="4"/>
  <c r="AA45" i="4" s="1"/>
  <c r="Y50" i="4"/>
  <c r="AB50" i="4" s="1"/>
  <c r="X50" i="4"/>
  <c r="AA50" i="4" s="1"/>
  <c r="Y51" i="4"/>
  <c r="AB51" i="4" s="1"/>
  <c r="X51" i="4"/>
  <c r="AA51" i="4" s="1"/>
  <c r="Y44" i="4"/>
  <c r="X44" i="4"/>
  <c r="AA44" i="4" s="1"/>
  <c r="K101" i="4"/>
  <c r="Y52" i="4" l="1"/>
  <c r="AB44" i="4"/>
  <c r="AC44" i="4"/>
  <c r="AA52" i="4"/>
  <c r="AC51" i="4"/>
  <c r="AD51" i="4" s="1"/>
  <c r="AC50" i="4"/>
  <c r="AD50" i="4" s="1"/>
  <c r="AC45" i="4"/>
  <c r="AD45" i="4" s="1"/>
  <c r="AC49" i="4"/>
  <c r="AD49" i="4" s="1"/>
  <c r="AC46" i="4"/>
  <c r="AD46" i="4" s="1"/>
  <c r="AC48" i="4"/>
  <c r="AD48" i="4" s="1"/>
  <c r="AC47" i="4"/>
  <c r="AD47" i="4" s="1"/>
  <c r="AB52" i="4" l="1"/>
  <c r="AD44" i="4"/>
  <c r="AC52" i="4"/>
  <c r="AD52" i="4" l="1"/>
  <c r="A32" i="9"/>
  <c r="A35" i="9"/>
  <c r="A33" i="9"/>
  <c r="A31" i="9"/>
  <c r="A34" i="9"/>
  <c r="A36" i="9"/>
</calcChain>
</file>

<file path=xl/sharedStrings.xml><?xml version="1.0" encoding="utf-8"?>
<sst xmlns="http://schemas.openxmlformats.org/spreadsheetml/2006/main" count="795" uniqueCount="181">
  <si>
    <t>算法</t>
  </si>
  <si>
    <t>PER</t>
  </si>
  <si>
    <t>CAMELLIA</t>
  </si>
  <si>
    <t>SPECK</t>
  </si>
  <si>
    <t>HIEROCRYPT_L1</t>
  </si>
  <si>
    <t>架构</t>
  </si>
  <si>
    <t>功能单元使用</t>
  </si>
  <si>
    <t>AU</t>
  </si>
  <si>
    <t>SH</t>
  </si>
  <si>
    <t>LOU</t>
  </si>
  <si>
    <t>LUT</t>
  </si>
  <si>
    <t>GFM</t>
  </si>
  <si>
    <t>本文</t>
  </si>
  <si>
    <t>AES</t>
  </si>
  <si>
    <t>DES</t>
  </si>
  <si>
    <t>IDEA</t>
  </si>
  <si>
    <t>BLOWFISH</t>
  </si>
  <si>
    <t>CAST128</t>
  </si>
  <si>
    <t>GOST</t>
  </si>
  <si>
    <t>RC5</t>
  </si>
  <si>
    <t>SEED</t>
  </si>
  <si>
    <t>TWOFISH</t>
  </si>
  <si>
    <t>SM4</t>
  </si>
  <si>
    <t>RC6</t>
  </si>
  <si>
    <t>SERPENT</t>
  </si>
  <si>
    <t>TEA</t>
  </si>
  <si>
    <t>XTEA</t>
  </si>
  <si>
    <t>SKIPJECT</t>
  </si>
  <si>
    <t>SIMON</t>
  </si>
  <si>
    <t>LUCIFER</t>
  </si>
  <si>
    <t>CLEFIA</t>
  </si>
  <si>
    <t>ARIA</t>
  </si>
  <si>
    <t>C2</t>
  </si>
  <si>
    <t>PRESENT</t>
  </si>
  <si>
    <t>MACGUFFIN</t>
  </si>
  <si>
    <t>SQUARE</t>
  </si>
  <si>
    <t>M6</t>
  </si>
  <si>
    <t>ICE</t>
  </si>
  <si>
    <t>SHARK</t>
  </si>
  <si>
    <t>CS_CIPHER</t>
  </si>
  <si>
    <t>NUSH</t>
  </si>
  <si>
    <t>GRAND_CRU</t>
  </si>
  <si>
    <t>Q</t>
  </si>
  <si>
    <t>E2</t>
  </si>
  <si>
    <t>KHAZAD</t>
  </si>
  <si>
    <t>HIEROCRYPT_3</t>
  </si>
  <si>
    <t>项目中的架构</t>
    <phoneticPr fontId="1" type="noConversion"/>
  </si>
  <si>
    <t>算法</t>
    <phoneticPr fontId="1" type="noConversion"/>
  </si>
  <si>
    <t>Cyptoraptor</t>
    <phoneticPr fontId="1" type="noConversion"/>
  </si>
  <si>
    <t>更多架构</t>
    <phoneticPr fontId="1" type="noConversion"/>
  </si>
  <si>
    <t>更多算法</t>
  </si>
  <si>
    <t>Cyptoraptor</t>
    <phoneticPr fontId="1" type="noConversion"/>
  </si>
  <si>
    <t>更多架构</t>
    <phoneticPr fontId="1" type="noConversion"/>
  </si>
  <si>
    <t>type0</t>
    <phoneticPr fontId="1" type="noConversion"/>
  </si>
  <si>
    <t>type1</t>
    <phoneticPr fontId="1" type="noConversion"/>
  </si>
  <si>
    <t>cr</t>
    <phoneticPr fontId="1" type="noConversion"/>
  </si>
  <si>
    <t>au</t>
    <phoneticPr fontId="1" type="noConversion"/>
  </si>
  <si>
    <t>tu</t>
    <phoneticPr fontId="1" type="noConversion"/>
  </si>
  <si>
    <t>pu</t>
    <phoneticPr fontId="1" type="noConversion"/>
  </si>
  <si>
    <t>lu</t>
    <phoneticPr fontId="1" type="noConversion"/>
  </si>
  <si>
    <t>su</t>
    <phoneticPr fontId="1" type="noConversion"/>
  </si>
  <si>
    <t>lbc</t>
    <phoneticPr fontId="1" type="noConversion"/>
  </si>
  <si>
    <t>第一行</t>
    <phoneticPr fontId="1" type="noConversion"/>
  </si>
  <si>
    <t>第二行</t>
    <phoneticPr fontId="1" type="noConversion"/>
  </si>
  <si>
    <t>合</t>
    <phoneticPr fontId="1" type="noConversion"/>
  </si>
  <si>
    <t>type1</t>
    <phoneticPr fontId="1" type="noConversion"/>
  </si>
  <si>
    <t>type3</t>
  </si>
  <si>
    <t>type4</t>
  </si>
  <si>
    <t>type2</t>
    <phoneticPr fontId="1" type="noConversion"/>
  </si>
  <si>
    <t>第1行</t>
    <phoneticPr fontId="1" type="noConversion"/>
  </si>
  <si>
    <t>第2行</t>
  </si>
  <si>
    <t>第3行</t>
  </si>
  <si>
    <t>映射行数</t>
  </si>
  <si>
    <t>项目中的架构</t>
  </si>
  <si>
    <t>Cyptoraptor</t>
  </si>
  <si>
    <t>RCPA</t>
  </si>
  <si>
    <t>COBRA</t>
  </si>
  <si>
    <t>更多架构</t>
  </si>
  <si>
    <r>
      <t>工艺</t>
    </r>
    <r>
      <rPr>
        <sz val="9"/>
        <color theme="1"/>
        <rFont val="Calibri"/>
        <family val="2"/>
      </rPr>
      <t>/nm</t>
    </r>
  </si>
  <si>
    <r>
      <t>主频</t>
    </r>
    <r>
      <rPr>
        <sz val="9"/>
        <color theme="1"/>
        <rFont val="Calibri"/>
        <family val="2"/>
      </rPr>
      <t>/MHz</t>
    </r>
  </si>
  <si>
    <r>
      <t>单轮映射面积</t>
    </r>
    <r>
      <rPr>
        <sz val="9"/>
        <color theme="1"/>
        <rFont val="Calibri"/>
        <family val="2"/>
      </rPr>
      <t>/Mgates</t>
    </r>
  </si>
  <si>
    <r>
      <t>性能</t>
    </r>
    <r>
      <rPr>
        <sz val="9"/>
        <color theme="1"/>
        <rFont val="Calibri"/>
        <family val="2"/>
      </rPr>
      <t>/Gbps</t>
    </r>
  </si>
  <si>
    <r>
      <t>性能面积比</t>
    </r>
    <r>
      <rPr>
        <b/>
        <sz val="9"/>
        <color theme="1"/>
        <rFont val="Calibri"/>
        <family val="2"/>
      </rPr>
      <t>/(Gbps/Mgates)</t>
    </r>
  </si>
  <si>
    <t>算法映射面积</t>
  </si>
  <si>
    <t>性能</t>
  </si>
  <si>
    <t>性能面积比</t>
  </si>
  <si>
    <t>CORBA</t>
  </si>
  <si>
    <r>
      <t>Celator</t>
    </r>
    <r>
      <rPr>
        <sz val="9"/>
        <color theme="1"/>
        <rFont val="宋体"/>
        <family val="3"/>
        <charset val="134"/>
      </rPr>
      <t>等更多架构</t>
    </r>
  </si>
  <si>
    <r>
      <t>算法映射面积</t>
    </r>
    <r>
      <rPr>
        <sz val="9"/>
        <color theme="1"/>
        <rFont val="Calibri"/>
        <family val="2"/>
      </rPr>
      <t>/Mgates</t>
    </r>
  </si>
  <si>
    <t>tlu</t>
    <phoneticPr fontId="1" type="noConversion"/>
  </si>
  <si>
    <r>
      <t>主频</t>
    </r>
    <r>
      <rPr>
        <sz val="9"/>
        <color theme="1"/>
        <rFont val="Calibri"/>
        <family val="2"/>
      </rPr>
      <t>/GHz</t>
    </r>
    <phoneticPr fontId="1" type="noConversion"/>
  </si>
  <si>
    <t>mm2</t>
    <phoneticPr fontId="1" type="noConversion"/>
  </si>
  <si>
    <t>gate</t>
    <phoneticPr fontId="1" type="noConversion"/>
  </si>
  <si>
    <t>算术单元</t>
    <phoneticPr fontId="1" type="noConversion"/>
  </si>
  <si>
    <t>逻辑操作</t>
    <phoneticPr fontId="1" type="noConversion"/>
  </si>
  <si>
    <t>移位</t>
    <phoneticPr fontId="1" type="noConversion"/>
  </si>
  <si>
    <t>查找表</t>
    <phoneticPr fontId="1" type="noConversion"/>
  </si>
  <si>
    <t>置换</t>
    <phoneticPr fontId="1" type="noConversion"/>
  </si>
  <si>
    <t>64to64</t>
    <phoneticPr fontId="1" type="noConversion"/>
  </si>
  <si>
    <t>8x8</t>
    <phoneticPr fontId="1" type="noConversion"/>
  </si>
  <si>
    <t>32b</t>
    <phoneticPr fontId="1" type="noConversion"/>
  </si>
  <si>
    <t>`</t>
    <phoneticPr fontId="1" type="noConversion"/>
  </si>
  <si>
    <t>平均值</t>
    <phoneticPr fontId="1" type="noConversion"/>
  </si>
  <si>
    <t>面积降低百分比</t>
    <phoneticPr fontId="1" type="noConversion"/>
  </si>
  <si>
    <t>lut</t>
    <phoneticPr fontId="1" type="noConversion"/>
  </si>
  <si>
    <t>其它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</si>
  <si>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</si>
  <si>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</si>
  <si>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</si>
  <si>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</si>
  <si>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</si>
  <si>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本文资源数归一化</t>
    <phoneticPr fontId="1" type="noConversion"/>
  </si>
  <si>
    <t>本文面积数归一化</t>
    <phoneticPr fontId="1" type="noConversion"/>
  </si>
  <si>
    <t>type5</t>
    <phoneticPr fontId="1" type="noConversion"/>
  </si>
  <si>
    <t>互连：8X32-16X32</t>
  </si>
  <si>
    <t>互连：8X32-16X32</t>
    <phoneticPr fontId="1" type="noConversion"/>
  </si>
  <si>
    <t>互连：80x32-48x32</t>
  </si>
  <si>
    <t>LOU</t>
    <phoneticPr fontId="1" type="noConversion"/>
  </si>
  <si>
    <t>x2+br</t>
    <phoneticPr fontId="1" type="noConversion"/>
  </si>
  <si>
    <t>X2</t>
  </si>
  <si>
    <t>X2</t>
    <phoneticPr fontId="1" type="noConversion"/>
  </si>
  <si>
    <t>br</t>
  </si>
  <si>
    <t>br</t>
    <phoneticPr fontId="1" type="noConversion"/>
  </si>
  <si>
    <t>x2</t>
    <phoneticPr fontId="1" type="noConversion"/>
  </si>
  <si>
    <t>br</t>
    <phoneticPr fontId="1" type="noConversion"/>
  </si>
  <si>
    <t>cr</t>
    <phoneticPr fontId="1" type="noConversion"/>
  </si>
  <si>
    <t>总面积</t>
    <phoneticPr fontId="1" type="noConversion"/>
  </si>
  <si>
    <t>总面积</t>
    <phoneticPr fontId="1" type="noConversion"/>
  </si>
  <si>
    <t>面积减少</t>
    <phoneticPr fontId="1" type="noConversion"/>
  </si>
  <si>
    <t>互连</t>
    <phoneticPr fontId="1" type="noConversion"/>
  </si>
  <si>
    <t>BR</t>
    <phoneticPr fontId="1" type="noConversion"/>
  </si>
  <si>
    <t>GFM</t>
    <phoneticPr fontId="1" type="noConversion"/>
  </si>
  <si>
    <t>互连</t>
    <phoneticPr fontId="1" type="noConversion"/>
  </si>
  <si>
    <t>X2</t>
    <phoneticPr fontId="1" type="noConversion"/>
  </si>
  <si>
    <t>BR</t>
    <phoneticPr fontId="1" type="noConversion"/>
  </si>
  <si>
    <t>整体</t>
    <phoneticPr fontId="1" type="noConversion"/>
  </si>
  <si>
    <r>
      <t>1-</t>
    </r>
    <r>
      <rPr>
        <sz val="10.5"/>
        <color theme="1"/>
        <rFont val="宋体"/>
        <family val="3"/>
        <charset val="134"/>
      </rPr>
      <t>互连-lut</t>
    </r>
    <phoneticPr fontId="1" type="noConversion"/>
  </si>
  <si>
    <t>互连：48x32-80x32</t>
    <phoneticPr fontId="1" type="noConversion"/>
  </si>
  <si>
    <t>RCPA</t>
    <phoneticPr fontId="1" type="noConversion"/>
  </si>
  <si>
    <t>与RCPA对比</t>
    <phoneticPr fontId="1" type="noConversion"/>
  </si>
  <si>
    <t xml:space="preserve"> </t>
    <phoneticPr fontId="1" type="noConversion"/>
  </si>
  <si>
    <t>GFM</t>
    <phoneticPr fontId="1" type="noConversion"/>
  </si>
  <si>
    <t>互连</t>
    <phoneticPr fontId="1" type="noConversion"/>
  </si>
  <si>
    <t>算法算子统计</t>
    <phoneticPr fontId="1" type="noConversion"/>
  </si>
  <si>
    <t>本文统计</t>
    <phoneticPr fontId="1" type="noConversion"/>
  </si>
  <si>
    <t>RCPA统计</t>
    <phoneticPr fontId="1" type="noConversion"/>
  </si>
  <si>
    <t>与本文的对比</t>
    <phoneticPr fontId="1" type="noConversion"/>
  </si>
  <si>
    <t>Cyptoraptor</t>
    <phoneticPr fontId="1" type="noConversion"/>
  </si>
  <si>
    <t>算法算子统计</t>
    <phoneticPr fontId="1" type="noConversion"/>
  </si>
  <si>
    <t>与Cyptoraptor对比</t>
    <phoneticPr fontId="1" type="noConversion"/>
  </si>
  <si>
    <t>Cyptoraptor统计</t>
    <phoneticPr fontId="1" type="noConversion"/>
  </si>
  <si>
    <t>项目架构统计</t>
    <phoneticPr fontId="1" type="noConversion"/>
  </si>
  <si>
    <t>与项目架构对比</t>
    <phoneticPr fontId="1" type="noConversion"/>
  </si>
  <si>
    <t>个数</t>
    <phoneticPr fontId="1" type="noConversion"/>
  </si>
  <si>
    <t>异构组组成</t>
    <phoneticPr fontId="1" type="noConversion"/>
  </si>
  <si>
    <t>T1</t>
    <phoneticPr fontId="1" type="noConversion"/>
  </si>
  <si>
    <t>T2</t>
  </si>
  <si>
    <t>T3</t>
  </si>
  <si>
    <t>T5</t>
  </si>
  <si>
    <t>T4</t>
    <phoneticPr fontId="1" type="noConversion"/>
  </si>
  <si>
    <t>cr</t>
    <phoneticPr fontId="1" type="noConversion"/>
  </si>
  <si>
    <t>cr</t>
    <phoneticPr fontId="1" type="noConversion"/>
  </si>
  <si>
    <t>CR</t>
    <phoneticPr fontId="1" type="noConversion"/>
  </si>
  <si>
    <t>4*LUT256*8</t>
  </si>
  <si>
    <t>CR</t>
  </si>
  <si>
    <t>总体</t>
  </si>
  <si>
    <t>TH</t>
  </si>
  <si>
    <t>总体减少了</t>
  </si>
  <si>
    <t>面积减少</t>
  </si>
  <si>
    <t>面积减少</t>
    <phoneticPr fontId="1" type="noConversion"/>
  </si>
  <si>
    <t>工艺</t>
  </si>
  <si>
    <t>主频(MHz)</t>
  </si>
  <si>
    <t>映射面积(mm^2)</t>
  </si>
  <si>
    <t>算法性能(Gbps)</t>
  </si>
  <si>
    <t>性能面积比(Gbps/mm^2)</t>
  </si>
  <si>
    <t>40nm</t>
  </si>
  <si>
    <t>清华项目中的架构</t>
  </si>
  <si>
    <t>500M</t>
  </si>
  <si>
    <t>性能面积比提高百分比</t>
  </si>
  <si>
    <t>性能面积比提高百分比</t>
    <phoneticPr fontId="1" type="noConversion"/>
  </si>
  <si>
    <t>面积减少百分比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</si>
</sst>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"/>
    <numFmt numFmtId="177" formatCode="0.0%"/>
    <numFmt numFmtId="178" formatCode="0.0_ "/>
    <numFmt numFmtId="179" formatCode="0.00_);[Red]\(0.00\)"/>
    <numFmt numFmtId="180" formatCode="#,##0.0_ "/>
    <numFmt numFmtId="181" formatCode="0.0000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宋体"/>
      <family val="2"/>
      <scheme val="minor"/>
    </font>
    <font>
      <sz val="10.5"/>
      <color theme="1"/>
      <name val="宋体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118">
    <xf numFmtId="0" fontId="0" fillId="0" borderId="0" xfId="0"/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/>
    </xf>
    <xf numFmtId="0" fontId="2" fillId="0" borderId="4" xfId="0" applyFont="1" applyBorder="1" applyAlignment="1">
      <alignment vertical="top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top" wrapText="1"/>
    </xf>
    <xf numFmtId="0" fontId="4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justify" vertical="center"/>
    </xf>
    <xf numFmtId="0" fontId="2" fillId="0" borderId="0" xfId="0" applyFont="1" applyAlignment="1">
      <alignment horizontal="justify" vertical="center"/>
    </xf>
    <xf numFmtId="1" fontId="0" fillId="0" borderId="0" xfId="0" applyNumberFormat="1"/>
    <xf numFmtId="176" fontId="3" fillId="0" borderId="4" xfId="0" applyNumberFormat="1" applyFont="1" applyBorder="1" applyAlignment="1">
      <alignment horizontal="right" vertical="center" wrapText="1"/>
    </xf>
    <xf numFmtId="176" fontId="3" fillId="2" borderId="4" xfId="0" applyNumberFormat="1" applyFont="1" applyFill="1" applyBorder="1" applyAlignment="1">
      <alignment horizontal="right" vertical="center" wrapText="1"/>
    </xf>
    <xf numFmtId="176" fontId="2" fillId="0" borderId="4" xfId="0" applyNumberFormat="1" applyFont="1" applyBorder="1" applyAlignment="1">
      <alignment horizontal="right" vertical="center" wrapText="1"/>
    </xf>
    <xf numFmtId="176" fontId="2" fillId="2" borderId="4" xfId="0" applyNumberFormat="1" applyFont="1" applyFill="1" applyBorder="1" applyAlignment="1">
      <alignment horizontal="right" vertical="center" wrapText="1"/>
    </xf>
    <xf numFmtId="177" fontId="0" fillId="0" borderId="0" xfId="1" applyNumberFormat="1" applyFont="1" applyAlignment="1"/>
    <xf numFmtId="177" fontId="0" fillId="0" borderId="0" xfId="0" applyNumberFormat="1"/>
    <xf numFmtId="0" fontId="2" fillId="2" borderId="4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178" fontId="0" fillId="0" borderId="0" xfId="0" applyNumberFormat="1"/>
    <xf numFmtId="176" fontId="0" fillId="0" borderId="0" xfId="0" applyNumberFormat="1"/>
    <xf numFmtId="9" fontId="0" fillId="0" borderId="0" xfId="1" applyFont="1" applyAlignment="1"/>
    <xf numFmtId="9" fontId="0" fillId="0" borderId="0" xfId="0" applyNumberFormat="1"/>
    <xf numFmtId="179" fontId="0" fillId="0" borderId="0" xfId="1" applyNumberFormat="1" applyFont="1" applyAlignment="1"/>
    <xf numFmtId="0" fontId="2" fillId="0" borderId="9" xfId="0" applyFont="1" applyFill="1" applyBorder="1" applyAlignment="1">
      <alignment horizontal="justify" vertical="center" wrapText="1"/>
    </xf>
    <xf numFmtId="0" fontId="2" fillId="0" borderId="10" xfId="0" applyFont="1" applyFill="1" applyBorder="1" applyAlignment="1">
      <alignment horizontal="justify" vertical="center" wrapText="1"/>
    </xf>
    <xf numFmtId="0" fontId="0" fillId="0" borderId="10" xfId="0" applyBorder="1"/>
    <xf numFmtId="0" fontId="0" fillId="2" borderId="10" xfId="0" applyFill="1" applyBorder="1"/>
    <xf numFmtId="176" fontId="0" fillId="2" borderId="10" xfId="0" applyNumberFormat="1" applyFill="1" applyBorder="1"/>
    <xf numFmtId="0" fontId="0" fillId="0" borderId="0" xfId="0" applyBorder="1"/>
    <xf numFmtId="1" fontId="0" fillId="2" borderId="10" xfId="0" applyNumberFormat="1" applyFill="1" applyBorder="1"/>
    <xf numFmtId="176" fontId="0" fillId="0" borderId="0" xfId="0" applyNumberFormat="1" applyFill="1" applyBorder="1"/>
    <xf numFmtId="0" fontId="2" fillId="0" borderId="0" xfId="0" applyFont="1" applyFill="1" applyBorder="1" applyAlignment="1">
      <alignment horizontal="justify" vertical="center" wrapText="1"/>
    </xf>
    <xf numFmtId="0" fontId="0" fillId="0" borderId="0" xfId="0" applyFill="1" applyBorder="1"/>
    <xf numFmtId="0" fontId="8" fillId="0" borderId="10" xfId="0" applyFont="1" applyFill="1" applyBorder="1" applyAlignment="1">
      <alignment horizontal="justify" vertical="center" wrapText="1"/>
    </xf>
    <xf numFmtId="9" fontId="0" fillId="0" borderId="10" xfId="1" applyFont="1" applyBorder="1" applyAlignment="1"/>
    <xf numFmtId="9" fontId="0" fillId="0" borderId="10" xfId="0" applyNumberFormat="1" applyBorder="1"/>
    <xf numFmtId="0" fontId="2" fillId="0" borderId="10" xfId="0" applyFont="1" applyBorder="1" applyAlignment="1">
      <alignment horizontal="justify" vertical="center"/>
    </xf>
    <xf numFmtId="176" fontId="0" fillId="0" borderId="10" xfId="0" applyNumberFormat="1" applyBorder="1"/>
    <xf numFmtId="176" fontId="0" fillId="0" borderId="10" xfId="0" applyNumberFormat="1" applyFill="1" applyBorder="1"/>
    <xf numFmtId="176" fontId="0" fillId="0" borderId="11" xfId="0" applyNumberFormat="1" applyFill="1" applyBorder="1"/>
    <xf numFmtId="0" fontId="3" fillId="2" borderId="10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0" fillId="4" borderId="10" xfId="0" applyFill="1" applyBorder="1"/>
    <xf numFmtId="176" fontId="0" fillId="4" borderId="10" xfId="0" applyNumberFormat="1" applyFill="1" applyBorder="1"/>
    <xf numFmtId="177" fontId="0" fillId="0" borderId="10" xfId="1" applyNumberFormat="1" applyFont="1" applyBorder="1" applyAlignment="1"/>
    <xf numFmtId="0" fontId="9" fillId="5" borderId="10" xfId="0" applyFont="1" applyFill="1" applyBorder="1"/>
    <xf numFmtId="0" fontId="10" fillId="0" borderId="10" xfId="0" applyFont="1" applyBorder="1" applyAlignment="1">
      <alignment horizontal="center" vertical="center"/>
    </xf>
    <xf numFmtId="0" fontId="10" fillId="2" borderId="10" xfId="0" applyFont="1" applyFill="1" applyBorder="1" applyAlignment="1">
      <alignment horizontal="center"/>
    </xf>
    <xf numFmtId="0" fontId="10" fillId="0" borderId="10" xfId="0" applyFont="1" applyBorder="1" applyAlignment="1">
      <alignment vertical="center"/>
    </xf>
    <xf numFmtId="0" fontId="10" fillId="0" borderId="10" xfId="0" applyNumberFormat="1" applyFont="1" applyBorder="1" applyAlignment="1">
      <alignment vertical="center"/>
    </xf>
    <xf numFmtId="1" fontId="10" fillId="0" borderId="10" xfId="0" applyNumberFormat="1" applyFont="1" applyBorder="1" applyAlignment="1">
      <alignment vertical="center"/>
    </xf>
    <xf numFmtId="9" fontId="10" fillId="2" borderId="10" xfId="1" applyFont="1" applyFill="1" applyBorder="1" applyAlignment="1"/>
    <xf numFmtId="176" fontId="10" fillId="0" borderId="10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10" xfId="0" applyFont="1" applyBorder="1"/>
    <xf numFmtId="9" fontId="10" fillId="0" borderId="10" xfId="1" applyFont="1" applyBorder="1" applyAlignment="1">
      <alignment vertical="center"/>
    </xf>
    <xf numFmtId="9" fontId="10" fillId="0" borderId="10" xfId="1" applyFont="1" applyBorder="1" applyAlignment="1"/>
    <xf numFmtId="180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80" fontId="10" fillId="0" borderId="1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80" fontId="10" fillId="0" borderId="0" xfId="0" applyNumberFormat="1" applyFont="1" applyAlignment="1">
      <alignment vertical="center"/>
    </xf>
    <xf numFmtId="9" fontId="10" fillId="0" borderId="14" xfId="1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9" fontId="10" fillId="0" borderId="11" xfId="0" applyNumberFormat="1" applyFont="1" applyBorder="1" applyAlignment="1">
      <alignment vertical="center"/>
    </xf>
    <xf numFmtId="181" fontId="10" fillId="0" borderId="10" xfId="0" applyNumberFormat="1" applyFont="1" applyBorder="1" applyAlignment="1">
      <alignment horizontal="center" vertical="center"/>
    </xf>
    <xf numFmtId="181" fontId="10" fillId="0" borderId="10" xfId="0" applyNumberFormat="1" applyFont="1" applyBorder="1" applyAlignment="1">
      <alignment vertical="center"/>
    </xf>
    <xf numFmtId="181" fontId="0" fillId="0" borderId="0" xfId="0" applyNumberFormat="1"/>
    <xf numFmtId="0" fontId="12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3" fillId="0" borderId="19" xfId="0" applyFont="1" applyBorder="1" applyAlignment="1">
      <alignment horizontal="right" vertical="center"/>
    </xf>
    <xf numFmtId="0" fontId="12" fillId="0" borderId="19" xfId="0" applyFont="1" applyBorder="1" applyAlignment="1">
      <alignment horizontal="left" vertical="center" wrapText="1"/>
    </xf>
    <xf numFmtId="9" fontId="12" fillId="0" borderId="19" xfId="0" applyNumberFormat="1" applyFont="1" applyBorder="1" applyAlignment="1">
      <alignment horizontal="left" vertical="center"/>
    </xf>
    <xf numFmtId="2" fontId="12" fillId="0" borderId="19" xfId="0" applyNumberFormat="1" applyFont="1" applyBorder="1" applyAlignment="1">
      <alignment horizontal="left" vertical="center" wrapText="1"/>
    </xf>
    <xf numFmtId="9" fontId="12" fillId="0" borderId="19" xfId="1" applyFont="1" applyBorder="1" applyAlignment="1">
      <alignment horizontal="left" vertical="center" wrapText="1"/>
    </xf>
    <xf numFmtId="9" fontId="12" fillId="0" borderId="19" xfId="0" applyNumberFormat="1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7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9" fillId="6" borderId="10" xfId="0" applyFont="1" applyFill="1" applyBorder="1" applyAlignment="1">
      <alignment horizontal="center"/>
    </xf>
    <xf numFmtId="0" fontId="9" fillId="9" borderId="12" xfId="0" applyFont="1" applyFill="1" applyBorder="1" applyAlignment="1">
      <alignment horizontal="center"/>
    </xf>
    <xf numFmtId="0" fontId="9" fillId="9" borderId="13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12" fillId="0" borderId="20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550;&#26500;&#20248;&#21270;_160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算法分析"/>
      <sheetName val="单元面积"/>
      <sheetName val="架构比较"/>
      <sheetName val="架构面积"/>
      <sheetName val="映射分析"/>
      <sheetName val="资源数比较"/>
      <sheetName val="面积比较"/>
    </sheetNames>
    <sheetDataSet>
      <sheetData sheetId="0">
        <row r="1">
          <cell r="B1" t="str">
            <v>AU</v>
          </cell>
          <cell r="C1" t="str">
            <v>SH</v>
          </cell>
          <cell r="D1" t="str">
            <v>PER</v>
          </cell>
          <cell r="E1" t="str">
            <v>LOU</v>
          </cell>
          <cell r="F1" t="str">
            <v>4*LUT256*8</v>
          </cell>
          <cell r="G1" t="str">
            <v>GFM</v>
          </cell>
        </row>
        <row r="2">
          <cell r="A2" t="str">
            <v>AES</v>
          </cell>
          <cell r="B2">
            <v>0</v>
          </cell>
          <cell r="C2">
            <v>0</v>
          </cell>
          <cell r="D2">
            <v>0</v>
          </cell>
          <cell r="E2">
            <v>4</v>
          </cell>
          <cell r="F2">
            <v>4</v>
          </cell>
          <cell r="G2">
            <v>4</v>
          </cell>
        </row>
        <row r="3">
          <cell r="A3" t="str">
            <v>DES</v>
          </cell>
          <cell r="B3">
            <v>0</v>
          </cell>
          <cell r="C3">
            <v>0</v>
          </cell>
          <cell r="D3">
            <v>2</v>
          </cell>
          <cell r="E3">
            <v>2</v>
          </cell>
          <cell r="F3">
            <v>2</v>
          </cell>
          <cell r="G3">
            <v>0</v>
          </cell>
        </row>
        <row r="4">
          <cell r="A4" t="str">
            <v>SM4</v>
          </cell>
          <cell r="B4">
            <v>0</v>
          </cell>
          <cell r="C4">
            <v>4</v>
          </cell>
          <cell r="D4">
            <v>0</v>
          </cell>
          <cell r="E4">
            <v>4</v>
          </cell>
          <cell r="F4">
            <v>1</v>
          </cell>
          <cell r="G4">
            <v>0</v>
          </cell>
        </row>
        <row r="5">
          <cell r="A5" t="str">
            <v>TWOFISH</v>
          </cell>
          <cell r="B5">
            <v>4</v>
          </cell>
          <cell r="C5">
            <v>1</v>
          </cell>
          <cell r="D5">
            <v>0</v>
          </cell>
          <cell r="E5">
            <v>6</v>
          </cell>
          <cell r="F5">
            <v>2</v>
          </cell>
          <cell r="G5">
            <v>2</v>
          </cell>
        </row>
        <row r="6">
          <cell r="A6" t="str">
            <v>RC5</v>
          </cell>
          <cell r="B6">
            <v>2</v>
          </cell>
          <cell r="C6">
            <v>2</v>
          </cell>
          <cell r="D6">
            <v>0</v>
          </cell>
          <cell r="E6">
            <v>2</v>
          </cell>
          <cell r="F6">
            <v>0</v>
          </cell>
          <cell r="G6">
            <v>0</v>
          </cell>
        </row>
        <row r="7">
          <cell r="A7" t="str">
            <v>BLOWFISH</v>
          </cell>
          <cell r="B7">
            <v>3</v>
          </cell>
          <cell r="C7">
            <v>0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</row>
      </sheetData>
      <sheetData sheetId="1"/>
      <sheetData sheetId="2">
        <row r="2"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0</v>
          </cell>
          <cell r="H2">
            <v>0</v>
          </cell>
        </row>
        <row r="3">
          <cell r="C3">
            <v>1</v>
          </cell>
          <cell r="D3">
            <v>1</v>
          </cell>
          <cell r="E3">
            <v>0</v>
          </cell>
          <cell r="F3">
            <v>1</v>
          </cell>
          <cell r="G3">
            <v>0</v>
          </cell>
          <cell r="H3">
            <v>0</v>
          </cell>
        </row>
        <row r="4">
          <cell r="C4">
            <v>1</v>
          </cell>
          <cell r="D4">
            <v>1</v>
          </cell>
          <cell r="E4">
            <v>0</v>
          </cell>
          <cell r="F4">
            <v>1</v>
          </cell>
          <cell r="G4">
            <v>1</v>
          </cell>
          <cell r="H4">
            <v>0</v>
          </cell>
        </row>
        <row r="5"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0</v>
          </cell>
          <cell r="H5">
            <v>1</v>
          </cell>
        </row>
        <row r="6">
          <cell r="C6">
            <v>1</v>
          </cell>
          <cell r="D6">
            <v>1</v>
          </cell>
          <cell r="E6">
            <v>0</v>
          </cell>
          <cell r="F6">
            <v>1</v>
          </cell>
          <cell r="G6">
            <v>0</v>
          </cell>
          <cell r="H6">
            <v>1</v>
          </cell>
        </row>
        <row r="8">
          <cell r="C8">
            <v>1</v>
          </cell>
          <cell r="D8">
            <v>1</v>
          </cell>
          <cell r="E8">
            <v>0</v>
          </cell>
          <cell r="F8">
            <v>6</v>
          </cell>
          <cell r="G8">
            <v>4</v>
          </cell>
        </row>
        <row r="9">
          <cell r="C9">
            <v>1</v>
          </cell>
          <cell r="D9">
            <v>1</v>
          </cell>
          <cell r="E9">
            <v>1</v>
          </cell>
          <cell r="F9">
            <v>6</v>
          </cell>
          <cell r="G9">
            <v>0</v>
          </cell>
        </row>
        <row r="11"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7</v>
          </cell>
          <cell r="H11">
            <v>0</v>
          </cell>
        </row>
        <row r="13">
          <cell r="C13">
            <v>1</v>
          </cell>
          <cell r="D13">
            <v>1</v>
          </cell>
          <cell r="E13">
            <v>1</v>
          </cell>
          <cell r="F13">
            <v>2</v>
          </cell>
          <cell r="G13">
            <v>2</v>
          </cell>
          <cell r="H13">
            <v>1</v>
          </cell>
        </row>
      </sheetData>
      <sheetData sheetId="3" refreshError="1"/>
      <sheetData sheetId="4">
        <row r="2">
          <cell r="A2" t="str">
            <v>本文</v>
          </cell>
          <cell r="C2">
            <v>2</v>
          </cell>
          <cell r="D2">
            <v>2</v>
          </cell>
          <cell r="E2">
            <v>2</v>
          </cell>
          <cell r="F2">
            <v>4</v>
          </cell>
          <cell r="G2">
            <v>2.6666666666666665</v>
          </cell>
          <cell r="H2">
            <v>2</v>
          </cell>
        </row>
        <row r="3">
          <cell r="C3">
            <v>2</v>
          </cell>
          <cell r="D3">
            <v>2</v>
          </cell>
          <cell r="E3">
            <v>2</v>
          </cell>
          <cell r="F3">
            <v>4</v>
          </cell>
          <cell r="G3">
            <v>2.6666666666666665</v>
          </cell>
          <cell r="H3">
            <v>2</v>
          </cell>
        </row>
        <row r="4">
          <cell r="C4">
            <v>4</v>
          </cell>
          <cell r="D4">
            <v>4</v>
          </cell>
          <cell r="E4">
            <v>4</v>
          </cell>
          <cell r="F4">
            <v>8</v>
          </cell>
          <cell r="G4">
            <v>5.333333333333333</v>
          </cell>
          <cell r="H4">
            <v>4</v>
          </cell>
        </row>
        <row r="5">
          <cell r="C5">
            <v>2</v>
          </cell>
          <cell r="D5">
            <v>2</v>
          </cell>
          <cell r="E5">
            <v>2</v>
          </cell>
          <cell r="F5">
            <v>4</v>
          </cell>
          <cell r="G5">
            <v>2.6666666666666665</v>
          </cell>
          <cell r="H5">
            <v>2</v>
          </cell>
        </row>
        <row r="6">
          <cell r="C6">
            <v>2</v>
          </cell>
          <cell r="D6">
            <v>2</v>
          </cell>
          <cell r="E6">
            <v>2</v>
          </cell>
          <cell r="F6">
            <v>4</v>
          </cell>
          <cell r="G6">
            <v>2.6666666666666665</v>
          </cell>
          <cell r="H6">
            <v>2</v>
          </cell>
        </row>
        <row r="7">
          <cell r="C7">
            <v>3</v>
          </cell>
          <cell r="D7">
            <v>3</v>
          </cell>
          <cell r="E7">
            <v>3</v>
          </cell>
          <cell r="F7">
            <v>6</v>
          </cell>
          <cell r="G7">
            <v>4</v>
          </cell>
          <cell r="H7">
            <v>3</v>
          </cell>
        </row>
        <row r="8">
          <cell r="A8" t="str">
            <v>TH</v>
          </cell>
          <cell r="C8">
            <v>4</v>
          </cell>
          <cell r="D8">
            <v>8</v>
          </cell>
          <cell r="E8">
            <v>8</v>
          </cell>
          <cell r="F8">
            <v>12</v>
          </cell>
          <cell r="G8">
            <v>8</v>
          </cell>
          <cell r="H8">
            <v>8</v>
          </cell>
        </row>
        <row r="9">
          <cell r="C9">
            <v>4</v>
          </cell>
          <cell r="D9">
            <v>8</v>
          </cell>
          <cell r="E9">
            <v>8</v>
          </cell>
          <cell r="F9">
            <v>12</v>
          </cell>
          <cell r="G9">
            <v>8</v>
          </cell>
          <cell r="H9">
            <v>8</v>
          </cell>
        </row>
        <row r="10">
          <cell r="C10">
            <v>2</v>
          </cell>
          <cell r="D10">
            <v>4</v>
          </cell>
          <cell r="E10">
            <v>4</v>
          </cell>
          <cell r="F10">
            <v>6</v>
          </cell>
          <cell r="G10">
            <v>4</v>
          </cell>
          <cell r="H10">
            <v>4</v>
          </cell>
        </row>
        <row r="11">
          <cell r="A11" t="str">
            <v>Cyptoraptor</v>
          </cell>
          <cell r="C11">
            <v>8</v>
          </cell>
          <cell r="D11">
            <v>12</v>
          </cell>
          <cell r="E11">
            <v>16</v>
          </cell>
          <cell r="F11">
            <v>20</v>
          </cell>
          <cell r="G11">
            <v>16</v>
          </cell>
          <cell r="H11">
            <v>12</v>
          </cell>
        </row>
        <row r="12">
          <cell r="C12">
            <v>2</v>
          </cell>
          <cell r="D12">
            <v>3</v>
          </cell>
          <cell r="E12">
            <v>4</v>
          </cell>
          <cell r="F12">
            <v>5</v>
          </cell>
          <cell r="G12">
            <v>4</v>
          </cell>
          <cell r="H12">
            <v>3</v>
          </cell>
        </row>
        <row r="13">
          <cell r="A13" t="str">
            <v>RCPA</v>
          </cell>
          <cell r="C13">
            <v>8</v>
          </cell>
          <cell r="D13">
            <v>12</v>
          </cell>
          <cell r="E13">
            <v>16</v>
          </cell>
          <cell r="F13">
            <v>20</v>
          </cell>
          <cell r="G13">
            <v>16</v>
          </cell>
          <cell r="H13">
            <v>12</v>
          </cell>
        </row>
      </sheetData>
      <sheetData sheetId="5">
        <row r="1">
          <cell r="B1" t="str">
            <v>AU</v>
          </cell>
          <cell r="C1" t="str">
            <v>SH</v>
          </cell>
          <cell r="D1" t="str">
            <v>PER</v>
          </cell>
          <cell r="E1" t="str">
            <v>LOU</v>
          </cell>
          <cell r="F1" t="str">
            <v>4*LUT256*8</v>
          </cell>
          <cell r="G1" t="str">
            <v>GFM</v>
          </cell>
          <cell r="J1" t="str">
            <v>CR</v>
          </cell>
        </row>
        <row r="2">
          <cell r="B2">
            <v>12</v>
          </cell>
          <cell r="C2">
            <v>12</v>
          </cell>
          <cell r="D2">
            <v>4</v>
          </cell>
          <cell r="E2">
            <v>12</v>
          </cell>
          <cell r="F2">
            <v>4</v>
          </cell>
          <cell r="G2">
            <v>4</v>
          </cell>
        </row>
        <row r="3">
          <cell r="B3">
            <v>12</v>
          </cell>
          <cell r="C3">
            <v>12</v>
          </cell>
          <cell r="D3">
            <v>4</v>
          </cell>
          <cell r="E3">
            <v>12</v>
          </cell>
          <cell r="F3">
            <v>4</v>
          </cell>
          <cell r="G3">
            <v>4</v>
          </cell>
        </row>
        <row r="4">
          <cell r="B4">
            <v>12</v>
          </cell>
          <cell r="C4">
            <v>12</v>
          </cell>
          <cell r="D4">
            <v>4</v>
          </cell>
          <cell r="E4">
            <v>12</v>
          </cell>
          <cell r="F4">
            <v>4</v>
          </cell>
          <cell r="G4">
            <v>4</v>
          </cell>
        </row>
        <row r="5">
          <cell r="B5">
            <v>24</v>
          </cell>
          <cell r="C5">
            <v>24</v>
          </cell>
          <cell r="D5">
            <v>8</v>
          </cell>
          <cell r="E5">
            <v>24</v>
          </cell>
          <cell r="F5">
            <v>8</v>
          </cell>
          <cell r="G5">
            <v>8</v>
          </cell>
        </row>
        <row r="6">
          <cell r="B6">
            <v>15.999999999999998</v>
          </cell>
          <cell r="C6">
            <v>15.999999999999998</v>
          </cell>
          <cell r="D6">
            <v>5.333333333333333</v>
          </cell>
          <cell r="E6">
            <v>15.999999999999998</v>
          </cell>
          <cell r="F6">
            <v>5.333333333333333</v>
          </cell>
          <cell r="G6">
            <v>5.333333333333333</v>
          </cell>
        </row>
        <row r="7">
          <cell r="B7">
            <v>12</v>
          </cell>
          <cell r="C7">
            <v>12</v>
          </cell>
          <cell r="D7">
            <v>4</v>
          </cell>
          <cell r="E7">
            <v>12</v>
          </cell>
          <cell r="F7">
            <v>4</v>
          </cell>
          <cell r="G7">
            <v>4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31"/>
  <sheetViews>
    <sheetView tabSelected="1" topLeftCell="A39" zoomScale="85" zoomScaleNormal="85" workbookViewId="0">
      <selection activeCell="B48" sqref="B48"/>
    </sheetView>
  </sheetViews>
  <sheetFormatPr defaultRowHeight="13.5" x14ac:dyDescent="0.15"/>
  <cols>
    <col min="1" max="1" width="18.75" customWidth="1"/>
    <col min="8" max="8" width="11.625" bestFit="1" customWidth="1"/>
    <col min="9" max="9" width="9.5" bestFit="1" customWidth="1"/>
    <col min="12" max="12" width="11.875" bestFit="1" customWidth="1"/>
    <col min="13" max="13" width="10.875" bestFit="1" customWidth="1"/>
    <col min="14" max="14" width="11.875" bestFit="1" customWidth="1"/>
    <col min="15" max="15" width="11.375" bestFit="1" customWidth="1"/>
    <col min="16" max="16" width="9.125" bestFit="1" customWidth="1"/>
    <col min="17" max="17" width="11.375" bestFit="1" customWidth="1"/>
    <col min="18" max="18" width="10.25" bestFit="1" customWidth="1"/>
    <col min="19" max="19" width="9.125" bestFit="1" customWidth="1"/>
    <col min="20" max="20" width="11.375" bestFit="1" customWidth="1"/>
    <col min="21" max="21" width="9.5" bestFit="1" customWidth="1"/>
    <col min="23" max="23" width="12.5" customWidth="1"/>
    <col min="24" max="24" width="10.5" bestFit="1" customWidth="1"/>
    <col min="28" max="28" width="10.5" customWidth="1"/>
    <col min="29" max="29" width="10.625" customWidth="1"/>
    <col min="30" max="30" width="21.625" bestFit="1" customWidth="1"/>
  </cols>
  <sheetData>
    <row r="3" spans="5:12" x14ac:dyDescent="0.15">
      <c r="H3" t="s">
        <v>91</v>
      </c>
      <c r="I3" t="s">
        <v>92</v>
      </c>
    </row>
    <row r="4" spans="5:12" x14ac:dyDescent="0.15">
      <c r="G4" t="s">
        <v>53</v>
      </c>
      <c r="H4" s="13">
        <v>240216.6814</v>
      </c>
      <c r="I4" s="13">
        <f>H4/1.44</f>
        <v>166817.13986111112</v>
      </c>
      <c r="K4" t="s">
        <v>62</v>
      </c>
      <c r="L4" s="13">
        <f>I4*4+I6</f>
        <v>705982.16993055562</v>
      </c>
    </row>
    <row r="5" spans="5:12" x14ac:dyDescent="0.15">
      <c r="G5" t="s">
        <v>54</v>
      </c>
      <c r="H5" s="13">
        <v>21425.6001</v>
      </c>
      <c r="I5" s="13">
        <f>H5/1.44</f>
        <v>14878.888958333333</v>
      </c>
      <c r="K5" t="s">
        <v>63</v>
      </c>
      <c r="L5" s="13">
        <f>I5*4+I6</f>
        <v>98229.166319444441</v>
      </c>
    </row>
    <row r="6" spans="5:12" x14ac:dyDescent="0.15">
      <c r="G6" t="s">
        <v>55</v>
      </c>
      <c r="H6" s="13">
        <v>55747.599099999999</v>
      </c>
      <c r="I6" s="13">
        <f>H6/1.44</f>
        <v>38713.610486111109</v>
      </c>
      <c r="K6" t="s">
        <v>64</v>
      </c>
      <c r="L6" s="13">
        <f>SUM(L4:L5)</f>
        <v>804211.33625000005</v>
      </c>
    </row>
    <row r="7" spans="5:12" x14ac:dyDescent="0.15">
      <c r="G7" t="s">
        <v>59</v>
      </c>
      <c r="H7" s="13">
        <v>3741.2</v>
      </c>
      <c r="I7" s="13">
        <f>H7/1.44</f>
        <v>2598.0555555555557</v>
      </c>
    </row>
    <row r="8" spans="5:12" x14ac:dyDescent="0.15">
      <c r="E8" t="s">
        <v>100</v>
      </c>
      <c r="F8" t="s">
        <v>93</v>
      </c>
      <c r="G8" t="s">
        <v>56</v>
      </c>
      <c r="H8" s="13">
        <v>2422.8000000000002</v>
      </c>
      <c r="I8" s="13">
        <f t="shared" ref="I8:I12" si="0">H8/1.44</f>
        <v>1682.5000000000002</v>
      </c>
    </row>
    <row r="9" spans="5:12" x14ac:dyDescent="0.15">
      <c r="E9" t="s">
        <v>100</v>
      </c>
      <c r="F9" t="s">
        <v>94</v>
      </c>
      <c r="G9" t="s">
        <v>61</v>
      </c>
      <c r="H9" s="13">
        <v>531.6</v>
      </c>
      <c r="I9" s="13">
        <f t="shared" si="0"/>
        <v>369.16666666666669</v>
      </c>
    </row>
    <row r="10" spans="5:12" x14ac:dyDescent="0.15">
      <c r="E10" t="s">
        <v>100</v>
      </c>
      <c r="F10" t="s">
        <v>95</v>
      </c>
      <c r="G10" t="s">
        <v>60</v>
      </c>
      <c r="H10" s="13">
        <v>7762</v>
      </c>
      <c r="I10" s="13">
        <f t="shared" si="0"/>
        <v>5390.2777777777783</v>
      </c>
    </row>
    <row r="11" spans="5:12" x14ac:dyDescent="0.15">
      <c r="E11" t="s">
        <v>99</v>
      </c>
      <c r="F11" t="s">
        <v>96</v>
      </c>
      <c r="G11" t="s">
        <v>57</v>
      </c>
      <c r="H11" s="13">
        <v>223275.48130000001</v>
      </c>
      <c r="I11" s="13">
        <f t="shared" si="0"/>
        <v>155052.41756944446</v>
      </c>
    </row>
    <row r="12" spans="5:12" x14ac:dyDescent="0.15">
      <c r="E12" t="s">
        <v>98</v>
      </c>
      <c r="F12" t="s">
        <v>97</v>
      </c>
      <c r="G12" t="s">
        <v>58</v>
      </c>
      <c r="H12" s="13">
        <v>4281.6000000000004</v>
      </c>
      <c r="I12" s="13">
        <f t="shared" si="0"/>
        <v>2973.3333333333335</v>
      </c>
      <c r="L12" s="13">
        <f>I11+I10+I8+I7</f>
        <v>164723.2509027778</v>
      </c>
    </row>
    <row r="13" spans="5:12" x14ac:dyDescent="0.15">
      <c r="G13" t="s">
        <v>118</v>
      </c>
      <c r="I13" s="13">
        <f>L6-L15</f>
        <v>17314.444999999949</v>
      </c>
      <c r="L13" s="13">
        <f>I12+I10+I8+I7</f>
        <v>12644.166666666668</v>
      </c>
    </row>
    <row r="14" spans="5:12" x14ac:dyDescent="0.15">
      <c r="L14" s="13">
        <f>SUM(L12:L13)</f>
        <v>177367.41756944446</v>
      </c>
    </row>
    <row r="15" spans="5:12" x14ac:dyDescent="0.15">
      <c r="L15">
        <f>L14*4+I6*2</f>
        <v>786896.8912500001</v>
      </c>
    </row>
    <row r="16" spans="5:12" x14ac:dyDescent="0.15">
      <c r="I16">
        <f>I7+I8+I10+I11</f>
        <v>164723.2509027778</v>
      </c>
    </row>
    <row r="17" spans="3:9" x14ac:dyDescent="0.15">
      <c r="I17">
        <f>I7+I8+I10+I12</f>
        <v>12644.166666666668</v>
      </c>
    </row>
    <row r="20" spans="3:9" x14ac:dyDescent="0.15">
      <c r="G20" t="s">
        <v>65</v>
      </c>
      <c r="H20" s="13">
        <f>H21+I12</f>
        <v>10415.277777777779</v>
      </c>
    </row>
    <row r="21" spans="3:9" x14ac:dyDescent="0.15">
      <c r="G21" t="s">
        <v>68</v>
      </c>
      <c r="H21" s="13">
        <f>I8+I9+I10</f>
        <v>7441.9444444444453</v>
      </c>
    </row>
    <row r="22" spans="3:9" x14ac:dyDescent="0.15">
      <c r="G22" t="s">
        <v>66</v>
      </c>
      <c r="H22" s="13">
        <f>H21+I11</f>
        <v>162494.36201388889</v>
      </c>
    </row>
    <row r="23" spans="3:9" x14ac:dyDescent="0.15">
      <c r="G23" t="s">
        <v>67</v>
      </c>
      <c r="H23" s="13">
        <f>H20+8000</f>
        <v>18415.277777777781</v>
      </c>
    </row>
    <row r="24" spans="3:9" x14ac:dyDescent="0.15">
      <c r="G24" t="s">
        <v>113</v>
      </c>
      <c r="H24" s="13">
        <f>H21+8000</f>
        <v>15441.944444444445</v>
      </c>
    </row>
    <row r="25" spans="3:9" x14ac:dyDescent="0.15">
      <c r="H25" s="13"/>
    </row>
    <row r="26" spans="3:9" x14ac:dyDescent="0.15">
      <c r="G26" t="s">
        <v>69</v>
      </c>
      <c r="H26" s="13">
        <f>H20*2+H21*2</f>
        <v>35714.444444444453</v>
      </c>
    </row>
    <row r="27" spans="3:9" x14ac:dyDescent="0.15">
      <c r="C27" t="s">
        <v>101</v>
      </c>
      <c r="G27" t="s">
        <v>70</v>
      </c>
      <c r="H27" s="13">
        <f>H22*4</f>
        <v>649977.44805555558</v>
      </c>
    </row>
    <row r="28" spans="3:9" x14ac:dyDescent="0.15">
      <c r="G28" t="s">
        <v>71</v>
      </c>
      <c r="H28" s="13">
        <f>H23*2+H24*2</f>
        <v>67714.444444444453</v>
      </c>
    </row>
    <row r="29" spans="3:9" x14ac:dyDescent="0.15">
      <c r="G29" t="s">
        <v>55</v>
      </c>
      <c r="H29" s="13">
        <f>I6/4*3</f>
        <v>29035.207864583332</v>
      </c>
    </row>
    <row r="30" spans="3:9" x14ac:dyDescent="0.15">
      <c r="H30" s="13">
        <f>SUM(H26:H29)</f>
        <v>782441.54480902792</v>
      </c>
      <c r="I30">
        <f>I11*4</f>
        <v>620209.67027777783</v>
      </c>
    </row>
    <row r="33" spans="1:30" x14ac:dyDescent="0.15">
      <c r="G33">
        <v>112667</v>
      </c>
    </row>
    <row r="34" spans="1:30" x14ac:dyDescent="0.15">
      <c r="F34" t="s">
        <v>89</v>
      </c>
      <c r="G34">
        <v>6126</v>
      </c>
      <c r="H34" s="13">
        <f>0.011*1000000/1.8772</f>
        <v>5859.7911783507352</v>
      </c>
    </row>
    <row r="39" spans="1:30" ht="14.25" thickBot="1" x14ac:dyDescent="0.2"/>
    <row r="40" spans="1:30" ht="14.25" customHeight="1" thickBot="1" x14ac:dyDescent="0.2">
      <c r="A40" s="91" t="s">
        <v>5</v>
      </c>
      <c r="B40" s="94" t="s">
        <v>0</v>
      </c>
      <c r="C40" s="94" t="s">
        <v>72</v>
      </c>
      <c r="D40" s="96" t="s">
        <v>6</v>
      </c>
      <c r="E40" s="97"/>
      <c r="F40" s="97"/>
      <c r="G40" s="97"/>
      <c r="H40" s="97"/>
      <c r="I40" s="98"/>
      <c r="K40" s="7" t="s">
        <v>5</v>
      </c>
      <c r="L40" s="99" t="s">
        <v>12</v>
      </c>
      <c r="M40" s="100"/>
      <c r="N40" s="101"/>
      <c r="O40" s="99" t="s">
        <v>73</v>
      </c>
      <c r="P40" s="100"/>
      <c r="Q40" s="101"/>
      <c r="R40" s="85" t="s">
        <v>74</v>
      </c>
      <c r="S40" s="86"/>
      <c r="T40" s="87"/>
    </row>
    <row r="41" spans="1:30" ht="15" thickBot="1" x14ac:dyDescent="0.2">
      <c r="A41" s="93"/>
      <c r="B41" s="95"/>
      <c r="C41" s="95"/>
      <c r="D41" s="20" t="s">
        <v>7</v>
      </c>
      <c r="E41" s="20" t="s">
        <v>8</v>
      </c>
      <c r="F41" s="20" t="s">
        <v>1</v>
      </c>
      <c r="G41" s="20" t="s">
        <v>9</v>
      </c>
      <c r="H41" s="21" t="s">
        <v>10</v>
      </c>
      <c r="I41" s="1" t="s">
        <v>11</v>
      </c>
      <c r="K41" s="8" t="s">
        <v>78</v>
      </c>
      <c r="L41" s="85">
        <v>65</v>
      </c>
      <c r="M41" s="86"/>
      <c r="N41" s="87"/>
      <c r="O41" s="85">
        <v>65</v>
      </c>
      <c r="P41" s="86"/>
      <c r="Q41" s="87"/>
      <c r="R41" s="85">
        <v>45</v>
      </c>
      <c r="S41" s="86"/>
      <c r="T41" s="87"/>
    </row>
    <row r="42" spans="1:30" ht="15" thickBot="1" x14ac:dyDescent="0.2">
      <c r="A42" s="91" t="s">
        <v>12</v>
      </c>
      <c r="B42" s="2" t="s">
        <v>13</v>
      </c>
      <c r="C42" s="2">
        <v>3</v>
      </c>
      <c r="D42" s="1">
        <v>12</v>
      </c>
      <c r="E42" s="1">
        <v>12</v>
      </c>
      <c r="F42" s="1">
        <v>4</v>
      </c>
      <c r="G42" s="1">
        <v>12</v>
      </c>
      <c r="H42" s="1">
        <v>4</v>
      </c>
      <c r="I42" s="1">
        <v>4</v>
      </c>
      <c r="K42" s="8" t="s">
        <v>90</v>
      </c>
      <c r="L42" s="85">
        <f>1/3.97</f>
        <v>0.25188916876574308</v>
      </c>
      <c r="M42" s="86"/>
      <c r="N42" s="87"/>
      <c r="O42" s="85">
        <f>1/3.97</f>
        <v>0.25188916876574308</v>
      </c>
      <c r="P42" s="86"/>
      <c r="Q42" s="87"/>
      <c r="R42" s="85">
        <v>1</v>
      </c>
      <c r="S42" s="86"/>
      <c r="T42" s="87"/>
    </row>
    <row r="43" spans="1:30" ht="24" thickBot="1" x14ac:dyDescent="0.2">
      <c r="A43" s="92"/>
      <c r="B43" s="2" t="s">
        <v>14</v>
      </c>
      <c r="C43" s="2">
        <v>3</v>
      </c>
      <c r="D43" s="1">
        <v>12</v>
      </c>
      <c r="E43" s="1">
        <v>12</v>
      </c>
      <c r="F43" s="1">
        <v>4</v>
      </c>
      <c r="G43" s="1">
        <v>12</v>
      </c>
      <c r="H43" s="1">
        <v>4</v>
      </c>
      <c r="I43" s="1">
        <v>0</v>
      </c>
      <c r="K43" s="9"/>
      <c r="L43" s="10" t="s">
        <v>80</v>
      </c>
      <c r="M43" s="10" t="s">
        <v>81</v>
      </c>
      <c r="N43" s="10" t="s">
        <v>82</v>
      </c>
      <c r="O43" s="10" t="s">
        <v>83</v>
      </c>
      <c r="P43" s="10" t="s">
        <v>84</v>
      </c>
      <c r="Q43" s="10" t="s">
        <v>85</v>
      </c>
      <c r="R43" s="10" t="s">
        <v>83</v>
      </c>
      <c r="S43" s="10" t="s">
        <v>84</v>
      </c>
      <c r="T43" s="10" t="s">
        <v>85</v>
      </c>
      <c r="Y43" t="s">
        <v>103</v>
      </c>
      <c r="Z43" t="s">
        <v>104</v>
      </c>
      <c r="AA43" t="s">
        <v>105</v>
      </c>
      <c r="AB43" t="s">
        <v>104</v>
      </c>
      <c r="AC43" t="s">
        <v>105</v>
      </c>
    </row>
    <row r="44" spans="1:30" ht="15" thickBot="1" x14ac:dyDescent="0.2">
      <c r="A44" s="92"/>
      <c r="B44" s="2" t="s">
        <v>22</v>
      </c>
      <c r="C44" s="2">
        <v>3</v>
      </c>
      <c r="D44" s="1">
        <v>12</v>
      </c>
      <c r="E44" s="1">
        <v>12</v>
      </c>
      <c r="F44" s="1">
        <v>4</v>
      </c>
      <c r="G44" s="1">
        <v>12</v>
      </c>
      <c r="H44" s="1">
        <v>4</v>
      </c>
      <c r="I44" s="1">
        <v>0</v>
      </c>
      <c r="K44" s="2" t="s">
        <v>13</v>
      </c>
      <c r="L44" s="14">
        <f>C42/3*H30</f>
        <v>782441.54480902792</v>
      </c>
      <c r="M44" s="14">
        <v>32.2418136</v>
      </c>
      <c r="N44" s="15">
        <f>M44/L44*1000000</f>
        <v>41.206673922036337</v>
      </c>
      <c r="O44" s="16">
        <f>C57/2*L6</f>
        <v>1608422.6725000001</v>
      </c>
      <c r="P44" s="14">
        <v>32.2418136</v>
      </c>
      <c r="Q44" s="17">
        <f>P44/O44*1000000</f>
        <v>20.045609994968533</v>
      </c>
      <c r="R44" s="16">
        <f>G33*2</f>
        <v>225334</v>
      </c>
      <c r="S44" s="16">
        <v>128</v>
      </c>
      <c r="T44" s="17">
        <f>S44/R44*1000000</f>
        <v>568.04565666965482</v>
      </c>
      <c r="V44" s="22">
        <f t="shared" ref="V44:V51" si="1">O44-L44</f>
        <v>825981.12769097218</v>
      </c>
      <c r="W44" s="23">
        <f>(H57-H42)*I11</f>
        <v>620209.67027777783</v>
      </c>
      <c r="X44" s="22">
        <f>V44-W44</f>
        <v>205771.45741319435</v>
      </c>
      <c r="Y44" s="24">
        <f>V44/O44</f>
        <v>0.51353486979087093</v>
      </c>
      <c r="Z44" s="24">
        <f>W44/O44</f>
        <v>0.38560117367269814</v>
      </c>
      <c r="AA44" s="24">
        <f>X44/O44</f>
        <v>0.12793369611817279</v>
      </c>
      <c r="AB44" s="24">
        <f>Z44/Y44</f>
        <v>0.75087632088104983</v>
      </c>
      <c r="AC44" s="24">
        <f>AA44/Y44</f>
        <v>0.24912367911895017</v>
      </c>
      <c r="AD44" s="26">
        <f>AB44/AC44</f>
        <v>3.0140704550309954</v>
      </c>
    </row>
    <row r="45" spans="1:30" ht="15" thickBot="1" x14ac:dyDescent="0.2">
      <c r="A45" s="92"/>
      <c r="B45" s="2" t="s">
        <v>21</v>
      </c>
      <c r="C45" s="2">
        <v>6</v>
      </c>
      <c r="D45" s="1">
        <v>24</v>
      </c>
      <c r="E45" s="1">
        <v>24</v>
      </c>
      <c r="F45" s="1">
        <v>8</v>
      </c>
      <c r="G45" s="1">
        <v>24</v>
      </c>
      <c r="H45" s="1">
        <v>8</v>
      </c>
      <c r="I45" s="1">
        <v>8</v>
      </c>
      <c r="K45" s="2" t="s">
        <v>14</v>
      </c>
      <c r="L45" s="14">
        <f>C43/3*H30</f>
        <v>782441.54480902792</v>
      </c>
      <c r="M45" s="14">
        <v>16.1209068</v>
      </c>
      <c r="N45" s="15">
        <f t="shared" ref="N45:N51" si="2">M45/L45*1000000</f>
        <v>20.603336961018169</v>
      </c>
      <c r="O45" s="16">
        <f>C58*L6/2</f>
        <v>1608422.6725000001</v>
      </c>
      <c r="P45" s="14">
        <v>16.1209068</v>
      </c>
      <c r="Q45" s="17">
        <f t="shared" ref="Q45:Q51" si="3">P45/O45*1000000</f>
        <v>10.022804997484267</v>
      </c>
      <c r="R45" s="16">
        <f>3*G33</f>
        <v>338001</v>
      </c>
      <c r="S45" s="16">
        <v>64</v>
      </c>
      <c r="T45" s="17">
        <f t="shared" ref="T45:T51" si="4">S45/R45*1000000</f>
        <v>189.34855222321826</v>
      </c>
      <c r="V45" s="22">
        <f t="shared" si="1"/>
        <v>825981.12769097218</v>
      </c>
      <c r="W45" s="23">
        <f>(H58-H43)*I11</f>
        <v>620209.67027777783</v>
      </c>
      <c r="X45" s="22">
        <f t="shared" ref="X45:X51" si="5">V45-W45</f>
        <v>205771.45741319435</v>
      </c>
      <c r="Y45" s="24">
        <f t="shared" ref="Y45:Y51" si="6">V45/O45</f>
        <v>0.51353486979087093</v>
      </c>
      <c r="Z45" s="24">
        <f t="shared" ref="Z45:Z51" si="7">W45/O45</f>
        <v>0.38560117367269814</v>
      </c>
      <c r="AA45" s="24">
        <f t="shared" ref="AA45:AA51" si="8">X45/O45</f>
        <v>0.12793369611817279</v>
      </c>
      <c r="AB45" s="24">
        <f t="shared" ref="AB45:AB51" si="9">Z45/Y45</f>
        <v>0.75087632088104983</v>
      </c>
      <c r="AC45" s="24">
        <f t="shared" ref="AC45:AC51" si="10">AA45/Y45</f>
        <v>0.24912367911895017</v>
      </c>
      <c r="AD45" s="26">
        <f t="shared" ref="AD45:AD52" si="11">AB45/AC45</f>
        <v>3.0140704550309954</v>
      </c>
    </row>
    <row r="46" spans="1:30" ht="15" thickBot="1" x14ac:dyDescent="0.2">
      <c r="A46" s="92"/>
      <c r="B46" s="2" t="s">
        <v>19</v>
      </c>
      <c r="C46" s="2">
        <v>4</v>
      </c>
      <c r="D46" s="1">
        <v>16</v>
      </c>
      <c r="E46" s="1">
        <v>16</v>
      </c>
      <c r="F46" s="1">
        <v>5.33</v>
      </c>
      <c r="G46" s="1">
        <v>16</v>
      </c>
      <c r="H46" s="1">
        <v>5.33</v>
      </c>
      <c r="I46" s="1">
        <v>0</v>
      </c>
      <c r="K46" s="2" t="s">
        <v>22</v>
      </c>
      <c r="L46" s="14">
        <f>C44/3*H30</f>
        <v>782441.54480902792</v>
      </c>
      <c r="M46" s="14">
        <v>32.2418136</v>
      </c>
      <c r="N46" s="15">
        <f t="shared" si="2"/>
        <v>41.206673922036337</v>
      </c>
      <c r="O46" s="16">
        <f>C59/2*L6</f>
        <v>1608422.6725000001</v>
      </c>
      <c r="P46" s="14">
        <v>32.2418136</v>
      </c>
      <c r="Q46" s="17">
        <f t="shared" si="3"/>
        <v>20.045609994968533</v>
      </c>
      <c r="R46" s="16">
        <f>4*G33</f>
        <v>450668</v>
      </c>
      <c r="S46" s="16">
        <v>128</v>
      </c>
      <c r="T46" s="17">
        <f t="shared" si="4"/>
        <v>284.02282833482741</v>
      </c>
      <c r="V46" s="22">
        <f t="shared" si="1"/>
        <v>825981.12769097218</v>
      </c>
      <c r="W46" s="23">
        <f>(H59-H44)*I11</f>
        <v>620209.67027777783</v>
      </c>
      <c r="X46" s="22">
        <f t="shared" si="5"/>
        <v>205771.45741319435</v>
      </c>
      <c r="Y46" s="24">
        <f t="shared" si="6"/>
        <v>0.51353486979087093</v>
      </c>
      <c r="Z46" s="24">
        <f t="shared" si="7"/>
        <v>0.38560117367269814</v>
      </c>
      <c r="AA46" s="24">
        <f t="shared" si="8"/>
        <v>0.12793369611817279</v>
      </c>
      <c r="AB46" s="24">
        <f t="shared" si="9"/>
        <v>0.75087632088104983</v>
      </c>
      <c r="AC46" s="24">
        <f t="shared" si="10"/>
        <v>0.24912367911895017</v>
      </c>
      <c r="AD46" s="26">
        <f t="shared" si="11"/>
        <v>3.0140704550309954</v>
      </c>
    </row>
    <row r="47" spans="1:30" ht="15" thickBot="1" x14ac:dyDescent="0.2">
      <c r="A47" s="92"/>
      <c r="B47" s="2" t="s">
        <v>17</v>
      </c>
      <c r="C47" s="2">
        <v>6</v>
      </c>
      <c r="D47" s="1">
        <v>24</v>
      </c>
      <c r="E47" s="1">
        <v>24</v>
      </c>
      <c r="F47" s="1">
        <v>8</v>
      </c>
      <c r="G47" s="1">
        <v>24</v>
      </c>
      <c r="H47" s="1">
        <v>8</v>
      </c>
      <c r="I47" s="1">
        <v>0</v>
      </c>
      <c r="K47" s="2" t="s">
        <v>21</v>
      </c>
      <c r="L47" s="14">
        <f>C45/3*H30</f>
        <v>1564883.0896180558</v>
      </c>
      <c r="M47" s="14">
        <v>32.2418136</v>
      </c>
      <c r="N47" s="15">
        <f t="shared" si="2"/>
        <v>20.603336961018169</v>
      </c>
      <c r="O47" s="16">
        <f>C60/2*L6</f>
        <v>2412634.00875</v>
      </c>
      <c r="P47" s="14">
        <v>32.2418136</v>
      </c>
      <c r="Q47" s="17">
        <f t="shared" si="3"/>
        <v>13.363739996645688</v>
      </c>
      <c r="R47" s="16">
        <f>5*G33</f>
        <v>563335</v>
      </c>
      <c r="S47" s="16">
        <v>128</v>
      </c>
      <c r="T47" s="17">
        <f t="shared" si="4"/>
        <v>227.21826266786195</v>
      </c>
      <c r="V47" s="22">
        <f t="shared" si="1"/>
        <v>847750.91913194419</v>
      </c>
      <c r="W47" s="23">
        <f>(H60-H45)*I11</f>
        <v>620209.67027777783</v>
      </c>
      <c r="X47" s="22">
        <f t="shared" si="5"/>
        <v>227541.24885416636</v>
      </c>
      <c r="Y47" s="24">
        <f t="shared" si="6"/>
        <v>0.35137982638782789</v>
      </c>
      <c r="Z47" s="24">
        <f t="shared" si="7"/>
        <v>0.25706744911513213</v>
      </c>
      <c r="AA47" s="24">
        <f t="shared" si="8"/>
        <v>9.4312377272695758E-2</v>
      </c>
      <c r="AB47" s="24">
        <f t="shared" si="9"/>
        <v>0.73159421745345021</v>
      </c>
      <c r="AC47" s="24">
        <f t="shared" si="10"/>
        <v>0.26840578254654979</v>
      </c>
      <c r="AD47" s="26">
        <f t="shared" si="11"/>
        <v>2.7257021458789525</v>
      </c>
    </row>
    <row r="48" spans="1:30" ht="15" thickBot="1" x14ac:dyDescent="0.2">
      <c r="A48" s="92"/>
      <c r="B48" s="2" t="s">
        <v>24</v>
      </c>
      <c r="C48" s="2">
        <v>9</v>
      </c>
      <c r="D48" s="1">
        <v>36</v>
      </c>
      <c r="E48" s="1">
        <v>36</v>
      </c>
      <c r="F48" s="1">
        <v>12</v>
      </c>
      <c r="G48" s="1">
        <v>36</v>
      </c>
      <c r="H48" s="1">
        <v>12</v>
      </c>
      <c r="I48" s="1">
        <v>0</v>
      </c>
      <c r="K48" s="2" t="s">
        <v>19</v>
      </c>
      <c r="L48" s="14">
        <f>C46/3*H30</f>
        <v>1043255.3930787039</v>
      </c>
      <c r="M48" s="14">
        <v>16.1209068</v>
      </c>
      <c r="N48" s="15">
        <f t="shared" si="2"/>
        <v>15.452502720763629</v>
      </c>
      <c r="O48" s="16">
        <f>C61/2*L6</f>
        <v>1608422.6725000001</v>
      </c>
      <c r="P48" s="14">
        <v>16.1209068</v>
      </c>
      <c r="Q48" s="17">
        <f t="shared" si="3"/>
        <v>10.022804997484267</v>
      </c>
      <c r="R48" s="16">
        <f>4*G33</f>
        <v>450668</v>
      </c>
      <c r="S48" s="16">
        <v>64</v>
      </c>
      <c r="T48" s="17">
        <f t="shared" si="4"/>
        <v>142.0114141674137</v>
      </c>
      <c r="V48" s="22">
        <f t="shared" si="1"/>
        <v>565167.2794212962</v>
      </c>
      <c r="W48" s="23">
        <f>(H61-H46)*I11</f>
        <v>413989.95491041668</v>
      </c>
      <c r="X48" s="22">
        <f t="shared" si="5"/>
        <v>151177.32451087952</v>
      </c>
      <c r="Y48" s="24">
        <f t="shared" si="6"/>
        <v>0.35137982638782789</v>
      </c>
      <c r="Z48" s="24">
        <f t="shared" si="7"/>
        <v>0.25738878342652599</v>
      </c>
      <c r="AA48" s="24">
        <f t="shared" si="8"/>
        <v>9.3991042961301896E-2</v>
      </c>
      <c r="AB48" s="24">
        <f t="shared" si="9"/>
        <v>0.73250871022526687</v>
      </c>
      <c r="AC48" s="24">
        <f t="shared" si="10"/>
        <v>0.26749128977473313</v>
      </c>
      <c r="AD48" s="26">
        <f t="shared" si="11"/>
        <v>2.738439486542334</v>
      </c>
    </row>
    <row r="49" spans="1:30" ht="15" thickBot="1" x14ac:dyDescent="0.2">
      <c r="A49" s="92"/>
      <c r="B49" s="2" t="s">
        <v>16</v>
      </c>
      <c r="C49" s="2">
        <v>3</v>
      </c>
      <c r="D49" s="1">
        <v>12</v>
      </c>
      <c r="E49" s="1">
        <v>12</v>
      </c>
      <c r="F49" s="1">
        <v>4</v>
      </c>
      <c r="G49" s="1">
        <v>12</v>
      </c>
      <c r="H49" s="1">
        <v>4</v>
      </c>
      <c r="I49" s="1">
        <v>0</v>
      </c>
      <c r="K49" s="2" t="s">
        <v>17</v>
      </c>
      <c r="L49" s="14">
        <f>C47/3*H30</f>
        <v>1564883.0896180558</v>
      </c>
      <c r="M49" s="14">
        <v>16.1209068</v>
      </c>
      <c r="N49" s="15">
        <f t="shared" si="2"/>
        <v>10.301668480509084</v>
      </c>
      <c r="O49" s="16">
        <f>C62/2*L6</f>
        <v>2010528.3406250002</v>
      </c>
      <c r="P49" s="14">
        <v>16.1209068</v>
      </c>
      <c r="Q49" s="17">
        <f t="shared" si="3"/>
        <v>8.0182439979874136</v>
      </c>
      <c r="R49" s="16">
        <f>5*G33</f>
        <v>563335</v>
      </c>
      <c r="S49" s="16">
        <v>64</v>
      </c>
      <c r="T49" s="17">
        <f t="shared" si="4"/>
        <v>113.60913133393097</v>
      </c>
      <c r="V49" s="22">
        <f t="shared" si="1"/>
        <v>445645.25100694434</v>
      </c>
      <c r="W49" s="23">
        <f>(H62-H47)*I11</f>
        <v>310104.83513888891</v>
      </c>
      <c r="X49" s="22">
        <f t="shared" si="5"/>
        <v>135540.41586805542</v>
      </c>
      <c r="Y49" s="24">
        <f t="shared" si="6"/>
        <v>0.22165579166539351</v>
      </c>
      <c r="Z49" s="24">
        <f t="shared" si="7"/>
        <v>0.15424046946907924</v>
      </c>
      <c r="AA49" s="24">
        <f t="shared" si="8"/>
        <v>6.7415322196314242E-2</v>
      </c>
      <c r="AB49" s="24">
        <f t="shared" si="9"/>
        <v>0.69585580557225912</v>
      </c>
      <c r="AC49" s="24">
        <f t="shared" si="10"/>
        <v>0.30414419442774077</v>
      </c>
      <c r="AD49" s="26">
        <f t="shared" si="11"/>
        <v>2.2879141483582783</v>
      </c>
    </row>
    <row r="50" spans="1:30" ht="15" thickBot="1" x14ac:dyDescent="0.2">
      <c r="A50" s="92"/>
      <c r="B50" s="2" t="s">
        <v>20</v>
      </c>
      <c r="C50" s="5"/>
      <c r="D50" s="4"/>
      <c r="E50" s="4"/>
      <c r="F50" s="4"/>
      <c r="G50" s="4"/>
      <c r="H50" s="4"/>
      <c r="I50" s="4"/>
      <c r="K50" s="2" t="s">
        <v>24</v>
      </c>
      <c r="L50" s="14">
        <f>C48/3*H30</f>
        <v>2347324.6344270837</v>
      </c>
      <c r="M50" s="14">
        <v>32.2418136</v>
      </c>
      <c r="N50" s="15">
        <f t="shared" si="2"/>
        <v>13.735557974012114</v>
      </c>
      <c r="O50" s="16">
        <f>C63*L6/2</f>
        <v>3216845.3450000002</v>
      </c>
      <c r="P50" s="14">
        <v>32.2418136</v>
      </c>
      <c r="Q50" s="17">
        <f t="shared" si="3"/>
        <v>10.022804997484267</v>
      </c>
      <c r="R50" s="16">
        <f>7*G33</f>
        <v>788669</v>
      </c>
      <c r="S50" s="16">
        <v>128</v>
      </c>
      <c r="T50" s="17">
        <f t="shared" si="4"/>
        <v>162.29875904847279</v>
      </c>
      <c r="V50" s="22">
        <f t="shared" si="1"/>
        <v>869520.71057291655</v>
      </c>
      <c r="W50" s="23">
        <f>(H63-H48)*I11</f>
        <v>620209.67027777783</v>
      </c>
      <c r="X50" s="22">
        <f t="shared" si="5"/>
        <v>249311.04029513872</v>
      </c>
      <c r="Y50" s="24">
        <f t="shared" si="6"/>
        <v>0.27030230468630639</v>
      </c>
      <c r="Z50" s="24">
        <f t="shared" si="7"/>
        <v>0.19280058683634907</v>
      </c>
      <c r="AA50" s="24">
        <f t="shared" si="8"/>
        <v>7.7501717849957352E-2</v>
      </c>
      <c r="AB50" s="24">
        <f t="shared" si="9"/>
        <v>0.71327762839499165</v>
      </c>
      <c r="AC50" s="24">
        <f t="shared" si="10"/>
        <v>0.28672237160500841</v>
      </c>
      <c r="AD50" s="26">
        <f t="shared" si="11"/>
        <v>2.4876943658153401</v>
      </c>
    </row>
    <row r="51" spans="1:30" ht="15" thickBot="1" x14ac:dyDescent="0.2">
      <c r="A51" s="92"/>
      <c r="B51" s="2" t="s">
        <v>23</v>
      </c>
      <c r="C51" s="5"/>
      <c r="D51" s="4"/>
      <c r="E51" s="4"/>
      <c r="F51" s="4"/>
      <c r="G51" s="4"/>
      <c r="H51" s="4"/>
      <c r="I51" s="4"/>
      <c r="K51" s="2" t="s">
        <v>16</v>
      </c>
      <c r="L51" s="14">
        <f>3/C49*H30</f>
        <v>782441.54480902792</v>
      </c>
      <c r="M51" s="14">
        <v>16.1209068</v>
      </c>
      <c r="N51" s="15">
        <f t="shared" si="2"/>
        <v>20.603336961018169</v>
      </c>
      <c r="O51" s="16">
        <f>C64/2*L6</f>
        <v>1608422.6725000001</v>
      </c>
      <c r="P51" s="14">
        <v>16.1209068</v>
      </c>
      <c r="Q51" s="17">
        <f t="shared" si="3"/>
        <v>10.022804997484267</v>
      </c>
      <c r="R51" s="16">
        <f>3*G33</f>
        <v>338001</v>
      </c>
      <c r="S51" s="16">
        <v>64</v>
      </c>
      <c r="T51" s="17">
        <f t="shared" si="4"/>
        <v>189.34855222321826</v>
      </c>
      <c r="V51" s="22">
        <f t="shared" si="1"/>
        <v>825981.12769097218</v>
      </c>
      <c r="W51" s="23">
        <f>(H64-H49)*I11</f>
        <v>620209.67027777783</v>
      </c>
      <c r="X51" s="22">
        <f t="shared" si="5"/>
        <v>205771.45741319435</v>
      </c>
      <c r="Y51" s="24">
        <f t="shared" si="6"/>
        <v>0.51353486979087093</v>
      </c>
      <c r="Z51" s="24">
        <f t="shared" si="7"/>
        <v>0.38560117367269814</v>
      </c>
      <c r="AA51" s="24">
        <f t="shared" si="8"/>
        <v>0.12793369611817279</v>
      </c>
      <c r="AB51" s="24">
        <f t="shared" si="9"/>
        <v>0.75087632088104983</v>
      </c>
      <c r="AC51" s="24">
        <f t="shared" si="10"/>
        <v>0.24912367911895017</v>
      </c>
      <c r="AD51" s="26">
        <f t="shared" si="11"/>
        <v>3.0140704550309954</v>
      </c>
    </row>
    <row r="52" spans="1:30" ht="15" thickBot="1" x14ac:dyDescent="0.2">
      <c r="A52" s="92"/>
      <c r="B52" s="2" t="s">
        <v>15</v>
      </c>
      <c r="C52" s="5"/>
      <c r="D52" s="4"/>
      <c r="E52" s="4"/>
      <c r="F52" s="4"/>
      <c r="G52" s="4"/>
      <c r="H52" s="4"/>
      <c r="I52" s="4"/>
      <c r="K52" s="2" t="s">
        <v>20</v>
      </c>
      <c r="L52" s="4"/>
      <c r="M52" s="4"/>
      <c r="N52" s="4"/>
      <c r="O52" s="1"/>
      <c r="P52" s="1"/>
      <c r="Q52" s="1"/>
      <c r="R52" s="1"/>
      <c r="S52" s="1"/>
      <c r="T52" s="1"/>
      <c r="U52" t="s">
        <v>102</v>
      </c>
      <c r="Y52" s="25">
        <f>AVERAGE(Y44:Y51)</f>
        <v>0.4061071535363549</v>
      </c>
      <c r="Z52" s="25">
        <f>AVERAGE(Z44:Z51)</f>
        <v>0.30048774794223493</v>
      </c>
      <c r="AA52" s="25">
        <f>AVERAGE(AA44:AA51)</f>
        <v>0.10561940559412003</v>
      </c>
      <c r="AB52" s="24">
        <f>AVERAGE(AB44:AB51)</f>
        <v>0.73459270564627088</v>
      </c>
      <c r="AC52" s="24">
        <f>AVERAGE(AC44:AC51)</f>
        <v>0.26540729435372912</v>
      </c>
      <c r="AD52" s="26">
        <f t="shared" si="11"/>
        <v>2.7677939577170081</v>
      </c>
    </row>
    <row r="53" spans="1:30" ht="15" thickBot="1" x14ac:dyDescent="0.2">
      <c r="A53" s="92"/>
      <c r="B53" s="2" t="s">
        <v>2</v>
      </c>
      <c r="C53" s="5"/>
      <c r="D53" s="4"/>
      <c r="E53" s="4"/>
      <c r="F53" s="4"/>
      <c r="G53" s="4"/>
      <c r="H53" s="4"/>
      <c r="I53" s="4"/>
      <c r="K53" s="2" t="s">
        <v>23</v>
      </c>
      <c r="L53" s="4"/>
      <c r="M53" s="4"/>
      <c r="N53" s="4"/>
      <c r="O53" s="1"/>
      <c r="P53" s="1"/>
      <c r="Q53" s="1"/>
      <c r="R53" s="1"/>
      <c r="S53" s="1"/>
      <c r="T53" s="1"/>
    </row>
    <row r="54" spans="1:30" ht="15" thickBot="1" x14ac:dyDescent="0.2">
      <c r="A54" s="92"/>
      <c r="B54" s="2" t="s">
        <v>18</v>
      </c>
      <c r="C54" s="5"/>
      <c r="D54" s="4"/>
      <c r="E54" s="4"/>
      <c r="F54" s="4"/>
      <c r="G54" s="4"/>
      <c r="H54" s="4"/>
      <c r="I54" s="4"/>
      <c r="K54" s="2" t="s">
        <v>15</v>
      </c>
      <c r="L54" s="4"/>
      <c r="M54" s="4"/>
      <c r="N54" s="4"/>
      <c r="O54" s="1"/>
      <c r="P54" s="1"/>
      <c r="Q54" s="1"/>
      <c r="R54" s="1"/>
      <c r="S54" s="1"/>
      <c r="T54" s="1"/>
    </row>
    <row r="55" spans="1:30" ht="15" thickBot="1" x14ac:dyDescent="0.2">
      <c r="A55" s="92"/>
      <c r="B55" s="2" t="s">
        <v>25</v>
      </c>
      <c r="C55" s="5"/>
      <c r="D55" s="4"/>
      <c r="E55" s="4"/>
      <c r="F55" s="4"/>
      <c r="G55" s="4"/>
      <c r="H55" s="4"/>
      <c r="I55" s="4"/>
      <c r="K55" s="2" t="s">
        <v>2</v>
      </c>
      <c r="L55" s="4"/>
      <c r="M55" s="4"/>
      <c r="N55" s="4"/>
      <c r="O55" s="1"/>
      <c r="P55" s="1"/>
      <c r="Q55" s="1"/>
      <c r="R55" s="1"/>
      <c r="S55" s="1"/>
      <c r="T55" s="1"/>
    </row>
    <row r="56" spans="1:30" ht="15" thickBot="1" x14ac:dyDescent="0.2">
      <c r="A56" s="93"/>
      <c r="B56" s="5" t="s">
        <v>50</v>
      </c>
      <c r="C56" s="5"/>
      <c r="D56" s="4"/>
      <c r="E56" s="4"/>
      <c r="F56" s="4"/>
      <c r="G56" s="4"/>
      <c r="H56" s="4"/>
      <c r="I56" s="4"/>
      <c r="K56" s="2" t="s">
        <v>18</v>
      </c>
      <c r="L56" s="4"/>
      <c r="M56" s="4"/>
      <c r="N56" s="4"/>
      <c r="O56" s="1"/>
      <c r="P56" s="1"/>
      <c r="Q56" s="1"/>
      <c r="R56" s="1"/>
      <c r="S56" s="1"/>
      <c r="T56" s="1"/>
    </row>
    <row r="57" spans="1:30" ht="15" thickBot="1" x14ac:dyDescent="0.2">
      <c r="A57" s="91" t="s">
        <v>73</v>
      </c>
      <c r="B57" s="2" t="s">
        <v>13</v>
      </c>
      <c r="C57" s="2">
        <v>4</v>
      </c>
      <c r="D57" s="1">
        <v>16</v>
      </c>
      <c r="E57" s="1">
        <v>16</v>
      </c>
      <c r="F57" s="1">
        <v>8</v>
      </c>
      <c r="G57" s="1">
        <v>96</v>
      </c>
      <c r="H57" s="1">
        <v>8</v>
      </c>
      <c r="I57" s="1">
        <v>0</v>
      </c>
      <c r="K57" s="2" t="s">
        <v>25</v>
      </c>
      <c r="L57" s="4"/>
      <c r="M57" s="4"/>
      <c r="N57" s="4"/>
      <c r="O57" s="1"/>
      <c r="P57" s="1"/>
      <c r="Q57" s="1"/>
      <c r="R57" s="1"/>
      <c r="S57" s="1"/>
      <c r="T57" s="1"/>
    </row>
    <row r="58" spans="1:30" ht="15" thickBot="1" x14ac:dyDescent="0.2">
      <c r="A58" s="92"/>
      <c r="B58" s="2" t="s">
        <v>14</v>
      </c>
      <c r="C58" s="2">
        <v>4</v>
      </c>
      <c r="D58" s="1">
        <v>16</v>
      </c>
      <c r="E58" s="1">
        <v>16</v>
      </c>
      <c r="F58" s="1">
        <v>8</v>
      </c>
      <c r="G58" s="1">
        <v>96</v>
      </c>
      <c r="H58" s="1">
        <v>8</v>
      </c>
      <c r="I58" s="1">
        <v>0</v>
      </c>
      <c r="K58" s="11" t="s">
        <v>26</v>
      </c>
      <c r="L58" s="4"/>
      <c r="M58" s="4"/>
      <c r="N58" s="4"/>
      <c r="O58" s="1"/>
      <c r="P58" s="1"/>
      <c r="Q58" s="1"/>
      <c r="R58" s="1"/>
      <c r="S58" s="1"/>
      <c r="T58" s="1"/>
    </row>
    <row r="59" spans="1:30" ht="15" thickBot="1" x14ac:dyDescent="0.2">
      <c r="A59" s="92"/>
      <c r="B59" s="2" t="s">
        <v>22</v>
      </c>
      <c r="C59" s="2">
        <v>4</v>
      </c>
      <c r="D59" s="1">
        <v>16</v>
      </c>
      <c r="E59" s="1">
        <v>16</v>
      </c>
      <c r="F59" s="1">
        <v>8</v>
      </c>
      <c r="G59" s="1">
        <v>96</v>
      </c>
      <c r="H59" s="1">
        <v>8</v>
      </c>
      <c r="I59" s="1">
        <v>0</v>
      </c>
      <c r="K59" s="11" t="s">
        <v>27</v>
      </c>
      <c r="L59" s="4"/>
      <c r="M59" s="4"/>
      <c r="N59" s="4"/>
      <c r="O59" s="1"/>
      <c r="P59" s="1"/>
      <c r="Q59" s="1"/>
      <c r="R59" s="1"/>
      <c r="S59" s="1"/>
      <c r="T59" s="1"/>
    </row>
    <row r="60" spans="1:30" ht="15" thickBot="1" x14ac:dyDescent="0.2">
      <c r="A60" s="92"/>
      <c r="B60" s="2" t="s">
        <v>21</v>
      </c>
      <c r="C60" s="2">
        <v>6</v>
      </c>
      <c r="D60" s="1">
        <v>24</v>
      </c>
      <c r="E60" s="1">
        <v>24</v>
      </c>
      <c r="F60" s="1">
        <v>12</v>
      </c>
      <c r="G60" s="1">
        <v>144</v>
      </c>
      <c r="H60" s="1">
        <v>12</v>
      </c>
      <c r="I60" s="1">
        <v>0</v>
      </c>
      <c r="K60" s="11" t="s">
        <v>3</v>
      </c>
      <c r="L60" s="4"/>
      <c r="M60" s="4"/>
      <c r="N60" s="4"/>
      <c r="O60" s="1"/>
      <c r="P60" s="1"/>
      <c r="Q60" s="1"/>
      <c r="R60" s="1"/>
      <c r="S60" s="1"/>
      <c r="T60" s="1"/>
    </row>
    <row r="61" spans="1:30" ht="15" thickBot="1" x14ac:dyDescent="0.2">
      <c r="A61" s="92"/>
      <c r="B61" s="2" t="s">
        <v>19</v>
      </c>
      <c r="C61" s="2">
        <v>4</v>
      </c>
      <c r="D61" s="1">
        <v>16</v>
      </c>
      <c r="E61" s="1">
        <v>16</v>
      </c>
      <c r="F61" s="1">
        <v>8</v>
      </c>
      <c r="G61" s="1">
        <v>96</v>
      </c>
      <c r="H61" s="1">
        <v>8</v>
      </c>
      <c r="I61" s="1">
        <v>0</v>
      </c>
      <c r="K61" s="11" t="s">
        <v>28</v>
      </c>
      <c r="L61" s="4"/>
      <c r="M61" s="4"/>
      <c r="N61" s="4"/>
      <c r="O61" s="1"/>
      <c r="P61" s="1"/>
      <c r="Q61" s="1"/>
      <c r="R61" s="1"/>
      <c r="S61" s="1"/>
      <c r="T61" s="1"/>
    </row>
    <row r="62" spans="1:30" ht="15" thickBot="1" x14ac:dyDescent="0.2">
      <c r="A62" s="92"/>
      <c r="B62" s="2" t="s">
        <v>17</v>
      </c>
      <c r="C62" s="2">
        <v>5</v>
      </c>
      <c r="D62" s="1">
        <v>20</v>
      </c>
      <c r="E62" s="1">
        <v>20</v>
      </c>
      <c r="F62" s="1">
        <v>10</v>
      </c>
      <c r="G62" s="1">
        <v>120</v>
      </c>
      <c r="H62" s="1">
        <v>10</v>
      </c>
      <c r="I62" s="1">
        <v>0</v>
      </c>
      <c r="K62" s="11" t="s">
        <v>29</v>
      </c>
      <c r="L62" s="4"/>
      <c r="M62" s="4"/>
      <c r="N62" s="4"/>
      <c r="O62" s="1"/>
      <c r="P62" s="1"/>
      <c r="Q62" s="1"/>
      <c r="R62" s="1"/>
      <c r="S62" s="1"/>
      <c r="T62" s="1"/>
    </row>
    <row r="63" spans="1:30" ht="15" thickBot="1" x14ac:dyDescent="0.2">
      <c r="A63" s="92"/>
      <c r="B63" s="2" t="s">
        <v>24</v>
      </c>
      <c r="C63" s="2">
        <v>8</v>
      </c>
      <c r="D63" s="1">
        <v>32</v>
      </c>
      <c r="E63" s="1">
        <v>32</v>
      </c>
      <c r="F63" s="1">
        <v>16</v>
      </c>
      <c r="G63" s="1">
        <v>192</v>
      </c>
      <c r="H63" s="1">
        <v>16</v>
      </c>
      <c r="I63" s="1">
        <v>0</v>
      </c>
      <c r="K63" s="3" t="s">
        <v>50</v>
      </c>
      <c r="L63" s="4"/>
      <c r="M63" s="4"/>
      <c r="N63" s="4"/>
      <c r="O63" s="1"/>
      <c r="P63" s="1"/>
      <c r="Q63" s="1"/>
      <c r="R63" s="1"/>
      <c r="S63" s="1"/>
      <c r="T63" s="1"/>
    </row>
    <row r="64" spans="1:30" ht="15" thickBot="1" x14ac:dyDescent="0.2">
      <c r="A64" s="92"/>
      <c r="B64" s="2" t="s">
        <v>16</v>
      </c>
      <c r="C64" s="2">
        <v>4</v>
      </c>
      <c r="D64" s="1">
        <v>16</v>
      </c>
      <c r="E64" s="1">
        <v>16</v>
      </c>
      <c r="F64" s="1">
        <v>8</v>
      </c>
      <c r="G64" s="1">
        <v>96</v>
      </c>
      <c r="H64" s="1">
        <v>8</v>
      </c>
      <c r="I64" s="1">
        <v>0</v>
      </c>
      <c r="K64" s="12"/>
    </row>
    <row r="65" spans="1:20" ht="15" thickBot="1" x14ac:dyDescent="0.2">
      <c r="A65" s="92"/>
      <c r="B65" s="2" t="s">
        <v>20</v>
      </c>
      <c r="C65" s="5"/>
      <c r="D65" s="4"/>
      <c r="E65" s="4"/>
      <c r="F65" s="4"/>
      <c r="G65" s="4"/>
      <c r="H65" s="4"/>
      <c r="I65" s="4"/>
      <c r="K65" s="12"/>
    </row>
    <row r="66" spans="1:20" ht="15" customHeight="1" thickBot="1" x14ac:dyDescent="0.2">
      <c r="A66" s="92"/>
      <c r="B66" s="2" t="s">
        <v>23</v>
      </c>
      <c r="C66" s="5"/>
      <c r="D66" s="4"/>
      <c r="E66" s="4"/>
      <c r="F66" s="4"/>
      <c r="G66" s="4"/>
      <c r="H66" s="4"/>
      <c r="I66" s="4"/>
      <c r="K66" s="7" t="s">
        <v>5</v>
      </c>
      <c r="L66" s="85" t="s">
        <v>75</v>
      </c>
      <c r="M66" s="86"/>
      <c r="N66" s="87"/>
      <c r="O66" s="85" t="s">
        <v>86</v>
      </c>
      <c r="P66" s="86"/>
      <c r="Q66" s="87"/>
      <c r="R66" s="85" t="s">
        <v>87</v>
      </c>
      <c r="S66" s="86"/>
      <c r="T66" s="87"/>
    </row>
    <row r="67" spans="1:20" ht="15" thickBot="1" x14ac:dyDescent="0.2">
      <c r="A67" s="92"/>
      <c r="B67" s="2" t="s">
        <v>15</v>
      </c>
      <c r="C67" s="5"/>
      <c r="D67" s="4"/>
      <c r="E67" s="4"/>
      <c r="F67" s="4"/>
      <c r="G67" s="4"/>
      <c r="H67" s="4"/>
      <c r="I67" s="4"/>
      <c r="K67" s="8" t="s">
        <v>78</v>
      </c>
      <c r="L67" s="85"/>
      <c r="M67" s="86"/>
      <c r="N67" s="87"/>
      <c r="O67" s="85"/>
      <c r="P67" s="86"/>
      <c r="Q67" s="87"/>
      <c r="R67" s="85"/>
      <c r="S67" s="86"/>
      <c r="T67" s="87"/>
    </row>
    <row r="68" spans="1:20" ht="15" thickBot="1" x14ac:dyDescent="0.2">
      <c r="A68" s="92"/>
      <c r="B68" s="2" t="s">
        <v>2</v>
      </c>
      <c r="C68" s="5"/>
      <c r="D68" s="4"/>
      <c r="E68" s="4"/>
      <c r="F68" s="4"/>
      <c r="G68" s="4"/>
      <c r="H68" s="4"/>
      <c r="I68" s="4"/>
      <c r="K68" s="8" t="s">
        <v>79</v>
      </c>
      <c r="L68" s="85"/>
      <c r="M68" s="86"/>
      <c r="N68" s="87"/>
      <c r="O68" s="85"/>
      <c r="P68" s="86"/>
      <c r="Q68" s="87"/>
      <c r="R68" s="85"/>
      <c r="S68" s="86"/>
      <c r="T68" s="87"/>
    </row>
    <row r="69" spans="1:20" ht="24" thickBot="1" x14ac:dyDescent="0.2">
      <c r="A69" s="92"/>
      <c r="B69" s="2" t="s">
        <v>18</v>
      </c>
      <c r="C69" s="5"/>
      <c r="D69" s="4"/>
      <c r="E69" s="4"/>
      <c r="F69" s="4"/>
      <c r="G69" s="4"/>
      <c r="H69" s="4"/>
      <c r="I69" s="4"/>
      <c r="K69" s="9"/>
      <c r="L69" s="10" t="s">
        <v>88</v>
      </c>
      <c r="M69" s="10" t="s">
        <v>81</v>
      </c>
      <c r="N69" s="10" t="s">
        <v>82</v>
      </c>
      <c r="O69" s="10" t="s">
        <v>83</v>
      </c>
      <c r="P69" s="10" t="s">
        <v>84</v>
      </c>
      <c r="Q69" s="10" t="s">
        <v>85</v>
      </c>
      <c r="R69" s="10" t="s">
        <v>83</v>
      </c>
      <c r="S69" s="10" t="s">
        <v>84</v>
      </c>
      <c r="T69" s="10" t="s">
        <v>85</v>
      </c>
    </row>
    <row r="70" spans="1:20" ht="15" thickBot="1" x14ac:dyDescent="0.2">
      <c r="A70" s="92"/>
      <c r="B70" s="2" t="s">
        <v>25</v>
      </c>
      <c r="C70" s="5"/>
      <c r="D70" s="4"/>
      <c r="E70" s="4"/>
      <c r="F70" s="4"/>
      <c r="G70" s="4"/>
      <c r="H70" s="4"/>
      <c r="I70" s="4"/>
      <c r="K70" s="11" t="s">
        <v>13</v>
      </c>
      <c r="L70" s="4"/>
      <c r="M70" s="4"/>
      <c r="N70" s="4"/>
      <c r="O70" s="1"/>
      <c r="P70" s="1"/>
      <c r="Q70" s="1"/>
      <c r="R70" s="1"/>
      <c r="S70" s="1"/>
      <c r="T70" s="1"/>
    </row>
    <row r="71" spans="1:20" ht="15" thickBot="1" x14ac:dyDescent="0.2">
      <c r="A71" s="93"/>
      <c r="B71" s="5" t="s">
        <v>50</v>
      </c>
      <c r="C71" s="5"/>
      <c r="D71" s="4"/>
      <c r="E71" s="4"/>
      <c r="F71" s="4"/>
      <c r="G71" s="4"/>
      <c r="H71" s="4"/>
      <c r="I71" s="4"/>
      <c r="K71" s="11" t="s">
        <v>14</v>
      </c>
      <c r="L71" s="4"/>
      <c r="M71" s="4"/>
      <c r="N71" s="4"/>
      <c r="O71" s="1"/>
      <c r="P71" s="1"/>
      <c r="Q71" s="1"/>
      <c r="R71" s="1"/>
      <c r="S71" s="1"/>
      <c r="T71" s="1"/>
    </row>
    <row r="72" spans="1:20" ht="15" thickBot="1" x14ac:dyDescent="0.2">
      <c r="A72" s="88" t="s">
        <v>147</v>
      </c>
      <c r="B72" s="2" t="s">
        <v>13</v>
      </c>
      <c r="C72" s="2">
        <v>2</v>
      </c>
      <c r="D72" s="1">
        <v>8</v>
      </c>
      <c r="E72" s="1">
        <v>8</v>
      </c>
      <c r="F72" s="1">
        <v>8</v>
      </c>
      <c r="G72" s="1">
        <v>48</v>
      </c>
      <c r="H72" s="1">
        <v>8</v>
      </c>
      <c r="I72" s="1">
        <v>0</v>
      </c>
      <c r="K72" s="11" t="s">
        <v>22</v>
      </c>
      <c r="L72" s="4"/>
      <c r="M72" s="4"/>
      <c r="N72" s="4"/>
      <c r="O72" s="1"/>
      <c r="P72" s="1"/>
      <c r="Q72" s="1"/>
      <c r="R72" s="1"/>
      <c r="S72" s="1"/>
      <c r="T72" s="1"/>
    </row>
    <row r="73" spans="1:20" ht="15" thickBot="1" x14ac:dyDescent="0.2">
      <c r="A73" s="89"/>
      <c r="B73" s="2" t="s">
        <v>14</v>
      </c>
      <c r="C73" s="2">
        <v>3</v>
      </c>
      <c r="D73" s="1">
        <v>12</v>
      </c>
      <c r="E73" s="1">
        <v>12</v>
      </c>
      <c r="F73" s="1">
        <v>12</v>
      </c>
      <c r="G73" s="1">
        <v>72</v>
      </c>
      <c r="H73" s="1">
        <v>12</v>
      </c>
      <c r="I73" s="1">
        <v>0</v>
      </c>
      <c r="K73" s="11" t="s">
        <v>21</v>
      </c>
      <c r="L73" s="4"/>
      <c r="M73" s="4"/>
      <c r="N73" s="4"/>
      <c r="O73" s="1"/>
      <c r="P73" s="1"/>
      <c r="Q73" s="1"/>
      <c r="R73" s="1"/>
      <c r="S73" s="1"/>
      <c r="T73" s="1"/>
    </row>
    <row r="74" spans="1:20" ht="15" thickBot="1" x14ac:dyDescent="0.2">
      <c r="A74" s="89"/>
      <c r="B74" s="2" t="s">
        <v>22</v>
      </c>
      <c r="C74" s="2">
        <v>4</v>
      </c>
      <c r="D74" s="1">
        <v>16</v>
      </c>
      <c r="E74" s="1">
        <v>16</v>
      </c>
      <c r="F74" s="1">
        <v>16</v>
      </c>
      <c r="G74" s="1">
        <v>96</v>
      </c>
      <c r="H74" s="1">
        <v>16</v>
      </c>
      <c r="I74" s="1">
        <v>0</v>
      </c>
      <c r="K74" s="11" t="s">
        <v>19</v>
      </c>
      <c r="L74" s="4"/>
      <c r="M74" s="4"/>
      <c r="N74" s="4"/>
      <c r="O74" s="1"/>
      <c r="P74" s="1"/>
      <c r="Q74" s="1"/>
      <c r="R74" s="1"/>
      <c r="S74" s="1"/>
      <c r="T74" s="1"/>
    </row>
    <row r="75" spans="1:20" ht="15" thickBot="1" x14ac:dyDescent="0.2">
      <c r="A75" s="89"/>
      <c r="B75" s="2" t="s">
        <v>21</v>
      </c>
      <c r="C75" s="2">
        <v>5</v>
      </c>
      <c r="D75" s="1">
        <v>20</v>
      </c>
      <c r="E75" s="1">
        <v>20</v>
      </c>
      <c r="F75" s="1">
        <v>20</v>
      </c>
      <c r="G75" s="1">
        <v>120</v>
      </c>
      <c r="H75" s="1">
        <v>20</v>
      </c>
      <c r="I75" s="1">
        <v>0</v>
      </c>
      <c r="K75" s="11" t="s">
        <v>17</v>
      </c>
      <c r="L75" s="4"/>
      <c r="M75" s="4"/>
      <c r="N75" s="4"/>
      <c r="O75" s="1"/>
      <c r="P75" s="1"/>
      <c r="Q75" s="1"/>
      <c r="R75" s="1"/>
      <c r="S75" s="1"/>
      <c r="T75" s="1"/>
    </row>
    <row r="76" spans="1:20" ht="15" thickBot="1" x14ac:dyDescent="0.2">
      <c r="A76" s="89"/>
      <c r="B76" s="2" t="s">
        <v>19</v>
      </c>
      <c r="C76" s="2">
        <v>4</v>
      </c>
      <c r="D76" s="1">
        <v>16</v>
      </c>
      <c r="E76" s="1">
        <v>16</v>
      </c>
      <c r="F76" s="1">
        <v>16</v>
      </c>
      <c r="G76" s="1">
        <v>96</v>
      </c>
      <c r="H76" s="1">
        <v>16</v>
      </c>
      <c r="I76" s="1">
        <v>0</v>
      </c>
      <c r="K76" s="11" t="s">
        <v>24</v>
      </c>
      <c r="L76" s="4"/>
      <c r="M76" s="4"/>
      <c r="N76" s="4"/>
      <c r="O76" s="1"/>
      <c r="P76" s="1"/>
      <c r="Q76" s="1"/>
      <c r="R76" s="1"/>
      <c r="S76" s="1"/>
      <c r="T76" s="1"/>
    </row>
    <row r="77" spans="1:20" ht="15" thickBot="1" x14ac:dyDescent="0.2">
      <c r="A77" s="89"/>
      <c r="B77" s="2" t="s">
        <v>17</v>
      </c>
      <c r="C77" s="2">
        <v>5</v>
      </c>
      <c r="D77" s="1">
        <v>20</v>
      </c>
      <c r="E77" s="1">
        <v>20</v>
      </c>
      <c r="F77" s="1">
        <v>20</v>
      </c>
      <c r="G77" s="1">
        <v>120</v>
      </c>
      <c r="H77" s="1">
        <v>20</v>
      </c>
      <c r="I77" s="1">
        <v>0</v>
      </c>
      <c r="K77" s="11" t="s">
        <v>23</v>
      </c>
      <c r="L77" s="4"/>
      <c r="M77" s="4"/>
      <c r="N77" s="4"/>
      <c r="O77" s="1"/>
      <c r="P77" s="1"/>
      <c r="Q77" s="1"/>
      <c r="R77" s="1"/>
      <c r="S77" s="1"/>
      <c r="T77" s="1"/>
    </row>
    <row r="78" spans="1:20" ht="15" thickBot="1" x14ac:dyDescent="0.2">
      <c r="A78" s="89"/>
      <c r="B78" s="2" t="s">
        <v>24</v>
      </c>
      <c r="C78" s="2">
        <v>7</v>
      </c>
      <c r="D78" s="1">
        <v>28</v>
      </c>
      <c r="E78" s="1">
        <v>28</v>
      </c>
      <c r="F78" s="1">
        <v>28</v>
      </c>
      <c r="G78" s="1">
        <v>168</v>
      </c>
      <c r="H78" s="1">
        <v>28</v>
      </c>
      <c r="I78" s="1">
        <v>0</v>
      </c>
      <c r="K78" s="11" t="s">
        <v>20</v>
      </c>
      <c r="L78" s="4"/>
      <c r="M78" s="4"/>
      <c r="N78" s="4"/>
      <c r="O78" s="1"/>
      <c r="P78" s="1"/>
      <c r="Q78" s="1"/>
      <c r="R78" s="1"/>
      <c r="S78" s="1"/>
      <c r="T78" s="1"/>
    </row>
    <row r="79" spans="1:20" ht="15" thickBot="1" x14ac:dyDescent="0.2">
      <c r="A79" s="89"/>
      <c r="B79" s="2" t="s">
        <v>16</v>
      </c>
      <c r="C79" s="2">
        <v>3</v>
      </c>
      <c r="D79" s="1">
        <v>12</v>
      </c>
      <c r="E79" s="1">
        <v>12</v>
      </c>
      <c r="F79" s="1">
        <v>12</v>
      </c>
      <c r="G79" s="1">
        <v>72</v>
      </c>
      <c r="H79" s="1">
        <v>12</v>
      </c>
      <c r="I79" s="1">
        <v>0</v>
      </c>
      <c r="K79" s="11" t="s">
        <v>16</v>
      </c>
      <c r="L79" s="4"/>
      <c r="M79" s="4"/>
      <c r="N79" s="4"/>
      <c r="O79" s="1"/>
      <c r="P79" s="1"/>
      <c r="Q79" s="1"/>
      <c r="R79" s="1"/>
      <c r="S79" s="1"/>
      <c r="T79" s="1"/>
    </row>
    <row r="80" spans="1:20" ht="15" thickBot="1" x14ac:dyDescent="0.2">
      <c r="A80" s="89"/>
      <c r="B80" s="2" t="s">
        <v>20</v>
      </c>
      <c r="C80" s="5"/>
      <c r="D80" s="4"/>
      <c r="E80" s="4"/>
      <c r="F80" s="4"/>
      <c r="G80" s="4"/>
      <c r="H80" s="4"/>
      <c r="I80" s="4"/>
      <c r="K80" s="11" t="s">
        <v>15</v>
      </c>
      <c r="L80" s="4"/>
      <c r="M80" s="4"/>
      <c r="N80" s="4"/>
      <c r="O80" s="1"/>
      <c r="P80" s="1"/>
      <c r="Q80" s="1"/>
      <c r="R80" s="1"/>
      <c r="S80" s="1"/>
      <c r="T80" s="1"/>
    </row>
    <row r="81" spans="1:20" ht="15" thickBot="1" x14ac:dyDescent="0.2">
      <c r="A81" s="89"/>
      <c r="B81" s="2" t="s">
        <v>23</v>
      </c>
      <c r="C81" s="5"/>
      <c r="D81" s="4"/>
      <c r="E81" s="4"/>
      <c r="F81" s="4"/>
      <c r="G81" s="4"/>
      <c r="H81" s="4"/>
      <c r="I81" s="4"/>
      <c r="K81" s="11" t="s">
        <v>2</v>
      </c>
      <c r="L81" s="4"/>
      <c r="M81" s="4"/>
      <c r="N81" s="4"/>
      <c r="O81" s="1"/>
      <c r="P81" s="1"/>
      <c r="Q81" s="1"/>
      <c r="R81" s="1"/>
      <c r="S81" s="1"/>
      <c r="T81" s="1"/>
    </row>
    <row r="82" spans="1:20" ht="15" thickBot="1" x14ac:dyDescent="0.2">
      <c r="A82" s="89"/>
      <c r="B82" s="2" t="s">
        <v>15</v>
      </c>
      <c r="C82" s="5"/>
      <c r="D82" s="4"/>
      <c r="E82" s="4"/>
      <c r="F82" s="4"/>
      <c r="G82" s="4"/>
      <c r="H82" s="4"/>
      <c r="I82" s="4"/>
      <c r="K82" s="11" t="s">
        <v>18</v>
      </c>
      <c r="L82" s="4"/>
      <c r="M82" s="4"/>
      <c r="N82" s="4"/>
      <c r="O82" s="1"/>
      <c r="P82" s="1"/>
      <c r="Q82" s="1"/>
      <c r="R82" s="1"/>
      <c r="S82" s="1"/>
      <c r="T82" s="1"/>
    </row>
    <row r="83" spans="1:20" ht="15" thickBot="1" x14ac:dyDescent="0.2">
      <c r="A83" s="89"/>
      <c r="B83" s="2" t="s">
        <v>2</v>
      </c>
      <c r="C83" s="5"/>
      <c r="D83" s="4"/>
      <c r="E83" s="4"/>
      <c r="F83" s="4"/>
      <c r="G83" s="4"/>
      <c r="H83" s="4"/>
      <c r="I83" s="4"/>
      <c r="K83" s="11" t="s">
        <v>25</v>
      </c>
      <c r="L83" s="4"/>
      <c r="M83" s="4"/>
      <c r="N83" s="4"/>
      <c r="O83" s="1"/>
      <c r="P83" s="1"/>
      <c r="Q83" s="1"/>
      <c r="R83" s="1"/>
      <c r="S83" s="1"/>
      <c r="T83" s="1"/>
    </row>
    <row r="84" spans="1:20" ht="15" thickBot="1" x14ac:dyDescent="0.2">
      <c r="A84" s="89"/>
      <c r="B84" s="2" t="s">
        <v>18</v>
      </c>
      <c r="C84" s="5"/>
      <c r="D84" s="4"/>
      <c r="E84" s="4"/>
      <c r="F84" s="4"/>
      <c r="G84" s="4"/>
      <c r="H84" s="4"/>
      <c r="I84" s="4"/>
      <c r="K84" s="11" t="s">
        <v>26</v>
      </c>
      <c r="L84" s="4"/>
      <c r="M84" s="4"/>
      <c r="N84" s="4"/>
      <c r="O84" s="1"/>
      <c r="P84" s="1"/>
      <c r="Q84" s="1"/>
      <c r="R84" s="1"/>
      <c r="S84" s="1"/>
      <c r="T84" s="1"/>
    </row>
    <row r="85" spans="1:20" ht="15" thickBot="1" x14ac:dyDescent="0.2">
      <c r="A85" s="89"/>
      <c r="B85" s="2" t="s">
        <v>25</v>
      </c>
      <c r="C85" s="5"/>
      <c r="D85" s="4"/>
      <c r="E85" s="4"/>
      <c r="F85" s="4"/>
      <c r="G85" s="4"/>
      <c r="H85" s="4"/>
      <c r="I85" s="4"/>
      <c r="K85" s="11" t="s">
        <v>27</v>
      </c>
      <c r="L85" s="4"/>
      <c r="M85" s="4"/>
      <c r="N85" s="4"/>
      <c r="O85" s="1"/>
      <c r="P85" s="1"/>
      <c r="Q85" s="1"/>
      <c r="R85" s="1"/>
      <c r="S85" s="1"/>
      <c r="T85" s="1"/>
    </row>
    <row r="86" spans="1:20" ht="15" thickBot="1" x14ac:dyDescent="0.2">
      <c r="A86" s="90"/>
      <c r="B86" s="5" t="s">
        <v>50</v>
      </c>
      <c r="C86" s="5"/>
      <c r="D86" s="4"/>
      <c r="E86" s="4"/>
      <c r="F86" s="4"/>
      <c r="G86" s="4"/>
      <c r="H86" s="4"/>
      <c r="I86" s="4"/>
      <c r="K86" s="11" t="s">
        <v>3</v>
      </c>
      <c r="L86" s="4"/>
      <c r="M86" s="4"/>
      <c r="N86" s="4"/>
      <c r="O86" s="1"/>
      <c r="P86" s="1"/>
      <c r="Q86" s="1"/>
      <c r="R86" s="1"/>
      <c r="S86" s="1"/>
      <c r="T86" s="1"/>
    </row>
    <row r="87" spans="1:20" ht="15" thickBot="1" x14ac:dyDescent="0.2">
      <c r="A87" s="88" t="s">
        <v>138</v>
      </c>
      <c r="B87" s="2" t="s">
        <v>13</v>
      </c>
      <c r="C87" s="2">
        <v>2</v>
      </c>
      <c r="D87" s="1">
        <v>8</v>
      </c>
      <c r="E87" s="1">
        <v>8</v>
      </c>
      <c r="F87" s="1">
        <v>8</v>
      </c>
      <c r="G87" s="1">
        <v>16</v>
      </c>
      <c r="H87" s="1">
        <v>8</v>
      </c>
      <c r="I87" s="1">
        <v>8</v>
      </c>
      <c r="K87" s="11" t="s">
        <v>28</v>
      </c>
      <c r="L87" s="4"/>
      <c r="M87" s="4"/>
      <c r="N87" s="4"/>
      <c r="O87" s="1"/>
      <c r="P87" s="1"/>
      <c r="Q87" s="1"/>
      <c r="R87" s="1"/>
      <c r="S87" s="1"/>
      <c r="T87" s="1"/>
    </row>
    <row r="88" spans="1:20" ht="15" thickBot="1" x14ac:dyDescent="0.2">
      <c r="A88" s="89"/>
      <c r="B88" s="2" t="s">
        <v>14</v>
      </c>
      <c r="C88" s="2">
        <v>3</v>
      </c>
      <c r="D88" s="1">
        <v>12</v>
      </c>
      <c r="E88" s="1">
        <v>12</v>
      </c>
      <c r="F88" s="1">
        <v>12</v>
      </c>
      <c r="G88" s="1">
        <v>24</v>
      </c>
      <c r="H88" s="1">
        <v>12</v>
      </c>
      <c r="I88" s="1">
        <v>0</v>
      </c>
      <c r="K88" s="11" t="s">
        <v>29</v>
      </c>
      <c r="L88" s="4"/>
      <c r="M88" s="4"/>
      <c r="N88" s="4"/>
      <c r="O88" s="1"/>
      <c r="P88" s="1"/>
      <c r="Q88" s="1"/>
      <c r="R88" s="1"/>
      <c r="S88" s="1"/>
      <c r="T88" s="1"/>
    </row>
    <row r="89" spans="1:20" ht="15" thickBot="1" x14ac:dyDescent="0.2">
      <c r="A89" s="89"/>
      <c r="B89" s="2" t="s">
        <v>22</v>
      </c>
      <c r="C89" s="2">
        <v>12</v>
      </c>
      <c r="D89" s="1">
        <v>48</v>
      </c>
      <c r="E89" s="1">
        <v>48</v>
      </c>
      <c r="F89" s="1">
        <v>48</v>
      </c>
      <c r="G89" s="1">
        <v>96</v>
      </c>
      <c r="H89" s="1">
        <v>48</v>
      </c>
      <c r="I89" s="1">
        <v>0</v>
      </c>
      <c r="K89" s="3" t="s">
        <v>50</v>
      </c>
      <c r="L89" s="4"/>
      <c r="M89" s="4"/>
      <c r="N89" s="4"/>
      <c r="O89" s="1"/>
      <c r="P89" s="1"/>
      <c r="Q89" s="1"/>
      <c r="R89" s="1"/>
      <c r="S89" s="1"/>
      <c r="T89" s="1"/>
    </row>
    <row r="90" spans="1:20" ht="15" thickBot="1" x14ac:dyDescent="0.2">
      <c r="A90" s="89"/>
      <c r="B90" s="2" t="s">
        <v>21</v>
      </c>
      <c r="C90" s="2">
        <v>6</v>
      </c>
      <c r="D90" s="1">
        <v>24</v>
      </c>
      <c r="E90" s="1">
        <v>24</v>
      </c>
      <c r="F90" s="1">
        <v>24</v>
      </c>
      <c r="G90" s="1">
        <v>48</v>
      </c>
      <c r="H90" s="1">
        <v>24</v>
      </c>
      <c r="I90" s="1">
        <v>24</v>
      </c>
    </row>
    <row r="91" spans="1:20" ht="15" thickBot="1" x14ac:dyDescent="0.2">
      <c r="A91" s="89"/>
      <c r="B91" s="2" t="s">
        <v>19</v>
      </c>
      <c r="C91" s="2">
        <v>4</v>
      </c>
      <c r="D91" s="1">
        <v>16</v>
      </c>
      <c r="E91" s="1">
        <v>16</v>
      </c>
      <c r="F91" s="1">
        <v>16</v>
      </c>
      <c r="G91" s="1">
        <v>32</v>
      </c>
      <c r="H91" s="1">
        <v>16</v>
      </c>
      <c r="I91" s="1">
        <v>0</v>
      </c>
    </row>
    <row r="92" spans="1:20" ht="15" thickBot="1" x14ac:dyDescent="0.2">
      <c r="A92" s="89"/>
      <c r="B92" s="2" t="s">
        <v>17</v>
      </c>
      <c r="C92" s="2">
        <v>5</v>
      </c>
      <c r="D92" s="1">
        <v>20</v>
      </c>
      <c r="E92" s="1">
        <v>20</v>
      </c>
      <c r="F92" s="1">
        <v>20</v>
      </c>
      <c r="G92" s="1">
        <v>20</v>
      </c>
      <c r="H92" s="1">
        <v>20</v>
      </c>
      <c r="I92" s="1">
        <v>0</v>
      </c>
      <c r="K92" s="18">
        <f t="shared" ref="K92:K99" si="12">(N44-Q44)/Q44</f>
        <v>1.0556457963803172</v>
      </c>
    </row>
    <row r="93" spans="1:20" ht="15" thickBot="1" x14ac:dyDescent="0.2">
      <c r="A93" s="89"/>
      <c r="B93" s="2" t="s">
        <v>24</v>
      </c>
      <c r="C93" s="2">
        <v>7</v>
      </c>
      <c r="D93" s="1">
        <v>28</v>
      </c>
      <c r="E93" s="1">
        <v>28</v>
      </c>
      <c r="F93" s="1">
        <v>28</v>
      </c>
      <c r="G93" s="1">
        <v>56</v>
      </c>
      <c r="H93" s="1">
        <v>28</v>
      </c>
      <c r="I93" s="1">
        <v>0</v>
      </c>
      <c r="K93" s="18">
        <f t="shared" si="12"/>
        <v>1.0556457963803172</v>
      </c>
    </row>
    <row r="94" spans="1:20" ht="15" thickBot="1" x14ac:dyDescent="0.2">
      <c r="A94" s="89"/>
      <c r="B94" s="2" t="s">
        <v>16</v>
      </c>
      <c r="C94" s="2">
        <v>3</v>
      </c>
      <c r="D94" s="1">
        <v>12</v>
      </c>
      <c r="E94" s="1">
        <v>12</v>
      </c>
      <c r="F94" s="1">
        <v>12</v>
      </c>
      <c r="G94" s="1">
        <v>24</v>
      </c>
      <c r="H94" s="1">
        <v>12</v>
      </c>
      <c r="I94" s="1">
        <v>0</v>
      </c>
      <c r="K94" s="18">
        <f t="shared" si="12"/>
        <v>1.0556457963803172</v>
      </c>
    </row>
    <row r="95" spans="1:20" ht="15" thickBot="1" x14ac:dyDescent="0.2">
      <c r="A95" s="89"/>
      <c r="B95" s="2" t="s">
        <v>20</v>
      </c>
      <c r="C95" s="5"/>
      <c r="D95" s="4"/>
      <c r="E95" s="4"/>
      <c r="F95" s="4"/>
      <c r="G95" s="4"/>
      <c r="H95" s="4"/>
      <c r="I95" s="4"/>
      <c r="K95" s="18">
        <f t="shared" si="12"/>
        <v>0.54173434728523806</v>
      </c>
    </row>
    <row r="96" spans="1:20" ht="15" thickBot="1" x14ac:dyDescent="0.2">
      <c r="A96" s="89"/>
      <c r="B96" s="2" t="s">
        <v>23</v>
      </c>
      <c r="C96" s="5"/>
      <c r="D96" s="4"/>
      <c r="E96" s="4"/>
      <c r="F96" s="4"/>
      <c r="G96" s="4"/>
      <c r="H96" s="4"/>
      <c r="I96" s="4"/>
      <c r="K96" s="18">
        <f t="shared" si="12"/>
        <v>0.54173434728523817</v>
      </c>
    </row>
    <row r="97" spans="1:14" ht="15" thickBot="1" x14ac:dyDescent="0.2">
      <c r="A97" s="89"/>
      <c r="B97" s="2" t="s">
        <v>15</v>
      </c>
      <c r="C97" s="5"/>
      <c r="D97" s="4"/>
      <c r="E97" s="4"/>
      <c r="F97" s="4"/>
      <c r="G97" s="4"/>
      <c r="H97" s="4"/>
      <c r="I97" s="4"/>
      <c r="K97" s="18">
        <f t="shared" si="12"/>
        <v>0.28477862273769822</v>
      </c>
    </row>
    <row r="98" spans="1:14" ht="15" thickBot="1" x14ac:dyDescent="0.2">
      <c r="A98" s="89"/>
      <c r="B98" s="2" t="s">
        <v>2</v>
      </c>
      <c r="C98" s="5"/>
      <c r="D98" s="4"/>
      <c r="E98" s="4"/>
      <c r="F98" s="4"/>
      <c r="G98" s="4"/>
      <c r="H98" s="4"/>
      <c r="I98" s="4"/>
      <c r="K98" s="18">
        <f t="shared" si="12"/>
        <v>0.37043053092021161</v>
      </c>
    </row>
    <row r="99" spans="1:14" ht="15" thickBot="1" x14ac:dyDescent="0.2">
      <c r="A99" s="89"/>
      <c r="B99" s="2" t="s">
        <v>18</v>
      </c>
      <c r="C99" s="5"/>
      <c r="D99" s="4"/>
      <c r="E99" s="4"/>
      <c r="F99" s="4"/>
      <c r="G99" s="4"/>
      <c r="H99" s="4"/>
      <c r="I99" s="4"/>
      <c r="K99" s="18">
        <f t="shared" si="12"/>
        <v>1.0556457963803172</v>
      </c>
    </row>
    <row r="100" spans="1:14" ht="15" thickBot="1" x14ac:dyDescent="0.2">
      <c r="A100" s="89"/>
      <c r="B100" s="2" t="s">
        <v>25</v>
      </c>
      <c r="C100" s="5"/>
      <c r="D100" s="4"/>
      <c r="E100" s="4"/>
      <c r="F100" s="4"/>
      <c r="G100" s="4"/>
      <c r="H100" s="4"/>
      <c r="I100" s="4"/>
    </row>
    <row r="101" spans="1:14" ht="14.25" thickBot="1" x14ac:dyDescent="0.2">
      <c r="A101" s="90"/>
      <c r="B101" s="5" t="s">
        <v>50</v>
      </c>
      <c r="C101" s="5"/>
      <c r="D101" s="4"/>
      <c r="E101" s="4"/>
      <c r="F101" s="4"/>
      <c r="G101" s="4"/>
      <c r="H101" s="4"/>
      <c r="I101" s="4"/>
      <c r="K101" s="19">
        <f>AVERAGE(K92:K100)</f>
        <v>0.74515762921870676</v>
      </c>
    </row>
    <row r="102" spans="1:14" ht="15" thickBot="1" x14ac:dyDescent="0.2">
      <c r="A102" s="88" t="s">
        <v>76</v>
      </c>
      <c r="B102" s="2" t="s">
        <v>13</v>
      </c>
      <c r="C102" s="6"/>
      <c r="D102" s="4"/>
      <c r="E102" s="4"/>
      <c r="F102" s="4"/>
      <c r="G102" s="4"/>
      <c r="H102" s="4"/>
      <c r="I102" s="4"/>
    </row>
    <row r="103" spans="1:14" ht="15" thickBot="1" x14ac:dyDescent="0.2">
      <c r="A103" s="89"/>
      <c r="B103" s="2" t="s">
        <v>14</v>
      </c>
      <c r="C103" s="6"/>
      <c r="D103" s="4"/>
      <c r="E103" s="4"/>
      <c r="F103" s="4"/>
      <c r="G103" s="4"/>
      <c r="H103" s="4"/>
      <c r="I103" s="4"/>
    </row>
    <row r="104" spans="1:14" ht="15" thickBot="1" x14ac:dyDescent="0.2">
      <c r="A104" s="89"/>
      <c r="B104" s="2" t="s">
        <v>22</v>
      </c>
      <c r="C104" s="6"/>
      <c r="D104" s="4"/>
      <c r="E104" s="4"/>
      <c r="F104" s="4"/>
      <c r="G104" s="4"/>
      <c r="H104" s="4"/>
      <c r="I104" s="4"/>
      <c r="K104" t="s">
        <v>13</v>
      </c>
      <c r="L104">
        <v>620209.67027777783</v>
      </c>
      <c r="M104">
        <f>I6+4*I8+4*I10+4*I12+84*I9</f>
        <v>109908.05493055555</v>
      </c>
      <c r="N104" s="24">
        <f>M104/L104</f>
        <v>0.17721112745844519</v>
      </c>
    </row>
    <row r="105" spans="1:14" ht="15" thickBot="1" x14ac:dyDescent="0.2">
      <c r="A105" s="89"/>
      <c r="B105" s="2" t="s">
        <v>21</v>
      </c>
      <c r="C105" s="6"/>
      <c r="D105" s="4"/>
      <c r="E105" s="4"/>
      <c r="F105" s="4"/>
      <c r="G105" s="4"/>
      <c r="H105" s="4"/>
      <c r="I105" s="4"/>
      <c r="K105" t="s">
        <v>14</v>
      </c>
      <c r="L105">
        <v>620209.67027777783</v>
      </c>
      <c r="M105">
        <v>109908.05493055555</v>
      </c>
      <c r="N105" s="24">
        <f t="shared" ref="N105:N111" si="13">M105/L105</f>
        <v>0.17721112745844519</v>
      </c>
    </row>
    <row r="106" spans="1:14" ht="15" thickBot="1" x14ac:dyDescent="0.2">
      <c r="A106" s="89"/>
      <c r="B106" s="2" t="s">
        <v>19</v>
      </c>
      <c r="C106" s="6"/>
      <c r="D106" s="4"/>
      <c r="E106" s="4"/>
      <c r="F106" s="4"/>
      <c r="G106" s="4"/>
      <c r="H106" s="4"/>
      <c r="I106" s="4"/>
      <c r="K106" t="s">
        <v>22</v>
      </c>
      <c r="L106">
        <v>620209.67027777783</v>
      </c>
      <c r="M106">
        <v>109908.05493055555</v>
      </c>
      <c r="N106" s="24">
        <f t="shared" si="13"/>
        <v>0.17721112745844519</v>
      </c>
    </row>
    <row r="107" spans="1:14" ht="15" thickBot="1" x14ac:dyDescent="0.2">
      <c r="A107" s="89"/>
      <c r="B107" s="2" t="s">
        <v>17</v>
      </c>
      <c r="C107" s="6"/>
      <c r="D107" s="4"/>
      <c r="E107" s="4"/>
      <c r="F107" s="4"/>
      <c r="G107" s="4"/>
      <c r="H107" s="4"/>
      <c r="I107" s="4"/>
      <c r="K107" t="s">
        <v>21</v>
      </c>
      <c r="L107">
        <v>620209.67027777783</v>
      </c>
      <c r="M107">
        <f>4*I12+120*I9</f>
        <v>56193.333333333336</v>
      </c>
      <c r="N107" s="24">
        <f t="shared" si="13"/>
        <v>9.0603768412971727E-2</v>
      </c>
    </row>
    <row r="108" spans="1:14" ht="15" thickBot="1" x14ac:dyDescent="0.2">
      <c r="A108" s="89"/>
      <c r="B108" s="2" t="s">
        <v>24</v>
      </c>
      <c r="C108" s="6"/>
      <c r="D108" s="4"/>
      <c r="E108" s="4"/>
      <c r="F108" s="4"/>
      <c r="G108" s="4"/>
      <c r="H108" s="4"/>
      <c r="I108" s="4"/>
      <c r="K108" t="s">
        <v>19</v>
      </c>
      <c r="L108">
        <v>413989.95491041668</v>
      </c>
      <c r="M108">
        <f>(8-5.33)*I12+80*I9</f>
        <v>37472.133333333339</v>
      </c>
      <c r="N108" s="24">
        <f t="shared" si="13"/>
        <v>9.0514595556894464E-2</v>
      </c>
    </row>
    <row r="109" spans="1:14" ht="15" thickBot="1" x14ac:dyDescent="0.2">
      <c r="A109" s="89"/>
      <c r="B109" s="2" t="s">
        <v>16</v>
      </c>
      <c r="C109" s="6"/>
      <c r="D109" s="4"/>
      <c r="E109" s="4"/>
      <c r="F109" s="4"/>
      <c r="G109" s="4"/>
      <c r="H109" s="4"/>
      <c r="I109" s="4"/>
      <c r="K109" t="s">
        <v>17</v>
      </c>
      <c r="L109">
        <v>310104.83513888891</v>
      </c>
      <c r="M109">
        <f>-I6-4*I10-4*I8+2*I12+96*I9</f>
        <v>-25618.054930555554</v>
      </c>
      <c r="N109" s="24">
        <f t="shared" si="13"/>
        <v>-8.2610949677975221E-2</v>
      </c>
    </row>
    <row r="110" spans="1:14" ht="15" thickBot="1" x14ac:dyDescent="0.2">
      <c r="A110" s="89"/>
      <c r="B110" s="2" t="s">
        <v>20</v>
      </c>
      <c r="C110" s="5"/>
      <c r="D110" s="4"/>
      <c r="E110" s="4"/>
      <c r="F110" s="4"/>
      <c r="G110" s="4"/>
      <c r="H110" s="4"/>
      <c r="I110" s="4"/>
      <c r="K110" t="s">
        <v>24</v>
      </c>
      <c r="L110">
        <v>620209.67027777783</v>
      </c>
      <c r="M110">
        <f>-I6-4*I8-4*I10+156*I9</f>
        <v>-9414.7215972222184</v>
      </c>
      <c r="N110" s="24">
        <f t="shared" si="13"/>
        <v>-1.5179901327571334E-2</v>
      </c>
    </row>
    <row r="111" spans="1:14" ht="15" thickBot="1" x14ac:dyDescent="0.2">
      <c r="A111" s="89"/>
      <c r="B111" s="2" t="s">
        <v>23</v>
      </c>
      <c r="C111" s="5"/>
      <c r="D111" s="4"/>
      <c r="E111" s="4"/>
      <c r="F111" s="4"/>
      <c r="G111" s="4"/>
      <c r="H111" s="4"/>
      <c r="I111" s="4"/>
      <c r="K111" t="s">
        <v>16</v>
      </c>
      <c r="L111">
        <v>620209.67027777783</v>
      </c>
      <c r="M111">
        <v>109908.05493055555</v>
      </c>
      <c r="N111" s="24">
        <f t="shared" si="13"/>
        <v>0.17721112745844519</v>
      </c>
    </row>
    <row r="112" spans="1:14" ht="15" thickBot="1" x14ac:dyDescent="0.2">
      <c r="A112" s="89"/>
      <c r="B112" s="2" t="s">
        <v>15</v>
      </c>
      <c r="C112" s="5"/>
      <c r="D112" s="4"/>
      <c r="E112" s="4"/>
      <c r="F112" s="4"/>
      <c r="G112" s="4"/>
      <c r="H112" s="4"/>
      <c r="I112" s="4"/>
      <c r="N112" s="25">
        <f>AVERAGE(N104:N111)</f>
        <v>9.9021502849762549E-2</v>
      </c>
    </row>
    <row r="113" spans="1:9" ht="15" thickBot="1" x14ac:dyDescent="0.2">
      <c r="A113" s="89"/>
      <c r="B113" s="2" t="s">
        <v>2</v>
      </c>
      <c r="C113" s="5"/>
      <c r="D113" s="4"/>
      <c r="E113" s="4"/>
      <c r="F113" s="4"/>
      <c r="G113" s="4"/>
      <c r="H113" s="4"/>
      <c r="I113" s="4"/>
    </row>
    <row r="114" spans="1:9" ht="15" thickBot="1" x14ac:dyDescent="0.2">
      <c r="A114" s="89"/>
      <c r="B114" s="2" t="s">
        <v>18</v>
      </c>
      <c r="C114" s="5"/>
      <c r="D114" s="4"/>
      <c r="E114" s="4"/>
      <c r="F114" s="4"/>
      <c r="G114" s="4"/>
      <c r="H114" s="4"/>
      <c r="I114" s="4"/>
    </row>
    <row r="115" spans="1:9" ht="15" thickBot="1" x14ac:dyDescent="0.2">
      <c r="A115" s="89"/>
      <c r="B115" s="2" t="s">
        <v>25</v>
      </c>
      <c r="C115" s="5"/>
      <c r="D115" s="4"/>
      <c r="E115" s="4"/>
      <c r="F115" s="4"/>
      <c r="G115" s="4"/>
      <c r="H115" s="4"/>
      <c r="I115" s="4"/>
    </row>
    <row r="116" spans="1:9" ht="14.25" thickBot="1" x14ac:dyDescent="0.2">
      <c r="A116" s="90"/>
      <c r="B116" s="5" t="s">
        <v>50</v>
      </c>
      <c r="C116" s="5"/>
      <c r="D116" s="4"/>
      <c r="E116" s="4"/>
      <c r="F116" s="4"/>
      <c r="G116" s="4"/>
      <c r="H116" s="4"/>
      <c r="I116" s="4"/>
    </row>
    <row r="117" spans="1:9" ht="15" thickBot="1" x14ac:dyDescent="0.2">
      <c r="A117" s="91" t="s">
        <v>77</v>
      </c>
      <c r="B117" s="2" t="s">
        <v>13</v>
      </c>
      <c r="C117" s="6"/>
      <c r="D117" s="4"/>
      <c r="E117" s="4"/>
      <c r="F117" s="4"/>
      <c r="G117" s="4"/>
      <c r="H117" s="4"/>
      <c r="I117" s="4"/>
    </row>
    <row r="118" spans="1:9" ht="15" thickBot="1" x14ac:dyDescent="0.2">
      <c r="A118" s="92"/>
      <c r="B118" s="2" t="s">
        <v>14</v>
      </c>
      <c r="C118" s="6"/>
      <c r="D118" s="4"/>
      <c r="E118" s="4"/>
      <c r="F118" s="4"/>
      <c r="G118" s="4"/>
      <c r="H118" s="4"/>
      <c r="I118" s="4"/>
    </row>
    <row r="119" spans="1:9" ht="15" thickBot="1" x14ac:dyDescent="0.2">
      <c r="A119" s="92"/>
      <c r="B119" s="2" t="s">
        <v>22</v>
      </c>
      <c r="C119" s="6"/>
      <c r="D119" s="4"/>
      <c r="E119" s="4"/>
      <c r="F119" s="4"/>
      <c r="G119" s="4"/>
      <c r="H119" s="4"/>
      <c r="I119" s="4"/>
    </row>
    <row r="120" spans="1:9" ht="15" thickBot="1" x14ac:dyDescent="0.2">
      <c r="A120" s="92"/>
      <c r="B120" s="2" t="s">
        <v>21</v>
      </c>
      <c r="C120" s="6"/>
      <c r="D120" s="4"/>
      <c r="E120" s="4"/>
      <c r="F120" s="4"/>
      <c r="G120" s="4"/>
      <c r="H120" s="4"/>
      <c r="I120" s="4"/>
    </row>
    <row r="121" spans="1:9" ht="15" thickBot="1" x14ac:dyDescent="0.2">
      <c r="A121" s="92"/>
      <c r="B121" s="2" t="s">
        <v>19</v>
      </c>
      <c r="C121" s="6"/>
      <c r="D121" s="4"/>
      <c r="E121" s="4"/>
      <c r="F121" s="4"/>
      <c r="G121" s="4"/>
      <c r="H121" s="4"/>
      <c r="I121" s="4"/>
    </row>
    <row r="122" spans="1:9" ht="15" thickBot="1" x14ac:dyDescent="0.2">
      <c r="A122" s="92"/>
      <c r="B122" s="2" t="s">
        <v>17</v>
      </c>
      <c r="C122" s="6"/>
      <c r="D122" s="4"/>
      <c r="E122" s="4"/>
      <c r="F122" s="4"/>
      <c r="G122" s="4"/>
      <c r="H122" s="4"/>
      <c r="I122" s="4"/>
    </row>
    <row r="123" spans="1:9" ht="15" thickBot="1" x14ac:dyDescent="0.2">
      <c r="A123" s="92"/>
      <c r="B123" s="2" t="s">
        <v>24</v>
      </c>
      <c r="C123" s="6"/>
      <c r="D123" s="4"/>
      <c r="E123" s="4"/>
      <c r="F123" s="4"/>
      <c r="G123" s="4"/>
      <c r="H123" s="4"/>
      <c r="I123" s="4"/>
    </row>
    <row r="124" spans="1:9" ht="15" thickBot="1" x14ac:dyDescent="0.2">
      <c r="A124" s="92"/>
      <c r="B124" s="2" t="s">
        <v>16</v>
      </c>
      <c r="C124" s="6"/>
      <c r="D124" s="4"/>
      <c r="E124" s="4"/>
      <c r="F124" s="4"/>
      <c r="G124" s="4"/>
      <c r="H124" s="4"/>
      <c r="I124" s="4"/>
    </row>
    <row r="125" spans="1:9" ht="15" thickBot="1" x14ac:dyDescent="0.2">
      <c r="A125" s="92"/>
      <c r="B125" s="2" t="s">
        <v>20</v>
      </c>
      <c r="C125" s="5"/>
      <c r="D125" s="4"/>
      <c r="E125" s="4"/>
      <c r="F125" s="4"/>
      <c r="G125" s="4"/>
      <c r="H125" s="4"/>
      <c r="I125" s="4"/>
    </row>
    <row r="126" spans="1:9" ht="15" thickBot="1" x14ac:dyDescent="0.2">
      <c r="A126" s="92"/>
      <c r="B126" s="2" t="s">
        <v>23</v>
      </c>
      <c r="C126" s="5"/>
      <c r="D126" s="4"/>
      <c r="E126" s="4"/>
      <c r="F126" s="4"/>
      <c r="G126" s="4"/>
      <c r="H126" s="4"/>
      <c r="I126" s="4"/>
    </row>
    <row r="127" spans="1:9" ht="15" thickBot="1" x14ac:dyDescent="0.2">
      <c r="A127" s="92"/>
      <c r="B127" s="2" t="s">
        <v>15</v>
      </c>
      <c r="C127" s="5"/>
      <c r="D127" s="4"/>
      <c r="E127" s="4"/>
      <c r="F127" s="4"/>
      <c r="G127" s="4"/>
      <c r="H127" s="4"/>
      <c r="I127" s="4"/>
    </row>
    <row r="128" spans="1:9" ht="15" thickBot="1" x14ac:dyDescent="0.2">
      <c r="A128" s="92"/>
      <c r="B128" s="2" t="s">
        <v>2</v>
      </c>
      <c r="C128" s="5"/>
      <c r="D128" s="4"/>
      <c r="E128" s="4"/>
      <c r="F128" s="4"/>
      <c r="G128" s="4"/>
      <c r="H128" s="4"/>
      <c r="I128" s="4"/>
    </row>
    <row r="129" spans="1:9" ht="15" thickBot="1" x14ac:dyDescent="0.2">
      <c r="A129" s="92"/>
      <c r="B129" s="2" t="s">
        <v>18</v>
      </c>
      <c r="C129" s="5"/>
      <c r="D129" s="4"/>
      <c r="E129" s="4"/>
      <c r="F129" s="4"/>
      <c r="G129" s="4"/>
      <c r="H129" s="4"/>
      <c r="I129" s="4"/>
    </row>
    <row r="130" spans="1:9" ht="15" thickBot="1" x14ac:dyDescent="0.2">
      <c r="A130" s="92"/>
      <c r="B130" s="2" t="s">
        <v>25</v>
      </c>
      <c r="C130" s="5"/>
      <c r="D130" s="4"/>
      <c r="E130" s="4"/>
      <c r="F130" s="4"/>
      <c r="G130" s="4"/>
      <c r="H130" s="4"/>
      <c r="I130" s="4"/>
    </row>
    <row r="131" spans="1:9" ht="14.25" thickBot="1" x14ac:dyDescent="0.2">
      <c r="A131" s="93"/>
      <c r="B131" s="5" t="s">
        <v>50</v>
      </c>
      <c r="C131" s="5"/>
      <c r="D131" s="4"/>
      <c r="E131" s="4"/>
      <c r="F131" s="4"/>
      <c r="G131" s="4"/>
      <c r="H131" s="4"/>
      <c r="I131" s="4"/>
    </row>
  </sheetData>
  <mergeCells count="28">
    <mergeCell ref="A102:A116"/>
    <mergeCell ref="A117:A131"/>
    <mergeCell ref="L41:N41"/>
    <mergeCell ref="O41:Q41"/>
    <mergeCell ref="A40:A41"/>
    <mergeCell ref="B40:B41"/>
    <mergeCell ref="C40:C41"/>
    <mergeCell ref="D40:I40"/>
    <mergeCell ref="A42:A56"/>
    <mergeCell ref="A57:A71"/>
    <mergeCell ref="L40:N40"/>
    <mergeCell ref="O40:Q40"/>
    <mergeCell ref="R40:T40"/>
    <mergeCell ref="A72:A86"/>
    <mergeCell ref="A87:A101"/>
    <mergeCell ref="L68:N68"/>
    <mergeCell ref="O68:Q68"/>
    <mergeCell ref="R68:T68"/>
    <mergeCell ref="R41:T41"/>
    <mergeCell ref="L42:N42"/>
    <mergeCell ref="O42:Q42"/>
    <mergeCell ref="R42:T42"/>
    <mergeCell ref="L66:N66"/>
    <mergeCell ref="O66:Q66"/>
    <mergeCell ref="R66:T66"/>
    <mergeCell ref="L67:N67"/>
    <mergeCell ref="O67:Q67"/>
    <mergeCell ref="R67:T6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"/>
  <sheetViews>
    <sheetView zoomScale="55" zoomScaleNormal="55" workbookViewId="0">
      <pane xSplit="1" topLeftCell="B1" activePane="topRight" state="frozen"/>
      <selection pane="topRight" activeCell="E14" sqref="E14"/>
    </sheetView>
  </sheetViews>
  <sheetFormatPr defaultRowHeight="13.5" x14ac:dyDescent="0.15"/>
  <cols>
    <col min="1" max="1" width="21.25" customWidth="1"/>
    <col min="2" max="2" width="17.625" customWidth="1"/>
    <col min="3" max="3" width="17.125" customWidth="1"/>
    <col min="8" max="9" width="9" customWidth="1"/>
    <col min="10" max="10" width="20.625" customWidth="1"/>
    <col min="11" max="12" width="9" customWidth="1"/>
    <col min="13" max="13" width="16.75" customWidth="1"/>
    <col min="16" max="16" width="9.375" customWidth="1"/>
    <col min="19" max="19" width="10.625" customWidth="1"/>
    <col min="22" max="22" width="12.75" customWidth="1"/>
    <col min="31" max="31" width="14.75" customWidth="1"/>
  </cols>
  <sheetData>
    <row r="1" spans="1:39" x14ac:dyDescent="0.15">
      <c r="A1" s="49" t="s">
        <v>152</v>
      </c>
      <c r="B1" s="102" t="s">
        <v>148</v>
      </c>
      <c r="C1" s="102"/>
      <c r="D1" s="102"/>
      <c r="E1" s="102"/>
      <c r="F1" s="102"/>
      <c r="G1" s="102"/>
      <c r="H1" s="108" t="s">
        <v>144</v>
      </c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6" t="s">
        <v>151</v>
      </c>
      <c r="U1" s="106"/>
      <c r="V1" s="106"/>
      <c r="W1" s="106"/>
      <c r="X1" s="106"/>
      <c r="Y1" s="106"/>
      <c r="Z1" s="106"/>
      <c r="AA1" s="106"/>
      <c r="AB1" s="106"/>
      <c r="AC1" s="107"/>
      <c r="AD1" s="103" t="s">
        <v>146</v>
      </c>
      <c r="AE1" s="104"/>
      <c r="AF1" s="104"/>
      <c r="AG1" s="104"/>
      <c r="AH1" s="104"/>
      <c r="AI1" s="104"/>
      <c r="AJ1" s="104"/>
      <c r="AK1" s="104"/>
      <c r="AL1" s="105"/>
    </row>
    <row r="2" spans="1:39" ht="25.5" x14ac:dyDescent="0.15">
      <c r="A2" s="29"/>
      <c r="B2" s="28" t="s">
        <v>7</v>
      </c>
      <c r="C2" s="28" t="s">
        <v>8</v>
      </c>
      <c r="D2" s="28" t="s">
        <v>1</v>
      </c>
      <c r="E2" s="28" t="s">
        <v>9</v>
      </c>
      <c r="F2" s="28" t="s">
        <v>10</v>
      </c>
      <c r="G2" s="28" t="s">
        <v>11</v>
      </c>
      <c r="H2" s="28" t="s">
        <v>106</v>
      </c>
      <c r="I2" s="28" t="s">
        <v>107</v>
      </c>
      <c r="J2" s="28" t="s">
        <v>108</v>
      </c>
      <c r="K2" s="28" t="s">
        <v>109</v>
      </c>
      <c r="L2" s="28" t="s">
        <v>110</v>
      </c>
      <c r="M2" s="30" t="s">
        <v>115</v>
      </c>
      <c r="N2" s="28" t="s">
        <v>7</v>
      </c>
      <c r="O2" s="28" t="s">
        <v>8</v>
      </c>
      <c r="P2" s="28" t="s">
        <v>1</v>
      </c>
      <c r="Q2" s="28" t="s">
        <v>117</v>
      </c>
      <c r="R2" s="28" t="s">
        <v>10</v>
      </c>
      <c r="S2" s="28" t="s">
        <v>11</v>
      </c>
      <c r="T2" s="28" t="s">
        <v>106</v>
      </c>
      <c r="U2" s="28" t="s">
        <v>107</v>
      </c>
      <c r="V2" s="37" t="s">
        <v>137</v>
      </c>
      <c r="W2" s="28" t="s">
        <v>7</v>
      </c>
      <c r="X2" s="28" t="s">
        <v>8</v>
      </c>
      <c r="Y2" s="28" t="s">
        <v>1</v>
      </c>
      <c r="Z2" s="28" t="s">
        <v>9</v>
      </c>
      <c r="AA2" s="28" t="s">
        <v>10</v>
      </c>
      <c r="AB2" s="28" t="s">
        <v>11</v>
      </c>
      <c r="AC2" s="28" t="s">
        <v>120</v>
      </c>
      <c r="AD2" s="28" t="s">
        <v>122</v>
      </c>
      <c r="AE2" s="30" t="s">
        <v>115</v>
      </c>
      <c r="AF2" s="28" t="s">
        <v>7</v>
      </c>
      <c r="AG2" s="28" t="s">
        <v>8</v>
      </c>
      <c r="AH2" s="28" t="s">
        <v>1</v>
      </c>
      <c r="AI2" s="28" t="s">
        <v>117</v>
      </c>
      <c r="AJ2" s="28" t="s">
        <v>10</v>
      </c>
      <c r="AK2" s="28" t="s">
        <v>11</v>
      </c>
      <c r="AL2" s="28" t="s">
        <v>120</v>
      </c>
      <c r="AM2" s="28" t="s">
        <v>122</v>
      </c>
    </row>
    <row r="3" spans="1:39" ht="14.25" x14ac:dyDescent="0.15">
      <c r="A3" s="40" t="s">
        <v>13</v>
      </c>
      <c r="B3" s="29">
        <v>0</v>
      </c>
      <c r="C3" s="29">
        <v>0</v>
      </c>
      <c r="D3" s="29">
        <v>0</v>
      </c>
      <c r="E3" s="29">
        <v>4</v>
      </c>
      <c r="F3" s="46">
        <v>4</v>
      </c>
      <c r="G3" s="29">
        <v>4</v>
      </c>
      <c r="H3" s="30">
        <v>2</v>
      </c>
      <c r="I3" s="30">
        <v>2</v>
      </c>
      <c r="J3" s="30">
        <v>4</v>
      </c>
      <c r="K3" s="30">
        <v>2</v>
      </c>
      <c r="L3" s="30">
        <v>2</v>
      </c>
      <c r="M3" s="30">
        <v>3</v>
      </c>
      <c r="N3" s="29">
        <f>SUM(H3:L3)</f>
        <v>12</v>
      </c>
      <c r="O3" s="29">
        <f>SUM(H4:L4)</f>
        <v>12</v>
      </c>
      <c r="P3" s="29">
        <f>H5+K5</f>
        <v>4</v>
      </c>
      <c r="Q3" s="29">
        <f>SUM(H3:L3)</f>
        <v>12</v>
      </c>
      <c r="R3" s="46">
        <f>J3</f>
        <v>4</v>
      </c>
      <c r="S3" s="29">
        <f>K3+L3</f>
        <v>4</v>
      </c>
      <c r="T3" s="30">
        <v>4</v>
      </c>
      <c r="U3" s="30">
        <v>4</v>
      </c>
      <c r="V3" s="30">
        <v>2</v>
      </c>
      <c r="W3" s="29">
        <f>SUM(T3:U3)</f>
        <v>8</v>
      </c>
      <c r="X3" s="29">
        <f>SUM(T3:U3)</f>
        <v>8</v>
      </c>
      <c r="Y3" s="29">
        <f t="shared" ref="Y3:Y8" si="0">U3</f>
        <v>4</v>
      </c>
      <c r="Z3" s="29">
        <f>SUM(T3:U3)*6</f>
        <v>48</v>
      </c>
      <c r="AA3" s="46">
        <f>T3</f>
        <v>4</v>
      </c>
      <c r="AB3" s="29">
        <v>0</v>
      </c>
      <c r="AC3" s="29">
        <f>SUM(T3:U3)</f>
        <v>8</v>
      </c>
      <c r="AD3" s="29">
        <f>AC3*3</f>
        <v>24</v>
      </c>
      <c r="AE3">
        <f>V3-M3</f>
        <v>-1</v>
      </c>
      <c r="AF3" s="18">
        <f>(W3-N3)/W3</f>
        <v>-0.5</v>
      </c>
      <c r="AG3" s="18">
        <f>(X3-O3)/X3</f>
        <v>-0.5</v>
      </c>
      <c r="AH3" s="18">
        <f>(Y3-P3)/Y3</f>
        <v>0</v>
      </c>
      <c r="AI3" s="18">
        <f>(Z3-Q3)/Z3</f>
        <v>0.75</v>
      </c>
      <c r="AJ3" s="18">
        <f>(AA3-R3)/AA3</f>
        <v>0</v>
      </c>
      <c r="AK3" s="23">
        <f t="shared" ref="AK3:AK8" si="1">AB3-S3</f>
        <v>-4</v>
      </c>
      <c r="AL3" s="29">
        <f>AC3</f>
        <v>8</v>
      </c>
      <c r="AM3" s="29">
        <f>AD3</f>
        <v>24</v>
      </c>
    </row>
    <row r="4" spans="1:39" ht="14.25" x14ac:dyDescent="0.15">
      <c r="A4" s="40" t="s">
        <v>14</v>
      </c>
      <c r="B4" s="29">
        <v>0</v>
      </c>
      <c r="C4" s="29">
        <v>0</v>
      </c>
      <c r="D4" s="29">
        <v>2</v>
      </c>
      <c r="E4" s="29">
        <v>2</v>
      </c>
      <c r="F4" s="46">
        <v>2</v>
      </c>
      <c r="G4" s="29">
        <v>0</v>
      </c>
      <c r="H4" s="30">
        <v>2</v>
      </c>
      <c r="I4" s="30">
        <v>2</v>
      </c>
      <c r="J4" s="30">
        <v>4</v>
      </c>
      <c r="K4" s="30">
        <v>2</v>
      </c>
      <c r="L4" s="30">
        <v>2</v>
      </c>
      <c r="M4" s="30">
        <v>3</v>
      </c>
      <c r="N4" s="29">
        <f>SUM(H4:L4)</f>
        <v>12</v>
      </c>
      <c r="O4" s="29">
        <f>SUM(H5:L5)</f>
        <v>12</v>
      </c>
      <c r="P4" s="29">
        <f>H6+K6</f>
        <v>8</v>
      </c>
      <c r="Q4" s="29">
        <f>SUM(H4:L4)</f>
        <v>12</v>
      </c>
      <c r="R4" s="46">
        <f>J4</f>
        <v>4</v>
      </c>
      <c r="S4" s="29">
        <f>K4+L4</f>
        <v>4</v>
      </c>
      <c r="T4" s="30">
        <v>8</v>
      </c>
      <c r="U4" s="30">
        <v>8</v>
      </c>
      <c r="V4" s="30">
        <v>4</v>
      </c>
      <c r="W4" s="29">
        <f t="shared" ref="W4:W8" si="2">SUM(T4:U4)</f>
        <v>16</v>
      </c>
      <c r="X4" s="29">
        <f t="shared" ref="X4:X8" si="3">SUM(T4:U4)</f>
        <v>16</v>
      </c>
      <c r="Y4" s="29">
        <f t="shared" si="0"/>
        <v>8</v>
      </c>
      <c r="Z4" s="29">
        <f t="shared" ref="Z4:Z8" si="4">SUM(T4:U4)*6</f>
        <v>96</v>
      </c>
      <c r="AA4" s="46">
        <f t="shared" ref="AA4:AA8" si="5">T4</f>
        <v>8</v>
      </c>
      <c r="AB4" s="29">
        <v>0</v>
      </c>
      <c r="AC4" s="29">
        <f t="shared" ref="AC4:AC8" si="6">SUM(T4:U4)</f>
        <v>16</v>
      </c>
      <c r="AD4" s="29">
        <f t="shared" ref="AD4:AD8" si="7">AC4*3</f>
        <v>48</v>
      </c>
      <c r="AE4">
        <f t="shared" ref="AE4:AE8" si="8">V4-M4</f>
        <v>1</v>
      </c>
      <c r="AF4" s="18">
        <f t="shared" ref="AF4:AJ8" si="9">(W4-N4)/W4</f>
        <v>0.25</v>
      </c>
      <c r="AG4" s="18">
        <f t="shared" si="9"/>
        <v>0.25</v>
      </c>
      <c r="AH4" s="18">
        <f t="shared" si="9"/>
        <v>0</v>
      </c>
      <c r="AI4" s="18">
        <f t="shared" si="9"/>
        <v>0.875</v>
      </c>
      <c r="AJ4" s="18">
        <f t="shared" si="9"/>
        <v>0.5</v>
      </c>
      <c r="AK4" s="23">
        <f t="shared" si="1"/>
        <v>-4</v>
      </c>
      <c r="AL4" s="29">
        <f t="shared" ref="AL4:AL8" si="10">AC4</f>
        <v>16</v>
      </c>
      <c r="AM4" s="29">
        <f t="shared" ref="AM4:AM8" si="11">AD4</f>
        <v>48</v>
      </c>
    </row>
    <row r="5" spans="1:39" ht="14.25" x14ac:dyDescent="0.15">
      <c r="A5" s="40" t="s">
        <v>22</v>
      </c>
      <c r="B5" s="29">
        <v>0</v>
      </c>
      <c r="C5" s="29">
        <v>4</v>
      </c>
      <c r="D5" s="29">
        <v>0</v>
      </c>
      <c r="E5" s="29">
        <v>4</v>
      </c>
      <c r="F5" s="46">
        <v>1</v>
      </c>
      <c r="G5" s="29">
        <v>0</v>
      </c>
      <c r="H5" s="30">
        <v>2</v>
      </c>
      <c r="I5" s="30">
        <v>2</v>
      </c>
      <c r="J5" s="30">
        <v>4</v>
      </c>
      <c r="K5" s="30">
        <v>2</v>
      </c>
      <c r="L5" s="30">
        <v>2</v>
      </c>
      <c r="M5" s="30">
        <v>3</v>
      </c>
      <c r="N5" s="29">
        <v>12</v>
      </c>
      <c r="O5" s="29">
        <v>12</v>
      </c>
      <c r="P5" s="29">
        <v>4</v>
      </c>
      <c r="Q5" s="29">
        <v>12</v>
      </c>
      <c r="R5" s="46">
        <v>4</v>
      </c>
      <c r="S5" s="29">
        <v>4</v>
      </c>
      <c r="T5" s="30">
        <v>8</v>
      </c>
      <c r="U5" s="30">
        <v>8</v>
      </c>
      <c r="V5" s="30">
        <v>4</v>
      </c>
      <c r="W5" s="29">
        <f t="shared" si="2"/>
        <v>16</v>
      </c>
      <c r="X5" s="29">
        <f t="shared" si="3"/>
        <v>16</v>
      </c>
      <c r="Y5" s="29">
        <f t="shared" si="0"/>
        <v>8</v>
      </c>
      <c r="Z5" s="29">
        <f t="shared" si="4"/>
        <v>96</v>
      </c>
      <c r="AA5" s="46">
        <f t="shared" si="5"/>
        <v>8</v>
      </c>
      <c r="AB5" s="29">
        <v>0</v>
      </c>
      <c r="AC5" s="29">
        <f t="shared" si="6"/>
        <v>16</v>
      </c>
      <c r="AD5" s="29">
        <f t="shared" si="7"/>
        <v>48</v>
      </c>
      <c r="AE5">
        <f t="shared" si="8"/>
        <v>1</v>
      </c>
      <c r="AF5" s="18">
        <f t="shared" si="9"/>
        <v>0.25</v>
      </c>
      <c r="AG5" s="18">
        <f t="shared" si="9"/>
        <v>0.25</v>
      </c>
      <c r="AH5" s="18">
        <f t="shared" si="9"/>
        <v>0.5</v>
      </c>
      <c r="AI5" s="18">
        <f t="shared" si="9"/>
        <v>0.875</v>
      </c>
      <c r="AJ5" s="18">
        <f t="shared" si="9"/>
        <v>0.5</v>
      </c>
      <c r="AK5" s="23">
        <f t="shared" si="1"/>
        <v>-4</v>
      </c>
      <c r="AL5" s="29">
        <f t="shared" si="10"/>
        <v>16</v>
      </c>
      <c r="AM5" s="29">
        <f t="shared" si="11"/>
        <v>48</v>
      </c>
    </row>
    <row r="6" spans="1:39" ht="14.25" x14ac:dyDescent="0.15">
      <c r="A6" s="40" t="s">
        <v>21</v>
      </c>
      <c r="B6" s="29">
        <v>4</v>
      </c>
      <c r="C6" s="29">
        <v>1</v>
      </c>
      <c r="D6" s="29">
        <v>0</v>
      </c>
      <c r="E6" s="29">
        <v>6</v>
      </c>
      <c r="F6" s="46">
        <v>2</v>
      </c>
      <c r="G6" s="29">
        <v>2</v>
      </c>
      <c r="H6" s="30">
        <v>4</v>
      </c>
      <c r="I6" s="30">
        <v>4</v>
      </c>
      <c r="J6" s="30">
        <v>8</v>
      </c>
      <c r="K6" s="30">
        <v>4</v>
      </c>
      <c r="L6" s="30">
        <v>4</v>
      </c>
      <c r="M6" s="33">
        <v>6</v>
      </c>
      <c r="N6" s="29">
        <f>N5*2</f>
        <v>24</v>
      </c>
      <c r="O6" s="29">
        <f t="shared" ref="O6:S6" si="12">O5*2</f>
        <v>24</v>
      </c>
      <c r="P6" s="29">
        <f t="shared" si="12"/>
        <v>8</v>
      </c>
      <c r="Q6" s="29">
        <f t="shared" si="12"/>
        <v>24</v>
      </c>
      <c r="R6" s="46">
        <f t="shared" si="12"/>
        <v>8</v>
      </c>
      <c r="S6" s="29">
        <f t="shared" si="12"/>
        <v>8</v>
      </c>
      <c r="T6" s="30">
        <v>12</v>
      </c>
      <c r="U6" s="30">
        <v>12</v>
      </c>
      <c r="V6" s="30">
        <v>6</v>
      </c>
      <c r="W6" s="29">
        <f t="shared" si="2"/>
        <v>24</v>
      </c>
      <c r="X6" s="29">
        <f t="shared" si="3"/>
        <v>24</v>
      </c>
      <c r="Y6" s="29">
        <f t="shared" si="0"/>
        <v>12</v>
      </c>
      <c r="Z6" s="29">
        <f t="shared" si="4"/>
        <v>144</v>
      </c>
      <c r="AA6" s="46">
        <f t="shared" si="5"/>
        <v>12</v>
      </c>
      <c r="AB6" s="29">
        <v>0</v>
      </c>
      <c r="AC6" s="29">
        <f t="shared" si="6"/>
        <v>24</v>
      </c>
      <c r="AD6" s="29">
        <f t="shared" si="7"/>
        <v>72</v>
      </c>
      <c r="AE6">
        <f t="shared" si="8"/>
        <v>0</v>
      </c>
      <c r="AF6" s="18">
        <f t="shared" si="9"/>
        <v>0</v>
      </c>
      <c r="AG6" s="18">
        <f t="shared" si="9"/>
        <v>0</v>
      </c>
      <c r="AH6" s="18">
        <f t="shared" si="9"/>
        <v>0.33333333333333331</v>
      </c>
      <c r="AI6" s="18">
        <f t="shared" si="9"/>
        <v>0.83333333333333337</v>
      </c>
      <c r="AJ6" s="18">
        <f t="shared" si="9"/>
        <v>0.33333333333333331</v>
      </c>
      <c r="AK6" s="23">
        <f t="shared" si="1"/>
        <v>-8</v>
      </c>
      <c r="AL6" s="29">
        <f t="shared" si="10"/>
        <v>24</v>
      </c>
      <c r="AM6" s="29">
        <f t="shared" si="11"/>
        <v>72</v>
      </c>
    </row>
    <row r="7" spans="1:39" ht="14.25" x14ac:dyDescent="0.15">
      <c r="A7" s="40" t="s">
        <v>19</v>
      </c>
      <c r="B7" s="29">
        <v>2</v>
      </c>
      <c r="C7" s="29">
        <v>2</v>
      </c>
      <c r="D7" s="29">
        <v>0</v>
      </c>
      <c r="E7" s="29">
        <v>2</v>
      </c>
      <c r="F7" s="46">
        <v>0</v>
      </c>
      <c r="G7" s="29">
        <v>0</v>
      </c>
      <c r="H7" s="31">
        <f>H3*4/3</f>
        <v>2.6666666666666665</v>
      </c>
      <c r="I7" s="31">
        <f t="shared" ref="I7:L7" si="13">I3*4/3</f>
        <v>2.6666666666666665</v>
      </c>
      <c r="J7" s="31">
        <f t="shared" si="13"/>
        <v>5.333333333333333</v>
      </c>
      <c r="K7" s="31">
        <f t="shared" si="13"/>
        <v>2.6666666666666665</v>
      </c>
      <c r="L7" s="31">
        <f t="shared" si="13"/>
        <v>2.6666666666666665</v>
      </c>
      <c r="M7" s="30">
        <v>4</v>
      </c>
      <c r="N7" s="29">
        <f>N5/3*4</f>
        <v>16</v>
      </c>
      <c r="O7" s="29">
        <f t="shared" ref="O7:S7" si="14">O5/3*4</f>
        <v>16</v>
      </c>
      <c r="P7" s="41">
        <f t="shared" si="14"/>
        <v>5.333333333333333</v>
      </c>
      <c r="Q7" s="29">
        <f t="shared" si="14"/>
        <v>16</v>
      </c>
      <c r="R7" s="47">
        <f t="shared" si="14"/>
        <v>5.333333333333333</v>
      </c>
      <c r="S7" s="41">
        <f t="shared" si="14"/>
        <v>5.333333333333333</v>
      </c>
      <c r="T7" s="30">
        <v>8</v>
      </c>
      <c r="U7" s="30">
        <v>8</v>
      </c>
      <c r="V7" s="30">
        <v>4</v>
      </c>
      <c r="W7" s="29">
        <f t="shared" si="2"/>
        <v>16</v>
      </c>
      <c r="X7" s="29">
        <f t="shared" si="3"/>
        <v>16</v>
      </c>
      <c r="Y7" s="29">
        <f t="shared" si="0"/>
        <v>8</v>
      </c>
      <c r="Z7" s="29">
        <f t="shared" si="4"/>
        <v>96</v>
      </c>
      <c r="AA7" s="46">
        <f t="shared" si="5"/>
        <v>8</v>
      </c>
      <c r="AB7" s="29">
        <v>0</v>
      </c>
      <c r="AC7" s="29">
        <f t="shared" si="6"/>
        <v>16</v>
      </c>
      <c r="AD7" s="29">
        <f t="shared" si="7"/>
        <v>48</v>
      </c>
      <c r="AE7">
        <f t="shared" si="8"/>
        <v>0</v>
      </c>
      <c r="AF7" s="18">
        <f t="shared" si="9"/>
        <v>0</v>
      </c>
      <c r="AG7" s="18">
        <f t="shared" si="9"/>
        <v>0</v>
      </c>
      <c r="AH7" s="18">
        <f t="shared" si="9"/>
        <v>0.33333333333333337</v>
      </c>
      <c r="AI7" s="18">
        <f t="shared" si="9"/>
        <v>0.83333333333333337</v>
      </c>
      <c r="AJ7" s="18">
        <f t="shared" si="9"/>
        <v>0.33333333333333337</v>
      </c>
      <c r="AK7" s="23">
        <f t="shared" si="1"/>
        <v>-5.333333333333333</v>
      </c>
      <c r="AL7" s="29">
        <f t="shared" si="10"/>
        <v>16</v>
      </c>
      <c r="AM7" s="29">
        <f t="shared" si="11"/>
        <v>48</v>
      </c>
    </row>
    <row r="8" spans="1:39" ht="14.25" x14ac:dyDescent="0.15">
      <c r="A8" s="40" t="s">
        <v>16</v>
      </c>
      <c r="B8" s="29">
        <v>3</v>
      </c>
      <c r="C8" s="29">
        <v>0</v>
      </c>
      <c r="D8" s="29">
        <v>0</v>
      </c>
      <c r="E8" s="29">
        <v>3</v>
      </c>
      <c r="F8" s="46">
        <v>1</v>
      </c>
      <c r="G8" s="29">
        <v>0</v>
      </c>
      <c r="H8" s="30">
        <v>2</v>
      </c>
      <c r="I8" s="30">
        <v>2</v>
      </c>
      <c r="J8" s="30">
        <v>4</v>
      </c>
      <c r="K8" s="30">
        <v>2</v>
      </c>
      <c r="L8" s="30">
        <v>2</v>
      </c>
      <c r="M8" s="30">
        <v>3</v>
      </c>
      <c r="N8" s="29">
        <v>12</v>
      </c>
      <c r="O8" s="29">
        <v>12</v>
      </c>
      <c r="P8" s="29">
        <v>4</v>
      </c>
      <c r="Q8" s="29">
        <v>12</v>
      </c>
      <c r="R8" s="46">
        <v>4</v>
      </c>
      <c r="S8" s="29">
        <v>4</v>
      </c>
      <c r="T8" s="30">
        <v>8</v>
      </c>
      <c r="U8" s="30">
        <v>8</v>
      </c>
      <c r="V8" s="30">
        <v>4</v>
      </c>
      <c r="W8" s="29">
        <f t="shared" si="2"/>
        <v>16</v>
      </c>
      <c r="X8" s="29">
        <f t="shared" si="3"/>
        <v>16</v>
      </c>
      <c r="Y8" s="29">
        <f t="shared" si="0"/>
        <v>8</v>
      </c>
      <c r="Z8" s="29">
        <f t="shared" si="4"/>
        <v>96</v>
      </c>
      <c r="AA8" s="46">
        <f t="shared" si="5"/>
        <v>8</v>
      </c>
      <c r="AB8" s="29">
        <v>0</v>
      </c>
      <c r="AC8" s="29">
        <f t="shared" si="6"/>
        <v>16</v>
      </c>
      <c r="AD8" s="29">
        <f t="shared" si="7"/>
        <v>48</v>
      </c>
      <c r="AE8">
        <f t="shared" si="8"/>
        <v>1</v>
      </c>
      <c r="AF8" s="18">
        <f t="shared" si="9"/>
        <v>0.25</v>
      </c>
      <c r="AG8" s="18">
        <f t="shared" si="9"/>
        <v>0.25</v>
      </c>
      <c r="AH8" s="18">
        <f t="shared" si="9"/>
        <v>0.5</v>
      </c>
      <c r="AI8" s="18">
        <f t="shared" si="9"/>
        <v>0.875</v>
      </c>
      <c r="AJ8" s="18">
        <f t="shared" si="9"/>
        <v>0.5</v>
      </c>
      <c r="AK8" s="23">
        <f t="shared" si="1"/>
        <v>-4</v>
      </c>
      <c r="AL8" s="29">
        <f t="shared" si="10"/>
        <v>16</v>
      </c>
      <c r="AM8" s="29">
        <f t="shared" si="11"/>
        <v>48</v>
      </c>
    </row>
    <row r="9" spans="1:39" x14ac:dyDescent="0.15">
      <c r="M9">
        <f>32*16*7</f>
        <v>3584</v>
      </c>
      <c r="V9">
        <f>80*32*47</f>
        <v>120320</v>
      </c>
      <c r="W9" s="43">
        <f>V9/M9</f>
        <v>33.571428571428569</v>
      </c>
    </row>
    <row r="10" spans="1:39" ht="14.25" x14ac:dyDescent="0.15">
      <c r="C10" s="30" t="s">
        <v>154</v>
      </c>
      <c r="D10" s="30" t="s">
        <v>153</v>
      </c>
      <c r="G10" s="28" t="str">
        <f>B2</f>
        <v>AU</v>
      </c>
      <c r="H10" s="29">
        <v>1</v>
      </c>
      <c r="I10" s="29">
        <v>1</v>
      </c>
      <c r="J10" s="29">
        <v>1</v>
      </c>
      <c r="K10" s="29">
        <v>1</v>
      </c>
      <c r="L10" s="29">
        <v>1</v>
      </c>
      <c r="M10" s="29">
        <v>1682.5000000000002</v>
      </c>
      <c r="N10" s="23">
        <f>M$14/M10</f>
        <v>92.155968837708429</v>
      </c>
      <c r="S10" s="28" t="str">
        <f>N2</f>
        <v>AU</v>
      </c>
      <c r="T10" s="29">
        <v>1</v>
      </c>
      <c r="U10" s="29">
        <v>1</v>
      </c>
      <c r="V10" s="29">
        <v>1682.5000000000002</v>
      </c>
    </row>
    <row r="11" spans="1:39" x14ac:dyDescent="0.15">
      <c r="C11" s="29" t="s">
        <v>155</v>
      </c>
      <c r="D11" s="29">
        <v>2</v>
      </c>
      <c r="G11" s="29" t="str">
        <f>C2</f>
        <v>SH</v>
      </c>
      <c r="H11" s="29">
        <v>1</v>
      </c>
      <c r="I11" s="29">
        <v>1</v>
      </c>
      <c r="J11" s="29">
        <v>1</v>
      </c>
      <c r="K11" s="29">
        <v>1</v>
      </c>
      <c r="L11" s="29">
        <v>1</v>
      </c>
      <c r="M11" s="41">
        <v>5390.2777777777783</v>
      </c>
      <c r="N11" s="23">
        <f t="shared" ref="N11:N16" si="15">M$14/M11</f>
        <v>28.765199858283946</v>
      </c>
      <c r="S11" s="29" t="str">
        <f>O2</f>
        <v>SH</v>
      </c>
      <c r="T11" s="29">
        <v>1</v>
      </c>
      <c r="U11" s="29">
        <v>1</v>
      </c>
      <c r="V11" s="41">
        <v>5390.2777777777783</v>
      </c>
    </row>
    <row r="12" spans="1:39" ht="14.25" x14ac:dyDescent="0.15">
      <c r="C12" s="29" t="s">
        <v>156</v>
      </c>
      <c r="D12" s="29">
        <v>2</v>
      </c>
      <c r="G12" s="28" t="s">
        <v>1</v>
      </c>
      <c r="H12" s="29">
        <v>1</v>
      </c>
      <c r="I12" s="29">
        <v>0</v>
      </c>
      <c r="J12" s="29">
        <v>0</v>
      </c>
      <c r="K12" s="29">
        <v>1</v>
      </c>
      <c r="L12" s="29">
        <v>0</v>
      </c>
      <c r="M12" s="41">
        <v>2973.3333333333335</v>
      </c>
      <c r="N12" s="23">
        <f t="shared" si="15"/>
        <v>52.147674070440956</v>
      </c>
      <c r="S12" s="28" t="s">
        <v>1</v>
      </c>
      <c r="T12" s="29">
        <v>0</v>
      </c>
      <c r="U12" s="29">
        <v>1</v>
      </c>
      <c r="V12" s="41">
        <v>2973.3333333333335</v>
      </c>
    </row>
    <row r="13" spans="1:39" ht="14.25" x14ac:dyDescent="0.15">
      <c r="C13" s="29" t="s">
        <v>157</v>
      </c>
      <c r="D13" s="29">
        <v>4</v>
      </c>
      <c r="G13" s="28" t="s">
        <v>9</v>
      </c>
      <c r="H13" s="29">
        <v>1</v>
      </c>
      <c r="I13" s="29">
        <v>1</v>
      </c>
      <c r="J13" s="29">
        <v>1</v>
      </c>
      <c r="K13" s="29">
        <v>1</v>
      </c>
      <c r="L13" s="29">
        <v>1</v>
      </c>
      <c r="M13" s="41">
        <v>369.16666666666669</v>
      </c>
      <c r="N13" s="23">
        <f t="shared" si="15"/>
        <v>420.00654872084277</v>
      </c>
      <c r="S13" s="28" t="s">
        <v>9</v>
      </c>
      <c r="T13" s="29">
        <v>6</v>
      </c>
      <c r="U13" s="29">
        <v>6</v>
      </c>
      <c r="V13" s="41">
        <v>369.16666666666669</v>
      </c>
    </row>
    <row r="14" spans="1:39" ht="14.25" x14ac:dyDescent="0.15">
      <c r="C14" s="29" t="s">
        <v>159</v>
      </c>
      <c r="D14" s="29">
        <v>2</v>
      </c>
      <c r="G14" s="28" t="s">
        <v>10</v>
      </c>
      <c r="H14" s="29">
        <v>0</v>
      </c>
      <c r="I14" s="29">
        <v>0</v>
      </c>
      <c r="J14" s="29">
        <v>1</v>
      </c>
      <c r="K14" s="29">
        <v>0</v>
      </c>
      <c r="L14" s="29">
        <v>0</v>
      </c>
      <c r="M14" s="41">
        <v>155052.41756944446</v>
      </c>
      <c r="N14" s="23">
        <f t="shared" si="15"/>
        <v>1</v>
      </c>
      <c r="S14" s="28" t="s">
        <v>10</v>
      </c>
      <c r="T14" s="29">
        <v>1</v>
      </c>
      <c r="U14" s="29">
        <v>0</v>
      </c>
      <c r="V14" s="41">
        <v>155052.41756944446</v>
      </c>
    </row>
    <row r="15" spans="1:39" ht="14.25" x14ac:dyDescent="0.15">
      <c r="C15" s="29" t="s">
        <v>158</v>
      </c>
      <c r="D15" s="29">
        <v>2</v>
      </c>
      <c r="G15" s="28" t="s">
        <v>11</v>
      </c>
      <c r="H15" s="29">
        <v>0</v>
      </c>
      <c r="I15" s="29">
        <v>0</v>
      </c>
      <c r="J15" s="29">
        <v>0</v>
      </c>
      <c r="K15" s="29">
        <v>1</v>
      </c>
      <c r="L15" s="29">
        <v>1</v>
      </c>
      <c r="M15" s="42">
        <v>8000</v>
      </c>
      <c r="N15" s="23">
        <f t="shared" si="15"/>
        <v>19.381552196180557</v>
      </c>
      <c r="S15" s="28" t="s">
        <v>123</v>
      </c>
      <c r="T15" s="29">
        <v>1</v>
      </c>
      <c r="U15" s="29">
        <v>1</v>
      </c>
      <c r="V15" s="42">
        <v>500</v>
      </c>
    </row>
    <row r="16" spans="1:39" x14ac:dyDescent="0.15">
      <c r="C16" s="29" t="s">
        <v>161</v>
      </c>
      <c r="D16" s="29">
        <v>3</v>
      </c>
      <c r="G16" s="29" t="s">
        <v>160</v>
      </c>
      <c r="H16" s="29"/>
      <c r="I16" s="29"/>
      <c r="J16" s="29"/>
      <c r="K16" s="29"/>
      <c r="L16" s="29"/>
      <c r="M16" s="29">
        <f>38714/5</f>
        <v>7742.8</v>
      </c>
      <c r="N16" s="23">
        <f t="shared" si="15"/>
        <v>20.025367769985593</v>
      </c>
      <c r="S16" s="29" t="s">
        <v>124</v>
      </c>
      <c r="T16" s="29">
        <v>3</v>
      </c>
      <c r="U16" s="29">
        <v>3</v>
      </c>
      <c r="V16" s="42">
        <v>400</v>
      </c>
    </row>
    <row r="17" spans="1:22" ht="14.25" x14ac:dyDescent="0.15">
      <c r="G17" s="32"/>
      <c r="H17" s="32"/>
      <c r="I17" s="32"/>
      <c r="J17" s="32"/>
      <c r="K17" s="32"/>
      <c r="L17" s="32"/>
      <c r="M17" s="32"/>
      <c r="S17" s="28" t="s">
        <v>125</v>
      </c>
      <c r="T17" s="29"/>
      <c r="U17" s="29"/>
      <c r="V17" s="42">
        <v>38714</v>
      </c>
    </row>
    <row r="19" spans="1:22" x14ac:dyDescent="0.15">
      <c r="A19" s="29"/>
      <c r="B19" s="29" t="s">
        <v>114</v>
      </c>
      <c r="C19" s="29" t="s">
        <v>7</v>
      </c>
      <c r="D19" s="29" t="s">
        <v>8</v>
      </c>
      <c r="E19" s="29" t="s">
        <v>1</v>
      </c>
      <c r="F19" s="29" t="s">
        <v>9</v>
      </c>
      <c r="G19" s="29" t="s">
        <v>10</v>
      </c>
      <c r="H19" s="29" t="s">
        <v>11</v>
      </c>
      <c r="I19" s="29" t="s">
        <v>126</v>
      </c>
      <c r="J19" s="29" t="s">
        <v>128</v>
      </c>
      <c r="K19" s="29" t="s">
        <v>116</v>
      </c>
      <c r="L19" s="29" t="s">
        <v>7</v>
      </c>
      <c r="M19" s="29" t="s">
        <v>8</v>
      </c>
      <c r="N19" s="29" t="s">
        <v>1</v>
      </c>
      <c r="O19" s="29" t="s">
        <v>9</v>
      </c>
      <c r="P19" s="29" t="s">
        <v>10</v>
      </c>
      <c r="Q19" s="29" t="s">
        <v>11</v>
      </c>
      <c r="R19" s="29" t="s">
        <v>119</v>
      </c>
      <c r="S19" s="29" t="s">
        <v>121</v>
      </c>
      <c r="T19" s="29" t="s">
        <v>127</v>
      </c>
    </row>
    <row r="20" spans="1:22" ht="14.25" x14ac:dyDescent="0.15">
      <c r="A20" s="40" t="s">
        <v>13</v>
      </c>
      <c r="B20" s="29">
        <f>7742.8*M3</f>
        <v>23228.400000000001</v>
      </c>
      <c r="C20" s="29">
        <f>1682.5*N3</f>
        <v>20190</v>
      </c>
      <c r="D20" s="29">
        <f>5390.3*O3</f>
        <v>64683.600000000006</v>
      </c>
      <c r="E20" s="29">
        <f>2973.3*P3</f>
        <v>11893.2</v>
      </c>
      <c r="F20" s="29">
        <f>369.2*Q3</f>
        <v>4430.3999999999996</v>
      </c>
      <c r="G20" s="29">
        <f t="shared" ref="G20:G25" si="16">155052.4*R3</f>
        <v>620209.6</v>
      </c>
      <c r="H20" s="29">
        <f>8000*S3</f>
        <v>32000</v>
      </c>
      <c r="I20" s="29">
        <f>SUM(B20:H20)</f>
        <v>776635.2</v>
      </c>
      <c r="J20" s="29">
        <f>-I20+T20</f>
        <v>20799.600000000093</v>
      </c>
      <c r="K20" s="29">
        <f>38714*V3</f>
        <v>77428</v>
      </c>
      <c r="L20" s="29">
        <f t="shared" ref="L20:L25" si="17">1682.5*W3</f>
        <v>13460</v>
      </c>
      <c r="M20" s="29">
        <f>X3*5390.3</f>
        <v>43122.400000000001</v>
      </c>
      <c r="N20" s="29">
        <f>Y3*2973.3</f>
        <v>11893.2</v>
      </c>
      <c r="O20" s="29">
        <f>Z3*369.2</f>
        <v>17721.599999999999</v>
      </c>
      <c r="P20" s="29">
        <f>155052.4*AA3</f>
        <v>620209.6</v>
      </c>
      <c r="Q20" s="29">
        <v>0</v>
      </c>
      <c r="R20" s="29">
        <f>AC3*500</f>
        <v>4000</v>
      </c>
      <c r="S20" s="29">
        <f>AD3*400</f>
        <v>9600</v>
      </c>
      <c r="T20" s="29">
        <f>SUM(K20:S20)</f>
        <v>797434.8</v>
      </c>
    </row>
    <row r="21" spans="1:22" ht="14.25" x14ac:dyDescent="0.15">
      <c r="A21" s="40" t="s">
        <v>14</v>
      </c>
      <c r="B21" s="29">
        <f>7742.8*M4</f>
        <v>23228.400000000001</v>
      </c>
      <c r="C21" s="29">
        <f t="shared" ref="C21:C25" si="18">1682.5*N4</f>
        <v>20190</v>
      </c>
      <c r="D21" s="29">
        <f t="shared" ref="D21:D25" si="19">5390.3*O4</f>
        <v>64683.600000000006</v>
      </c>
      <c r="E21" s="29">
        <f t="shared" ref="E21:E25" si="20">2973.3*P4</f>
        <v>23786.400000000001</v>
      </c>
      <c r="F21" s="29">
        <f t="shared" ref="F21:F25" si="21">369.2*Q4</f>
        <v>4430.3999999999996</v>
      </c>
      <c r="G21" s="29">
        <f t="shared" si="16"/>
        <v>620209.6</v>
      </c>
      <c r="H21" s="29">
        <f t="shared" ref="H21:H25" si="22">8000*S4</f>
        <v>32000</v>
      </c>
      <c r="I21" s="29">
        <f t="shared" ref="I21:I25" si="23">SUM(B21:H21)</f>
        <v>788528.39999999991</v>
      </c>
      <c r="J21" s="29">
        <f t="shared" ref="J21:J25" si="24">-I21+T21</f>
        <v>806341.20000000019</v>
      </c>
      <c r="K21" s="29">
        <f t="shared" ref="K21:K25" si="25">38714*V4</f>
        <v>154856</v>
      </c>
      <c r="L21" s="29">
        <f t="shared" si="17"/>
        <v>26920</v>
      </c>
      <c r="M21" s="29">
        <f t="shared" ref="M21:M25" si="26">X4*5390.3</f>
        <v>86244.800000000003</v>
      </c>
      <c r="N21" s="29">
        <f t="shared" ref="N21:N25" si="27">Y4*2973.3</f>
        <v>23786.400000000001</v>
      </c>
      <c r="O21" s="29">
        <f t="shared" ref="O21:O25" si="28">Z4*369.2</f>
        <v>35443.199999999997</v>
      </c>
      <c r="P21" s="29">
        <f t="shared" ref="P21:P25" si="29">155052.4*AA4</f>
        <v>1240419.2</v>
      </c>
      <c r="Q21" s="29">
        <v>0</v>
      </c>
      <c r="R21" s="29">
        <f t="shared" ref="R21:R25" si="30">AC4*500</f>
        <v>8000</v>
      </c>
      <c r="S21" s="29">
        <f t="shared" ref="S21:S25" si="31">AD4*400</f>
        <v>19200</v>
      </c>
      <c r="T21" s="29">
        <f t="shared" ref="T21:T25" si="32">SUM(K21:S21)</f>
        <v>1594869.6</v>
      </c>
    </row>
    <row r="22" spans="1:22" ht="14.25" x14ac:dyDescent="0.15">
      <c r="A22" s="40" t="s">
        <v>22</v>
      </c>
      <c r="B22" s="29">
        <f t="shared" ref="B22:B25" si="33">7742.8*M5</f>
        <v>23228.400000000001</v>
      </c>
      <c r="C22" s="29">
        <f t="shared" si="18"/>
        <v>20190</v>
      </c>
      <c r="D22" s="29">
        <f t="shared" si="19"/>
        <v>64683.600000000006</v>
      </c>
      <c r="E22" s="29">
        <f t="shared" si="20"/>
        <v>11893.2</v>
      </c>
      <c r="F22" s="29">
        <f t="shared" si="21"/>
        <v>4430.3999999999996</v>
      </c>
      <c r="G22" s="29">
        <f t="shared" si="16"/>
        <v>620209.6</v>
      </c>
      <c r="H22" s="29">
        <f t="shared" si="22"/>
        <v>32000</v>
      </c>
      <c r="I22" s="29">
        <f t="shared" si="23"/>
        <v>776635.2</v>
      </c>
      <c r="J22" s="29">
        <f t="shared" si="24"/>
        <v>818234.40000000014</v>
      </c>
      <c r="K22" s="29">
        <f t="shared" si="25"/>
        <v>154856</v>
      </c>
      <c r="L22" s="29">
        <f t="shared" si="17"/>
        <v>26920</v>
      </c>
      <c r="M22" s="29">
        <f t="shared" si="26"/>
        <v>86244.800000000003</v>
      </c>
      <c r="N22" s="29">
        <f t="shared" si="27"/>
        <v>23786.400000000001</v>
      </c>
      <c r="O22" s="29">
        <f t="shared" si="28"/>
        <v>35443.199999999997</v>
      </c>
      <c r="P22" s="29">
        <f t="shared" si="29"/>
        <v>1240419.2</v>
      </c>
      <c r="Q22" s="29">
        <v>0</v>
      </c>
      <c r="R22" s="29">
        <f t="shared" si="30"/>
        <v>8000</v>
      </c>
      <c r="S22" s="29">
        <f t="shared" si="31"/>
        <v>19200</v>
      </c>
      <c r="T22" s="29">
        <f t="shared" si="32"/>
        <v>1594869.6</v>
      </c>
    </row>
    <row r="23" spans="1:22" ht="14.25" x14ac:dyDescent="0.15">
      <c r="A23" s="40" t="s">
        <v>21</v>
      </c>
      <c r="B23" s="29">
        <f t="shared" si="33"/>
        <v>46456.800000000003</v>
      </c>
      <c r="C23" s="29">
        <f t="shared" si="18"/>
        <v>40380</v>
      </c>
      <c r="D23" s="29">
        <f t="shared" si="19"/>
        <v>129367.20000000001</v>
      </c>
      <c r="E23" s="29">
        <f t="shared" si="20"/>
        <v>23786.400000000001</v>
      </c>
      <c r="F23" s="29">
        <f t="shared" si="21"/>
        <v>8860.7999999999993</v>
      </c>
      <c r="G23" s="29">
        <f t="shared" si="16"/>
        <v>1240419.2</v>
      </c>
      <c r="H23" s="29">
        <f t="shared" si="22"/>
        <v>64000</v>
      </c>
      <c r="I23" s="29">
        <f t="shared" si="23"/>
        <v>1553270.4</v>
      </c>
      <c r="J23" s="29">
        <f t="shared" si="24"/>
        <v>839034</v>
      </c>
      <c r="K23" s="29">
        <f t="shared" si="25"/>
        <v>232284</v>
      </c>
      <c r="L23" s="29">
        <f t="shared" si="17"/>
        <v>40380</v>
      </c>
      <c r="M23" s="29">
        <f t="shared" si="26"/>
        <v>129367.20000000001</v>
      </c>
      <c r="N23" s="29">
        <f t="shared" si="27"/>
        <v>35679.600000000006</v>
      </c>
      <c r="O23" s="29">
        <f t="shared" si="28"/>
        <v>53164.799999999996</v>
      </c>
      <c r="P23" s="29">
        <f t="shared" si="29"/>
        <v>1860628.7999999998</v>
      </c>
      <c r="Q23" s="29">
        <v>0</v>
      </c>
      <c r="R23" s="29">
        <f t="shared" si="30"/>
        <v>12000</v>
      </c>
      <c r="S23" s="29">
        <f t="shared" si="31"/>
        <v>28800</v>
      </c>
      <c r="T23" s="29">
        <f t="shared" si="32"/>
        <v>2392304.4</v>
      </c>
    </row>
    <row r="24" spans="1:22" ht="14.25" x14ac:dyDescent="0.15">
      <c r="A24" s="40" t="s">
        <v>19</v>
      </c>
      <c r="B24" s="29">
        <f t="shared" si="33"/>
        <v>30971.200000000001</v>
      </c>
      <c r="C24" s="29">
        <f t="shared" si="18"/>
        <v>26920</v>
      </c>
      <c r="D24" s="29">
        <f t="shared" si="19"/>
        <v>86244.800000000003</v>
      </c>
      <c r="E24" s="29">
        <f t="shared" si="20"/>
        <v>15857.6</v>
      </c>
      <c r="F24" s="29">
        <f t="shared" si="21"/>
        <v>5907.2</v>
      </c>
      <c r="G24" s="29">
        <f t="shared" si="16"/>
        <v>826946.1333333333</v>
      </c>
      <c r="H24" s="29">
        <f t="shared" si="22"/>
        <v>42666.666666666664</v>
      </c>
      <c r="I24" s="29">
        <f t="shared" si="23"/>
        <v>1035513.6</v>
      </c>
      <c r="J24" s="29">
        <f t="shared" si="24"/>
        <v>559356.00000000012</v>
      </c>
      <c r="K24" s="29">
        <f t="shared" si="25"/>
        <v>154856</v>
      </c>
      <c r="L24" s="29">
        <f t="shared" si="17"/>
        <v>26920</v>
      </c>
      <c r="M24" s="29">
        <f t="shared" si="26"/>
        <v>86244.800000000003</v>
      </c>
      <c r="N24" s="29">
        <f t="shared" si="27"/>
        <v>23786.400000000001</v>
      </c>
      <c r="O24" s="29">
        <f t="shared" si="28"/>
        <v>35443.199999999997</v>
      </c>
      <c r="P24" s="29">
        <f t="shared" si="29"/>
        <v>1240419.2</v>
      </c>
      <c r="Q24" s="29">
        <v>0</v>
      </c>
      <c r="R24" s="29">
        <f t="shared" si="30"/>
        <v>8000</v>
      </c>
      <c r="S24" s="29">
        <f t="shared" si="31"/>
        <v>19200</v>
      </c>
      <c r="T24" s="29">
        <f t="shared" si="32"/>
        <v>1594869.6</v>
      </c>
    </row>
    <row r="25" spans="1:22" ht="14.25" x14ac:dyDescent="0.15">
      <c r="A25" s="40" t="s">
        <v>16</v>
      </c>
      <c r="B25" s="29">
        <f t="shared" si="33"/>
        <v>23228.400000000001</v>
      </c>
      <c r="C25" s="29">
        <f t="shared" si="18"/>
        <v>20190</v>
      </c>
      <c r="D25" s="29">
        <f t="shared" si="19"/>
        <v>64683.600000000006</v>
      </c>
      <c r="E25" s="29">
        <f t="shared" si="20"/>
        <v>11893.2</v>
      </c>
      <c r="F25" s="29">
        <f t="shared" si="21"/>
        <v>4430.3999999999996</v>
      </c>
      <c r="G25" s="29">
        <f t="shared" si="16"/>
        <v>620209.6</v>
      </c>
      <c r="H25" s="29">
        <f t="shared" si="22"/>
        <v>32000</v>
      </c>
      <c r="I25" s="29">
        <f t="shared" si="23"/>
        <v>776635.2</v>
      </c>
      <c r="J25" s="29">
        <f t="shared" si="24"/>
        <v>818234.40000000014</v>
      </c>
      <c r="K25" s="29">
        <f t="shared" si="25"/>
        <v>154856</v>
      </c>
      <c r="L25" s="29">
        <f t="shared" si="17"/>
        <v>26920</v>
      </c>
      <c r="M25" s="29">
        <f t="shared" si="26"/>
        <v>86244.800000000003</v>
      </c>
      <c r="N25" s="29">
        <f t="shared" si="27"/>
        <v>23786.400000000001</v>
      </c>
      <c r="O25" s="29">
        <f t="shared" si="28"/>
        <v>35443.199999999997</v>
      </c>
      <c r="P25" s="29">
        <f t="shared" si="29"/>
        <v>1240419.2</v>
      </c>
      <c r="Q25" s="29">
        <v>0</v>
      </c>
      <c r="R25" s="29">
        <f t="shared" si="30"/>
        <v>8000</v>
      </c>
      <c r="S25" s="29">
        <f t="shared" si="31"/>
        <v>19200</v>
      </c>
      <c r="T25" s="29">
        <f t="shared" si="32"/>
        <v>1594869.6</v>
      </c>
    </row>
    <row r="26" spans="1:22" ht="14.25" x14ac:dyDescent="0.15">
      <c r="G26" s="32"/>
      <c r="H26" s="32"/>
      <c r="I26" s="32"/>
      <c r="J26" s="32"/>
      <c r="K26" s="32"/>
      <c r="L26" s="32"/>
      <c r="M26" s="32"/>
      <c r="S26" s="35"/>
      <c r="T26" s="36"/>
      <c r="U26" s="36"/>
      <c r="V26" s="34"/>
    </row>
    <row r="27" spans="1:22" ht="14.25" x14ac:dyDescent="0.15">
      <c r="G27" s="32"/>
      <c r="H27" s="32"/>
      <c r="I27" s="32"/>
      <c r="J27" s="32"/>
      <c r="K27" s="32"/>
      <c r="L27" s="32"/>
      <c r="M27" s="32"/>
      <c r="S27" s="35"/>
      <c r="T27" s="36"/>
      <c r="U27" s="36"/>
      <c r="V27" s="34"/>
    </row>
    <row r="29" spans="1:22" x14ac:dyDescent="0.15">
      <c r="A29" s="29"/>
      <c r="B29" s="29" t="s">
        <v>111</v>
      </c>
      <c r="C29" s="29"/>
      <c r="D29" s="29"/>
      <c r="E29" s="29"/>
      <c r="F29" s="29"/>
      <c r="G29" s="29"/>
      <c r="H29" s="29" t="s">
        <v>112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2" ht="14.25" x14ac:dyDescent="0.15">
      <c r="A30" s="29"/>
      <c r="B30" s="28" t="s">
        <v>129</v>
      </c>
      <c r="C30" s="28" t="s">
        <v>7</v>
      </c>
      <c r="D30" s="28" t="s">
        <v>8</v>
      </c>
      <c r="E30" s="28" t="s">
        <v>1</v>
      </c>
      <c r="F30" s="28" t="s">
        <v>9</v>
      </c>
      <c r="G30" s="28" t="s">
        <v>10</v>
      </c>
      <c r="H30" s="28" t="s">
        <v>131</v>
      </c>
      <c r="I30" s="28" t="s">
        <v>120</v>
      </c>
      <c r="J30" s="28" t="s">
        <v>130</v>
      </c>
      <c r="K30" s="44" t="s">
        <v>132</v>
      </c>
      <c r="L30" s="45" t="s">
        <v>7</v>
      </c>
      <c r="M30" s="45" t="s">
        <v>8</v>
      </c>
      <c r="N30" s="45" t="s">
        <v>1</v>
      </c>
      <c r="O30" s="45" t="s">
        <v>9</v>
      </c>
      <c r="P30" s="45" t="s">
        <v>10</v>
      </c>
      <c r="Q30" s="45" t="s">
        <v>11</v>
      </c>
      <c r="R30" s="45" t="s">
        <v>133</v>
      </c>
      <c r="S30" s="45" t="s">
        <v>134</v>
      </c>
      <c r="T30" s="37" t="s">
        <v>135</v>
      </c>
      <c r="U30" s="28" t="s">
        <v>136</v>
      </c>
      <c r="V30" s="27"/>
    </row>
    <row r="31" spans="1:22" x14ac:dyDescent="0.15">
      <c r="A31" s="29" t="str">
        <f ca="1">Sheet1!A31</f>
        <v>AES</v>
      </c>
      <c r="B31" s="29">
        <f t="shared" ref="B31:H31" si="34">K20-B20</f>
        <v>54199.6</v>
      </c>
      <c r="C31" s="29">
        <f t="shared" si="34"/>
        <v>-6730</v>
      </c>
      <c r="D31" s="29">
        <f t="shared" si="34"/>
        <v>-21561.200000000004</v>
      </c>
      <c r="E31" s="29">
        <f t="shared" si="34"/>
        <v>0</v>
      </c>
      <c r="F31" s="29">
        <f t="shared" si="34"/>
        <v>13291.199999999999</v>
      </c>
      <c r="G31" s="29">
        <f t="shared" si="34"/>
        <v>0</v>
      </c>
      <c r="H31" s="29">
        <f t="shared" si="34"/>
        <v>-32000</v>
      </c>
      <c r="I31" s="29">
        <f>R20</f>
        <v>4000</v>
      </c>
      <c r="J31" s="29">
        <f>S20</f>
        <v>9600</v>
      </c>
      <c r="K31" s="38">
        <f>B31/T20/T31</f>
        <v>2.6058001115405949</v>
      </c>
      <c r="L31" s="39">
        <f>C31/T20/T31</f>
        <v>-0.3235639146906657</v>
      </c>
      <c r="M31" s="38">
        <f>D31/T20/T31</f>
        <v>-1.0366160887709335</v>
      </c>
      <c r="N31" s="38">
        <f>E31/T20/T31</f>
        <v>0</v>
      </c>
      <c r="O31" s="38">
        <f>F31/T20/T31</f>
        <v>0.63901228869785676</v>
      </c>
      <c r="P31" s="38">
        <f>G31/T20/T31</f>
        <v>0</v>
      </c>
      <c r="Q31" s="38">
        <f>H31/T20/T31</f>
        <v>-1.5384911248293169</v>
      </c>
      <c r="R31" s="38">
        <f>I31/T20/T31</f>
        <v>0.19231139060366462</v>
      </c>
      <c r="S31" s="38">
        <f>J31/T20/T31</f>
        <v>0.46154733744879506</v>
      </c>
      <c r="T31" s="39">
        <f>J20/T20</f>
        <v>2.6083135574218846E-2</v>
      </c>
      <c r="U31" s="39">
        <f>L31+M31+N31+O31+Q31+R31+S31</f>
        <v>-1.6058001115405998</v>
      </c>
    </row>
    <row r="32" spans="1:22" x14ac:dyDescent="0.15">
      <c r="A32" s="29" t="str">
        <f ca="1">Sheet1!A32</f>
        <v>DES</v>
      </c>
      <c r="B32" s="29">
        <f t="shared" ref="B32:B36" si="35">K21-B21</f>
        <v>131627.6</v>
      </c>
      <c r="C32" s="29">
        <f t="shared" ref="C32:C36" si="36">L21-C21</f>
        <v>6730</v>
      </c>
      <c r="D32" s="29">
        <f t="shared" ref="D32:D36" si="37">M21-D21</f>
        <v>21561.199999999997</v>
      </c>
      <c r="E32" s="29">
        <f t="shared" ref="E32:E36" si="38">N21-E21</f>
        <v>0</v>
      </c>
      <c r="F32" s="29">
        <f t="shared" ref="F32:F36" si="39">O21-F21</f>
        <v>31012.799999999996</v>
      </c>
      <c r="G32" s="29">
        <f t="shared" ref="G32:G35" si="40">P21-G21</f>
        <v>620209.6</v>
      </c>
      <c r="H32" s="29">
        <f t="shared" ref="H32:H36" si="41">Q21-H21</f>
        <v>-32000</v>
      </c>
      <c r="I32" s="29">
        <f t="shared" ref="I32:I36" si="42">R21</f>
        <v>8000</v>
      </c>
      <c r="J32" s="29">
        <f t="shared" ref="J32:J36" si="43">S21</f>
        <v>19200</v>
      </c>
      <c r="K32" s="38">
        <f t="shared" ref="K32:K36" si="44">B32/T21/T32</f>
        <v>0.16324057359341182</v>
      </c>
      <c r="L32" s="39">
        <f t="shared" ref="L32:L36" si="45">C32/T21/T32</f>
        <v>8.3463427144737229E-3</v>
      </c>
      <c r="M32" s="38">
        <f t="shared" ref="M32:M36" si="46">D32/T21/T32</f>
        <v>2.6739548965127907E-2</v>
      </c>
      <c r="N32" s="38">
        <f t="shared" ref="N32:N36" si="47">E32/T21/T32</f>
        <v>0</v>
      </c>
      <c r="O32" s="38">
        <f t="shared" ref="O32:O36" si="48">F32/T21/T32</f>
        <v>3.846113779129727E-2</v>
      </c>
      <c r="P32" s="38">
        <f t="shared" ref="P32:P36" si="49">G32/T21/T32</f>
        <v>0.76916521194749798</v>
      </c>
      <c r="Q32" s="38">
        <f t="shared" ref="Q32:Q36" si="50">H32/T21/T32</f>
        <v>-3.9685433412059309E-2</v>
      </c>
      <c r="R32" s="38">
        <f t="shared" ref="R32:R36" si="51">I32/T21/T32</f>
        <v>9.9213583530148274E-3</v>
      </c>
      <c r="S32" s="38">
        <f t="shared" ref="S32:S36" si="52">J32/T21/T32</f>
        <v>2.3811260047235581E-2</v>
      </c>
      <c r="T32" s="39">
        <f t="shared" ref="T32:T36" si="53">J21/T21</f>
        <v>0.50558440639911884</v>
      </c>
      <c r="U32" s="39">
        <f t="shared" ref="U32:U36" si="54">L32+M32+N32+O32+Q32+R32+S32</f>
        <v>6.7594214459090002E-2</v>
      </c>
    </row>
    <row r="33" spans="1:38" x14ac:dyDescent="0.15">
      <c r="A33" s="29" t="str">
        <f ca="1">Sheet1!A33</f>
        <v>SM4</v>
      </c>
      <c r="B33" s="29">
        <f t="shared" si="35"/>
        <v>131627.6</v>
      </c>
      <c r="C33" s="29">
        <f t="shared" si="36"/>
        <v>6730</v>
      </c>
      <c r="D33" s="29">
        <f t="shared" si="37"/>
        <v>21561.199999999997</v>
      </c>
      <c r="E33" s="29">
        <f t="shared" si="38"/>
        <v>11893.2</v>
      </c>
      <c r="F33" s="29">
        <f t="shared" si="39"/>
        <v>31012.799999999996</v>
      </c>
      <c r="G33" s="29">
        <f t="shared" si="40"/>
        <v>620209.6</v>
      </c>
      <c r="H33" s="29">
        <f t="shared" si="41"/>
        <v>-32000</v>
      </c>
      <c r="I33" s="29">
        <f t="shared" si="42"/>
        <v>8000</v>
      </c>
      <c r="J33" s="29">
        <f t="shared" si="43"/>
        <v>19200</v>
      </c>
      <c r="K33" s="38">
        <f t="shared" si="44"/>
        <v>0.16086783933796966</v>
      </c>
      <c r="L33" s="39">
        <f t="shared" si="45"/>
        <v>8.225026960489561E-3</v>
      </c>
      <c r="M33" s="38">
        <f t="shared" si="46"/>
        <v>2.6350884294280459E-2</v>
      </c>
      <c r="N33" s="38">
        <f t="shared" si="47"/>
        <v>1.4535199204531122E-2</v>
      </c>
      <c r="O33" s="38">
        <f t="shared" si="48"/>
        <v>3.7902097491867848E-2</v>
      </c>
      <c r="P33" s="38">
        <f t="shared" si="49"/>
        <v>0.75798524237064568</v>
      </c>
      <c r="Q33" s="38">
        <f t="shared" si="50"/>
        <v>-3.9108597731896871E-2</v>
      </c>
      <c r="R33" s="38">
        <f t="shared" si="51"/>
        <v>9.7771494329742178E-3</v>
      </c>
      <c r="S33" s="38">
        <f t="shared" si="52"/>
        <v>2.3465158639138121E-2</v>
      </c>
      <c r="T33" s="39">
        <f t="shared" si="53"/>
        <v>0.51304156778710941</v>
      </c>
      <c r="U33" s="39">
        <f t="shared" si="54"/>
        <v>8.1146918291384457E-2</v>
      </c>
    </row>
    <row r="34" spans="1:38" x14ac:dyDescent="0.15">
      <c r="A34" s="29" t="str">
        <f ca="1">Sheet1!A34</f>
        <v>TWOFISH</v>
      </c>
      <c r="B34" s="29">
        <f t="shared" si="35"/>
        <v>185827.20000000001</v>
      </c>
      <c r="C34" s="29">
        <f t="shared" si="36"/>
        <v>0</v>
      </c>
      <c r="D34" s="29">
        <f t="shared" si="37"/>
        <v>0</v>
      </c>
      <c r="E34" s="29">
        <f t="shared" si="38"/>
        <v>11893.200000000004</v>
      </c>
      <c r="F34" s="29">
        <f t="shared" si="39"/>
        <v>44304</v>
      </c>
      <c r="G34" s="29">
        <f t="shared" si="40"/>
        <v>620209.59999999986</v>
      </c>
      <c r="H34" s="29">
        <f t="shared" si="41"/>
        <v>-64000</v>
      </c>
      <c r="I34" s="29">
        <f t="shared" si="42"/>
        <v>12000</v>
      </c>
      <c r="J34" s="29">
        <f t="shared" si="43"/>
        <v>28800</v>
      </c>
      <c r="K34" s="38">
        <f t="shared" si="44"/>
        <v>0.22147755633263969</v>
      </c>
      <c r="L34" s="39">
        <f t="shared" si="45"/>
        <v>0</v>
      </c>
      <c r="M34" s="38">
        <f t="shared" si="46"/>
        <v>0</v>
      </c>
      <c r="N34" s="38">
        <f t="shared" si="47"/>
        <v>1.4174872531983214E-2</v>
      </c>
      <c r="O34" s="38">
        <f t="shared" si="48"/>
        <v>5.2803581261307644E-2</v>
      </c>
      <c r="P34" s="38">
        <f t="shared" si="49"/>
        <v>0.73919483596612279</v>
      </c>
      <c r="Q34" s="38">
        <f t="shared" si="50"/>
        <v>-7.6278196116009611E-2</v>
      </c>
      <c r="R34" s="38">
        <f t="shared" si="51"/>
        <v>1.43021617717518E-2</v>
      </c>
      <c r="S34" s="38">
        <f t="shared" si="52"/>
        <v>3.4325188252204319E-2</v>
      </c>
      <c r="T34" s="39">
        <f t="shared" si="53"/>
        <v>0.35072209038281249</v>
      </c>
      <c r="U34" s="39">
        <f t="shared" si="54"/>
        <v>3.9327607701237367E-2</v>
      </c>
    </row>
    <row r="35" spans="1:38" x14ac:dyDescent="0.15">
      <c r="A35" s="29" t="str">
        <f ca="1">Sheet1!A35</f>
        <v>RC5</v>
      </c>
      <c r="B35" s="29">
        <f t="shared" si="35"/>
        <v>123884.8</v>
      </c>
      <c r="C35" s="29">
        <f t="shared" si="36"/>
        <v>0</v>
      </c>
      <c r="D35" s="29">
        <f t="shared" si="37"/>
        <v>0</v>
      </c>
      <c r="E35" s="29">
        <f t="shared" si="38"/>
        <v>7928.8000000000011</v>
      </c>
      <c r="F35" s="29">
        <f t="shared" si="39"/>
        <v>29535.999999999996</v>
      </c>
      <c r="G35" s="29">
        <f t="shared" si="40"/>
        <v>413473.06666666665</v>
      </c>
      <c r="H35" s="29">
        <f t="shared" si="41"/>
        <v>-42666.666666666664</v>
      </c>
      <c r="I35" s="29">
        <f t="shared" si="42"/>
        <v>8000</v>
      </c>
      <c r="J35" s="29">
        <f t="shared" si="43"/>
        <v>19200</v>
      </c>
      <c r="K35" s="38">
        <f t="shared" si="44"/>
        <v>0.22147755633263963</v>
      </c>
      <c r="L35" s="39">
        <f t="shared" si="45"/>
        <v>0</v>
      </c>
      <c r="M35" s="38">
        <f t="shared" si="46"/>
        <v>0</v>
      </c>
      <c r="N35" s="38">
        <f t="shared" si="47"/>
        <v>1.4174872531983207E-2</v>
      </c>
      <c r="O35" s="38">
        <f t="shared" si="48"/>
        <v>5.2803581261307631E-2</v>
      </c>
      <c r="P35" s="38">
        <f t="shared" si="49"/>
        <v>0.73919483596612268</v>
      </c>
      <c r="Q35" s="38">
        <f t="shared" si="50"/>
        <v>-7.6278196116009583E-2</v>
      </c>
      <c r="R35" s="38">
        <f t="shared" si="51"/>
        <v>1.4302161771751799E-2</v>
      </c>
      <c r="S35" s="38">
        <f t="shared" si="52"/>
        <v>3.4325188252204313E-2</v>
      </c>
      <c r="T35" s="39">
        <f t="shared" si="53"/>
        <v>0.35072209038281255</v>
      </c>
      <c r="U35" s="39">
        <f t="shared" si="54"/>
        <v>3.9327607701237374E-2</v>
      </c>
    </row>
    <row r="36" spans="1:38" x14ac:dyDescent="0.15">
      <c r="A36" s="29" t="str">
        <f ca="1">Sheet1!A36</f>
        <v>BLOWFISH</v>
      </c>
      <c r="B36" s="29">
        <f t="shared" si="35"/>
        <v>131627.6</v>
      </c>
      <c r="C36" s="29">
        <f t="shared" si="36"/>
        <v>6730</v>
      </c>
      <c r="D36" s="29">
        <f t="shared" si="37"/>
        <v>21561.199999999997</v>
      </c>
      <c r="E36" s="29">
        <f t="shared" si="38"/>
        <v>11893.2</v>
      </c>
      <c r="F36" s="29">
        <f t="shared" si="39"/>
        <v>31012.799999999996</v>
      </c>
      <c r="G36" s="29">
        <f>P25-G25</f>
        <v>620209.6</v>
      </c>
      <c r="H36" s="29">
        <f t="shared" si="41"/>
        <v>-32000</v>
      </c>
      <c r="I36" s="29">
        <f t="shared" si="42"/>
        <v>8000</v>
      </c>
      <c r="J36" s="29">
        <f t="shared" si="43"/>
        <v>19200</v>
      </c>
      <c r="K36" s="38">
        <f t="shared" si="44"/>
        <v>0.16086783933796966</v>
      </c>
      <c r="L36" s="39">
        <f t="shared" si="45"/>
        <v>8.225026960489561E-3</v>
      </c>
      <c r="M36" s="38">
        <f t="shared" si="46"/>
        <v>2.6350884294280459E-2</v>
      </c>
      <c r="N36" s="38">
        <f t="shared" si="47"/>
        <v>1.4535199204531122E-2</v>
      </c>
      <c r="O36" s="38">
        <f t="shared" si="48"/>
        <v>3.7902097491867848E-2</v>
      </c>
      <c r="P36" s="38">
        <f t="shared" si="49"/>
        <v>0.75798524237064568</v>
      </c>
      <c r="Q36" s="38">
        <f t="shared" si="50"/>
        <v>-3.9108597731896871E-2</v>
      </c>
      <c r="R36" s="38">
        <f t="shared" si="51"/>
        <v>9.7771494329742178E-3</v>
      </c>
      <c r="S36" s="38">
        <f t="shared" si="52"/>
        <v>2.3465158639138121E-2</v>
      </c>
      <c r="T36" s="39">
        <f t="shared" si="53"/>
        <v>0.51304156778710941</v>
      </c>
      <c r="U36" s="39">
        <f t="shared" si="54"/>
        <v>8.1146918291384457E-2</v>
      </c>
    </row>
    <row r="37" spans="1:38" x14ac:dyDescent="0.15">
      <c r="T37" s="25"/>
    </row>
    <row r="39" spans="1:38" x14ac:dyDescent="0.15">
      <c r="A39" s="49" t="s">
        <v>149</v>
      </c>
      <c r="B39" s="102" t="s">
        <v>143</v>
      </c>
      <c r="C39" s="102"/>
      <c r="D39" s="102"/>
      <c r="E39" s="102"/>
      <c r="F39" s="102"/>
      <c r="G39" s="102"/>
      <c r="H39" s="108" t="s">
        <v>144</v>
      </c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6" t="s">
        <v>150</v>
      </c>
      <c r="U39" s="106"/>
      <c r="V39" s="106"/>
      <c r="W39" s="106"/>
      <c r="X39" s="106"/>
      <c r="Y39" s="106"/>
      <c r="Z39" s="106"/>
      <c r="AA39" s="106"/>
      <c r="AB39" s="106"/>
      <c r="AC39" s="107"/>
      <c r="AD39" s="103" t="s">
        <v>146</v>
      </c>
      <c r="AE39" s="104"/>
      <c r="AF39" s="104"/>
      <c r="AG39" s="104"/>
      <c r="AH39" s="104"/>
      <c r="AI39" s="104"/>
      <c r="AJ39" s="104"/>
      <c r="AK39" s="104"/>
      <c r="AL39" s="105"/>
    </row>
    <row r="40" spans="1:38" ht="38.25" x14ac:dyDescent="0.15">
      <c r="A40" s="29"/>
      <c r="B40" s="28" t="s">
        <v>7</v>
      </c>
      <c r="C40" s="28" t="s">
        <v>8</v>
      </c>
      <c r="D40" s="28" t="s">
        <v>1</v>
      </c>
      <c r="E40" s="28" t="s">
        <v>9</v>
      </c>
      <c r="F40" s="28" t="s">
        <v>10</v>
      </c>
      <c r="G40" s="28" t="s">
        <v>11</v>
      </c>
      <c r="H40" s="28" t="s">
        <v>106</v>
      </c>
      <c r="I40" s="28" t="s">
        <v>107</v>
      </c>
      <c r="J40" s="28" t="s">
        <v>108</v>
      </c>
      <c r="K40" s="28" t="s">
        <v>109</v>
      </c>
      <c r="L40" s="28" t="s">
        <v>110</v>
      </c>
      <c r="M40" s="30" t="s">
        <v>115</v>
      </c>
      <c r="N40" s="28" t="s">
        <v>7</v>
      </c>
      <c r="O40" s="28" t="s">
        <v>8</v>
      </c>
      <c r="P40" s="28" t="s">
        <v>1</v>
      </c>
      <c r="Q40" s="28" t="s">
        <v>117</v>
      </c>
      <c r="R40" s="28" t="s">
        <v>10</v>
      </c>
      <c r="S40" s="28" t="s">
        <v>11</v>
      </c>
      <c r="T40" s="28" t="s">
        <v>106</v>
      </c>
      <c r="U40" s="37" t="s">
        <v>137</v>
      </c>
      <c r="V40" s="28" t="s">
        <v>7</v>
      </c>
      <c r="W40" s="28" t="s">
        <v>8</v>
      </c>
      <c r="X40" s="28" t="s">
        <v>1</v>
      </c>
      <c r="Y40" s="28" t="s">
        <v>9</v>
      </c>
      <c r="Z40" s="28" t="s">
        <v>10</v>
      </c>
      <c r="AA40" s="28" t="s">
        <v>11</v>
      </c>
      <c r="AB40" s="28" t="s">
        <v>120</v>
      </c>
      <c r="AC40" s="28" t="s">
        <v>122</v>
      </c>
      <c r="AD40" s="30" t="s">
        <v>115</v>
      </c>
      <c r="AE40" s="28" t="s">
        <v>7</v>
      </c>
      <c r="AF40" s="28" t="s">
        <v>8</v>
      </c>
      <c r="AG40" s="28" t="s">
        <v>1</v>
      </c>
      <c r="AH40" s="28" t="s">
        <v>117</v>
      </c>
      <c r="AI40" s="28" t="s">
        <v>10</v>
      </c>
      <c r="AJ40" s="28" t="s">
        <v>11</v>
      </c>
      <c r="AK40" s="28" t="s">
        <v>120</v>
      </c>
      <c r="AL40" s="28" t="s">
        <v>122</v>
      </c>
    </row>
    <row r="41" spans="1:38" ht="14.25" x14ac:dyDescent="0.15">
      <c r="A41" s="40" t="s">
        <v>13</v>
      </c>
      <c r="B41" s="29">
        <v>0</v>
      </c>
      <c r="C41" s="29">
        <v>0</v>
      </c>
      <c r="D41" s="29">
        <v>0</v>
      </c>
      <c r="E41" s="29">
        <v>4</v>
      </c>
      <c r="F41" s="46">
        <v>4</v>
      </c>
      <c r="G41" s="29">
        <v>4</v>
      </c>
      <c r="H41" s="30">
        <v>2</v>
      </c>
      <c r="I41" s="30">
        <v>2</v>
      </c>
      <c r="J41" s="30">
        <v>4</v>
      </c>
      <c r="K41" s="30">
        <v>2</v>
      </c>
      <c r="L41" s="30">
        <v>2</v>
      </c>
      <c r="M41" s="30">
        <v>3</v>
      </c>
      <c r="N41" s="29">
        <f>SUM(H41:L41)</f>
        <v>12</v>
      </c>
      <c r="O41" s="29">
        <f>SUM(H42:L42)</f>
        <v>12</v>
      </c>
      <c r="P41" s="29">
        <f>H43+K43</f>
        <v>4</v>
      </c>
      <c r="Q41" s="29">
        <f>SUM(H41:L41)</f>
        <v>12</v>
      </c>
      <c r="R41" s="46">
        <f>J41</f>
        <v>4</v>
      </c>
      <c r="S41" s="29">
        <f>K41+L41</f>
        <v>4</v>
      </c>
      <c r="T41" s="30">
        <v>8</v>
      </c>
      <c r="U41" s="30">
        <v>2</v>
      </c>
      <c r="V41" s="29">
        <v>8</v>
      </c>
      <c r="W41" s="29">
        <v>8</v>
      </c>
      <c r="X41" s="29">
        <v>8</v>
      </c>
      <c r="Y41" s="29">
        <v>48</v>
      </c>
      <c r="Z41" s="46">
        <v>8</v>
      </c>
      <c r="AA41" s="29">
        <v>0</v>
      </c>
      <c r="AB41" s="29">
        <v>0</v>
      </c>
      <c r="AC41" s="29">
        <v>24</v>
      </c>
      <c r="AD41" s="29">
        <f t="shared" ref="AD41:AD46" si="55">U41-M41</f>
        <v>-1</v>
      </c>
      <c r="AE41" s="48">
        <f t="shared" ref="AE41:AI46" si="56">(V41-N41)/V41</f>
        <v>-0.5</v>
      </c>
      <c r="AF41" s="48">
        <f t="shared" si="56"/>
        <v>-0.5</v>
      </c>
      <c r="AG41" s="48">
        <f t="shared" si="56"/>
        <v>0.5</v>
      </c>
      <c r="AH41" s="48">
        <f t="shared" si="56"/>
        <v>0.75</v>
      </c>
      <c r="AI41" s="48">
        <f t="shared" si="56"/>
        <v>0.5</v>
      </c>
      <c r="AJ41" s="41">
        <f t="shared" ref="AJ41:AJ46" si="57">AA41-S41</f>
        <v>-4</v>
      </c>
      <c r="AK41" s="29">
        <f>AB41</f>
        <v>0</v>
      </c>
      <c r="AL41" s="29">
        <f>AC41</f>
        <v>24</v>
      </c>
    </row>
    <row r="42" spans="1:38" ht="14.25" x14ac:dyDescent="0.15">
      <c r="A42" s="40" t="s">
        <v>14</v>
      </c>
      <c r="B42" s="29">
        <v>0</v>
      </c>
      <c r="C42" s="29">
        <v>0</v>
      </c>
      <c r="D42" s="29">
        <v>2</v>
      </c>
      <c r="E42" s="29">
        <v>2</v>
      </c>
      <c r="F42" s="46">
        <v>2</v>
      </c>
      <c r="G42" s="29">
        <v>0</v>
      </c>
      <c r="H42" s="30">
        <v>2</v>
      </c>
      <c r="I42" s="30">
        <v>2</v>
      </c>
      <c r="J42" s="30">
        <v>4</v>
      </c>
      <c r="K42" s="30">
        <v>2</v>
      </c>
      <c r="L42" s="30">
        <v>2</v>
      </c>
      <c r="M42" s="30">
        <v>3</v>
      </c>
      <c r="N42" s="29">
        <f>SUM(H42:L42)</f>
        <v>12</v>
      </c>
      <c r="O42" s="29">
        <f>SUM(H43:L43)</f>
        <v>12</v>
      </c>
      <c r="P42" s="29">
        <f>H44+K44</f>
        <v>8</v>
      </c>
      <c r="Q42" s="29">
        <f>SUM(H42:L42)</f>
        <v>12</v>
      </c>
      <c r="R42" s="46">
        <f>J42</f>
        <v>4</v>
      </c>
      <c r="S42" s="29">
        <f>K42+L42</f>
        <v>4</v>
      </c>
      <c r="T42" s="30">
        <v>12</v>
      </c>
      <c r="U42" s="30">
        <v>3</v>
      </c>
      <c r="V42" s="29">
        <v>12</v>
      </c>
      <c r="W42" s="29">
        <v>12</v>
      </c>
      <c r="X42" s="29">
        <v>12</v>
      </c>
      <c r="Y42" s="29">
        <v>72</v>
      </c>
      <c r="Z42" s="46">
        <v>12</v>
      </c>
      <c r="AA42" s="29">
        <v>0</v>
      </c>
      <c r="AB42" s="29">
        <v>0</v>
      </c>
      <c r="AC42" s="29">
        <v>48</v>
      </c>
      <c r="AD42" s="29">
        <f t="shared" si="55"/>
        <v>0</v>
      </c>
      <c r="AE42" s="48">
        <f t="shared" si="56"/>
        <v>0</v>
      </c>
      <c r="AF42" s="48">
        <f t="shared" si="56"/>
        <v>0</v>
      </c>
      <c r="AG42" s="48">
        <f t="shared" si="56"/>
        <v>0.33333333333333331</v>
      </c>
      <c r="AH42" s="48">
        <f t="shared" si="56"/>
        <v>0.83333333333333337</v>
      </c>
      <c r="AI42" s="48">
        <f t="shared" si="56"/>
        <v>0.66666666666666663</v>
      </c>
      <c r="AJ42" s="41">
        <f t="shared" si="57"/>
        <v>-4</v>
      </c>
      <c r="AK42" s="29">
        <f t="shared" ref="AK42:AK46" si="58">AB42</f>
        <v>0</v>
      </c>
      <c r="AL42" s="29">
        <f t="shared" ref="AL42:AL46" si="59">AC42</f>
        <v>48</v>
      </c>
    </row>
    <row r="43" spans="1:38" ht="14.25" x14ac:dyDescent="0.15">
      <c r="A43" s="40" t="s">
        <v>22</v>
      </c>
      <c r="B43" s="29">
        <v>0</v>
      </c>
      <c r="C43" s="29">
        <v>4</v>
      </c>
      <c r="D43" s="29">
        <v>0</v>
      </c>
      <c r="E43" s="29">
        <v>4</v>
      </c>
      <c r="F43" s="46">
        <v>1</v>
      </c>
      <c r="G43" s="29">
        <v>0</v>
      </c>
      <c r="H43" s="30">
        <v>2</v>
      </c>
      <c r="I43" s="30">
        <v>2</v>
      </c>
      <c r="J43" s="30">
        <v>4</v>
      </c>
      <c r="K43" s="30">
        <v>2</v>
      </c>
      <c r="L43" s="30">
        <v>2</v>
      </c>
      <c r="M43" s="30">
        <v>3</v>
      </c>
      <c r="N43" s="29">
        <v>12</v>
      </c>
      <c r="O43" s="29">
        <v>12</v>
      </c>
      <c r="P43" s="29">
        <v>4</v>
      </c>
      <c r="Q43" s="29">
        <v>12</v>
      </c>
      <c r="R43" s="46">
        <v>4</v>
      </c>
      <c r="S43" s="29">
        <v>4</v>
      </c>
      <c r="T43" s="30">
        <v>16</v>
      </c>
      <c r="U43" s="30">
        <v>4</v>
      </c>
      <c r="V43" s="29">
        <v>16</v>
      </c>
      <c r="W43" s="29">
        <v>16</v>
      </c>
      <c r="X43" s="29">
        <v>16</v>
      </c>
      <c r="Y43" s="29">
        <v>96</v>
      </c>
      <c r="Z43" s="46">
        <v>16</v>
      </c>
      <c r="AA43" s="29">
        <v>0</v>
      </c>
      <c r="AB43" s="29">
        <v>0</v>
      </c>
      <c r="AC43" s="29">
        <v>48</v>
      </c>
      <c r="AD43" s="29">
        <f t="shared" si="55"/>
        <v>1</v>
      </c>
      <c r="AE43" s="48">
        <f t="shared" si="56"/>
        <v>0.25</v>
      </c>
      <c r="AF43" s="48">
        <f t="shared" si="56"/>
        <v>0.25</v>
      </c>
      <c r="AG43" s="48">
        <f t="shared" si="56"/>
        <v>0.75</v>
      </c>
      <c r="AH43" s="48">
        <f t="shared" si="56"/>
        <v>0.875</v>
      </c>
      <c r="AI43" s="48">
        <f t="shared" si="56"/>
        <v>0.75</v>
      </c>
      <c r="AJ43" s="41">
        <f t="shared" si="57"/>
        <v>-4</v>
      </c>
      <c r="AK43" s="29">
        <f t="shared" si="58"/>
        <v>0</v>
      </c>
      <c r="AL43" s="29">
        <f t="shared" si="59"/>
        <v>48</v>
      </c>
    </row>
    <row r="44" spans="1:38" ht="14.25" x14ac:dyDescent="0.15">
      <c r="A44" s="40" t="s">
        <v>21</v>
      </c>
      <c r="B44" s="29">
        <v>4</v>
      </c>
      <c r="C44" s="29">
        <v>1</v>
      </c>
      <c r="D44" s="29">
        <v>0</v>
      </c>
      <c r="E44" s="29">
        <v>6</v>
      </c>
      <c r="F44" s="46">
        <v>2</v>
      </c>
      <c r="G44" s="29">
        <v>2</v>
      </c>
      <c r="H44" s="30">
        <v>4</v>
      </c>
      <c r="I44" s="30">
        <v>4</v>
      </c>
      <c r="J44" s="30">
        <v>8</v>
      </c>
      <c r="K44" s="30">
        <v>4</v>
      </c>
      <c r="L44" s="30">
        <v>4</v>
      </c>
      <c r="M44" s="33">
        <v>6</v>
      </c>
      <c r="N44" s="29">
        <f>N43*2</f>
        <v>24</v>
      </c>
      <c r="O44" s="29">
        <f t="shared" ref="O44:S44" si="60">O43*2</f>
        <v>24</v>
      </c>
      <c r="P44" s="29">
        <f t="shared" si="60"/>
        <v>8</v>
      </c>
      <c r="Q44" s="29">
        <f t="shared" si="60"/>
        <v>24</v>
      </c>
      <c r="R44" s="46">
        <f t="shared" si="60"/>
        <v>8</v>
      </c>
      <c r="S44" s="29">
        <f t="shared" si="60"/>
        <v>8</v>
      </c>
      <c r="T44" s="30">
        <v>20</v>
      </c>
      <c r="U44" s="30">
        <v>5</v>
      </c>
      <c r="V44" s="29">
        <v>20</v>
      </c>
      <c r="W44" s="29">
        <v>20</v>
      </c>
      <c r="X44" s="29">
        <v>20</v>
      </c>
      <c r="Y44" s="29">
        <v>120</v>
      </c>
      <c r="Z44" s="46">
        <v>20</v>
      </c>
      <c r="AA44" s="29">
        <v>0</v>
      </c>
      <c r="AB44" s="29">
        <v>0</v>
      </c>
      <c r="AC44" s="29">
        <v>72</v>
      </c>
      <c r="AD44" s="29">
        <f t="shared" si="55"/>
        <v>-1</v>
      </c>
      <c r="AE44" s="48">
        <f t="shared" si="56"/>
        <v>-0.2</v>
      </c>
      <c r="AF44" s="48">
        <f t="shared" si="56"/>
        <v>-0.2</v>
      </c>
      <c r="AG44" s="48">
        <f t="shared" si="56"/>
        <v>0.6</v>
      </c>
      <c r="AH44" s="48">
        <f t="shared" si="56"/>
        <v>0.8</v>
      </c>
      <c r="AI44" s="48">
        <f t="shared" si="56"/>
        <v>0.6</v>
      </c>
      <c r="AJ44" s="41">
        <f t="shared" si="57"/>
        <v>-8</v>
      </c>
      <c r="AK44" s="29">
        <f t="shared" si="58"/>
        <v>0</v>
      </c>
      <c r="AL44" s="29">
        <f t="shared" si="59"/>
        <v>72</v>
      </c>
    </row>
    <row r="45" spans="1:38" ht="14.25" x14ac:dyDescent="0.15">
      <c r="A45" s="40" t="s">
        <v>19</v>
      </c>
      <c r="B45" s="29">
        <v>2</v>
      </c>
      <c r="C45" s="29">
        <v>2</v>
      </c>
      <c r="D45" s="29">
        <v>0</v>
      </c>
      <c r="E45" s="29">
        <v>2</v>
      </c>
      <c r="F45" s="46">
        <v>0</v>
      </c>
      <c r="G45" s="29">
        <v>0</v>
      </c>
      <c r="H45" s="31">
        <f>H41*4/3</f>
        <v>2.6666666666666665</v>
      </c>
      <c r="I45" s="31">
        <f t="shared" ref="I45:L45" si="61">I41*4/3</f>
        <v>2.6666666666666665</v>
      </c>
      <c r="J45" s="31">
        <f t="shared" si="61"/>
        <v>5.333333333333333</v>
      </c>
      <c r="K45" s="31">
        <f t="shared" si="61"/>
        <v>2.6666666666666665</v>
      </c>
      <c r="L45" s="31">
        <f t="shared" si="61"/>
        <v>2.6666666666666665</v>
      </c>
      <c r="M45" s="30">
        <v>4</v>
      </c>
      <c r="N45" s="29">
        <f>N43/3*4</f>
        <v>16</v>
      </c>
      <c r="O45" s="29">
        <f t="shared" ref="O45:S45" si="62">O43/3*4</f>
        <v>16</v>
      </c>
      <c r="P45" s="41">
        <f t="shared" si="62"/>
        <v>5.333333333333333</v>
      </c>
      <c r="Q45" s="29">
        <f t="shared" si="62"/>
        <v>16</v>
      </c>
      <c r="R45" s="47">
        <f t="shared" si="62"/>
        <v>5.333333333333333</v>
      </c>
      <c r="S45" s="41">
        <f t="shared" si="62"/>
        <v>5.333333333333333</v>
      </c>
      <c r="T45" s="30">
        <v>16</v>
      </c>
      <c r="U45" s="30">
        <v>4</v>
      </c>
      <c r="V45" s="29">
        <v>16</v>
      </c>
      <c r="W45" s="29">
        <v>16</v>
      </c>
      <c r="X45" s="29">
        <v>16</v>
      </c>
      <c r="Y45" s="29">
        <v>96</v>
      </c>
      <c r="Z45" s="46">
        <v>16</v>
      </c>
      <c r="AA45" s="29">
        <v>0</v>
      </c>
      <c r="AB45" s="29">
        <v>0</v>
      </c>
      <c r="AC45" s="29">
        <v>48</v>
      </c>
      <c r="AD45" s="29">
        <f t="shared" si="55"/>
        <v>0</v>
      </c>
      <c r="AE45" s="48">
        <f t="shared" si="56"/>
        <v>0</v>
      </c>
      <c r="AF45" s="48">
        <f t="shared" si="56"/>
        <v>0</v>
      </c>
      <c r="AG45" s="48">
        <f t="shared" si="56"/>
        <v>0.66666666666666674</v>
      </c>
      <c r="AH45" s="48">
        <f t="shared" si="56"/>
        <v>0.83333333333333337</v>
      </c>
      <c r="AI45" s="48">
        <f t="shared" si="56"/>
        <v>0.66666666666666674</v>
      </c>
      <c r="AJ45" s="41">
        <f t="shared" si="57"/>
        <v>-5.333333333333333</v>
      </c>
      <c r="AK45" s="29">
        <f t="shared" si="58"/>
        <v>0</v>
      </c>
      <c r="AL45" s="29">
        <f t="shared" si="59"/>
        <v>48</v>
      </c>
    </row>
    <row r="46" spans="1:38" ht="14.25" x14ac:dyDescent="0.15">
      <c r="A46" s="40" t="s">
        <v>16</v>
      </c>
      <c r="B46" s="29">
        <v>3</v>
      </c>
      <c r="C46" s="29">
        <v>0</v>
      </c>
      <c r="D46" s="29">
        <v>0</v>
      </c>
      <c r="E46" s="29">
        <v>3</v>
      </c>
      <c r="F46" s="46">
        <v>1</v>
      </c>
      <c r="G46" s="29">
        <v>0</v>
      </c>
      <c r="H46" s="30">
        <v>2</v>
      </c>
      <c r="I46" s="30">
        <v>2</v>
      </c>
      <c r="J46" s="30">
        <v>4</v>
      </c>
      <c r="K46" s="30">
        <v>2</v>
      </c>
      <c r="L46" s="30">
        <v>2</v>
      </c>
      <c r="M46" s="30">
        <v>3</v>
      </c>
      <c r="N46" s="29">
        <v>12</v>
      </c>
      <c r="O46" s="29">
        <v>12</v>
      </c>
      <c r="P46" s="29">
        <v>4</v>
      </c>
      <c r="Q46" s="29">
        <v>12</v>
      </c>
      <c r="R46" s="46">
        <v>4</v>
      </c>
      <c r="S46" s="29">
        <v>4</v>
      </c>
      <c r="T46" s="30">
        <v>12</v>
      </c>
      <c r="U46" s="30">
        <v>3</v>
      </c>
      <c r="V46" s="29">
        <v>12</v>
      </c>
      <c r="W46" s="29">
        <v>12</v>
      </c>
      <c r="X46" s="29">
        <v>12</v>
      </c>
      <c r="Y46" s="29">
        <v>72</v>
      </c>
      <c r="Z46" s="46">
        <v>12</v>
      </c>
      <c r="AA46" s="29">
        <v>0</v>
      </c>
      <c r="AB46" s="29">
        <v>0</v>
      </c>
      <c r="AC46" s="29">
        <v>48</v>
      </c>
      <c r="AD46" s="29">
        <f t="shared" si="55"/>
        <v>0</v>
      </c>
      <c r="AE46" s="48">
        <f t="shared" si="56"/>
        <v>0</v>
      </c>
      <c r="AF46" s="48">
        <f t="shared" si="56"/>
        <v>0</v>
      </c>
      <c r="AG46" s="48">
        <f t="shared" si="56"/>
        <v>0.66666666666666663</v>
      </c>
      <c r="AH46" s="48">
        <f t="shared" si="56"/>
        <v>0.83333333333333337</v>
      </c>
      <c r="AI46" s="48">
        <f t="shared" si="56"/>
        <v>0.66666666666666663</v>
      </c>
      <c r="AJ46" s="41">
        <f t="shared" si="57"/>
        <v>-4</v>
      </c>
      <c r="AK46" s="29">
        <f t="shared" si="58"/>
        <v>0</v>
      </c>
      <c r="AL46" s="29">
        <f t="shared" si="59"/>
        <v>48</v>
      </c>
    </row>
    <row r="48" spans="1:38" ht="14.25" x14ac:dyDescent="0.15">
      <c r="G48" s="28" t="str">
        <f>B40</f>
        <v>AU</v>
      </c>
      <c r="H48" s="29">
        <v>1</v>
      </c>
      <c r="I48" s="29">
        <v>1</v>
      </c>
      <c r="J48" s="29">
        <v>1</v>
      </c>
      <c r="K48" s="29">
        <v>1</v>
      </c>
      <c r="L48" s="29">
        <v>1</v>
      </c>
      <c r="S48" s="28" t="str">
        <f>N40</f>
        <v>AU</v>
      </c>
      <c r="T48" s="29">
        <v>1</v>
      </c>
    </row>
    <row r="49" spans="1:38" x14ac:dyDescent="0.15">
      <c r="G49" s="29" t="str">
        <f>C40</f>
        <v>SH</v>
      </c>
      <c r="H49" s="29">
        <v>1</v>
      </c>
      <c r="I49" s="29">
        <v>1</v>
      </c>
      <c r="J49" s="29">
        <v>1</v>
      </c>
      <c r="K49" s="29">
        <v>1</v>
      </c>
      <c r="L49" s="29">
        <v>1</v>
      </c>
      <c r="S49" s="29" t="str">
        <f>O40</f>
        <v>SH</v>
      </c>
      <c r="T49" s="29">
        <v>1</v>
      </c>
    </row>
    <row r="50" spans="1:38" ht="14.25" x14ac:dyDescent="0.15">
      <c r="G50" s="28" t="s">
        <v>1</v>
      </c>
      <c r="H50" s="29">
        <v>1</v>
      </c>
      <c r="I50" s="29">
        <v>0</v>
      </c>
      <c r="J50" s="29">
        <v>0</v>
      </c>
      <c r="K50" s="29">
        <v>1</v>
      </c>
      <c r="L50" s="29">
        <v>0</v>
      </c>
      <c r="S50" s="28" t="s">
        <v>1</v>
      </c>
      <c r="T50" s="29">
        <v>1</v>
      </c>
    </row>
    <row r="51" spans="1:38" ht="14.25" x14ac:dyDescent="0.15">
      <c r="G51" s="28" t="s">
        <v>9</v>
      </c>
      <c r="H51" s="29">
        <v>1</v>
      </c>
      <c r="I51" s="29">
        <v>1</v>
      </c>
      <c r="J51" s="29">
        <v>1</v>
      </c>
      <c r="K51" s="29">
        <v>1</v>
      </c>
      <c r="L51" s="29">
        <v>1</v>
      </c>
      <c r="S51" s="28" t="s">
        <v>9</v>
      </c>
      <c r="T51" s="29">
        <v>1</v>
      </c>
    </row>
    <row r="52" spans="1:38" ht="14.25" x14ac:dyDescent="0.15">
      <c r="G52" s="28" t="s">
        <v>10</v>
      </c>
      <c r="H52" s="29">
        <v>0</v>
      </c>
      <c r="I52" s="29">
        <v>0</v>
      </c>
      <c r="J52" s="29">
        <v>1</v>
      </c>
      <c r="K52" s="29">
        <v>0</v>
      </c>
      <c r="L52" s="29">
        <v>0</v>
      </c>
      <c r="S52" s="28" t="s">
        <v>10</v>
      </c>
      <c r="T52" s="29">
        <v>1</v>
      </c>
    </row>
    <row r="53" spans="1:38" ht="14.25" x14ac:dyDescent="0.15">
      <c r="G53" s="28" t="s">
        <v>11</v>
      </c>
      <c r="H53" s="29">
        <v>0</v>
      </c>
      <c r="I53" s="29">
        <v>0</v>
      </c>
      <c r="J53" s="29">
        <v>0</v>
      </c>
      <c r="K53" s="29">
        <v>1</v>
      </c>
      <c r="L53" s="29">
        <v>1</v>
      </c>
      <c r="S53" s="29" t="s">
        <v>124</v>
      </c>
      <c r="T53" s="29">
        <v>3</v>
      </c>
    </row>
    <row r="54" spans="1:38" ht="14.25" x14ac:dyDescent="0.15">
      <c r="S54" s="28"/>
      <c r="T54" s="29" t="s">
        <v>140</v>
      </c>
    </row>
    <row r="58" spans="1:38" x14ac:dyDescent="0.15">
      <c r="A58" s="49" t="s">
        <v>139</v>
      </c>
      <c r="B58" s="102" t="s">
        <v>143</v>
      </c>
      <c r="C58" s="102"/>
      <c r="D58" s="102"/>
      <c r="E58" s="102"/>
      <c r="F58" s="102"/>
      <c r="G58" s="102"/>
      <c r="H58" s="108" t="s">
        <v>144</v>
      </c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6" t="s">
        <v>145</v>
      </c>
      <c r="U58" s="106"/>
      <c r="V58" s="106"/>
      <c r="W58" s="106"/>
      <c r="X58" s="106"/>
      <c r="Y58" s="106"/>
      <c r="Z58" s="106"/>
      <c r="AA58" s="106"/>
      <c r="AB58" s="106"/>
      <c r="AC58" s="107"/>
      <c r="AD58" s="103" t="s">
        <v>146</v>
      </c>
      <c r="AE58" s="104"/>
      <c r="AF58" s="104"/>
      <c r="AG58" s="104"/>
      <c r="AH58" s="104"/>
      <c r="AI58" s="104"/>
      <c r="AJ58" s="104"/>
      <c r="AK58" s="104"/>
      <c r="AL58" s="105"/>
    </row>
    <row r="59" spans="1:38" ht="14.25" x14ac:dyDescent="0.15">
      <c r="A59" s="29"/>
      <c r="B59" s="28" t="s">
        <v>7</v>
      </c>
      <c r="C59" s="28" t="s">
        <v>8</v>
      </c>
      <c r="D59" s="28" t="s">
        <v>1</v>
      </c>
      <c r="E59" s="28" t="s">
        <v>9</v>
      </c>
      <c r="F59" s="28" t="s">
        <v>10</v>
      </c>
      <c r="G59" s="28" t="s">
        <v>11</v>
      </c>
      <c r="H59" s="28" t="s">
        <v>106</v>
      </c>
      <c r="I59" s="28" t="s">
        <v>107</v>
      </c>
      <c r="J59" s="28" t="s">
        <v>108</v>
      </c>
      <c r="K59" s="28" t="s">
        <v>109</v>
      </c>
      <c r="L59" s="28" t="s">
        <v>110</v>
      </c>
      <c r="M59" s="30" t="s">
        <v>115</v>
      </c>
      <c r="N59" s="28" t="s">
        <v>7</v>
      </c>
      <c r="O59" s="28" t="s">
        <v>8</v>
      </c>
      <c r="P59" s="28" t="s">
        <v>1</v>
      </c>
      <c r="Q59" s="28" t="s">
        <v>117</v>
      </c>
      <c r="R59" s="28" t="s">
        <v>10</v>
      </c>
      <c r="S59" s="28" t="s">
        <v>11</v>
      </c>
      <c r="T59" s="28" t="s">
        <v>106</v>
      </c>
      <c r="U59" s="37" t="s">
        <v>142</v>
      </c>
      <c r="V59" s="28" t="s">
        <v>7</v>
      </c>
      <c r="W59" s="28" t="s">
        <v>8</v>
      </c>
      <c r="X59" s="28" t="s">
        <v>1</v>
      </c>
      <c r="Y59" s="28" t="s">
        <v>9</v>
      </c>
      <c r="Z59" s="28" t="s">
        <v>10</v>
      </c>
      <c r="AA59" s="28" t="s">
        <v>11</v>
      </c>
      <c r="AB59" s="28" t="s">
        <v>120</v>
      </c>
      <c r="AC59" s="28" t="s">
        <v>122</v>
      </c>
      <c r="AD59" s="30" t="s">
        <v>115</v>
      </c>
      <c r="AE59" s="28" t="s">
        <v>7</v>
      </c>
      <c r="AF59" s="28" t="s">
        <v>8</v>
      </c>
      <c r="AG59" s="28" t="s">
        <v>1</v>
      </c>
      <c r="AH59" s="28" t="s">
        <v>117</v>
      </c>
      <c r="AI59" s="28" t="s">
        <v>10</v>
      </c>
      <c r="AJ59" s="28" t="s">
        <v>11</v>
      </c>
      <c r="AK59" s="28" t="s">
        <v>120</v>
      </c>
      <c r="AL59" s="28" t="s">
        <v>122</v>
      </c>
    </row>
    <row r="60" spans="1:38" ht="14.25" x14ac:dyDescent="0.15">
      <c r="A60" s="40" t="s">
        <v>13</v>
      </c>
      <c r="B60" s="29">
        <v>0</v>
      </c>
      <c r="C60" s="29">
        <v>0</v>
      </c>
      <c r="D60" s="29">
        <v>0</v>
      </c>
      <c r="E60" s="29">
        <v>4</v>
      </c>
      <c r="F60" s="46">
        <v>4</v>
      </c>
      <c r="G60" s="29">
        <v>4</v>
      </c>
      <c r="H60" s="30">
        <v>2</v>
      </c>
      <c r="I60" s="30">
        <v>2</v>
      </c>
      <c r="J60" s="30">
        <v>4</v>
      </c>
      <c r="K60" s="30">
        <v>2</v>
      </c>
      <c r="L60" s="30">
        <v>2</v>
      </c>
      <c r="M60" s="30">
        <v>3</v>
      </c>
      <c r="N60" s="29">
        <f>SUM(H60:L60)</f>
        <v>12</v>
      </c>
      <c r="O60" s="29">
        <f>SUM(H61:L61)</f>
        <v>12</v>
      </c>
      <c r="P60" s="29">
        <f>H62+K62</f>
        <v>4</v>
      </c>
      <c r="Q60" s="29">
        <f>SUM(H60:L60)</f>
        <v>12</v>
      </c>
      <c r="R60" s="46">
        <f>J60</f>
        <v>4</v>
      </c>
      <c r="S60" s="29">
        <f>K60+L60</f>
        <v>4</v>
      </c>
      <c r="T60" s="30">
        <v>8</v>
      </c>
      <c r="U60" s="30">
        <v>2</v>
      </c>
      <c r="V60" s="29">
        <v>8</v>
      </c>
      <c r="W60" s="29">
        <v>8</v>
      </c>
      <c r="X60" s="29">
        <v>8</v>
      </c>
      <c r="Y60" s="29">
        <v>16</v>
      </c>
      <c r="Z60" s="46">
        <v>8</v>
      </c>
      <c r="AA60" s="46">
        <v>8</v>
      </c>
      <c r="AB60" s="29">
        <v>0</v>
      </c>
      <c r="AC60" s="29">
        <v>0</v>
      </c>
      <c r="AD60" s="29">
        <f t="shared" ref="AD60:AD65" si="63">U60-M60</f>
        <v>-1</v>
      </c>
      <c r="AE60" s="48">
        <f t="shared" ref="AE60:AJ60" si="64">(V60-N60)/V60</f>
        <v>-0.5</v>
      </c>
      <c r="AF60" s="48">
        <f t="shared" si="64"/>
        <v>-0.5</v>
      </c>
      <c r="AG60" s="48">
        <f t="shared" si="64"/>
        <v>0.5</v>
      </c>
      <c r="AH60" s="48">
        <f t="shared" si="64"/>
        <v>0.25</v>
      </c>
      <c r="AI60" s="48">
        <f t="shared" si="64"/>
        <v>0.5</v>
      </c>
      <c r="AJ60" s="48">
        <f t="shared" si="64"/>
        <v>0.5</v>
      </c>
      <c r="AK60" s="29">
        <f>AB60</f>
        <v>0</v>
      </c>
      <c r="AL60" s="29">
        <f>AC60</f>
        <v>0</v>
      </c>
    </row>
    <row r="61" spans="1:38" ht="14.25" x14ac:dyDescent="0.15">
      <c r="A61" s="40" t="s">
        <v>14</v>
      </c>
      <c r="B61" s="29">
        <v>0</v>
      </c>
      <c r="C61" s="29">
        <v>0</v>
      </c>
      <c r="D61" s="29">
        <v>2</v>
      </c>
      <c r="E61" s="29">
        <v>2</v>
      </c>
      <c r="F61" s="46">
        <v>2</v>
      </c>
      <c r="G61" s="29">
        <v>0</v>
      </c>
      <c r="H61" s="30">
        <v>2</v>
      </c>
      <c r="I61" s="30">
        <v>2</v>
      </c>
      <c r="J61" s="30">
        <v>4</v>
      </c>
      <c r="K61" s="30">
        <v>2</v>
      </c>
      <c r="L61" s="30">
        <v>2</v>
      </c>
      <c r="M61" s="30">
        <v>3</v>
      </c>
      <c r="N61" s="29">
        <f>SUM(H61:L61)</f>
        <v>12</v>
      </c>
      <c r="O61" s="29">
        <f>SUM(H62:L62)</f>
        <v>12</v>
      </c>
      <c r="P61" s="29">
        <f>H63+K63</f>
        <v>8</v>
      </c>
      <c r="Q61" s="29">
        <f>SUM(H61:L61)</f>
        <v>12</v>
      </c>
      <c r="R61" s="46">
        <f>J61</f>
        <v>4</v>
      </c>
      <c r="S61" s="29">
        <f>K61+L61</f>
        <v>4</v>
      </c>
      <c r="T61" s="30">
        <v>12</v>
      </c>
      <c r="U61" s="30">
        <v>3</v>
      </c>
      <c r="V61" s="29">
        <v>12</v>
      </c>
      <c r="W61" s="29">
        <v>12</v>
      </c>
      <c r="X61" s="29">
        <v>12</v>
      </c>
      <c r="Y61" s="29">
        <v>24</v>
      </c>
      <c r="Z61" s="46">
        <v>12</v>
      </c>
      <c r="AA61" s="46">
        <v>12</v>
      </c>
      <c r="AB61" s="29">
        <v>0</v>
      </c>
      <c r="AC61" s="29">
        <v>0</v>
      </c>
      <c r="AD61" s="29">
        <f t="shared" si="63"/>
        <v>0</v>
      </c>
      <c r="AE61" s="48">
        <f t="shared" ref="AE61:AI65" si="65">(V61-N61)/V61</f>
        <v>0</v>
      </c>
      <c r="AF61" s="48">
        <f t="shared" si="65"/>
        <v>0</v>
      </c>
      <c r="AG61" s="48">
        <f t="shared" si="65"/>
        <v>0.33333333333333331</v>
      </c>
      <c r="AH61" s="48">
        <f t="shared" si="65"/>
        <v>0.5</v>
      </c>
      <c r="AI61" s="48">
        <f t="shared" si="65"/>
        <v>0.66666666666666663</v>
      </c>
      <c r="AJ61" s="48">
        <f t="shared" ref="AJ61:AJ65" si="66">(AA61-S61)/AA61</f>
        <v>0.66666666666666663</v>
      </c>
      <c r="AK61" s="29">
        <f t="shared" ref="AK61:AK65" si="67">AB61</f>
        <v>0</v>
      </c>
      <c r="AL61" s="29">
        <f t="shared" ref="AL61:AL65" si="68">AC61</f>
        <v>0</v>
      </c>
    </row>
    <row r="62" spans="1:38" ht="14.25" x14ac:dyDescent="0.15">
      <c r="A62" s="40" t="s">
        <v>22</v>
      </c>
      <c r="B62" s="29">
        <v>0</v>
      </c>
      <c r="C62" s="29">
        <v>4</v>
      </c>
      <c r="D62" s="29">
        <v>0</v>
      </c>
      <c r="E62" s="29">
        <v>4</v>
      </c>
      <c r="F62" s="46">
        <v>1</v>
      </c>
      <c r="G62" s="29">
        <v>0</v>
      </c>
      <c r="H62" s="30">
        <v>2</v>
      </c>
      <c r="I62" s="30">
        <v>2</v>
      </c>
      <c r="J62" s="30">
        <v>4</v>
      </c>
      <c r="K62" s="30">
        <v>2</v>
      </c>
      <c r="L62" s="30">
        <v>2</v>
      </c>
      <c r="M62" s="30">
        <v>3</v>
      </c>
      <c r="N62" s="29">
        <v>12</v>
      </c>
      <c r="O62" s="29">
        <v>12</v>
      </c>
      <c r="P62" s="29">
        <v>4</v>
      </c>
      <c r="Q62" s="29">
        <v>12</v>
      </c>
      <c r="R62" s="46">
        <v>4</v>
      </c>
      <c r="S62" s="29">
        <v>4</v>
      </c>
      <c r="T62" s="30">
        <v>48</v>
      </c>
      <c r="U62" s="30">
        <v>4</v>
      </c>
      <c r="V62" s="29">
        <v>48</v>
      </c>
      <c r="W62" s="29">
        <v>48</v>
      </c>
      <c r="X62" s="29">
        <v>48</v>
      </c>
      <c r="Y62" s="29">
        <v>96</v>
      </c>
      <c r="Z62" s="46">
        <v>48</v>
      </c>
      <c r="AA62" s="46">
        <v>48</v>
      </c>
      <c r="AB62" s="29">
        <v>0</v>
      </c>
      <c r="AC62" s="29">
        <v>0</v>
      </c>
      <c r="AD62" s="29">
        <f t="shared" si="63"/>
        <v>1</v>
      </c>
      <c r="AE62" s="48">
        <f t="shared" si="65"/>
        <v>0.75</v>
      </c>
      <c r="AF62" s="48">
        <f t="shared" si="65"/>
        <v>0.75</v>
      </c>
      <c r="AG62" s="48">
        <f t="shared" si="65"/>
        <v>0.91666666666666663</v>
      </c>
      <c r="AH62" s="48">
        <f t="shared" si="65"/>
        <v>0.875</v>
      </c>
      <c r="AI62" s="48">
        <f t="shared" si="65"/>
        <v>0.91666666666666663</v>
      </c>
      <c r="AJ62" s="48">
        <f t="shared" si="66"/>
        <v>0.91666666666666663</v>
      </c>
      <c r="AK62" s="29">
        <f t="shared" si="67"/>
        <v>0</v>
      </c>
      <c r="AL62" s="29">
        <f t="shared" si="68"/>
        <v>0</v>
      </c>
    </row>
    <row r="63" spans="1:38" ht="14.25" x14ac:dyDescent="0.15">
      <c r="A63" s="40" t="s">
        <v>21</v>
      </c>
      <c r="B63" s="29">
        <v>4</v>
      </c>
      <c r="C63" s="29">
        <v>1</v>
      </c>
      <c r="D63" s="29">
        <v>0</v>
      </c>
      <c r="E63" s="29">
        <v>6</v>
      </c>
      <c r="F63" s="46">
        <v>2</v>
      </c>
      <c r="G63" s="29">
        <v>2</v>
      </c>
      <c r="H63" s="30">
        <v>4</v>
      </c>
      <c r="I63" s="30">
        <v>4</v>
      </c>
      <c r="J63" s="30">
        <v>8</v>
      </c>
      <c r="K63" s="30">
        <v>4</v>
      </c>
      <c r="L63" s="30">
        <v>4</v>
      </c>
      <c r="M63" s="33">
        <v>6</v>
      </c>
      <c r="N63" s="29">
        <f>N62*2</f>
        <v>24</v>
      </c>
      <c r="O63" s="29">
        <f t="shared" ref="O63:S63" si="69">O62*2</f>
        <v>24</v>
      </c>
      <c r="P63" s="29">
        <f t="shared" si="69"/>
        <v>8</v>
      </c>
      <c r="Q63" s="29">
        <f t="shared" si="69"/>
        <v>24</v>
      </c>
      <c r="R63" s="46">
        <f t="shared" si="69"/>
        <v>8</v>
      </c>
      <c r="S63" s="29">
        <f t="shared" si="69"/>
        <v>8</v>
      </c>
      <c r="T63" s="30">
        <v>24</v>
      </c>
      <c r="U63" s="30">
        <v>5</v>
      </c>
      <c r="V63" s="29">
        <v>24</v>
      </c>
      <c r="W63" s="29">
        <v>24</v>
      </c>
      <c r="X63" s="29">
        <v>24</v>
      </c>
      <c r="Y63" s="29">
        <v>48</v>
      </c>
      <c r="Z63" s="46">
        <v>24</v>
      </c>
      <c r="AA63" s="46">
        <v>24</v>
      </c>
      <c r="AB63" s="29">
        <v>0</v>
      </c>
      <c r="AC63" s="29">
        <v>0</v>
      </c>
      <c r="AD63" s="29">
        <f t="shared" si="63"/>
        <v>-1</v>
      </c>
      <c r="AE63" s="48">
        <f t="shared" si="65"/>
        <v>0</v>
      </c>
      <c r="AF63" s="48">
        <f t="shared" si="65"/>
        <v>0</v>
      </c>
      <c r="AG63" s="48">
        <f t="shared" si="65"/>
        <v>0.66666666666666663</v>
      </c>
      <c r="AH63" s="48">
        <f t="shared" si="65"/>
        <v>0.5</v>
      </c>
      <c r="AI63" s="48">
        <f t="shared" si="65"/>
        <v>0.66666666666666663</v>
      </c>
      <c r="AJ63" s="48">
        <f t="shared" si="66"/>
        <v>0.66666666666666663</v>
      </c>
      <c r="AK63" s="29">
        <f t="shared" si="67"/>
        <v>0</v>
      </c>
      <c r="AL63" s="29">
        <f t="shared" si="68"/>
        <v>0</v>
      </c>
    </row>
    <row r="64" spans="1:38" ht="14.25" x14ac:dyDescent="0.15">
      <c r="A64" s="40" t="s">
        <v>19</v>
      </c>
      <c r="B64" s="29">
        <v>2</v>
      </c>
      <c r="C64" s="29">
        <v>2</v>
      </c>
      <c r="D64" s="29">
        <v>0</v>
      </c>
      <c r="E64" s="29">
        <v>2</v>
      </c>
      <c r="F64" s="46">
        <v>0</v>
      </c>
      <c r="G64" s="29">
        <v>0</v>
      </c>
      <c r="H64" s="31">
        <f>H60*4/3</f>
        <v>2.6666666666666665</v>
      </c>
      <c r="I64" s="31">
        <f t="shared" ref="I64:L64" si="70">I60*4/3</f>
        <v>2.6666666666666665</v>
      </c>
      <c r="J64" s="31">
        <f t="shared" si="70"/>
        <v>5.333333333333333</v>
      </c>
      <c r="K64" s="31">
        <f t="shared" si="70"/>
        <v>2.6666666666666665</v>
      </c>
      <c r="L64" s="31">
        <f t="shared" si="70"/>
        <v>2.6666666666666665</v>
      </c>
      <c r="M64" s="30">
        <v>4</v>
      </c>
      <c r="N64" s="29">
        <f>N62/3*4</f>
        <v>16</v>
      </c>
      <c r="O64" s="29">
        <f t="shared" ref="O64:S64" si="71">O62/3*4</f>
        <v>16</v>
      </c>
      <c r="P64" s="41">
        <f t="shared" si="71"/>
        <v>5.333333333333333</v>
      </c>
      <c r="Q64" s="29">
        <f t="shared" si="71"/>
        <v>16</v>
      </c>
      <c r="R64" s="47">
        <f t="shared" si="71"/>
        <v>5.333333333333333</v>
      </c>
      <c r="S64" s="41">
        <f t="shared" si="71"/>
        <v>5.333333333333333</v>
      </c>
      <c r="T64" s="30">
        <v>16</v>
      </c>
      <c r="U64" s="30">
        <v>4</v>
      </c>
      <c r="V64" s="29">
        <v>16</v>
      </c>
      <c r="W64" s="29">
        <v>16</v>
      </c>
      <c r="X64" s="29">
        <v>16</v>
      </c>
      <c r="Y64" s="29">
        <v>32</v>
      </c>
      <c r="Z64" s="46">
        <v>16</v>
      </c>
      <c r="AA64" s="46">
        <v>16</v>
      </c>
      <c r="AB64" s="29">
        <v>0</v>
      </c>
      <c r="AC64" s="29">
        <v>0</v>
      </c>
      <c r="AD64" s="29">
        <f t="shared" si="63"/>
        <v>0</v>
      </c>
      <c r="AE64" s="48">
        <f t="shared" si="65"/>
        <v>0</v>
      </c>
      <c r="AF64" s="48">
        <f t="shared" si="65"/>
        <v>0</v>
      </c>
      <c r="AG64" s="48">
        <f t="shared" si="65"/>
        <v>0.66666666666666674</v>
      </c>
      <c r="AH64" s="48">
        <f t="shared" si="65"/>
        <v>0.5</v>
      </c>
      <c r="AI64" s="48">
        <f t="shared" si="65"/>
        <v>0.66666666666666674</v>
      </c>
      <c r="AJ64" s="48">
        <f t="shared" si="66"/>
        <v>0.66666666666666674</v>
      </c>
      <c r="AK64" s="29">
        <f t="shared" si="67"/>
        <v>0</v>
      </c>
      <c r="AL64" s="29">
        <f t="shared" si="68"/>
        <v>0</v>
      </c>
    </row>
    <row r="65" spans="1:38" ht="14.25" x14ac:dyDescent="0.15">
      <c r="A65" s="40" t="s">
        <v>16</v>
      </c>
      <c r="B65" s="29">
        <v>3</v>
      </c>
      <c r="C65" s="29">
        <v>0</v>
      </c>
      <c r="D65" s="29">
        <v>0</v>
      </c>
      <c r="E65" s="29">
        <v>3</v>
      </c>
      <c r="F65" s="46">
        <v>1</v>
      </c>
      <c r="G65" s="29">
        <v>0</v>
      </c>
      <c r="H65" s="30">
        <v>2</v>
      </c>
      <c r="I65" s="30">
        <v>2</v>
      </c>
      <c r="J65" s="30">
        <v>4</v>
      </c>
      <c r="K65" s="30">
        <v>2</v>
      </c>
      <c r="L65" s="30">
        <v>2</v>
      </c>
      <c r="M65" s="30">
        <v>3</v>
      </c>
      <c r="N65" s="29">
        <v>12</v>
      </c>
      <c r="O65" s="29">
        <v>12</v>
      </c>
      <c r="P65" s="29">
        <v>4</v>
      </c>
      <c r="Q65" s="29">
        <v>12</v>
      </c>
      <c r="R65" s="46">
        <v>4</v>
      </c>
      <c r="S65" s="29">
        <v>4</v>
      </c>
      <c r="T65" s="30">
        <v>12</v>
      </c>
      <c r="U65" s="30">
        <v>12</v>
      </c>
      <c r="V65" s="29">
        <v>12</v>
      </c>
      <c r="W65" s="29">
        <v>12</v>
      </c>
      <c r="X65" s="29">
        <v>24</v>
      </c>
      <c r="Y65" s="29">
        <v>12</v>
      </c>
      <c r="Z65" s="46">
        <v>12</v>
      </c>
      <c r="AA65" s="29">
        <v>12</v>
      </c>
      <c r="AB65" s="29">
        <v>0</v>
      </c>
      <c r="AC65" s="29">
        <v>0</v>
      </c>
      <c r="AD65" s="29">
        <f t="shared" si="63"/>
        <v>9</v>
      </c>
      <c r="AE65" s="48">
        <f t="shared" si="65"/>
        <v>0</v>
      </c>
      <c r="AF65" s="48">
        <f t="shared" si="65"/>
        <v>0</v>
      </c>
      <c r="AG65" s="48">
        <f t="shared" si="65"/>
        <v>0.83333333333333337</v>
      </c>
      <c r="AH65" s="48">
        <f t="shared" si="65"/>
        <v>0</v>
      </c>
      <c r="AI65" s="48">
        <f t="shared" si="65"/>
        <v>0.66666666666666663</v>
      </c>
      <c r="AJ65" s="48">
        <f t="shared" si="66"/>
        <v>0.66666666666666663</v>
      </c>
      <c r="AK65" s="29">
        <f t="shared" si="67"/>
        <v>0</v>
      </c>
      <c r="AL65" s="29">
        <f t="shared" si="68"/>
        <v>0</v>
      </c>
    </row>
    <row r="67" spans="1:38" ht="14.25" x14ac:dyDescent="0.15">
      <c r="G67" s="28" t="str">
        <f>B59</f>
        <v>AU</v>
      </c>
      <c r="H67" s="29">
        <v>1</v>
      </c>
      <c r="I67" s="29">
        <v>1</v>
      </c>
      <c r="J67" s="29">
        <v>1</v>
      </c>
      <c r="K67" s="29">
        <v>1</v>
      </c>
      <c r="L67" s="29">
        <v>1</v>
      </c>
      <c r="S67" s="28" t="str">
        <f>N59</f>
        <v>AU</v>
      </c>
      <c r="T67" s="29">
        <v>1</v>
      </c>
    </row>
    <row r="68" spans="1:38" x14ac:dyDescent="0.15">
      <c r="G68" s="29" t="str">
        <f>C59</f>
        <v>SH</v>
      </c>
      <c r="H68" s="29">
        <v>1</v>
      </c>
      <c r="I68" s="29">
        <v>1</v>
      </c>
      <c r="J68" s="29">
        <v>1</v>
      </c>
      <c r="K68" s="29">
        <v>1</v>
      </c>
      <c r="L68" s="29">
        <v>1</v>
      </c>
      <c r="S68" s="29" t="str">
        <f>O59</f>
        <v>SH</v>
      </c>
      <c r="T68" s="29">
        <v>1</v>
      </c>
    </row>
    <row r="69" spans="1:38" ht="14.25" x14ac:dyDescent="0.15">
      <c r="G69" s="28" t="s">
        <v>1</v>
      </c>
      <c r="H69" s="29">
        <v>1</v>
      </c>
      <c r="I69" s="29">
        <v>0</v>
      </c>
      <c r="J69" s="29">
        <v>0</v>
      </c>
      <c r="K69" s="29">
        <v>1</v>
      </c>
      <c r="L69" s="29">
        <v>0</v>
      </c>
      <c r="S69" s="28" t="s">
        <v>1</v>
      </c>
      <c r="T69" s="29">
        <v>1</v>
      </c>
    </row>
    <row r="70" spans="1:38" ht="14.25" x14ac:dyDescent="0.15">
      <c r="G70" s="28" t="s">
        <v>9</v>
      </c>
      <c r="H70" s="29">
        <v>1</v>
      </c>
      <c r="I70" s="29">
        <v>1</v>
      </c>
      <c r="J70" s="29">
        <v>1</v>
      </c>
      <c r="K70" s="29">
        <v>1</v>
      </c>
      <c r="L70" s="29">
        <v>1</v>
      </c>
      <c r="S70" s="28" t="s">
        <v>9</v>
      </c>
      <c r="T70" s="29">
        <v>2</v>
      </c>
    </row>
    <row r="71" spans="1:38" ht="14.25" x14ac:dyDescent="0.15">
      <c r="G71" s="28" t="s">
        <v>10</v>
      </c>
      <c r="H71" s="29">
        <v>0</v>
      </c>
      <c r="I71" s="29">
        <v>0</v>
      </c>
      <c r="J71" s="29">
        <v>1</v>
      </c>
      <c r="K71" s="29">
        <v>0</v>
      </c>
      <c r="L71" s="29">
        <v>0</v>
      </c>
      <c r="S71" s="28" t="s">
        <v>10</v>
      </c>
      <c r="T71" s="29">
        <v>1</v>
      </c>
    </row>
    <row r="72" spans="1:38" ht="14.25" x14ac:dyDescent="0.15">
      <c r="G72" s="28" t="s">
        <v>11</v>
      </c>
      <c r="H72" s="29">
        <v>0</v>
      </c>
      <c r="I72" s="29">
        <v>0</v>
      </c>
      <c r="J72" s="29">
        <v>0</v>
      </c>
      <c r="K72" s="29">
        <v>1</v>
      </c>
      <c r="L72" s="29">
        <v>1</v>
      </c>
      <c r="S72" s="29" t="s">
        <v>141</v>
      </c>
      <c r="T72" s="29">
        <v>1</v>
      </c>
    </row>
    <row r="73" spans="1:38" ht="14.25" x14ac:dyDescent="0.15">
      <c r="S73" s="28"/>
      <c r="T73" s="29"/>
    </row>
  </sheetData>
  <mergeCells count="12">
    <mergeCell ref="B39:G39"/>
    <mergeCell ref="AD39:AL39"/>
    <mergeCell ref="B1:G1"/>
    <mergeCell ref="B58:G58"/>
    <mergeCell ref="AD1:AL1"/>
    <mergeCell ref="T58:AC58"/>
    <mergeCell ref="H58:S58"/>
    <mergeCell ref="T39:AC39"/>
    <mergeCell ref="H39:S39"/>
    <mergeCell ref="T1:AC1"/>
    <mergeCell ref="H1:S1"/>
    <mergeCell ref="AD58:AL5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D1" workbookViewId="0">
      <selection activeCell="M7" sqref="M7"/>
    </sheetView>
  </sheetViews>
  <sheetFormatPr defaultRowHeight="13.5" x14ac:dyDescent="0.15"/>
  <cols>
    <col min="12" max="12" width="10.625" customWidth="1"/>
    <col min="13" max="13" width="12.25" customWidth="1"/>
  </cols>
  <sheetData>
    <row r="1" spans="1:15" ht="15" x14ac:dyDescent="0.25">
      <c r="A1" s="50" t="str">
        <f>[1]映射分析!A2</f>
        <v>本文</v>
      </c>
      <c r="B1" s="50" t="str">
        <f>[1]算法分析!B1</f>
        <v>AU</v>
      </c>
      <c r="C1" s="50" t="str">
        <f>[1]算法分析!C1</f>
        <v>SH</v>
      </c>
      <c r="D1" s="50" t="str">
        <f>[1]算法分析!D1</f>
        <v>PER</v>
      </c>
      <c r="E1" s="50" t="str">
        <f>[1]算法分析!E1</f>
        <v>LOU</v>
      </c>
      <c r="F1" s="50" t="str">
        <f>[1]算法分析!F1</f>
        <v>4*LUT256*8</v>
      </c>
      <c r="G1" s="50" t="str">
        <f>[1]算法分析!G1</f>
        <v>GFM</v>
      </c>
      <c r="H1" s="50" t="s">
        <v>162</v>
      </c>
      <c r="I1" s="51" t="str">
        <f t="shared" ref="I1:N1" si="0">B1</f>
        <v>AU</v>
      </c>
      <c r="J1" s="51" t="str">
        <f t="shared" si="0"/>
        <v>SH</v>
      </c>
      <c r="K1" s="51" t="str">
        <f t="shared" si="0"/>
        <v>PER</v>
      </c>
      <c r="L1" s="51" t="str">
        <f t="shared" si="0"/>
        <v>LOU</v>
      </c>
      <c r="M1" s="51" t="str">
        <f t="shared" si="0"/>
        <v>4*LUT256*8</v>
      </c>
      <c r="N1" s="51" t="str">
        <f t="shared" si="0"/>
        <v>GFM</v>
      </c>
      <c r="O1" s="51"/>
    </row>
    <row r="2" spans="1:15" ht="15" x14ac:dyDescent="0.25">
      <c r="A2" s="52" t="str">
        <f>[1]算法分析!A$2</f>
        <v>AES</v>
      </c>
      <c r="B2" s="53">
        <f>SUMPRODUCT([1]架构比较!C$2:C$6,[1]映射分析!$C$2:$C$6)</f>
        <v>12</v>
      </c>
      <c r="C2" s="53">
        <f>SUMPRODUCT([1]架构比较!D$2:D$6,[1]映射分析!$C$2:$C$6)</f>
        <v>12</v>
      </c>
      <c r="D2" s="53">
        <f>SUMPRODUCT([1]架构比较!E$2:E$6,[1]映射分析!$C$2:$C$6)</f>
        <v>4</v>
      </c>
      <c r="E2" s="53">
        <f>SUMPRODUCT([1]架构比较!F$2:F$6,[1]映射分析!$C$2:$C$6)</f>
        <v>12</v>
      </c>
      <c r="F2" s="53">
        <f>SUMPRODUCT([1]架构比较!G$2:G$6,[1]映射分析!$C$2:$C$6)</f>
        <v>4</v>
      </c>
      <c r="G2" s="53">
        <f>SUMPRODUCT([1]架构比较!H$2:H$6,[1]映射分析!$C$2:$C$6)</f>
        <v>4</v>
      </c>
      <c r="H2" s="54">
        <f>[1]映射分析!C$7</f>
        <v>3</v>
      </c>
      <c r="I2" s="55">
        <f>IF([1]资源数比较!B2&lt;&gt;0,[1]算法分析!B2/[1]资源数比较!B2,"")</f>
        <v>0</v>
      </c>
      <c r="J2" s="55">
        <f>IF([1]资源数比较!C2&lt;&gt;0,[1]算法分析!C2/[1]资源数比较!C2,"")</f>
        <v>0</v>
      </c>
      <c r="K2" s="55">
        <f>IF([1]资源数比较!D2&lt;&gt;0,[1]算法分析!D2/[1]资源数比较!D2,"")</f>
        <v>0</v>
      </c>
      <c r="L2" s="55">
        <f>IF([1]资源数比较!E2&lt;&gt;0,[1]算法分析!E2/[1]资源数比较!E2,"")</f>
        <v>0.33333333333333331</v>
      </c>
      <c r="M2" s="55">
        <f>IF([1]资源数比较!F2&lt;&gt;0,[1]算法分析!F2/[1]资源数比较!F2,"")</f>
        <v>1</v>
      </c>
      <c r="N2" s="55">
        <f>IF([1]资源数比较!G2&lt;&gt;0,[1]算法分析!G2/[1]资源数比较!G2,"")</f>
        <v>1</v>
      </c>
      <c r="O2" s="55"/>
    </row>
    <row r="3" spans="1:15" ht="15" x14ac:dyDescent="0.25">
      <c r="A3" s="52" t="str">
        <f>[1]算法分析!A$3</f>
        <v>DES</v>
      </c>
      <c r="B3" s="53">
        <f>SUMPRODUCT([1]架构比较!C$2:C$6,[1]映射分析!$D$2:$D$6)</f>
        <v>12</v>
      </c>
      <c r="C3" s="53">
        <f>SUMPRODUCT([1]架构比较!D$2:D$6,[1]映射分析!$D$2:$D$6)</f>
        <v>12</v>
      </c>
      <c r="D3" s="53">
        <f>SUMPRODUCT([1]架构比较!E$2:E$6,[1]映射分析!$D$2:$D$6)</f>
        <v>4</v>
      </c>
      <c r="E3" s="53">
        <f>SUMPRODUCT([1]架构比较!F$2:F$6,[1]映射分析!$D$2:$D$6)</f>
        <v>12</v>
      </c>
      <c r="F3" s="53">
        <f>SUMPRODUCT([1]架构比较!G$2:G$6,[1]映射分析!$D$2:$D$6)</f>
        <v>4</v>
      </c>
      <c r="G3" s="53">
        <f>SUMPRODUCT([1]架构比较!H$2:H$6,[1]映射分析!$D$2:$D$6)</f>
        <v>4</v>
      </c>
      <c r="H3" s="54">
        <f>[1]映射分析!D$7</f>
        <v>3</v>
      </c>
      <c r="I3" s="55">
        <f>IF([1]资源数比较!B3&lt;&gt;0,[1]算法分析!B3/[1]资源数比较!B3,"")</f>
        <v>0</v>
      </c>
      <c r="J3" s="55">
        <f>IF([1]资源数比较!C3&lt;&gt;0,[1]算法分析!C3/[1]资源数比较!C3,"")</f>
        <v>0</v>
      </c>
      <c r="K3" s="55">
        <f>IF([1]资源数比较!D3&lt;&gt;0,[1]算法分析!D3/[1]资源数比较!D3,"")</f>
        <v>0.5</v>
      </c>
      <c r="L3" s="55">
        <f>IF([1]资源数比较!E3&lt;&gt;0,[1]算法分析!E3/[1]资源数比较!E3,"")</f>
        <v>0.16666666666666666</v>
      </c>
      <c r="M3" s="55">
        <f>IF([1]资源数比较!F3&lt;&gt;0,[1]算法分析!F3/[1]资源数比较!F3,"")</f>
        <v>0.5</v>
      </c>
      <c r="N3" s="55">
        <f>IF([1]资源数比较!G3&lt;&gt;0,[1]算法分析!G3/[1]资源数比较!G3,"")</f>
        <v>0</v>
      </c>
      <c r="O3" s="55"/>
    </row>
    <row r="4" spans="1:15" ht="15" x14ac:dyDescent="0.25">
      <c r="A4" s="52" t="str">
        <f>[1]算法分析!A$4</f>
        <v>SM4</v>
      </c>
      <c r="B4" s="53">
        <f>SUMPRODUCT([1]架构比较!C$2:C$6,[1]映射分析!$E$2:$E$6)</f>
        <v>12</v>
      </c>
      <c r="C4" s="53">
        <f>SUMPRODUCT([1]架构比较!D$2:D$6,[1]映射分析!$E$2:$E$6)</f>
        <v>12</v>
      </c>
      <c r="D4" s="53">
        <f>SUMPRODUCT([1]架构比较!E$2:E$6,[1]映射分析!$E$2:$E$6)</f>
        <v>4</v>
      </c>
      <c r="E4" s="53">
        <f>SUMPRODUCT([1]架构比较!F$2:F$6,[1]映射分析!$E$2:$E$6)</f>
        <v>12</v>
      </c>
      <c r="F4" s="53">
        <f>SUMPRODUCT([1]架构比较!G$2:G$6,[1]映射分析!$E$2:$E$6)</f>
        <v>4</v>
      </c>
      <c r="G4" s="53">
        <f>SUMPRODUCT([1]架构比较!H$2:H$6,[1]映射分析!$E$2:$E$6)</f>
        <v>4</v>
      </c>
      <c r="H4" s="54">
        <f>[1]映射分析!E$7</f>
        <v>3</v>
      </c>
      <c r="I4" s="55">
        <f>IF([1]资源数比较!B4&lt;&gt;0,[1]算法分析!B4/[1]资源数比较!B4,"")</f>
        <v>0</v>
      </c>
      <c r="J4" s="55">
        <f>IF([1]资源数比较!C4&lt;&gt;0,[1]算法分析!C4/[1]资源数比较!C4,"")</f>
        <v>0.33333333333333331</v>
      </c>
      <c r="K4" s="55">
        <f>IF([1]资源数比较!D4&lt;&gt;0,[1]算法分析!D4/[1]资源数比较!D4,"")</f>
        <v>0</v>
      </c>
      <c r="L4" s="55">
        <f>IF([1]资源数比较!E4&lt;&gt;0,[1]算法分析!E4/[1]资源数比较!E4,"")</f>
        <v>0.33333333333333331</v>
      </c>
      <c r="M4" s="55">
        <f>IF([1]资源数比较!F4&lt;&gt;0,[1]算法分析!F4/[1]资源数比较!F4,"")</f>
        <v>0.25</v>
      </c>
      <c r="N4" s="55">
        <f>IF([1]资源数比较!G4&lt;&gt;0,[1]算法分析!G4/[1]资源数比较!G4,"")</f>
        <v>0</v>
      </c>
      <c r="O4" s="55"/>
    </row>
    <row r="5" spans="1:15" ht="15" x14ac:dyDescent="0.25">
      <c r="A5" s="52" t="str">
        <f>[1]算法分析!A$5</f>
        <v>TWOFISH</v>
      </c>
      <c r="B5" s="53">
        <f>SUMPRODUCT([1]架构比较!C$2:C$6,[1]映射分析!$F$2:$F$6)</f>
        <v>24</v>
      </c>
      <c r="C5" s="53">
        <f>SUMPRODUCT([1]架构比较!D$2:D$6,[1]映射分析!$F$2:$F$6)</f>
        <v>24</v>
      </c>
      <c r="D5" s="53">
        <f>SUMPRODUCT([1]架构比较!E$2:E$6,[1]映射分析!$F$2:$F$6)</f>
        <v>8</v>
      </c>
      <c r="E5" s="53">
        <f>SUMPRODUCT([1]架构比较!F$2:F$6,[1]映射分析!$F$2:$F$6)</f>
        <v>24</v>
      </c>
      <c r="F5" s="53">
        <f>SUMPRODUCT([1]架构比较!G$2:G$6,[1]映射分析!$F$2:$F$6)</f>
        <v>8</v>
      </c>
      <c r="G5" s="53">
        <f>SUMPRODUCT([1]架构比较!H$2:H$6,[1]映射分析!$F$2:$F$6)</f>
        <v>8</v>
      </c>
      <c r="H5" s="54">
        <f>[1]映射分析!F$7</f>
        <v>6</v>
      </c>
      <c r="I5" s="55">
        <f>IF([1]资源数比较!B5&lt;&gt;0,[1]算法分析!B5/[1]资源数比较!B5,"")</f>
        <v>0.16666666666666666</v>
      </c>
      <c r="J5" s="55">
        <f>IF([1]资源数比较!C5&lt;&gt;0,[1]算法分析!C5/[1]资源数比较!C5,"")</f>
        <v>4.1666666666666664E-2</v>
      </c>
      <c r="K5" s="55">
        <f>IF([1]资源数比较!D5&lt;&gt;0,[1]算法分析!D5/[1]资源数比较!D5,"")</f>
        <v>0</v>
      </c>
      <c r="L5" s="55">
        <f>IF([1]资源数比较!E5&lt;&gt;0,[1]算法分析!E5/[1]资源数比较!E5,"")</f>
        <v>0.25</v>
      </c>
      <c r="M5" s="55">
        <f>IF([1]资源数比较!F5&lt;&gt;0,[1]算法分析!F5/[1]资源数比较!F5,"")</f>
        <v>0.25</v>
      </c>
      <c r="N5" s="55">
        <f>IF([1]资源数比较!G5&lt;&gt;0,[1]算法分析!G5/[1]资源数比较!G5,"")</f>
        <v>0.25</v>
      </c>
      <c r="O5" s="55"/>
    </row>
    <row r="6" spans="1:15" ht="15" x14ac:dyDescent="0.25">
      <c r="A6" s="52" t="str">
        <f>[1]算法分析!A$6</f>
        <v>RC5</v>
      </c>
      <c r="B6" s="53">
        <f>SUMPRODUCT([1]架构比较!C$2:C$6,[1]映射分析!$G$2:$G$6)</f>
        <v>15.999999999999998</v>
      </c>
      <c r="C6" s="53">
        <f>SUMPRODUCT([1]架构比较!D$2:D$6,[1]映射分析!$G$2:$G$6)</f>
        <v>15.999999999999998</v>
      </c>
      <c r="D6" s="56">
        <f>SUMPRODUCT([1]架构比较!E$2:E$6,[1]映射分析!$G$2:$G$6)</f>
        <v>5.333333333333333</v>
      </c>
      <c r="E6" s="53">
        <f>SUMPRODUCT([1]架构比较!F$2:F$6,[1]映射分析!$G$2:$G$6)</f>
        <v>15.999999999999998</v>
      </c>
      <c r="F6" s="56">
        <f>SUMPRODUCT([1]架构比较!G$2:G$6,[1]映射分析!$G$2:$G$6)</f>
        <v>5.333333333333333</v>
      </c>
      <c r="G6" s="56">
        <f>SUMPRODUCT([1]架构比较!H$2:H$6,[1]映射分析!$G$2:$G$6)</f>
        <v>5.333333333333333</v>
      </c>
      <c r="H6" s="54">
        <f>[1]映射分析!G$7</f>
        <v>4</v>
      </c>
      <c r="I6" s="55">
        <f>IF([1]资源数比较!B6&lt;&gt;0,[1]算法分析!B6/[1]资源数比较!B6,"")</f>
        <v>0.125</v>
      </c>
      <c r="J6" s="55">
        <f>IF([1]资源数比较!C6&lt;&gt;0,[1]算法分析!C6/[1]资源数比较!C6,"")</f>
        <v>0.125</v>
      </c>
      <c r="K6" s="55">
        <f>IF([1]资源数比较!D6&lt;&gt;0,[1]算法分析!D6/[1]资源数比较!D6,"")</f>
        <v>0</v>
      </c>
      <c r="L6" s="55">
        <f>IF([1]资源数比较!E6&lt;&gt;0,[1]算法分析!E6/[1]资源数比较!E6,"")</f>
        <v>0.125</v>
      </c>
      <c r="M6" s="55">
        <f>IF([1]资源数比较!F6&lt;&gt;0,[1]算法分析!F6/[1]资源数比较!F6,"")</f>
        <v>0</v>
      </c>
      <c r="N6" s="55">
        <f>IF([1]资源数比较!G6&lt;&gt;0,[1]算法分析!G6/[1]资源数比较!G6,"")</f>
        <v>0</v>
      </c>
      <c r="O6" s="55"/>
    </row>
    <row r="7" spans="1:15" ht="15" x14ac:dyDescent="0.25">
      <c r="A7" s="52" t="str">
        <f>[1]算法分析!A$7</f>
        <v>BLOWFISH</v>
      </c>
      <c r="B7" s="53">
        <f>SUMPRODUCT([1]架构比较!C$2:C$6,[1]映射分析!$H$2:$H$6)</f>
        <v>12</v>
      </c>
      <c r="C7" s="53">
        <f>SUMPRODUCT([1]架构比较!D$2:D$6,[1]映射分析!$H$2:$H$6)</f>
        <v>12</v>
      </c>
      <c r="D7" s="53">
        <f>SUMPRODUCT([1]架构比较!E$2:E$6,[1]映射分析!$H$2:$H$6)</f>
        <v>4</v>
      </c>
      <c r="E7" s="53">
        <f>SUMPRODUCT([1]架构比较!F$2:F$6,[1]映射分析!$H$2:$H$6)</f>
        <v>12</v>
      </c>
      <c r="F7" s="53">
        <f>SUMPRODUCT([1]架构比较!G$2:G$6,[1]映射分析!$H$2:$H$6)</f>
        <v>4</v>
      </c>
      <c r="G7" s="53">
        <f>SUMPRODUCT([1]架构比较!H$2:H$6,[1]映射分析!$H$2:$H$6)</f>
        <v>4</v>
      </c>
      <c r="H7" s="54">
        <f>[1]映射分析!H$7</f>
        <v>3</v>
      </c>
      <c r="I7" s="55">
        <f>IF([1]资源数比较!B7&lt;&gt;0,[1]算法分析!B7/[1]资源数比较!B7,"")</f>
        <v>0.25</v>
      </c>
      <c r="J7" s="55">
        <f>IF([1]资源数比较!C7&lt;&gt;0,[1]算法分析!C7/[1]资源数比较!C7,"")</f>
        <v>0</v>
      </c>
      <c r="K7" s="55">
        <f>IF([1]资源数比较!D7&lt;&gt;0,[1]算法分析!D7/[1]资源数比较!D7,"")</f>
        <v>0</v>
      </c>
      <c r="L7" s="55">
        <f>IF([1]资源数比较!E7&lt;&gt;0,[1]算法分析!E7/[1]资源数比较!E7,"")</f>
        <v>0.25</v>
      </c>
      <c r="M7" s="55">
        <f>IF([1]资源数比较!F7&lt;&gt;0,[1]算法分析!F7/[1]资源数比较!F7,"")</f>
        <v>0.25</v>
      </c>
      <c r="N7" s="55">
        <f>IF([1]资源数比较!G7&lt;&gt;0,[1]算法分析!G7/[1]资源数比较!G7,"")</f>
        <v>0</v>
      </c>
      <c r="O7" s="55"/>
    </row>
    <row r="8" spans="1:15" ht="15" x14ac:dyDescent="0.25">
      <c r="A8" s="5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</row>
    <row r="9" spans="1:15" ht="15" x14ac:dyDescent="0.25">
      <c r="A9" s="52" t="str">
        <f>[1]映射分析!A8</f>
        <v>TH</v>
      </c>
      <c r="B9" s="58"/>
      <c r="C9" s="58"/>
      <c r="D9" s="58"/>
      <c r="E9" s="58"/>
      <c r="F9" s="58"/>
      <c r="G9" s="58"/>
      <c r="H9" s="58"/>
      <c r="I9" s="50" t="str">
        <f>[1]资源数比较!B1</f>
        <v>AU</v>
      </c>
      <c r="J9" s="50" t="str">
        <f>[1]资源数比较!C1</f>
        <v>SH</v>
      </c>
      <c r="K9" s="50" t="str">
        <f>[1]资源数比较!D1</f>
        <v>PER</v>
      </c>
      <c r="L9" s="50" t="str">
        <f>[1]资源数比较!E1</f>
        <v>LOU</v>
      </c>
      <c r="M9" s="50" t="str">
        <f>[1]资源数比较!F1</f>
        <v>4*LUT256*8</v>
      </c>
      <c r="N9" s="50" t="str">
        <f>[1]资源数比较!G1</f>
        <v>GFM</v>
      </c>
      <c r="O9" s="50" t="str">
        <f>[1]资源数比较!J1</f>
        <v>CR</v>
      </c>
    </row>
    <row r="10" spans="1:15" ht="15" x14ac:dyDescent="0.25">
      <c r="A10" s="52" t="str">
        <f>[1]算法分析!A$2</f>
        <v>AES</v>
      </c>
      <c r="B10" s="59">
        <f>SUMPRODUCT([1]架构比较!C$8:C$9,[1]映射分析!$C$8:$C$9)</f>
        <v>8</v>
      </c>
      <c r="C10" s="59">
        <f>SUMPRODUCT([1]架构比较!D$8:D$9,[1]映射分析!$C$8:$C$9)</f>
        <v>8</v>
      </c>
      <c r="D10" s="59">
        <f>SUMPRODUCT([1]架构比较!E$8:E$9,[1]映射分析!$C$8:$C$9)</f>
        <v>4</v>
      </c>
      <c r="E10" s="59">
        <f>SUMPRODUCT([1]架构比较!F$8:F$9,[1]映射分析!$C$8:$C$9)</f>
        <v>48</v>
      </c>
      <c r="F10" s="59">
        <f>SUMPRODUCT([1]架构比较!G$8:G$9,[1]映射分析!$C$8:$C$9)</f>
        <v>16</v>
      </c>
      <c r="G10" s="59">
        <f>SUMPRODUCT([1]架构比较!H$8:H$9,[1]映射分析!$C$8:$C$9)</f>
        <v>0</v>
      </c>
      <c r="H10" s="59">
        <f>[1]映射分析!C$10</f>
        <v>2</v>
      </c>
      <c r="I10" s="60">
        <f>B10/B2</f>
        <v>0.66666666666666663</v>
      </c>
      <c r="J10" s="60">
        <f t="shared" ref="J10:O10" si="1">C10/C2</f>
        <v>0.66666666666666663</v>
      </c>
      <c r="K10" s="60">
        <f t="shared" si="1"/>
        <v>1</v>
      </c>
      <c r="L10" s="60">
        <f t="shared" si="1"/>
        <v>4</v>
      </c>
      <c r="M10" s="60">
        <f t="shared" si="1"/>
        <v>4</v>
      </c>
      <c r="N10" s="60">
        <f t="shared" si="1"/>
        <v>0</v>
      </c>
      <c r="O10" s="60">
        <f t="shared" si="1"/>
        <v>0.66666666666666663</v>
      </c>
    </row>
    <row r="11" spans="1:15" ht="15" x14ac:dyDescent="0.25">
      <c r="A11" s="52" t="str">
        <f>[1]算法分析!A$3</f>
        <v>DES</v>
      </c>
      <c r="B11" s="59">
        <f>SUMPRODUCT([1]架构比较!C$8:C$9,[1]映射分析!$D$8:$D$9)</f>
        <v>16</v>
      </c>
      <c r="C11" s="59">
        <f>SUMPRODUCT([1]架构比较!D$8:D$9,[1]映射分析!$D$8:$D$9)</f>
        <v>16</v>
      </c>
      <c r="D11" s="59">
        <f>SUMPRODUCT([1]架构比较!E$8:E$9,[1]映射分析!$D$8:$D$9)</f>
        <v>8</v>
      </c>
      <c r="E11" s="59">
        <f>SUMPRODUCT([1]架构比较!F$8:F$9,[1]映射分析!$D$8:$D$9)</f>
        <v>96</v>
      </c>
      <c r="F11" s="59">
        <f>SUMPRODUCT([1]架构比较!G$8:G$9,[1]映射分析!$D$8:$D$9)</f>
        <v>32</v>
      </c>
      <c r="G11" s="59">
        <f>SUMPRODUCT([1]架构比较!H$8:H$9,[1]映射分析!$D$8:$D$9)</f>
        <v>0</v>
      </c>
      <c r="H11" s="59">
        <f>[1]映射分析!D$10</f>
        <v>4</v>
      </c>
      <c r="I11" s="60">
        <f t="shared" ref="I11:I15" si="2">B11/B3</f>
        <v>1.3333333333333333</v>
      </c>
      <c r="J11" s="60">
        <f t="shared" ref="J11:J15" si="3">C11/C3</f>
        <v>1.3333333333333333</v>
      </c>
      <c r="K11" s="60">
        <f t="shared" ref="K11:K15" si="4">D11/D3</f>
        <v>2</v>
      </c>
      <c r="L11" s="60">
        <f t="shared" ref="L11:L15" si="5">E11/E3</f>
        <v>8</v>
      </c>
      <c r="M11" s="60">
        <f t="shared" ref="M11:M15" si="6">F11/F3</f>
        <v>8</v>
      </c>
      <c r="N11" s="60">
        <f t="shared" ref="N11:N15" si="7">G11/G3</f>
        <v>0</v>
      </c>
      <c r="O11" s="60">
        <f t="shared" ref="O11:O15" si="8">H11/H3</f>
        <v>1.3333333333333333</v>
      </c>
    </row>
    <row r="12" spans="1:15" ht="15" x14ac:dyDescent="0.25">
      <c r="A12" s="52" t="str">
        <f>[1]算法分析!A$4</f>
        <v>SM4</v>
      </c>
      <c r="B12" s="59">
        <f>SUMPRODUCT([1]架构比较!C$8:C$9,[1]映射分析!$E$8:$E$9)</f>
        <v>16</v>
      </c>
      <c r="C12" s="59">
        <f>SUMPRODUCT([1]架构比较!D$8:D$9,[1]映射分析!$E$8:$E$9)</f>
        <v>16</v>
      </c>
      <c r="D12" s="59">
        <f>SUMPRODUCT([1]架构比较!E$8:E$9,[1]映射分析!$E$8:$E$9)</f>
        <v>8</v>
      </c>
      <c r="E12" s="59">
        <f>SUMPRODUCT([1]架构比较!F$8:F$9,[1]映射分析!$E$8:$E$9)</f>
        <v>96</v>
      </c>
      <c r="F12" s="59">
        <f>SUMPRODUCT([1]架构比较!G$8:G$9,[1]映射分析!$E$8:$E$9)</f>
        <v>32</v>
      </c>
      <c r="G12" s="59">
        <f>SUMPRODUCT([1]架构比较!H$8:H$9,[1]映射分析!$E$8:$E$9)</f>
        <v>0</v>
      </c>
      <c r="H12" s="59">
        <f>[1]映射分析!E$10</f>
        <v>4</v>
      </c>
      <c r="I12" s="60">
        <f t="shared" si="2"/>
        <v>1.3333333333333333</v>
      </c>
      <c r="J12" s="60">
        <f t="shared" si="3"/>
        <v>1.3333333333333333</v>
      </c>
      <c r="K12" s="60">
        <f t="shared" si="4"/>
        <v>2</v>
      </c>
      <c r="L12" s="60">
        <f t="shared" si="5"/>
        <v>8</v>
      </c>
      <c r="M12" s="60">
        <f t="shared" si="6"/>
        <v>8</v>
      </c>
      <c r="N12" s="60">
        <f t="shared" si="7"/>
        <v>0</v>
      </c>
      <c r="O12" s="60">
        <f t="shared" si="8"/>
        <v>1.3333333333333333</v>
      </c>
    </row>
    <row r="13" spans="1:15" ht="15" x14ac:dyDescent="0.25">
      <c r="A13" s="52" t="str">
        <f>[1]算法分析!A$5</f>
        <v>TWOFISH</v>
      </c>
      <c r="B13" s="59">
        <f>SUMPRODUCT([1]架构比较!C$8:C$9,[1]映射分析!$F$8:$F$9)</f>
        <v>24</v>
      </c>
      <c r="C13" s="59">
        <f>SUMPRODUCT([1]架构比较!D$8:D$9,[1]映射分析!$F$8:$F$9)</f>
        <v>24</v>
      </c>
      <c r="D13" s="59">
        <f>SUMPRODUCT([1]架构比较!E$8:E$9,[1]映射分析!$F$8:$F$9)</f>
        <v>12</v>
      </c>
      <c r="E13" s="59">
        <f>SUMPRODUCT([1]架构比较!F$8:F$9,[1]映射分析!$F$8:$F$9)</f>
        <v>144</v>
      </c>
      <c r="F13" s="59">
        <f>SUMPRODUCT([1]架构比较!G$8:G$9,[1]映射分析!$F$8:$F$9)</f>
        <v>48</v>
      </c>
      <c r="G13" s="59">
        <f>SUMPRODUCT([1]架构比较!H$8:H$9,[1]映射分析!$F$8:$F$9)</f>
        <v>0</v>
      </c>
      <c r="H13" s="59">
        <f>[1]映射分析!F$10</f>
        <v>6</v>
      </c>
      <c r="I13" s="60">
        <f t="shared" si="2"/>
        <v>1</v>
      </c>
      <c r="J13" s="60">
        <f t="shared" si="3"/>
        <v>1</v>
      </c>
      <c r="K13" s="60">
        <f t="shared" si="4"/>
        <v>1.5</v>
      </c>
      <c r="L13" s="60">
        <f t="shared" si="5"/>
        <v>6</v>
      </c>
      <c r="M13" s="60">
        <f t="shared" si="6"/>
        <v>6</v>
      </c>
      <c r="N13" s="60">
        <f t="shared" si="7"/>
        <v>0</v>
      </c>
      <c r="O13" s="60">
        <f t="shared" si="8"/>
        <v>1</v>
      </c>
    </row>
    <row r="14" spans="1:15" ht="15" x14ac:dyDescent="0.25">
      <c r="A14" s="52" t="str">
        <f>[1]算法分析!A$6</f>
        <v>RC5</v>
      </c>
      <c r="B14" s="59">
        <f>SUMPRODUCT([1]架构比较!C$8:C$9,[1]映射分析!$G$8:$G$9)</f>
        <v>16</v>
      </c>
      <c r="C14" s="59">
        <f>SUMPRODUCT([1]架构比较!D$8:D$9,[1]映射分析!$G$8:$G$9)</f>
        <v>16</v>
      </c>
      <c r="D14" s="59">
        <f>SUMPRODUCT([1]架构比较!E$8:E$9,[1]映射分析!$G$8:$G$9)</f>
        <v>8</v>
      </c>
      <c r="E14" s="59">
        <f>SUMPRODUCT([1]架构比较!F$8:F$9,[1]映射分析!$G$8:$G$9)</f>
        <v>96</v>
      </c>
      <c r="F14" s="59">
        <f>SUMPRODUCT([1]架构比较!G$8:G$9,[1]映射分析!$G$8:$G$9)</f>
        <v>32</v>
      </c>
      <c r="G14" s="59">
        <f>SUMPRODUCT([1]架构比较!H$8:H$9,[1]映射分析!$G$8:$G$9)</f>
        <v>0</v>
      </c>
      <c r="H14" s="59">
        <f>[1]映射分析!G$10</f>
        <v>4</v>
      </c>
      <c r="I14" s="60">
        <f t="shared" si="2"/>
        <v>1</v>
      </c>
      <c r="J14" s="60">
        <f t="shared" si="3"/>
        <v>1</v>
      </c>
      <c r="K14" s="60">
        <f t="shared" si="4"/>
        <v>1.5</v>
      </c>
      <c r="L14" s="60">
        <f t="shared" si="5"/>
        <v>6.0000000000000009</v>
      </c>
      <c r="M14" s="60">
        <f t="shared" si="6"/>
        <v>6</v>
      </c>
      <c r="N14" s="60">
        <f t="shared" si="7"/>
        <v>0</v>
      </c>
      <c r="O14" s="60">
        <f t="shared" si="8"/>
        <v>1</v>
      </c>
    </row>
    <row r="15" spans="1:15" ht="15" x14ac:dyDescent="0.25">
      <c r="A15" s="52" t="str">
        <f>[1]算法分析!A$7</f>
        <v>BLOWFISH</v>
      </c>
      <c r="B15" s="59">
        <f>SUMPRODUCT([1]架构比较!C$8:C$9,[1]映射分析!$H$8:$H$9)</f>
        <v>16</v>
      </c>
      <c r="C15" s="59">
        <f>SUMPRODUCT([1]架构比较!D$8:D$9,[1]映射分析!$H$8:$H$9)</f>
        <v>16</v>
      </c>
      <c r="D15" s="59">
        <f>SUMPRODUCT([1]架构比较!E$8:E$9,[1]映射分析!$H$8:$H$9)</f>
        <v>8</v>
      </c>
      <c r="E15" s="59">
        <f>SUMPRODUCT([1]架构比较!F$8:F$9,[1]映射分析!$H$8:$H$9)</f>
        <v>96</v>
      </c>
      <c r="F15" s="59">
        <f>SUMPRODUCT([1]架构比较!G$8:G$9,[1]映射分析!$H$8:$H$9)</f>
        <v>32</v>
      </c>
      <c r="G15" s="59">
        <f>SUMPRODUCT([1]架构比较!H$8:H$9,[1]映射分析!$H$8:$H$9)</f>
        <v>0</v>
      </c>
      <c r="H15" s="59">
        <f>[1]映射分析!H$10</f>
        <v>4</v>
      </c>
      <c r="I15" s="60">
        <f t="shared" si="2"/>
        <v>1.3333333333333333</v>
      </c>
      <c r="J15" s="60">
        <f t="shared" si="3"/>
        <v>1.3333333333333333</v>
      </c>
      <c r="K15" s="60">
        <f t="shared" si="4"/>
        <v>2</v>
      </c>
      <c r="L15" s="60">
        <f t="shared" si="5"/>
        <v>8</v>
      </c>
      <c r="M15" s="60">
        <f t="shared" si="6"/>
        <v>8</v>
      </c>
      <c r="N15" s="60">
        <f t="shared" si="7"/>
        <v>0</v>
      </c>
      <c r="O15" s="60">
        <f t="shared" si="8"/>
        <v>1.3333333333333333</v>
      </c>
    </row>
    <row r="16" spans="1:15" ht="15" x14ac:dyDescent="0.25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</row>
    <row r="17" spans="1:15" ht="15" x14ac:dyDescent="0.25">
      <c r="A17" s="52" t="str">
        <f>[1]映射分析!A11</f>
        <v>Cyptoraptor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</row>
    <row r="18" spans="1:15" ht="15" x14ac:dyDescent="0.25">
      <c r="A18" s="52" t="str">
        <f>[1]算法分析!A$2</f>
        <v>AES</v>
      </c>
      <c r="B18" s="59">
        <f>SUMPRODUCT([1]架构比较!C$11:C$11,[1]映射分析!$C$11:$C$11)</f>
        <v>8</v>
      </c>
      <c r="C18" s="59">
        <f>SUMPRODUCT([1]架构比较!D$11:D$11,[1]映射分析!$C$11:$C$11)</f>
        <v>8</v>
      </c>
      <c r="D18" s="59">
        <f>SUMPRODUCT([1]架构比较!E$11:E$11,[1]映射分析!$C$11:$C$11)</f>
        <v>8</v>
      </c>
      <c r="E18" s="59">
        <f>SUMPRODUCT([1]架构比较!F$11:F$11,[1]映射分析!$C$11:$C$11)</f>
        <v>8</v>
      </c>
      <c r="F18" s="59">
        <f>SUMPRODUCT([1]架构比较!G$11:G$11,[1]映射分析!$C$11:$C$11)</f>
        <v>56</v>
      </c>
      <c r="G18" s="59">
        <f>SUMPRODUCT([1]架构比较!H$11:H$11,[1]映射分析!$C$11:$C$11)</f>
        <v>0</v>
      </c>
      <c r="H18" s="59">
        <f>[1]映射分析!C$12</f>
        <v>2</v>
      </c>
      <c r="I18" s="61">
        <f>B18/B2</f>
        <v>0.66666666666666663</v>
      </c>
      <c r="J18" s="61">
        <f t="shared" ref="J18:O18" si="9">C18/C2</f>
        <v>0.66666666666666663</v>
      </c>
      <c r="K18" s="61">
        <f t="shared" si="9"/>
        <v>2</v>
      </c>
      <c r="L18" s="61">
        <f t="shared" si="9"/>
        <v>0.66666666666666663</v>
      </c>
      <c r="M18" s="61">
        <f t="shared" si="9"/>
        <v>14</v>
      </c>
      <c r="N18" s="61">
        <f t="shared" si="9"/>
        <v>0</v>
      </c>
      <c r="O18" s="61">
        <f t="shared" si="9"/>
        <v>0.66666666666666663</v>
      </c>
    </row>
    <row r="19" spans="1:15" ht="15" x14ac:dyDescent="0.25">
      <c r="A19" s="52" t="str">
        <f>[1]算法分析!A$3</f>
        <v>DES</v>
      </c>
      <c r="B19" s="59">
        <f>SUMPRODUCT([1]架构比较!C$11:C$11,[1]映射分析!$D$11:$D$11)</f>
        <v>12</v>
      </c>
      <c r="C19" s="59">
        <f>SUMPRODUCT([1]架构比较!D$11:D$11,[1]映射分析!$D$11:$D$11)</f>
        <v>12</v>
      </c>
      <c r="D19" s="59">
        <f>SUMPRODUCT([1]架构比较!E$11:E$11,[1]映射分析!$D$11:$D$11)</f>
        <v>12</v>
      </c>
      <c r="E19" s="59">
        <f>SUMPRODUCT([1]架构比较!F$11:F$11,[1]映射分析!$D$11:$D$11)</f>
        <v>12</v>
      </c>
      <c r="F19" s="59">
        <f>SUMPRODUCT([1]架构比较!G$11:G$11,[1]映射分析!$D$11:$D$11)</f>
        <v>84</v>
      </c>
      <c r="G19" s="59">
        <f>SUMPRODUCT([1]架构比较!H$11:H$11,[1]映射分析!$D$11:$D$11)</f>
        <v>0</v>
      </c>
      <c r="H19" s="59">
        <f>[1]映射分析!D$12</f>
        <v>3</v>
      </c>
      <c r="I19" s="61">
        <f t="shared" ref="I19:I23" si="10">B19/B3</f>
        <v>1</v>
      </c>
      <c r="J19" s="61">
        <f t="shared" ref="J19:J23" si="11">C19/C3</f>
        <v>1</v>
      </c>
      <c r="K19" s="61">
        <f t="shared" ref="K19:K23" si="12">D19/D3</f>
        <v>3</v>
      </c>
      <c r="L19" s="61">
        <f t="shared" ref="L19:L23" si="13">E19/E3</f>
        <v>1</v>
      </c>
      <c r="M19" s="61">
        <f t="shared" ref="M19:M23" si="14">F19/F3</f>
        <v>21</v>
      </c>
      <c r="N19" s="61">
        <f t="shared" ref="N19:N23" si="15">G19/G3</f>
        <v>0</v>
      </c>
      <c r="O19" s="61">
        <f t="shared" ref="O19:O23" si="16">H19/H3</f>
        <v>1</v>
      </c>
    </row>
    <row r="20" spans="1:15" ht="15" x14ac:dyDescent="0.25">
      <c r="A20" s="52" t="str">
        <f>[1]算法分析!A$4</f>
        <v>SM4</v>
      </c>
      <c r="B20" s="59">
        <f>SUMPRODUCT([1]架构比较!C$11:C$11,[1]映射分析!$E$11:$E$11)</f>
        <v>16</v>
      </c>
      <c r="C20" s="59">
        <f>SUMPRODUCT([1]架构比较!D$11:D$11,[1]映射分析!$E$11:$E$11)</f>
        <v>16</v>
      </c>
      <c r="D20" s="59">
        <f>SUMPRODUCT([1]架构比较!E$11:E$11,[1]映射分析!$E$11:$E$11)</f>
        <v>16</v>
      </c>
      <c r="E20" s="59">
        <f>SUMPRODUCT([1]架构比较!F$11:F$11,[1]映射分析!$E$11:$E$11)</f>
        <v>16</v>
      </c>
      <c r="F20" s="59">
        <f>SUMPRODUCT([1]架构比较!G$11:G$11,[1]映射分析!$E$11:$E$11)</f>
        <v>112</v>
      </c>
      <c r="G20" s="59">
        <f>SUMPRODUCT([1]架构比较!H$11:H$11,[1]映射分析!$E$11:$E$11)</f>
        <v>0</v>
      </c>
      <c r="H20" s="59">
        <f>[1]映射分析!E$12</f>
        <v>4</v>
      </c>
      <c r="I20" s="61">
        <f t="shared" si="10"/>
        <v>1.3333333333333333</v>
      </c>
      <c r="J20" s="61">
        <f t="shared" si="11"/>
        <v>1.3333333333333333</v>
      </c>
      <c r="K20" s="61">
        <f t="shared" si="12"/>
        <v>4</v>
      </c>
      <c r="L20" s="61">
        <f t="shared" si="13"/>
        <v>1.3333333333333333</v>
      </c>
      <c r="M20" s="61">
        <f t="shared" si="14"/>
        <v>28</v>
      </c>
      <c r="N20" s="61">
        <f t="shared" si="15"/>
        <v>0</v>
      </c>
      <c r="O20" s="61">
        <f t="shared" si="16"/>
        <v>1.3333333333333333</v>
      </c>
    </row>
    <row r="21" spans="1:15" ht="15" x14ac:dyDescent="0.25">
      <c r="A21" s="52" t="str">
        <f>[1]算法分析!A$5</f>
        <v>TWOFISH</v>
      </c>
      <c r="B21" s="59">
        <f>SUMPRODUCT([1]架构比较!C$11:C$11,[1]映射分析!$F$11:$F$11)</f>
        <v>20</v>
      </c>
      <c r="C21" s="59">
        <f>SUMPRODUCT([1]架构比较!D$11:D$11,[1]映射分析!$F$11:$F$11)</f>
        <v>20</v>
      </c>
      <c r="D21" s="59">
        <f>SUMPRODUCT([1]架构比较!E$11:E$11,[1]映射分析!$F$11:$F$11)</f>
        <v>20</v>
      </c>
      <c r="E21" s="59">
        <f>SUMPRODUCT([1]架构比较!F$11:F$11,[1]映射分析!$F$11:$F$11)</f>
        <v>20</v>
      </c>
      <c r="F21" s="59">
        <f>SUMPRODUCT([1]架构比较!G$11:G$11,[1]映射分析!$F$11:$F$11)</f>
        <v>140</v>
      </c>
      <c r="G21" s="59">
        <f>SUMPRODUCT([1]架构比较!H$11:H$11,[1]映射分析!$F$11:$F$11)</f>
        <v>0</v>
      </c>
      <c r="H21" s="59">
        <f>[1]映射分析!F$12</f>
        <v>5</v>
      </c>
      <c r="I21" s="61">
        <f t="shared" si="10"/>
        <v>0.83333333333333337</v>
      </c>
      <c r="J21" s="61">
        <f t="shared" si="11"/>
        <v>0.83333333333333337</v>
      </c>
      <c r="K21" s="61">
        <f t="shared" si="12"/>
        <v>2.5</v>
      </c>
      <c r="L21" s="61">
        <f t="shared" si="13"/>
        <v>0.83333333333333337</v>
      </c>
      <c r="M21" s="61">
        <f t="shared" si="14"/>
        <v>17.5</v>
      </c>
      <c r="N21" s="61">
        <f t="shared" si="15"/>
        <v>0</v>
      </c>
      <c r="O21" s="61">
        <f t="shared" si="16"/>
        <v>0.83333333333333337</v>
      </c>
    </row>
    <row r="22" spans="1:15" ht="15" x14ac:dyDescent="0.25">
      <c r="A22" s="52" t="str">
        <f>[1]算法分析!A$6</f>
        <v>RC5</v>
      </c>
      <c r="B22" s="59">
        <f>SUMPRODUCT([1]架构比较!C$11:C$11,[1]映射分析!$G$11:$G$11)</f>
        <v>16</v>
      </c>
      <c r="C22" s="59">
        <f>SUMPRODUCT([1]架构比较!D$11:D$11,[1]映射分析!$G$11:$G$11)</f>
        <v>16</v>
      </c>
      <c r="D22" s="59">
        <f>SUMPRODUCT([1]架构比较!E$11:E$11,[1]映射分析!$G$11:$G$11)</f>
        <v>16</v>
      </c>
      <c r="E22" s="59">
        <f>SUMPRODUCT([1]架构比较!F$11:F$11,[1]映射分析!$G$11:$G$11)</f>
        <v>16</v>
      </c>
      <c r="F22" s="59">
        <f>SUMPRODUCT([1]架构比较!G$11:G$11,[1]映射分析!$G$11:$G$11)</f>
        <v>112</v>
      </c>
      <c r="G22" s="59">
        <f>SUMPRODUCT([1]架构比较!H$11:H$11,[1]映射分析!$G$11:$G$11)</f>
        <v>0</v>
      </c>
      <c r="H22" s="59">
        <f>[1]映射分析!G$12</f>
        <v>4</v>
      </c>
      <c r="I22" s="61">
        <f t="shared" si="10"/>
        <v>1</v>
      </c>
      <c r="J22" s="61">
        <f t="shared" si="11"/>
        <v>1</v>
      </c>
      <c r="K22" s="61">
        <f t="shared" si="12"/>
        <v>3</v>
      </c>
      <c r="L22" s="61">
        <f t="shared" si="13"/>
        <v>1</v>
      </c>
      <c r="M22" s="61">
        <f t="shared" si="14"/>
        <v>21</v>
      </c>
      <c r="N22" s="61">
        <f t="shared" si="15"/>
        <v>0</v>
      </c>
      <c r="O22" s="61">
        <f t="shared" si="16"/>
        <v>1</v>
      </c>
    </row>
    <row r="23" spans="1:15" ht="15" x14ac:dyDescent="0.25">
      <c r="A23" s="52" t="str">
        <f>[1]算法分析!A$7</f>
        <v>BLOWFISH</v>
      </c>
      <c r="B23" s="59">
        <f>SUMPRODUCT([1]架构比较!C$11:C$11,[1]映射分析!$H$11:$H$11)</f>
        <v>12</v>
      </c>
      <c r="C23" s="59">
        <f>SUMPRODUCT([1]架构比较!D$11:D$11,[1]映射分析!$H$11:$H$11)</f>
        <v>12</v>
      </c>
      <c r="D23" s="59">
        <f>SUMPRODUCT([1]架构比较!E$11:E$11,[1]映射分析!$H$11:$H$11)</f>
        <v>12</v>
      </c>
      <c r="E23" s="59">
        <f>SUMPRODUCT([1]架构比较!F$11:F$11,[1]映射分析!$H$11:$H$11)</f>
        <v>12</v>
      </c>
      <c r="F23" s="59">
        <f>SUMPRODUCT([1]架构比较!G$11:G$11,[1]映射分析!$H$11:$H$11)</f>
        <v>84</v>
      </c>
      <c r="G23" s="59">
        <f>SUMPRODUCT([1]架构比较!H$11:H$11,[1]映射分析!$H$11:$H$11)</f>
        <v>0</v>
      </c>
      <c r="H23" s="59">
        <f>[1]映射分析!H$12</f>
        <v>3</v>
      </c>
      <c r="I23" s="61">
        <f t="shared" si="10"/>
        <v>1</v>
      </c>
      <c r="J23" s="61">
        <f t="shared" si="11"/>
        <v>1</v>
      </c>
      <c r="K23" s="61">
        <f t="shared" si="12"/>
        <v>3</v>
      </c>
      <c r="L23" s="61">
        <f t="shared" si="13"/>
        <v>1</v>
      </c>
      <c r="M23" s="61">
        <f t="shared" si="14"/>
        <v>21</v>
      </c>
      <c r="N23" s="61">
        <f t="shared" si="15"/>
        <v>0</v>
      </c>
      <c r="O23" s="61">
        <f t="shared" si="16"/>
        <v>1</v>
      </c>
    </row>
    <row r="24" spans="1:15" ht="15" x14ac:dyDescent="0.25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</row>
    <row r="25" spans="1:15" ht="15" x14ac:dyDescent="0.25">
      <c r="A25" s="52" t="str">
        <f>[1]映射分析!A13</f>
        <v>RCPA</v>
      </c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</row>
    <row r="26" spans="1:15" ht="15" x14ac:dyDescent="0.25">
      <c r="A26" s="52" t="str">
        <f>[1]算法分析!A$2</f>
        <v>AES</v>
      </c>
      <c r="B26" s="59">
        <f>SUMPRODUCT([1]架构比较!C$13:C$13,[1]映射分析!$C$13:$C$13)</f>
        <v>8</v>
      </c>
      <c r="C26" s="59">
        <f>SUMPRODUCT([1]架构比较!D$13:D$13,[1]映射分析!$C$13:$C$13)</f>
        <v>8</v>
      </c>
      <c r="D26" s="59">
        <f>SUMPRODUCT([1]架构比较!E$13:E$13,[1]映射分析!$C$13:$C$13)</f>
        <v>8</v>
      </c>
      <c r="E26" s="59">
        <f>SUMPRODUCT([1]架构比较!F$13:F$13,[1]映射分析!$C$13:$C$13)</f>
        <v>16</v>
      </c>
      <c r="F26" s="59">
        <f>SUMPRODUCT([1]架构比较!G$13:G$13,[1]映射分析!$C$13:$C$13)</f>
        <v>16</v>
      </c>
      <c r="G26" s="59">
        <f>SUMPRODUCT([1]架构比较!H$13:H$13,[1]映射分析!$C$13:$C$13)</f>
        <v>8</v>
      </c>
      <c r="H26" s="59">
        <f>[1]映射分析!C$12</f>
        <v>2</v>
      </c>
      <c r="I26" s="61">
        <f>B26/B2</f>
        <v>0.66666666666666663</v>
      </c>
      <c r="J26" s="61">
        <f t="shared" ref="J26:O26" si="17">C26/C2</f>
        <v>0.66666666666666663</v>
      </c>
      <c r="K26" s="61">
        <f t="shared" si="17"/>
        <v>2</v>
      </c>
      <c r="L26" s="61">
        <f t="shared" si="17"/>
        <v>1.3333333333333333</v>
      </c>
      <c r="M26" s="61">
        <f t="shared" si="17"/>
        <v>4</v>
      </c>
      <c r="N26" s="61">
        <f t="shared" si="17"/>
        <v>2</v>
      </c>
      <c r="O26" s="61">
        <f t="shared" si="17"/>
        <v>0.66666666666666663</v>
      </c>
    </row>
    <row r="27" spans="1:15" ht="15" x14ac:dyDescent="0.25">
      <c r="A27" s="52" t="str">
        <f>[1]算法分析!A$3</f>
        <v>DES</v>
      </c>
      <c r="B27" s="59">
        <f>SUMPRODUCT([1]架构比较!C$13:C$13,[1]映射分析!$D$13:$D$13)</f>
        <v>12</v>
      </c>
      <c r="C27" s="59">
        <f>SUMPRODUCT([1]架构比较!D$13:D$13,[1]映射分析!$D$13:$D$13)</f>
        <v>12</v>
      </c>
      <c r="D27" s="59">
        <f>SUMPRODUCT([1]架构比较!E$13:E$13,[1]映射分析!$D$13:$D$13)</f>
        <v>12</v>
      </c>
      <c r="E27" s="59">
        <f>SUMPRODUCT([1]架构比较!F$13:F$13,[1]映射分析!$D$13:$D$13)</f>
        <v>24</v>
      </c>
      <c r="F27" s="59">
        <f>SUMPRODUCT([1]架构比较!G$13:G$13,[1]映射分析!$D$13:$D$13)</f>
        <v>24</v>
      </c>
      <c r="G27" s="59">
        <f>SUMPRODUCT([1]架构比较!H$13:H$13,[1]映射分析!$D$13:$D$13)</f>
        <v>12</v>
      </c>
      <c r="H27" s="59">
        <f>[1]映射分析!D$12</f>
        <v>3</v>
      </c>
      <c r="I27" s="61">
        <f t="shared" ref="I27:I31" si="18">B27/B3</f>
        <v>1</v>
      </c>
      <c r="J27" s="61">
        <f t="shared" ref="J27:J31" si="19">C27/C3</f>
        <v>1</v>
      </c>
      <c r="K27" s="61">
        <f t="shared" ref="K27:K31" si="20">D27/D3</f>
        <v>3</v>
      </c>
      <c r="L27" s="61">
        <f t="shared" ref="L27:L31" si="21">E27/E3</f>
        <v>2</v>
      </c>
      <c r="M27" s="61">
        <f t="shared" ref="M27:M31" si="22">F27/F3</f>
        <v>6</v>
      </c>
      <c r="N27" s="61">
        <f t="shared" ref="N27:N31" si="23">G27/G3</f>
        <v>3</v>
      </c>
      <c r="O27" s="61">
        <f t="shared" ref="O27:O31" si="24">H27/H3</f>
        <v>1</v>
      </c>
    </row>
    <row r="28" spans="1:15" ht="15" x14ac:dyDescent="0.25">
      <c r="A28" s="52" t="str">
        <f>[1]算法分析!A$4</f>
        <v>SM4</v>
      </c>
      <c r="B28" s="59">
        <f>SUMPRODUCT([1]架构比较!C$13:C$13,[1]映射分析!$E$13:$E$13)</f>
        <v>16</v>
      </c>
      <c r="C28" s="59">
        <f>SUMPRODUCT([1]架构比较!D$13:D$13,[1]映射分析!$E$13:$E$13)</f>
        <v>16</v>
      </c>
      <c r="D28" s="59">
        <f>SUMPRODUCT([1]架构比较!E$13:E$13,[1]映射分析!$E$13:$E$13)</f>
        <v>16</v>
      </c>
      <c r="E28" s="59">
        <f>SUMPRODUCT([1]架构比较!F$13:F$13,[1]映射分析!$E$13:$E$13)</f>
        <v>32</v>
      </c>
      <c r="F28" s="59">
        <f>SUMPRODUCT([1]架构比较!G$13:G$13,[1]映射分析!$E$13:$E$13)</f>
        <v>32</v>
      </c>
      <c r="G28" s="59">
        <f>SUMPRODUCT([1]架构比较!H$13:H$13,[1]映射分析!$E$13:$E$13)</f>
        <v>16</v>
      </c>
      <c r="H28" s="59">
        <f>[1]映射分析!E$12</f>
        <v>4</v>
      </c>
      <c r="I28" s="61">
        <f t="shared" si="18"/>
        <v>1.3333333333333333</v>
      </c>
      <c r="J28" s="61">
        <f t="shared" si="19"/>
        <v>1.3333333333333333</v>
      </c>
      <c r="K28" s="61">
        <f t="shared" si="20"/>
        <v>4</v>
      </c>
      <c r="L28" s="61">
        <f t="shared" si="21"/>
        <v>2.6666666666666665</v>
      </c>
      <c r="M28" s="61">
        <f t="shared" si="22"/>
        <v>8</v>
      </c>
      <c r="N28" s="61">
        <f t="shared" si="23"/>
        <v>4</v>
      </c>
      <c r="O28" s="61">
        <f t="shared" si="24"/>
        <v>1.3333333333333333</v>
      </c>
    </row>
    <row r="29" spans="1:15" ht="15" x14ac:dyDescent="0.25">
      <c r="A29" s="52" t="str">
        <f>[1]算法分析!A$5</f>
        <v>TWOFISH</v>
      </c>
      <c r="B29" s="59">
        <f>SUMPRODUCT([1]架构比较!C$13:C$13,[1]映射分析!$F$13:$F$13)</f>
        <v>20</v>
      </c>
      <c r="C29" s="59">
        <f>SUMPRODUCT([1]架构比较!D$13:D$13,[1]映射分析!$F$13:$F$13)</f>
        <v>20</v>
      </c>
      <c r="D29" s="59">
        <f>SUMPRODUCT([1]架构比较!E$13:E$13,[1]映射分析!$F$13:$F$13)</f>
        <v>20</v>
      </c>
      <c r="E29" s="59">
        <f>SUMPRODUCT([1]架构比较!F$13:F$13,[1]映射分析!$F$13:$F$13)</f>
        <v>40</v>
      </c>
      <c r="F29" s="59">
        <f>SUMPRODUCT([1]架构比较!G$13:G$13,[1]映射分析!$F$13:$F$13)</f>
        <v>40</v>
      </c>
      <c r="G29" s="59">
        <f>SUMPRODUCT([1]架构比较!H$13:H$13,[1]映射分析!$F$13:$F$13)</f>
        <v>20</v>
      </c>
      <c r="H29" s="59">
        <f>[1]映射分析!F$12</f>
        <v>5</v>
      </c>
      <c r="I29" s="61">
        <f t="shared" si="18"/>
        <v>0.83333333333333337</v>
      </c>
      <c r="J29" s="61">
        <f t="shared" si="19"/>
        <v>0.83333333333333337</v>
      </c>
      <c r="K29" s="61">
        <f t="shared" si="20"/>
        <v>2.5</v>
      </c>
      <c r="L29" s="61">
        <f t="shared" si="21"/>
        <v>1.6666666666666667</v>
      </c>
      <c r="M29" s="61">
        <f t="shared" si="22"/>
        <v>5</v>
      </c>
      <c r="N29" s="61">
        <f t="shared" si="23"/>
        <v>2.5</v>
      </c>
      <c r="O29" s="61">
        <f t="shared" si="24"/>
        <v>0.83333333333333337</v>
      </c>
    </row>
    <row r="30" spans="1:15" ht="15" x14ac:dyDescent="0.25">
      <c r="A30" s="52" t="str">
        <f>[1]算法分析!A$6</f>
        <v>RC5</v>
      </c>
      <c r="B30" s="59">
        <f>SUMPRODUCT([1]架构比较!C$13:C$13,[1]映射分析!$G$13:$G$13)</f>
        <v>16</v>
      </c>
      <c r="C30" s="59">
        <f>SUMPRODUCT([1]架构比较!D$13:D$13,[1]映射分析!$G$13:$G$13)</f>
        <v>16</v>
      </c>
      <c r="D30" s="59">
        <f>SUMPRODUCT([1]架构比较!E$13:E$13,[1]映射分析!$G$13:$G$13)</f>
        <v>16</v>
      </c>
      <c r="E30" s="59">
        <f>SUMPRODUCT([1]架构比较!F$13:F$13,[1]映射分析!$G$13:$G$13)</f>
        <v>32</v>
      </c>
      <c r="F30" s="59">
        <f>SUMPRODUCT([1]架构比较!G$13:G$13,[1]映射分析!$G$13:$G$13)</f>
        <v>32</v>
      </c>
      <c r="G30" s="59">
        <f>SUMPRODUCT([1]架构比较!H$13:H$13,[1]映射分析!$G$13:$G$13)</f>
        <v>16</v>
      </c>
      <c r="H30" s="59">
        <f>[1]映射分析!G$12</f>
        <v>4</v>
      </c>
      <c r="I30" s="61">
        <f t="shared" si="18"/>
        <v>1</v>
      </c>
      <c r="J30" s="61">
        <f t="shared" si="19"/>
        <v>1</v>
      </c>
      <c r="K30" s="61">
        <f t="shared" si="20"/>
        <v>3</v>
      </c>
      <c r="L30" s="61">
        <f t="shared" si="21"/>
        <v>2</v>
      </c>
      <c r="M30" s="61">
        <f t="shared" si="22"/>
        <v>6</v>
      </c>
      <c r="N30" s="61">
        <f t="shared" si="23"/>
        <v>3</v>
      </c>
      <c r="O30" s="61">
        <f t="shared" si="24"/>
        <v>1</v>
      </c>
    </row>
    <row r="31" spans="1:15" ht="15" x14ac:dyDescent="0.25">
      <c r="A31" s="52" t="str">
        <f>[1]算法分析!A$7</f>
        <v>BLOWFISH</v>
      </c>
      <c r="B31" s="59">
        <f>SUMPRODUCT([1]架构比较!C$13:C$13,[1]映射分析!$H$13:$H$13)</f>
        <v>12</v>
      </c>
      <c r="C31" s="59">
        <f>SUMPRODUCT([1]架构比较!D$13:D$13,[1]映射分析!$H$13:$H$13)</f>
        <v>12</v>
      </c>
      <c r="D31" s="59">
        <f>SUMPRODUCT([1]架构比较!E$13:E$13,[1]映射分析!$H$13:$H$13)</f>
        <v>12</v>
      </c>
      <c r="E31" s="59">
        <f>SUMPRODUCT([1]架构比较!F$13:F$13,[1]映射分析!$H$13:$H$13)</f>
        <v>24</v>
      </c>
      <c r="F31" s="59">
        <f>SUMPRODUCT([1]架构比较!G$13:G$13,[1]映射分析!$H$13:$H$13)</f>
        <v>24</v>
      </c>
      <c r="G31" s="59">
        <f>SUMPRODUCT([1]架构比较!H$13:H$13,[1]映射分析!$H$13:$H$13)</f>
        <v>12</v>
      </c>
      <c r="H31" s="59">
        <f>[1]映射分析!H$12</f>
        <v>3</v>
      </c>
      <c r="I31" s="61">
        <f t="shared" si="18"/>
        <v>1</v>
      </c>
      <c r="J31" s="61">
        <f t="shared" si="19"/>
        <v>1</v>
      </c>
      <c r="K31" s="61">
        <f t="shared" si="20"/>
        <v>3</v>
      </c>
      <c r="L31" s="61">
        <f t="shared" si="21"/>
        <v>2</v>
      </c>
      <c r="M31" s="61">
        <f t="shared" si="22"/>
        <v>6</v>
      </c>
      <c r="N31" s="61">
        <f t="shared" si="23"/>
        <v>3</v>
      </c>
      <c r="O31" s="61">
        <f t="shared" si="24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10" zoomScaleNormal="100" workbookViewId="0">
      <selection activeCell="K36" sqref="K36"/>
    </sheetView>
  </sheetViews>
  <sheetFormatPr defaultRowHeight="13.5" x14ac:dyDescent="0.15"/>
  <cols>
    <col min="9" max="9" width="9" style="73"/>
    <col min="10" max="10" width="10.25" bestFit="1" customWidth="1"/>
  </cols>
  <sheetData>
    <row r="1" spans="1:19" ht="15" x14ac:dyDescent="0.15">
      <c r="A1" s="50" t="s">
        <v>12</v>
      </c>
      <c r="B1" s="50" t="s">
        <v>7</v>
      </c>
      <c r="C1" s="50" t="s">
        <v>8</v>
      </c>
      <c r="D1" s="50" t="s">
        <v>1</v>
      </c>
      <c r="E1" s="50" t="s">
        <v>9</v>
      </c>
      <c r="F1" s="50" t="s">
        <v>163</v>
      </c>
      <c r="G1" s="50" t="s">
        <v>11</v>
      </c>
      <c r="H1" s="50" t="s">
        <v>164</v>
      </c>
      <c r="I1" s="71"/>
      <c r="J1" s="62" t="s">
        <v>165</v>
      </c>
      <c r="K1" s="69" t="s">
        <v>169</v>
      </c>
      <c r="L1" s="64"/>
      <c r="M1" s="64"/>
      <c r="N1" s="64"/>
      <c r="O1" s="64"/>
      <c r="P1" s="64"/>
      <c r="Q1" s="64"/>
      <c r="R1" s="64"/>
      <c r="S1" s="64"/>
    </row>
    <row r="2" spans="1:19" ht="15" x14ac:dyDescent="0.15">
      <c r="A2" s="52" t="s">
        <v>13</v>
      </c>
      <c r="B2" s="52">
        <v>15336</v>
      </c>
      <c r="C2" s="52">
        <v>42594</v>
      </c>
      <c r="D2" s="52">
        <v>9192</v>
      </c>
      <c r="E2" s="52">
        <v>19368</v>
      </c>
      <c r="F2" s="52">
        <v>51191</v>
      </c>
      <c r="G2" s="52">
        <v>32000</v>
      </c>
      <c r="H2" s="52">
        <v>23228.400000000001</v>
      </c>
      <c r="I2" s="72">
        <f>J2/1000000</f>
        <v>0.19290939999999998</v>
      </c>
      <c r="J2" s="65">
        <v>192909.4</v>
      </c>
      <c r="K2" s="66"/>
      <c r="L2" s="57"/>
      <c r="M2" s="57"/>
      <c r="N2" s="57"/>
      <c r="O2" s="57"/>
      <c r="P2" s="57"/>
      <c r="Q2" s="57"/>
      <c r="R2" s="57"/>
      <c r="S2" s="57"/>
    </row>
    <row r="3" spans="1:19" ht="15" x14ac:dyDescent="0.15">
      <c r="A3" s="52" t="s">
        <v>14</v>
      </c>
      <c r="B3" s="52">
        <v>15336</v>
      </c>
      <c r="C3" s="52">
        <v>42594</v>
      </c>
      <c r="D3" s="52">
        <v>9192</v>
      </c>
      <c r="E3" s="52">
        <v>19368</v>
      </c>
      <c r="F3" s="52">
        <v>51191</v>
      </c>
      <c r="G3" s="52">
        <v>32000</v>
      </c>
      <c r="H3" s="52">
        <v>23228.400000000001</v>
      </c>
      <c r="I3" s="72">
        <f t="shared" ref="I3:I31" si="0">J3/1000000</f>
        <v>0.19290939999999998</v>
      </c>
      <c r="J3" s="65">
        <v>192909.4</v>
      </c>
      <c r="K3" s="66"/>
      <c r="L3" s="57"/>
      <c r="M3" s="57"/>
      <c r="N3" s="57"/>
      <c r="O3" s="57"/>
      <c r="P3" s="57"/>
      <c r="Q3" s="57"/>
      <c r="R3" s="57"/>
      <c r="S3" s="57"/>
    </row>
    <row r="4" spans="1:19" ht="15" x14ac:dyDescent="0.15">
      <c r="A4" s="52" t="s">
        <v>22</v>
      </c>
      <c r="B4" s="52">
        <v>15336</v>
      </c>
      <c r="C4" s="52">
        <v>42594</v>
      </c>
      <c r="D4" s="52">
        <v>9192</v>
      </c>
      <c r="E4" s="52">
        <v>19368</v>
      </c>
      <c r="F4" s="52">
        <v>51191</v>
      </c>
      <c r="G4" s="52">
        <v>32000</v>
      </c>
      <c r="H4" s="52">
        <v>23228.400000000001</v>
      </c>
      <c r="I4" s="72">
        <f t="shared" si="0"/>
        <v>0.19290939999999998</v>
      </c>
      <c r="J4" s="65">
        <v>192909.4</v>
      </c>
      <c r="K4" s="66"/>
      <c r="L4" s="57"/>
      <c r="M4" s="57"/>
      <c r="N4" s="57"/>
      <c r="O4" s="57"/>
      <c r="P4" s="57"/>
      <c r="Q4" s="57"/>
      <c r="R4" s="57"/>
      <c r="S4" s="57"/>
    </row>
    <row r="5" spans="1:19" ht="15" x14ac:dyDescent="0.15">
      <c r="A5" s="52" t="s">
        <v>21</v>
      </c>
      <c r="B5" s="52">
        <v>30672</v>
      </c>
      <c r="C5" s="52">
        <v>85188</v>
      </c>
      <c r="D5" s="52">
        <v>18384</v>
      </c>
      <c r="E5" s="52">
        <v>38736</v>
      </c>
      <c r="F5" s="52">
        <v>102382</v>
      </c>
      <c r="G5" s="52">
        <v>64000</v>
      </c>
      <c r="H5" s="52">
        <v>46456.800000000003</v>
      </c>
      <c r="I5" s="72">
        <f t="shared" si="0"/>
        <v>0.38581879999999996</v>
      </c>
      <c r="J5" s="65">
        <v>385818.8</v>
      </c>
      <c r="K5" s="66"/>
      <c r="L5" s="57"/>
      <c r="M5" s="57"/>
      <c r="N5" s="57"/>
      <c r="O5" s="57"/>
      <c r="P5" s="57"/>
      <c r="Q5" s="57"/>
      <c r="R5" s="57"/>
      <c r="S5" s="57"/>
    </row>
    <row r="6" spans="1:19" ht="15" x14ac:dyDescent="0.15">
      <c r="A6" s="52" t="s">
        <v>19</v>
      </c>
      <c r="B6" s="52">
        <v>20447.999999999996</v>
      </c>
      <c r="C6" s="52">
        <v>56791.999999999993</v>
      </c>
      <c r="D6" s="52">
        <v>12256</v>
      </c>
      <c r="E6" s="52">
        <v>25823.999999999996</v>
      </c>
      <c r="F6" s="52">
        <v>68254.666666666657</v>
      </c>
      <c r="G6" s="52">
        <v>42666.666666666664</v>
      </c>
      <c r="H6" s="52">
        <v>30971.200000000001</v>
      </c>
      <c r="I6" s="72">
        <f t="shared" si="0"/>
        <v>0.25721253333333327</v>
      </c>
      <c r="J6" s="65">
        <v>257212.5333333333</v>
      </c>
      <c r="K6" s="66"/>
      <c r="L6" s="57"/>
      <c r="M6" s="57"/>
      <c r="N6" s="57"/>
      <c r="O6" s="57"/>
      <c r="P6" s="57"/>
      <c r="Q6" s="57"/>
      <c r="R6" s="57"/>
      <c r="S6" s="57"/>
    </row>
    <row r="7" spans="1:19" ht="15" x14ac:dyDescent="0.15">
      <c r="A7" s="52" t="s">
        <v>16</v>
      </c>
      <c r="B7" s="52">
        <v>15336</v>
      </c>
      <c r="C7" s="52">
        <v>42594</v>
      </c>
      <c r="D7" s="52">
        <v>9192</v>
      </c>
      <c r="E7" s="52">
        <v>19368</v>
      </c>
      <c r="F7" s="52">
        <v>51191</v>
      </c>
      <c r="G7" s="52">
        <v>32000</v>
      </c>
      <c r="H7" s="52">
        <v>23228.400000000001</v>
      </c>
      <c r="I7" s="72">
        <f t="shared" si="0"/>
        <v>0.19290939999999998</v>
      </c>
      <c r="J7" s="65">
        <v>192909.4</v>
      </c>
      <c r="K7" s="66"/>
      <c r="L7" s="57"/>
      <c r="M7" s="57"/>
      <c r="N7" s="57"/>
      <c r="O7" s="57"/>
      <c r="P7" s="57"/>
      <c r="Q7" s="57"/>
      <c r="R7" s="57"/>
      <c r="S7" s="57"/>
    </row>
    <row r="8" spans="1:19" ht="15" x14ac:dyDescent="0.15">
      <c r="A8" s="57"/>
      <c r="B8" s="57"/>
      <c r="C8" s="57"/>
      <c r="D8" s="57"/>
      <c r="E8" s="57"/>
      <c r="F8" s="57"/>
      <c r="G8" s="57"/>
      <c r="H8" s="57"/>
      <c r="I8" s="72">
        <f t="shared" si="0"/>
        <v>0</v>
      </c>
      <c r="J8" s="67"/>
      <c r="K8" s="57"/>
      <c r="L8" s="57"/>
      <c r="M8" s="57"/>
      <c r="N8" s="57"/>
      <c r="O8" s="57"/>
      <c r="P8" s="57"/>
      <c r="Q8" s="57"/>
      <c r="R8" s="57"/>
      <c r="S8" s="57"/>
    </row>
    <row r="9" spans="1:19" ht="15" x14ac:dyDescent="0.15">
      <c r="A9" s="57" t="s">
        <v>166</v>
      </c>
      <c r="B9" s="57"/>
      <c r="C9" s="57"/>
      <c r="D9" s="57"/>
      <c r="E9" s="57"/>
      <c r="F9" s="57"/>
      <c r="G9" s="57"/>
      <c r="H9" s="57"/>
      <c r="I9" s="72">
        <f t="shared" si="0"/>
        <v>0</v>
      </c>
      <c r="J9" s="67"/>
      <c r="K9" s="57"/>
      <c r="L9" s="50" t="s">
        <v>7</v>
      </c>
      <c r="M9" s="50" t="s">
        <v>8</v>
      </c>
      <c r="N9" s="50" t="s">
        <v>1</v>
      </c>
      <c r="O9" s="50" t="s">
        <v>9</v>
      </c>
      <c r="P9" s="50" t="s">
        <v>163</v>
      </c>
      <c r="Q9" s="50" t="s">
        <v>11</v>
      </c>
      <c r="R9" s="50" t="s">
        <v>164</v>
      </c>
      <c r="S9" s="63" t="s">
        <v>167</v>
      </c>
    </row>
    <row r="10" spans="1:19" ht="15" x14ac:dyDescent="0.15">
      <c r="A10" s="52" t="s">
        <v>13</v>
      </c>
      <c r="B10" s="52">
        <v>10224</v>
      </c>
      <c r="C10" s="52">
        <v>28396</v>
      </c>
      <c r="D10" s="52">
        <v>9192</v>
      </c>
      <c r="E10" s="52">
        <v>77472</v>
      </c>
      <c r="F10" s="52">
        <v>204764</v>
      </c>
      <c r="G10" s="52">
        <v>0</v>
      </c>
      <c r="H10" s="52">
        <v>77428</v>
      </c>
      <c r="I10" s="72">
        <f t="shared" si="0"/>
        <v>0.407476</v>
      </c>
      <c r="J10" s="65">
        <v>407476</v>
      </c>
      <c r="K10" s="70">
        <f>S10</f>
        <v>0.52657481667631956</v>
      </c>
      <c r="L10" s="68">
        <v>-2.3824770490840606E-2</v>
      </c>
      <c r="M10" s="68">
        <v>-6.6170596914897281E-2</v>
      </c>
      <c r="N10" s="68">
        <v>0</v>
      </c>
      <c r="O10" s="68">
        <v>0.27079703924096293</v>
      </c>
      <c r="P10" s="68">
        <v>0.71573581349566984</v>
      </c>
      <c r="Q10" s="68">
        <v>-0.14913784344814152</v>
      </c>
      <c r="R10" s="68">
        <v>0.25260035811724657</v>
      </c>
      <c r="S10" s="60">
        <v>0.52657481667631956</v>
      </c>
    </row>
    <row r="11" spans="1:19" ht="15" x14ac:dyDescent="0.15">
      <c r="A11" s="52" t="s">
        <v>14</v>
      </c>
      <c r="B11" s="52">
        <v>20448</v>
      </c>
      <c r="C11" s="52">
        <v>56792</v>
      </c>
      <c r="D11" s="52">
        <v>18384</v>
      </c>
      <c r="E11" s="52">
        <v>154944</v>
      </c>
      <c r="F11" s="52">
        <v>409528</v>
      </c>
      <c r="G11" s="52">
        <v>0</v>
      </c>
      <c r="H11" s="52">
        <v>154856</v>
      </c>
      <c r="I11" s="72">
        <f t="shared" si="0"/>
        <v>0.81495200000000001</v>
      </c>
      <c r="J11" s="65">
        <v>814952</v>
      </c>
      <c r="K11" s="70">
        <f t="shared" ref="K11:K31" si="1">S11</f>
        <v>0.76328740833815978</v>
      </c>
      <c r="L11" s="68">
        <v>8.2180866712344147E-3</v>
      </c>
      <c r="M11" s="68">
        <v>2.282480331732907E-2</v>
      </c>
      <c r="N11" s="68">
        <v>1.4777122981609299E-2</v>
      </c>
      <c r="O11" s="68">
        <v>0.21795291833710426</v>
      </c>
      <c r="P11" s="68">
        <v>0.57606504763500122</v>
      </c>
      <c r="Q11" s="68">
        <v>-5.1443422042155955E-2</v>
      </c>
      <c r="R11" s="68">
        <v>0.21160544309987775</v>
      </c>
      <c r="S11" s="60">
        <v>0.76328740833815978</v>
      </c>
    </row>
    <row r="12" spans="1:19" ht="15" x14ac:dyDescent="0.15">
      <c r="A12" s="52" t="s">
        <v>22</v>
      </c>
      <c r="B12" s="52">
        <v>20448</v>
      </c>
      <c r="C12" s="52">
        <v>56792</v>
      </c>
      <c r="D12" s="52">
        <v>18384</v>
      </c>
      <c r="E12" s="52">
        <v>154944</v>
      </c>
      <c r="F12" s="52">
        <v>409528</v>
      </c>
      <c r="G12" s="52">
        <v>0</v>
      </c>
      <c r="H12" s="52">
        <v>154856</v>
      </c>
      <c r="I12" s="72">
        <f t="shared" si="0"/>
        <v>0.81495200000000001</v>
      </c>
      <c r="J12" s="65">
        <v>814952</v>
      </c>
      <c r="K12" s="70">
        <f t="shared" si="1"/>
        <v>0.76328740833815978</v>
      </c>
      <c r="L12" s="68">
        <v>8.2180866712344147E-3</v>
      </c>
      <c r="M12" s="68">
        <v>2.282480331732907E-2</v>
      </c>
      <c r="N12" s="68">
        <v>1.4777122981609299E-2</v>
      </c>
      <c r="O12" s="68">
        <v>0.21795291833710426</v>
      </c>
      <c r="P12" s="68">
        <v>0.57606504763500122</v>
      </c>
      <c r="Q12" s="68">
        <v>-5.1443422042155955E-2</v>
      </c>
      <c r="R12" s="68">
        <v>0.21160544309987775</v>
      </c>
      <c r="S12" s="60">
        <v>0.76328740833815978</v>
      </c>
    </row>
    <row r="13" spans="1:19" ht="15" x14ac:dyDescent="0.15">
      <c r="A13" s="52" t="s">
        <v>21</v>
      </c>
      <c r="B13" s="52">
        <v>30672</v>
      </c>
      <c r="C13" s="52">
        <v>85188</v>
      </c>
      <c r="D13" s="52">
        <v>27576</v>
      </c>
      <c r="E13" s="52">
        <v>232416</v>
      </c>
      <c r="F13" s="52">
        <v>614292</v>
      </c>
      <c r="G13" s="52">
        <v>0</v>
      </c>
      <c r="H13" s="52">
        <v>232284</v>
      </c>
      <c r="I13" s="72">
        <f t="shared" si="0"/>
        <v>1.2224280000000001</v>
      </c>
      <c r="J13" s="65">
        <v>1222428</v>
      </c>
      <c r="K13" s="70">
        <f t="shared" si="1"/>
        <v>0.68438321111754641</v>
      </c>
      <c r="L13" s="68">
        <v>0</v>
      </c>
      <c r="M13" s="68">
        <v>0</v>
      </c>
      <c r="N13" s="68">
        <v>1.0987208842551577E-2</v>
      </c>
      <c r="O13" s="68">
        <v>0.23150594088613896</v>
      </c>
      <c r="P13" s="68">
        <v>0.61188664910689483</v>
      </c>
      <c r="Q13" s="68">
        <v>-7.649927827712151E-2</v>
      </c>
      <c r="R13" s="68">
        <v>0.22211947944153618</v>
      </c>
      <c r="S13" s="60">
        <v>0.68438321111754641</v>
      </c>
    </row>
    <row r="14" spans="1:19" ht="15" x14ac:dyDescent="0.15">
      <c r="A14" s="52" t="s">
        <v>19</v>
      </c>
      <c r="B14" s="52">
        <v>20448</v>
      </c>
      <c r="C14" s="52">
        <v>56792</v>
      </c>
      <c r="D14" s="52">
        <v>18384</v>
      </c>
      <c r="E14" s="52">
        <v>154944</v>
      </c>
      <c r="F14" s="52">
        <v>409528</v>
      </c>
      <c r="G14" s="52">
        <v>0</v>
      </c>
      <c r="H14" s="52">
        <v>154856</v>
      </c>
      <c r="I14" s="72">
        <f t="shared" si="0"/>
        <v>0.81495200000000001</v>
      </c>
      <c r="J14" s="65">
        <v>814952</v>
      </c>
      <c r="K14" s="70">
        <f t="shared" si="1"/>
        <v>0.68438321111754641</v>
      </c>
      <c r="L14" s="68">
        <v>6.5227207764838943E-18</v>
      </c>
      <c r="M14" s="68">
        <v>1.3045441552967789E-17</v>
      </c>
      <c r="N14" s="68">
        <v>1.0987208842551575E-2</v>
      </c>
      <c r="O14" s="68">
        <v>0.23150594088613896</v>
      </c>
      <c r="P14" s="68">
        <v>0.61188664910689494</v>
      </c>
      <c r="Q14" s="68">
        <v>-7.6499278277121496E-2</v>
      </c>
      <c r="R14" s="68">
        <v>0.22211947944153615</v>
      </c>
      <c r="S14" s="60">
        <v>0.68438321111754641</v>
      </c>
    </row>
    <row r="15" spans="1:19" ht="15" x14ac:dyDescent="0.15">
      <c r="A15" s="52" t="s">
        <v>16</v>
      </c>
      <c r="B15" s="52">
        <v>20448</v>
      </c>
      <c r="C15" s="52">
        <v>56792</v>
      </c>
      <c r="D15" s="52">
        <v>18384</v>
      </c>
      <c r="E15" s="52">
        <v>154944</v>
      </c>
      <c r="F15" s="52">
        <v>409528</v>
      </c>
      <c r="G15" s="52">
        <v>0</v>
      </c>
      <c r="H15" s="52">
        <v>154856</v>
      </c>
      <c r="I15" s="72">
        <f t="shared" si="0"/>
        <v>0.81495200000000001</v>
      </c>
      <c r="J15" s="65">
        <v>814952</v>
      </c>
      <c r="K15" s="70">
        <f t="shared" si="1"/>
        <v>0.76328740833815978</v>
      </c>
      <c r="L15" s="68">
        <v>8.2180866712344147E-3</v>
      </c>
      <c r="M15" s="68">
        <v>2.282480331732907E-2</v>
      </c>
      <c r="N15" s="68">
        <v>1.4777122981609299E-2</v>
      </c>
      <c r="O15" s="68">
        <v>0.21795291833710426</v>
      </c>
      <c r="P15" s="68">
        <v>0.57606504763500122</v>
      </c>
      <c r="Q15" s="68">
        <v>-5.1443422042155955E-2</v>
      </c>
      <c r="R15" s="68">
        <v>0.21160544309987775</v>
      </c>
      <c r="S15" s="60">
        <v>0.76328740833815978</v>
      </c>
    </row>
    <row r="16" spans="1:19" ht="15" x14ac:dyDescent="0.15">
      <c r="A16" s="57"/>
      <c r="B16" s="57"/>
      <c r="C16" s="57"/>
      <c r="D16" s="57"/>
      <c r="E16" s="57"/>
      <c r="F16" s="57"/>
      <c r="G16" s="57"/>
      <c r="H16" s="57"/>
      <c r="I16" s="72">
        <f t="shared" si="0"/>
        <v>0</v>
      </c>
      <c r="J16" s="67"/>
      <c r="K16" s="70"/>
      <c r="L16" s="57"/>
      <c r="M16" s="57"/>
      <c r="N16" s="57"/>
      <c r="O16" s="57"/>
      <c r="P16" s="57"/>
      <c r="Q16" s="57"/>
      <c r="R16" s="57"/>
      <c r="S16" s="57"/>
    </row>
    <row r="17" spans="1:19" ht="15" x14ac:dyDescent="0.15">
      <c r="A17" s="52" t="s">
        <v>74</v>
      </c>
      <c r="B17" s="57"/>
      <c r="C17" s="57"/>
      <c r="D17" s="57"/>
      <c r="E17" s="57"/>
      <c r="F17" s="57"/>
      <c r="G17" s="57"/>
      <c r="H17" s="57"/>
      <c r="I17" s="72">
        <f t="shared" si="0"/>
        <v>0</v>
      </c>
      <c r="J17" s="67"/>
      <c r="K17" s="70"/>
      <c r="L17" s="57"/>
      <c r="M17" s="57"/>
      <c r="N17" s="57"/>
      <c r="O17" s="57"/>
      <c r="P17" s="57"/>
      <c r="Q17" s="57"/>
      <c r="R17" s="57"/>
      <c r="S17" s="57"/>
    </row>
    <row r="18" spans="1:19" ht="15" x14ac:dyDescent="0.15">
      <c r="A18" s="52" t="s">
        <v>13</v>
      </c>
      <c r="B18" s="52">
        <v>10224</v>
      </c>
      <c r="C18" s="52">
        <v>28396</v>
      </c>
      <c r="D18" s="52">
        <v>18384</v>
      </c>
      <c r="E18" s="52">
        <v>12912</v>
      </c>
      <c r="F18" s="52">
        <v>716674</v>
      </c>
      <c r="G18" s="52">
        <v>0</v>
      </c>
      <c r="H18" s="52">
        <v>77428</v>
      </c>
      <c r="I18" s="72">
        <f t="shared" si="0"/>
        <v>0.87361800000000001</v>
      </c>
      <c r="J18" s="65">
        <v>873618</v>
      </c>
      <c r="K18" s="70">
        <f t="shared" si="1"/>
        <v>0.77918335015990969</v>
      </c>
      <c r="L18" s="60">
        <v>-7.5098213831880489E-3</v>
      </c>
      <c r="M18" s="68">
        <v>-2.0857676838517979E-2</v>
      </c>
      <c r="N18" s="68">
        <v>1.3503575538784144E-2</v>
      </c>
      <c r="O18" s="68">
        <v>-9.4842345167961747E-3</v>
      </c>
      <c r="P18" s="68">
        <v>0.97763271978641086</v>
      </c>
      <c r="Q18" s="68">
        <v>-4.7009836514479181E-2</v>
      </c>
      <c r="R18" s="68">
        <v>7.9622322973442669E-2</v>
      </c>
      <c r="S18" s="60">
        <v>0.77918335015990969</v>
      </c>
    </row>
    <row r="19" spans="1:19" ht="15" x14ac:dyDescent="0.15">
      <c r="A19" s="52" t="s">
        <v>14</v>
      </c>
      <c r="B19" s="52">
        <v>15336</v>
      </c>
      <c r="C19" s="52">
        <v>42594</v>
      </c>
      <c r="D19" s="52">
        <v>27576</v>
      </c>
      <c r="E19" s="52">
        <v>19368</v>
      </c>
      <c r="F19" s="52">
        <v>1075011</v>
      </c>
      <c r="G19" s="52">
        <v>0</v>
      </c>
      <c r="H19" s="52">
        <v>116142</v>
      </c>
      <c r="I19" s="72">
        <f t="shared" si="0"/>
        <v>1.310427</v>
      </c>
      <c r="J19" s="65">
        <v>1310427</v>
      </c>
      <c r="K19" s="70">
        <f t="shared" si="1"/>
        <v>0.85278890010660657</v>
      </c>
      <c r="L19" s="60">
        <v>0</v>
      </c>
      <c r="M19" s="68">
        <v>0</v>
      </c>
      <c r="N19" s="68">
        <v>1.6450747621334999E-2</v>
      </c>
      <c r="O19" s="68">
        <v>0</v>
      </c>
      <c r="P19" s="68">
        <v>0.91615559343315922</v>
      </c>
      <c r="Q19" s="68">
        <v>-2.8634895772558747E-2</v>
      </c>
      <c r="R19" s="68">
        <v>8.3142851620412961E-2</v>
      </c>
      <c r="S19" s="60">
        <v>0.85278890010660657</v>
      </c>
    </row>
    <row r="20" spans="1:19" ht="15" x14ac:dyDescent="0.15">
      <c r="A20" s="52" t="s">
        <v>22</v>
      </c>
      <c r="B20" s="52">
        <v>20448</v>
      </c>
      <c r="C20" s="52">
        <v>56792</v>
      </c>
      <c r="D20" s="52">
        <v>36768</v>
      </c>
      <c r="E20" s="52">
        <v>25824</v>
      </c>
      <c r="F20" s="52">
        <v>1433348</v>
      </c>
      <c r="G20" s="52">
        <v>0</v>
      </c>
      <c r="H20" s="52">
        <v>154856</v>
      </c>
      <c r="I20" s="72">
        <f t="shared" si="0"/>
        <v>1.747236</v>
      </c>
      <c r="J20" s="65">
        <v>1747236</v>
      </c>
      <c r="K20" s="70">
        <f t="shared" si="1"/>
        <v>0.88959167507995496</v>
      </c>
      <c r="L20" s="60">
        <v>3.2888840736560771E-3</v>
      </c>
      <c r="M20" s="68">
        <v>9.1345023626308655E-3</v>
      </c>
      <c r="N20" s="68">
        <v>1.7741445073384189E-2</v>
      </c>
      <c r="O20" s="68">
        <v>4.1535672103919473E-3</v>
      </c>
      <c r="P20" s="68">
        <v>0.88923203141476181</v>
      </c>
      <c r="Q20" s="68">
        <v>-2.0587693731806429E-2</v>
      </c>
      <c r="R20" s="68">
        <v>8.468464735789763E-2</v>
      </c>
      <c r="S20" s="60">
        <v>0.88959167507995496</v>
      </c>
    </row>
    <row r="21" spans="1:19" ht="15" x14ac:dyDescent="0.15">
      <c r="A21" s="52" t="s">
        <v>21</v>
      </c>
      <c r="B21" s="52">
        <v>25560</v>
      </c>
      <c r="C21" s="52">
        <v>70990</v>
      </c>
      <c r="D21" s="52">
        <v>45960</v>
      </c>
      <c r="E21" s="52">
        <v>32280</v>
      </c>
      <c r="F21" s="52">
        <v>1791685</v>
      </c>
      <c r="G21" s="52">
        <v>0</v>
      </c>
      <c r="H21" s="52">
        <v>193570</v>
      </c>
      <c r="I21" s="72">
        <f t="shared" si="0"/>
        <v>2.1840449999999998</v>
      </c>
      <c r="J21" s="65">
        <v>2184045</v>
      </c>
      <c r="K21" s="70">
        <f t="shared" si="1"/>
        <v>0.82334668012792778</v>
      </c>
      <c r="L21" s="60">
        <v>-2.8428014228688249E-3</v>
      </c>
      <c r="M21" s="68">
        <v>-7.8955584119506216E-3</v>
      </c>
      <c r="N21" s="68">
        <v>1.5335111900827605E-2</v>
      </c>
      <c r="O21" s="68">
        <v>-3.5902046138578119E-3</v>
      </c>
      <c r="P21" s="68">
        <v>0.93942742019886039</v>
      </c>
      <c r="Q21" s="68">
        <v>-3.5590628142332707E-2</v>
      </c>
      <c r="R21" s="68">
        <v>8.1810174937947192E-2</v>
      </c>
      <c r="S21" s="60">
        <v>0.82334668012792778</v>
      </c>
    </row>
    <row r="22" spans="1:19" ht="15" x14ac:dyDescent="0.15">
      <c r="A22" s="52" t="s">
        <v>19</v>
      </c>
      <c r="B22" s="52">
        <v>20448</v>
      </c>
      <c r="C22" s="52">
        <v>56792</v>
      </c>
      <c r="D22" s="52">
        <v>36768</v>
      </c>
      <c r="E22" s="52">
        <v>25824</v>
      </c>
      <c r="F22" s="52">
        <v>1433348</v>
      </c>
      <c r="G22" s="52">
        <v>0</v>
      </c>
      <c r="H22" s="52">
        <v>154856</v>
      </c>
      <c r="I22" s="72">
        <f t="shared" si="0"/>
        <v>1.747236</v>
      </c>
      <c r="J22" s="65">
        <v>1747236</v>
      </c>
      <c r="K22" s="70">
        <f t="shared" si="1"/>
        <v>0.85278890010660657</v>
      </c>
      <c r="L22" s="60">
        <v>2.4415580616527063E-18</v>
      </c>
      <c r="M22" s="68">
        <v>4.8831161233054126E-18</v>
      </c>
      <c r="N22" s="68">
        <v>1.6450747621334999E-2</v>
      </c>
      <c r="O22" s="68">
        <v>2.4415580616527063E-18</v>
      </c>
      <c r="P22" s="68">
        <v>0.91615559343315922</v>
      </c>
      <c r="Q22" s="68">
        <v>-2.8634895772558747E-2</v>
      </c>
      <c r="R22" s="68">
        <v>8.3142851620412947E-2</v>
      </c>
      <c r="S22" s="60">
        <v>0.85278890010660657</v>
      </c>
    </row>
    <row r="23" spans="1:19" ht="15" x14ac:dyDescent="0.15">
      <c r="A23" s="52" t="s">
        <v>16</v>
      </c>
      <c r="B23" s="52">
        <v>15336</v>
      </c>
      <c r="C23" s="52">
        <v>42594</v>
      </c>
      <c r="D23" s="52">
        <v>27576</v>
      </c>
      <c r="E23" s="52">
        <v>19368</v>
      </c>
      <c r="F23" s="52">
        <v>1075011</v>
      </c>
      <c r="G23" s="52">
        <v>0</v>
      </c>
      <c r="H23" s="52">
        <v>116142</v>
      </c>
      <c r="I23" s="72">
        <f t="shared" si="0"/>
        <v>1.310427</v>
      </c>
      <c r="J23" s="65">
        <v>1310427</v>
      </c>
      <c r="K23" s="70">
        <f t="shared" si="1"/>
        <v>0.85278890010660657</v>
      </c>
      <c r="L23" s="60">
        <v>0</v>
      </c>
      <c r="M23" s="68">
        <v>0</v>
      </c>
      <c r="N23" s="68">
        <v>1.6450747621334999E-2</v>
      </c>
      <c r="O23" s="68">
        <v>0</v>
      </c>
      <c r="P23" s="68">
        <v>0.91615559343315922</v>
      </c>
      <c r="Q23" s="68">
        <v>-2.8634895772558747E-2</v>
      </c>
      <c r="R23" s="68">
        <v>8.3142851620412961E-2</v>
      </c>
      <c r="S23" s="60">
        <v>0.85278890010660657</v>
      </c>
    </row>
    <row r="24" spans="1:19" ht="15" x14ac:dyDescent="0.15">
      <c r="A24" s="57"/>
      <c r="B24" s="57"/>
      <c r="C24" s="57"/>
      <c r="D24" s="57"/>
      <c r="E24" s="57"/>
      <c r="F24" s="57"/>
      <c r="G24" s="57"/>
      <c r="H24" s="57"/>
      <c r="I24" s="72">
        <f t="shared" si="0"/>
        <v>0</v>
      </c>
      <c r="J24" s="67"/>
      <c r="K24" s="70"/>
      <c r="L24" s="57"/>
      <c r="M24" s="57"/>
      <c r="N24" s="57"/>
      <c r="O24" s="57"/>
      <c r="P24" s="57"/>
      <c r="Q24" s="57"/>
      <c r="R24" s="57"/>
      <c r="S24" s="57"/>
    </row>
    <row r="25" spans="1:19" ht="15" x14ac:dyDescent="0.15">
      <c r="A25" s="52" t="s">
        <v>75</v>
      </c>
      <c r="B25" s="57"/>
      <c r="C25" s="57"/>
      <c r="D25" s="57"/>
      <c r="E25" s="57"/>
      <c r="F25" s="57"/>
      <c r="G25" s="57"/>
      <c r="H25" s="57"/>
      <c r="I25" s="72">
        <f t="shared" si="0"/>
        <v>0</v>
      </c>
      <c r="J25" s="67"/>
      <c r="K25" s="70"/>
      <c r="L25" s="57"/>
      <c r="M25" s="57"/>
      <c r="N25" s="57"/>
      <c r="O25" s="57"/>
      <c r="P25" s="57"/>
      <c r="Q25" s="57"/>
      <c r="R25" s="57"/>
      <c r="S25" s="57"/>
    </row>
    <row r="26" spans="1:19" ht="15" x14ac:dyDescent="0.15">
      <c r="A26" s="52" t="s">
        <v>13</v>
      </c>
      <c r="B26" s="52">
        <v>10224</v>
      </c>
      <c r="C26" s="52">
        <v>28396</v>
      </c>
      <c r="D26" s="52">
        <v>18384</v>
      </c>
      <c r="E26" s="52">
        <v>25824</v>
      </c>
      <c r="F26" s="52">
        <v>204764</v>
      </c>
      <c r="G26" s="52">
        <v>64000</v>
      </c>
      <c r="H26" s="52">
        <v>15485.6</v>
      </c>
      <c r="I26" s="72">
        <f t="shared" si="0"/>
        <v>0.3670776</v>
      </c>
      <c r="J26" s="65">
        <v>367077.6</v>
      </c>
      <c r="K26" s="70">
        <f t="shared" si="1"/>
        <v>0.47447242762838154</v>
      </c>
      <c r="L26" s="60">
        <v>-2.9350937771648329E-2</v>
      </c>
      <c r="M26" s="60">
        <v>-8.1518899546530313E-2</v>
      </c>
      <c r="N26" s="60">
        <v>5.2776568857001459E-2</v>
      </c>
      <c r="O26" s="60">
        <v>3.7067616246823476E-2</v>
      </c>
      <c r="P26" s="60">
        <v>0.88175108888993525</v>
      </c>
      <c r="Q26" s="60">
        <v>0.18373043988512255</v>
      </c>
      <c r="R26" s="60">
        <v>-4.4455876560703975E-2</v>
      </c>
      <c r="S26" s="60">
        <v>0.47447242762838154</v>
      </c>
    </row>
    <row r="27" spans="1:19" ht="15" x14ac:dyDescent="0.15">
      <c r="A27" s="52" t="s">
        <v>14</v>
      </c>
      <c r="B27" s="52">
        <v>15336</v>
      </c>
      <c r="C27" s="52">
        <v>42594</v>
      </c>
      <c r="D27" s="52">
        <v>27576</v>
      </c>
      <c r="E27" s="52">
        <v>38736</v>
      </c>
      <c r="F27" s="52">
        <v>307146</v>
      </c>
      <c r="G27" s="52">
        <v>96000</v>
      </c>
      <c r="H27" s="52">
        <v>23228.400000000001</v>
      </c>
      <c r="I27" s="72">
        <f t="shared" si="0"/>
        <v>0.55061640000000001</v>
      </c>
      <c r="J27" s="65">
        <v>550616.4</v>
      </c>
      <c r="K27" s="70">
        <f t="shared" si="1"/>
        <v>0.6496482850855877</v>
      </c>
      <c r="L27" s="60">
        <v>0</v>
      </c>
      <c r="M27" s="60">
        <v>0</v>
      </c>
      <c r="N27" s="60">
        <v>5.1394018009152741E-2</v>
      </c>
      <c r="O27" s="60">
        <v>5.4144872758989902E-2</v>
      </c>
      <c r="P27" s="60">
        <v>0.71554372712862757</v>
      </c>
      <c r="Q27" s="60">
        <v>0.17891738210322974</v>
      </c>
      <c r="R27" s="60">
        <v>0</v>
      </c>
      <c r="S27" s="60">
        <v>0.6496482850855877</v>
      </c>
    </row>
    <row r="28" spans="1:19" ht="15" x14ac:dyDescent="0.15">
      <c r="A28" s="52" t="s">
        <v>22</v>
      </c>
      <c r="B28" s="52">
        <v>20448</v>
      </c>
      <c r="C28" s="52">
        <v>56792</v>
      </c>
      <c r="D28" s="52">
        <v>36768</v>
      </c>
      <c r="E28" s="52">
        <v>51648</v>
      </c>
      <c r="F28" s="52">
        <v>409528</v>
      </c>
      <c r="G28" s="52">
        <v>128000</v>
      </c>
      <c r="H28" s="52">
        <v>30971.200000000001</v>
      </c>
      <c r="I28" s="72">
        <f t="shared" si="0"/>
        <v>0.73415520000000001</v>
      </c>
      <c r="J28" s="65">
        <v>734155.2</v>
      </c>
      <c r="K28" s="70">
        <f t="shared" si="1"/>
        <v>0.73723621381419069</v>
      </c>
      <c r="L28" s="60">
        <v>9.444876985650514E-3</v>
      </c>
      <c r="M28" s="60">
        <v>2.623207422579538E-2</v>
      </c>
      <c r="N28" s="60">
        <v>5.094912514794573E-2</v>
      </c>
      <c r="O28" s="60">
        <v>5.9640185660563103E-2</v>
      </c>
      <c r="P28" s="60">
        <v>0.66205964092469638</v>
      </c>
      <c r="Q28" s="60">
        <v>0.17736858189015048</v>
      </c>
      <c r="R28" s="60">
        <v>1.4305515165198511E-2</v>
      </c>
      <c r="S28" s="60">
        <v>0.73723621381419069</v>
      </c>
    </row>
    <row r="29" spans="1:19" ht="15" x14ac:dyDescent="0.15">
      <c r="A29" s="52" t="s">
        <v>21</v>
      </c>
      <c r="B29" s="52">
        <v>25560</v>
      </c>
      <c r="C29" s="52">
        <v>70990</v>
      </c>
      <c r="D29" s="52">
        <v>45960</v>
      </c>
      <c r="E29" s="52">
        <v>64560</v>
      </c>
      <c r="F29" s="52">
        <v>511910</v>
      </c>
      <c r="G29" s="52">
        <v>160000</v>
      </c>
      <c r="H29" s="52">
        <v>38714</v>
      </c>
      <c r="I29" s="72">
        <f t="shared" si="0"/>
        <v>0.91769400000000001</v>
      </c>
      <c r="J29" s="65">
        <v>917694</v>
      </c>
      <c r="K29" s="70">
        <f t="shared" si="1"/>
        <v>0.57957794210270519</v>
      </c>
      <c r="L29" s="60">
        <v>-9.6112772319521585E-3</v>
      </c>
      <c r="M29" s="60">
        <v>-2.6694232030371037E-2</v>
      </c>
      <c r="N29" s="60">
        <v>5.1846749011798261E-2</v>
      </c>
      <c r="O29" s="60">
        <v>4.8552743199908557E-2</v>
      </c>
      <c r="P29" s="60">
        <v>0.76997009824861173</v>
      </c>
      <c r="Q29" s="60">
        <v>0.18049346914464146</v>
      </c>
      <c r="R29" s="60">
        <v>-1.4557550342636776E-2</v>
      </c>
      <c r="S29" s="60">
        <v>0.57957794210270519</v>
      </c>
    </row>
    <row r="30" spans="1:19" ht="15" x14ac:dyDescent="0.15">
      <c r="A30" s="52" t="s">
        <v>19</v>
      </c>
      <c r="B30" s="52">
        <v>20448</v>
      </c>
      <c r="C30" s="52">
        <v>56792</v>
      </c>
      <c r="D30" s="52">
        <v>36768</v>
      </c>
      <c r="E30" s="52">
        <v>51648</v>
      </c>
      <c r="F30" s="52">
        <v>409528</v>
      </c>
      <c r="G30" s="52">
        <v>128000</v>
      </c>
      <c r="H30" s="52">
        <v>30971.200000000001</v>
      </c>
      <c r="I30" s="72">
        <f t="shared" si="0"/>
        <v>0.73415520000000001</v>
      </c>
      <c r="J30" s="65">
        <v>734155.2</v>
      </c>
      <c r="K30" s="70">
        <f t="shared" si="1"/>
        <v>0.6496482850855877</v>
      </c>
      <c r="L30" s="60">
        <v>7.627706769279843E-18</v>
      </c>
      <c r="M30" s="60">
        <v>1.5255413538559686E-17</v>
      </c>
      <c r="N30" s="60">
        <v>5.1394018009152748E-2</v>
      </c>
      <c r="O30" s="60">
        <v>5.4144872758989909E-2</v>
      </c>
      <c r="P30" s="60">
        <v>0.71554372712862779</v>
      </c>
      <c r="Q30" s="60">
        <v>0.17891738210322977</v>
      </c>
      <c r="R30" s="60">
        <v>0</v>
      </c>
      <c r="S30" s="60">
        <v>0.6496482850855877</v>
      </c>
    </row>
    <row r="31" spans="1:19" ht="15" x14ac:dyDescent="0.15">
      <c r="A31" s="52" t="s">
        <v>16</v>
      </c>
      <c r="B31" s="52">
        <v>15336</v>
      </c>
      <c r="C31" s="52">
        <v>42594</v>
      </c>
      <c r="D31" s="52">
        <v>27576</v>
      </c>
      <c r="E31" s="52">
        <v>38736</v>
      </c>
      <c r="F31" s="52">
        <v>307146</v>
      </c>
      <c r="G31" s="52">
        <v>96000</v>
      </c>
      <c r="H31" s="52">
        <v>23228.400000000001</v>
      </c>
      <c r="I31" s="72">
        <f t="shared" si="0"/>
        <v>0.55061640000000001</v>
      </c>
      <c r="J31" s="65">
        <v>550616.4</v>
      </c>
      <c r="K31" s="70">
        <f t="shared" si="1"/>
        <v>0.6496482850855877</v>
      </c>
      <c r="L31" s="60">
        <v>0</v>
      </c>
      <c r="M31" s="60">
        <v>0</v>
      </c>
      <c r="N31" s="60">
        <v>5.1394018009152741E-2</v>
      </c>
      <c r="O31" s="60">
        <v>5.4144872758989902E-2</v>
      </c>
      <c r="P31" s="60">
        <v>0.71554372712862757</v>
      </c>
      <c r="Q31" s="60">
        <v>0.17891738210322974</v>
      </c>
      <c r="R31" s="60">
        <v>0</v>
      </c>
      <c r="S31" s="60">
        <v>0.6496482850855877</v>
      </c>
    </row>
    <row r="32" spans="1:19" ht="15" x14ac:dyDescent="0.15">
      <c r="K32" s="70"/>
    </row>
    <row r="33" spans="11:11" ht="15" x14ac:dyDescent="0.15">
      <c r="K33" s="7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31" workbookViewId="0">
      <selection activeCell="E9" sqref="E9"/>
    </sheetView>
  </sheetViews>
  <sheetFormatPr defaultRowHeight="13.5" x14ac:dyDescent="0.15"/>
  <cols>
    <col min="6" max="6" width="11.25" bestFit="1" customWidth="1"/>
    <col min="8" max="8" width="12.25" bestFit="1" customWidth="1"/>
    <col min="9" max="9" width="10.25" bestFit="1" customWidth="1"/>
  </cols>
  <sheetData>
    <row r="1" spans="1:9" ht="24.75" thickBot="1" x14ac:dyDescent="0.2">
      <c r="A1" s="74" t="s">
        <v>5</v>
      </c>
      <c r="B1" s="75" t="s">
        <v>170</v>
      </c>
      <c r="C1" s="75" t="s">
        <v>171</v>
      </c>
      <c r="D1" s="76" t="s">
        <v>0</v>
      </c>
      <c r="E1" s="76" t="s">
        <v>172</v>
      </c>
      <c r="F1" s="76" t="s">
        <v>168</v>
      </c>
      <c r="G1" s="75" t="s">
        <v>173</v>
      </c>
      <c r="H1" s="75" t="s">
        <v>174</v>
      </c>
      <c r="I1" s="75" t="s">
        <v>179</v>
      </c>
    </row>
    <row r="2" spans="1:9" ht="15.75" thickBot="1" x14ac:dyDescent="0.2">
      <c r="A2" s="110" t="s">
        <v>12</v>
      </c>
      <c r="B2" s="110" t="s">
        <v>175</v>
      </c>
      <c r="C2" s="110">
        <v>500</v>
      </c>
      <c r="D2" s="77" t="s">
        <v>13</v>
      </c>
      <c r="E2" s="78">
        <v>0.19289999999999999</v>
      </c>
      <c r="F2" s="82">
        <f>(E8-E2)/E8</f>
        <v>0.52662576687116569</v>
      </c>
      <c r="G2" s="79">
        <v>64</v>
      </c>
      <c r="H2" s="81">
        <f>G2/E2</f>
        <v>331.77812337998967</v>
      </c>
      <c r="I2" s="82">
        <f>(H2-H8)/H8</f>
        <v>1.112493519958528</v>
      </c>
    </row>
    <row r="3" spans="1:9" ht="15.75" thickBot="1" x14ac:dyDescent="0.2">
      <c r="A3" s="111"/>
      <c r="B3" s="111"/>
      <c r="C3" s="111"/>
      <c r="D3" s="77" t="s">
        <v>14</v>
      </c>
      <c r="E3" s="78">
        <v>0.19289999999999999</v>
      </c>
      <c r="F3" s="82">
        <f t="shared" ref="F3:F7" si="0">(E9-E3)/E9</f>
        <v>0.7633128834355829</v>
      </c>
      <c r="G3" s="79">
        <v>32</v>
      </c>
      <c r="H3" s="81">
        <f t="shared" ref="H3:H13" si="1">G3/E3</f>
        <v>165.88906168999483</v>
      </c>
      <c r="I3" s="82">
        <f t="shared" ref="I3:I7" si="2">(H3-H9)/H9</f>
        <v>3.2249870399170559</v>
      </c>
    </row>
    <row r="4" spans="1:9" ht="15.75" thickBot="1" x14ac:dyDescent="0.2">
      <c r="A4" s="111"/>
      <c r="B4" s="111"/>
      <c r="C4" s="111"/>
      <c r="D4" s="77" t="s">
        <v>22</v>
      </c>
      <c r="E4" s="78">
        <v>0.19289999999999999</v>
      </c>
      <c r="F4" s="82">
        <f t="shared" si="0"/>
        <v>0.7633128834355829</v>
      </c>
      <c r="G4" s="79">
        <v>64</v>
      </c>
      <c r="H4" s="81">
        <f t="shared" si="1"/>
        <v>331.77812337998967</v>
      </c>
      <c r="I4" s="82">
        <f t="shared" si="2"/>
        <v>3.2249870399170559</v>
      </c>
    </row>
    <row r="5" spans="1:9" ht="15.75" thickBot="1" x14ac:dyDescent="0.2">
      <c r="A5" s="111"/>
      <c r="B5" s="111"/>
      <c r="C5" s="111"/>
      <c r="D5" s="77" t="s">
        <v>21</v>
      </c>
      <c r="E5" s="78">
        <v>0.38579999999999998</v>
      </c>
      <c r="F5" s="82">
        <f t="shared" si="0"/>
        <v>0.68439136125654454</v>
      </c>
      <c r="G5" s="79">
        <v>64</v>
      </c>
      <c r="H5" s="81">
        <f t="shared" si="1"/>
        <v>165.88906168999483</v>
      </c>
      <c r="I5" s="82">
        <f t="shared" si="2"/>
        <v>2.168481078278901</v>
      </c>
    </row>
    <row r="6" spans="1:9" ht="15.75" thickBot="1" x14ac:dyDescent="0.2">
      <c r="A6" s="111"/>
      <c r="B6" s="111"/>
      <c r="C6" s="111"/>
      <c r="D6" s="77" t="s">
        <v>19</v>
      </c>
      <c r="E6" s="78">
        <v>0.25719999999999998</v>
      </c>
      <c r="F6" s="82">
        <f t="shared" si="0"/>
        <v>0.68441717791411039</v>
      </c>
      <c r="G6" s="79">
        <v>32</v>
      </c>
      <c r="H6" s="81">
        <f t="shared" si="1"/>
        <v>124.41679626749612</v>
      </c>
      <c r="I6" s="82">
        <f t="shared" si="2"/>
        <v>2.1687402799377917</v>
      </c>
    </row>
    <row r="7" spans="1:9" ht="15.75" thickBot="1" x14ac:dyDescent="0.2">
      <c r="A7" s="112"/>
      <c r="B7" s="112"/>
      <c r="C7" s="112"/>
      <c r="D7" s="77" t="s">
        <v>16</v>
      </c>
      <c r="E7" s="78">
        <v>0.19289999999999999</v>
      </c>
      <c r="F7" s="82">
        <f t="shared" si="0"/>
        <v>0.7633128834355829</v>
      </c>
      <c r="G7" s="79">
        <v>32</v>
      </c>
      <c r="H7" s="81">
        <f t="shared" si="1"/>
        <v>165.88906168999483</v>
      </c>
      <c r="I7" s="82">
        <f t="shared" si="2"/>
        <v>3.2249870399170559</v>
      </c>
    </row>
    <row r="8" spans="1:9" ht="15.75" thickBot="1" x14ac:dyDescent="0.2">
      <c r="A8" s="110" t="s">
        <v>176</v>
      </c>
      <c r="B8" s="110" t="s">
        <v>175</v>
      </c>
      <c r="C8" s="110" t="s">
        <v>177</v>
      </c>
      <c r="D8" s="77" t="s">
        <v>13</v>
      </c>
      <c r="E8" s="78">
        <v>0.40749999999999997</v>
      </c>
      <c r="F8" s="80"/>
      <c r="G8" s="79">
        <v>64</v>
      </c>
      <c r="H8" s="81">
        <f t="shared" si="1"/>
        <v>157.05521472392638</v>
      </c>
      <c r="I8" s="79"/>
    </row>
    <row r="9" spans="1:9" ht="15.75" thickBot="1" x14ac:dyDescent="0.2">
      <c r="A9" s="111"/>
      <c r="B9" s="111"/>
      <c r="C9" s="111"/>
      <c r="D9" s="77" t="s">
        <v>14</v>
      </c>
      <c r="E9" s="78">
        <v>0.81499999999999995</v>
      </c>
      <c r="F9" s="80"/>
      <c r="G9" s="79">
        <v>32</v>
      </c>
      <c r="H9" s="81">
        <f t="shared" si="1"/>
        <v>39.263803680981596</v>
      </c>
      <c r="I9" s="79"/>
    </row>
    <row r="10" spans="1:9" ht="15.75" thickBot="1" x14ac:dyDescent="0.2">
      <c r="A10" s="111"/>
      <c r="B10" s="111"/>
      <c r="C10" s="111"/>
      <c r="D10" s="77" t="s">
        <v>22</v>
      </c>
      <c r="E10" s="78">
        <v>0.81499999999999995</v>
      </c>
      <c r="F10" s="80"/>
      <c r="G10" s="79">
        <v>64</v>
      </c>
      <c r="H10" s="81">
        <f t="shared" si="1"/>
        <v>78.527607361963192</v>
      </c>
      <c r="I10" s="79"/>
    </row>
    <row r="11" spans="1:9" ht="15.75" thickBot="1" x14ac:dyDescent="0.2">
      <c r="A11" s="111"/>
      <c r="B11" s="111"/>
      <c r="C11" s="111"/>
      <c r="D11" s="77" t="s">
        <v>21</v>
      </c>
      <c r="E11" s="78">
        <v>1.2223999999999999</v>
      </c>
      <c r="F11" s="80"/>
      <c r="G11" s="79">
        <v>64</v>
      </c>
      <c r="H11" s="81">
        <f t="shared" si="1"/>
        <v>52.356020942408378</v>
      </c>
      <c r="I11" s="79"/>
    </row>
    <row r="12" spans="1:9" ht="15.75" thickBot="1" x14ac:dyDescent="0.2">
      <c r="A12" s="111"/>
      <c r="B12" s="111"/>
      <c r="C12" s="111"/>
      <c r="D12" s="77" t="s">
        <v>19</v>
      </c>
      <c r="E12" s="78">
        <v>0.81499999999999995</v>
      </c>
      <c r="F12" s="80"/>
      <c r="G12" s="79">
        <v>32</v>
      </c>
      <c r="H12" s="81">
        <f t="shared" si="1"/>
        <v>39.263803680981596</v>
      </c>
      <c r="I12" s="79"/>
    </row>
    <row r="13" spans="1:9" ht="15.75" thickBot="1" x14ac:dyDescent="0.2">
      <c r="A13" s="112"/>
      <c r="B13" s="112"/>
      <c r="C13" s="112"/>
      <c r="D13" s="77" t="s">
        <v>16</v>
      </c>
      <c r="E13" s="78">
        <v>0.81499999999999995</v>
      </c>
      <c r="F13" s="80"/>
      <c r="G13" s="79">
        <v>32</v>
      </c>
      <c r="H13" s="81">
        <f t="shared" si="1"/>
        <v>39.263803680981596</v>
      </c>
      <c r="I13" s="79"/>
    </row>
    <row r="14" spans="1:9" ht="15.75" thickBot="1" x14ac:dyDescent="0.2">
      <c r="A14" s="110" t="s">
        <v>74</v>
      </c>
      <c r="B14" s="110"/>
      <c r="C14" s="110"/>
      <c r="D14" s="77" t="s">
        <v>13</v>
      </c>
      <c r="E14" s="78">
        <v>0.87360000000000004</v>
      </c>
      <c r="F14" s="80">
        <v>0.78</v>
      </c>
      <c r="G14" s="79"/>
      <c r="H14" s="79"/>
      <c r="I14" s="79"/>
    </row>
    <row r="15" spans="1:9" ht="15.75" thickBot="1" x14ac:dyDescent="0.2">
      <c r="A15" s="111"/>
      <c r="B15" s="111"/>
      <c r="C15" s="111"/>
      <c r="D15" s="77" t="s">
        <v>14</v>
      </c>
      <c r="E15" s="78">
        <v>1.3104</v>
      </c>
      <c r="F15" s="80">
        <v>0.85</v>
      </c>
      <c r="G15" s="79"/>
      <c r="H15" s="79"/>
      <c r="I15" s="79"/>
    </row>
    <row r="16" spans="1:9" ht="15.75" thickBot="1" x14ac:dyDescent="0.2">
      <c r="A16" s="111"/>
      <c r="B16" s="111"/>
      <c r="C16" s="111"/>
      <c r="D16" s="77" t="s">
        <v>22</v>
      </c>
      <c r="E16" s="78">
        <v>1.7472000000000001</v>
      </c>
      <c r="F16" s="80">
        <v>0.89</v>
      </c>
      <c r="G16" s="79"/>
      <c r="H16" s="79"/>
      <c r="I16" s="79"/>
    </row>
    <row r="17" spans="1:9" ht="15.75" thickBot="1" x14ac:dyDescent="0.2">
      <c r="A17" s="111"/>
      <c r="B17" s="111"/>
      <c r="C17" s="111"/>
      <c r="D17" s="77" t="s">
        <v>21</v>
      </c>
      <c r="E17" s="78">
        <v>2.1840000000000002</v>
      </c>
      <c r="F17" s="80">
        <v>0.82</v>
      </c>
      <c r="G17" s="79"/>
      <c r="H17" s="79"/>
      <c r="I17" s="79"/>
    </row>
    <row r="18" spans="1:9" ht="15.75" thickBot="1" x14ac:dyDescent="0.2">
      <c r="A18" s="111"/>
      <c r="B18" s="111"/>
      <c r="C18" s="111"/>
      <c r="D18" s="77" t="s">
        <v>19</v>
      </c>
      <c r="E18" s="78">
        <v>1.7472000000000001</v>
      </c>
      <c r="F18" s="80">
        <v>0.85</v>
      </c>
      <c r="G18" s="79"/>
      <c r="H18" s="79"/>
      <c r="I18" s="79"/>
    </row>
    <row r="19" spans="1:9" ht="15.75" thickBot="1" x14ac:dyDescent="0.2">
      <c r="A19" s="112"/>
      <c r="B19" s="112"/>
      <c r="C19" s="112"/>
      <c r="D19" s="77" t="s">
        <v>16</v>
      </c>
      <c r="E19" s="78">
        <v>1.3104</v>
      </c>
      <c r="F19" s="80">
        <v>0.85</v>
      </c>
      <c r="G19" s="79"/>
      <c r="H19" s="79"/>
      <c r="I19" s="79"/>
    </row>
    <row r="20" spans="1:9" ht="15.75" thickBot="1" x14ac:dyDescent="0.2">
      <c r="A20" s="110" t="s">
        <v>75</v>
      </c>
      <c r="B20" s="110"/>
      <c r="C20" s="110"/>
      <c r="D20" s="77" t="s">
        <v>13</v>
      </c>
      <c r="E20" s="78">
        <v>0.36709999999999998</v>
      </c>
      <c r="F20" s="80">
        <v>0.47</v>
      </c>
      <c r="G20" s="79"/>
      <c r="H20" s="79"/>
      <c r="I20" s="79"/>
    </row>
    <row r="21" spans="1:9" ht="15.75" thickBot="1" x14ac:dyDescent="0.2">
      <c r="A21" s="111"/>
      <c r="B21" s="111"/>
      <c r="C21" s="111"/>
      <c r="D21" s="77" t="s">
        <v>14</v>
      </c>
      <c r="E21" s="78">
        <v>0.55059999999999998</v>
      </c>
      <c r="F21" s="80">
        <v>0.65</v>
      </c>
      <c r="G21" s="79"/>
      <c r="H21" s="79"/>
      <c r="I21" s="79"/>
    </row>
    <row r="22" spans="1:9" ht="15.75" thickBot="1" x14ac:dyDescent="0.2">
      <c r="A22" s="111"/>
      <c r="B22" s="111"/>
      <c r="C22" s="111"/>
      <c r="D22" s="77" t="s">
        <v>22</v>
      </c>
      <c r="E22" s="78">
        <v>0.73419999999999996</v>
      </c>
      <c r="F22" s="80">
        <v>0.74</v>
      </c>
      <c r="G22" s="79"/>
      <c r="H22" s="79"/>
      <c r="I22" s="79"/>
    </row>
    <row r="23" spans="1:9" ht="15.75" thickBot="1" x14ac:dyDescent="0.2">
      <c r="A23" s="111"/>
      <c r="B23" s="111"/>
      <c r="C23" s="111"/>
      <c r="D23" s="77" t="s">
        <v>21</v>
      </c>
      <c r="E23" s="78">
        <v>0.91769999999999996</v>
      </c>
      <c r="F23" s="80">
        <v>0.57999999999999996</v>
      </c>
      <c r="G23" s="79"/>
      <c r="H23" s="79"/>
      <c r="I23" s="79"/>
    </row>
    <row r="24" spans="1:9" ht="15.75" thickBot="1" x14ac:dyDescent="0.2">
      <c r="A24" s="111"/>
      <c r="B24" s="111"/>
      <c r="C24" s="111"/>
      <c r="D24" s="77" t="s">
        <v>19</v>
      </c>
      <c r="E24" s="78">
        <v>0.73419999999999996</v>
      </c>
      <c r="F24" s="80">
        <v>0.65</v>
      </c>
      <c r="G24" s="79"/>
      <c r="H24" s="79"/>
      <c r="I24" s="79"/>
    </row>
    <row r="25" spans="1:9" ht="15.75" thickBot="1" x14ac:dyDescent="0.2">
      <c r="A25" s="112"/>
      <c r="B25" s="112"/>
      <c r="C25" s="112"/>
      <c r="D25" s="77" t="s">
        <v>16</v>
      </c>
      <c r="E25" s="78">
        <v>0.55059999999999998</v>
      </c>
      <c r="F25" s="80">
        <v>0.65</v>
      </c>
      <c r="G25" s="79"/>
      <c r="H25" s="79"/>
      <c r="I25" s="79"/>
    </row>
    <row r="28" spans="1:9" ht="14.25" thickBot="1" x14ac:dyDescent="0.2"/>
    <row r="29" spans="1:9" ht="24.75" thickBot="1" x14ac:dyDescent="0.2">
      <c r="A29" s="74" t="s">
        <v>5</v>
      </c>
      <c r="B29" s="75" t="s">
        <v>170</v>
      </c>
      <c r="C29" s="75" t="s">
        <v>171</v>
      </c>
      <c r="D29" s="76" t="s">
        <v>0</v>
      </c>
      <c r="E29" s="76" t="s">
        <v>172</v>
      </c>
      <c r="F29" s="76" t="s">
        <v>180</v>
      </c>
      <c r="G29" s="75" t="s">
        <v>173</v>
      </c>
      <c r="H29" s="75" t="s">
        <v>174</v>
      </c>
      <c r="I29" s="75" t="s">
        <v>178</v>
      </c>
    </row>
    <row r="30" spans="1:9" ht="14.25" thickBot="1" x14ac:dyDescent="0.2">
      <c r="A30" s="110" t="s">
        <v>12</v>
      </c>
      <c r="B30" s="110" t="s">
        <v>175</v>
      </c>
      <c r="C30" s="110">
        <v>500</v>
      </c>
      <c r="D30" s="77" t="s">
        <v>13</v>
      </c>
      <c r="E30" s="77">
        <v>0.19289999999999999</v>
      </c>
      <c r="F30" s="83">
        <f>(E36-E30)/E36</f>
        <v>0.77918956043956045</v>
      </c>
      <c r="G30" s="79">
        <v>64</v>
      </c>
      <c r="H30" s="79">
        <v>331.78</v>
      </c>
      <c r="I30" s="83">
        <f>(H30-H36)/H36</f>
        <v>1.2643985</v>
      </c>
    </row>
    <row r="31" spans="1:9" ht="14.25" thickBot="1" x14ac:dyDescent="0.2">
      <c r="A31" s="111"/>
      <c r="B31" s="111"/>
      <c r="C31" s="111"/>
      <c r="D31" s="77" t="s">
        <v>14</v>
      </c>
      <c r="E31" s="77">
        <v>0.19289999999999999</v>
      </c>
      <c r="F31" s="83">
        <f t="shared" ref="F31:F35" si="3">(E37-E31)/E37</f>
        <v>0.85279304029304026</v>
      </c>
      <c r="G31" s="79">
        <v>32</v>
      </c>
      <c r="H31" s="79">
        <v>165.89</v>
      </c>
      <c r="I31" s="83">
        <f t="shared" ref="I31:I35" si="4">(H31-H37)/H37</f>
        <v>2.3965977499999997</v>
      </c>
    </row>
    <row r="32" spans="1:9" ht="14.25" thickBot="1" x14ac:dyDescent="0.2">
      <c r="A32" s="111"/>
      <c r="B32" s="111"/>
      <c r="C32" s="111"/>
      <c r="D32" s="77" t="s">
        <v>22</v>
      </c>
      <c r="E32" s="77">
        <v>0.19289999999999999</v>
      </c>
      <c r="F32" s="83">
        <f t="shared" si="3"/>
        <v>0.88959478021978022</v>
      </c>
      <c r="G32" s="79">
        <v>64</v>
      </c>
      <c r="H32" s="79">
        <v>331.78</v>
      </c>
      <c r="I32" s="83">
        <f t="shared" si="4"/>
        <v>3.5287970000000004</v>
      </c>
    </row>
    <row r="33" spans="1:9" ht="14.25" thickBot="1" x14ac:dyDescent="0.2">
      <c r="A33" s="111"/>
      <c r="B33" s="111"/>
      <c r="C33" s="111"/>
      <c r="D33" s="77" t="s">
        <v>21</v>
      </c>
      <c r="E33" s="77">
        <v>0.38579999999999998</v>
      </c>
      <c r="F33" s="83">
        <f t="shared" si="3"/>
        <v>0.82335164835164842</v>
      </c>
      <c r="G33" s="79">
        <v>64</v>
      </c>
      <c r="H33" s="79">
        <v>165.89</v>
      </c>
      <c r="I33" s="83">
        <f t="shared" si="4"/>
        <v>1.8304981250000001</v>
      </c>
    </row>
    <row r="34" spans="1:9" ht="14.25" thickBot="1" x14ac:dyDescent="0.2">
      <c r="A34" s="111"/>
      <c r="B34" s="111"/>
      <c r="C34" s="111"/>
      <c r="D34" s="77" t="s">
        <v>19</v>
      </c>
      <c r="E34" s="77">
        <v>0.25719999999999998</v>
      </c>
      <c r="F34" s="83">
        <f t="shared" si="3"/>
        <v>0.85279304029304037</v>
      </c>
      <c r="G34" s="79">
        <v>32</v>
      </c>
      <c r="H34" s="79">
        <v>124.42</v>
      </c>
      <c r="I34" s="83">
        <f t="shared" si="4"/>
        <v>2.3966660000000002</v>
      </c>
    </row>
    <row r="35" spans="1:9" ht="14.25" thickBot="1" x14ac:dyDescent="0.2">
      <c r="A35" s="112"/>
      <c r="B35" s="112"/>
      <c r="C35" s="112"/>
      <c r="D35" s="77" t="s">
        <v>16</v>
      </c>
      <c r="E35" s="77">
        <v>0.19289999999999999</v>
      </c>
      <c r="F35" s="83">
        <f t="shared" si="3"/>
        <v>0.85279304029304026</v>
      </c>
      <c r="G35" s="79">
        <v>32</v>
      </c>
      <c r="H35" s="79">
        <v>165.89</v>
      </c>
      <c r="I35" s="83">
        <f t="shared" si="4"/>
        <v>2.3965977499999997</v>
      </c>
    </row>
    <row r="36" spans="1:9" ht="15.75" thickBot="1" x14ac:dyDescent="0.2">
      <c r="A36" s="110" t="s">
        <v>74</v>
      </c>
      <c r="B36" s="110" t="s">
        <v>175</v>
      </c>
      <c r="C36" s="110">
        <v>1000</v>
      </c>
      <c r="D36" s="77" t="s">
        <v>13</v>
      </c>
      <c r="E36" s="84">
        <v>0.87360000000000004</v>
      </c>
      <c r="F36" s="77"/>
      <c r="G36" s="79">
        <f>G30*2</f>
        <v>128</v>
      </c>
      <c r="H36" s="81">
        <f>G36/E36</f>
        <v>146.52014652014651</v>
      </c>
      <c r="I36" s="79"/>
    </row>
    <row r="37" spans="1:9" ht="15.75" thickBot="1" x14ac:dyDescent="0.2">
      <c r="A37" s="111"/>
      <c r="B37" s="111"/>
      <c r="C37" s="111"/>
      <c r="D37" s="77" t="s">
        <v>14</v>
      </c>
      <c r="E37" s="84">
        <v>1.3104</v>
      </c>
      <c r="F37" s="77"/>
      <c r="G37" s="79">
        <f t="shared" ref="G37:G41" si="5">G31*2</f>
        <v>64</v>
      </c>
      <c r="H37" s="81">
        <f t="shared" ref="H37:H41" si="6">G37/E37</f>
        <v>48.840048840048837</v>
      </c>
      <c r="I37" s="79"/>
    </row>
    <row r="38" spans="1:9" ht="15.75" thickBot="1" x14ac:dyDescent="0.2">
      <c r="A38" s="111"/>
      <c r="B38" s="111"/>
      <c r="C38" s="111"/>
      <c r="D38" s="77" t="s">
        <v>22</v>
      </c>
      <c r="E38" s="84">
        <v>1.7472000000000001</v>
      </c>
      <c r="F38" s="77"/>
      <c r="G38" s="79">
        <f t="shared" si="5"/>
        <v>128</v>
      </c>
      <c r="H38" s="81">
        <f t="shared" si="6"/>
        <v>73.260073260073256</v>
      </c>
      <c r="I38" s="79"/>
    </row>
    <row r="39" spans="1:9" ht="15.75" thickBot="1" x14ac:dyDescent="0.2">
      <c r="A39" s="111"/>
      <c r="B39" s="111"/>
      <c r="C39" s="111"/>
      <c r="D39" s="77" t="s">
        <v>21</v>
      </c>
      <c r="E39" s="84">
        <v>2.1840000000000002</v>
      </c>
      <c r="F39" s="77"/>
      <c r="G39" s="79">
        <f t="shared" si="5"/>
        <v>128</v>
      </c>
      <c r="H39" s="81">
        <f t="shared" si="6"/>
        <v>58.608058608058606</v>
      </c>
      <c r="I39" s="79"/>
    </row>
    <row r="40" spans="1:9" ht="15.75" thickBot="1" x14ac:dyDescent="0.2">
      <c r="A40" s="111"/>
      <c r="B40" s="111"/>
      <c r="C40" s="111"/>
      <c r="D40" s="77" t="s">
        <v>19</v>
      </c>
      <c r="E40" s="84">
        <v>1.7472000000000001</v>
      </c>
      <c r="F40" s="77"/>
      <c r="G40" s="79">
        <f t="shared" si="5"/>
        <v>64</v>
      </c>
      <c r="H40" s="81">
        <f t="shared" si="6"/>
        <v>36.630036630036628</v>
      </c>
      <c r="I40" s="79"/>
    </row>
    <row r="41" spans="1:9" ht="15.75" thickBot="1" x14ac:dyDescent="0.2">
      <c r="A41" s="112"/>
      <c r="B41" s="112"/>
      <c r="C41" s="112"/>
      <c r="D41" s="77" t="s">
        <v>16</v>
      </c>
      <c r="E41" s="84">
        <v>1.3104</v>
      </c>
      <c r="F41" s="77"/>
      <c r="G41" s="79">
        <f t="shared" si="5"/>
        <v>64</v>
      </c>
      <c r="H41" s="81">
        <f t="shared" si="6"/>
        <v>48.840048840048837</v>
      </c>
      <c r="I41" s="79"/>
    </row>
  </sheetData>
  <mergeCells count="18">
    <mergeCell ref="A2:A7"/>
    <mergeCell ref="B2:B7"/>
    <mergeCell ref="C2:C7"/>
    <mergeCell ref="A8:A13"/>
    <mergeCell ref="B8:B13"/>
    <mergeCell ref="C8:C13"/>
    <mergeCell ref="A14:A19"/>
    <mergeCell ref="B14:B19"/>
    <mergeCell ref="C14:C19"/>
    <mergeCell ref="A20:A25"/>
    <mergeCell ref="B20:B25"/>
    <mergeCell ref="C20:C25"/>
    <mergeCell ref="A30:A35"/>
    <mergeCell ref="B30:B35"/>
    <mergeCell ref="C30:C35"/>
    <mergeCell ref="A36:A41"/>
    <mergeCell ref="B36:B41"/>
    <mergeCell ref="C36:C4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topLeftCell="A247" workbookViewId="0">
      <selection activeCell="G91" sqref="G91"/>
    </sheetView>
  </sheetViews>
  <sheetFormatPr defaultRowHeight="13.5" x14ac:dyDescent="0.15"/>
  <sheetData>
    <row r="1" spans="1:8" ht="14.25" thickBot="1" x14ac:dyDescent="0.2">
      <c r="A1" s="91" t="s">
        <v>5</v>
      </c>
      <c r="B1" s="113" t="s">
        <v>47</v>
      </c>
      <c r="C1" s="115" t="s">
        <v>6</v>
      </c>
      <c r="D1" s="116"/>
      <c r="E1" s="116"/>
      <c r="F1" s="116"/>
      <c r="G1" s="116"/>
      <c r="H1" s="117"/>
    </row>
    <row r="2" spans="1:8" ht="15" thickBot="1" x14ac:dyDescent="0.2">
      <c r="A2" s="93"/>
      <c r="B2" s="114"/>
      <c r="C2" s="1" t="s">
        <v>7</v>
      </c>
      <c r="D2" s="1" t="s">
        <v>8</v>
      </c>
      <c r="E2" s="1" t="s">
        <v>1</v>
      </c>
      <c r="F2" s="1" t="s">
        <v>9</v>
      </c>
      <c r="G2" s="1" t="s">
        <v>10</v>
      </c>
      <c r="H2" s="1" t="s">
        <v>11</v>
      </c>
    </row>
    <row r="3" spans="1:8" ht="15" thickBot="1" x14ac:dyDescent="0.2">
      <c r="A3" s="91" t="s">
        <v>12</v>
      </c>
      <c r="B3" s="2" t="s">
        <v>13</v>
      </c>
      <c r="C3" s="1"/>
      <c r="D3" s="1"/>
      <c r="E3" s="1"/>
      <c r="F3" s="1"/>
      <c r="G3" s="1"/>
      <c r="H3" s="1"/>
    </row>
    <row r="4" spans="1:8" ht="15" thickBot="1" x14ac:dyDescent="0.2">
      <c r="A4" s="92"/>
      <c r="B4" s="2" t="s">
        <v>14</v>
      </c>
      <c r="C4" s="1"/>
      <c r="D4" s="1"/>
      <c r="E4" s="1"/>
      <c r="F4" s="1"/>
      <c r="G4" s="1"/>
      <c r="H4" s="1"/>
    </row>
    <row r="5" spans="1:8" ht="15" thickBot="1" x14ac:dyDescent="0.2">
      <c r="A5" s="92"/>
      <c r="B5" s="2" t="s">
        <v>15</v>
      </c>
      <c r="C5" s="1"/>
      <c r="D5" s="1"/>
      <c r="E5" s="1"/>
      <c r="F5" s="1"/>
      <c r="G5" s="1"/>
      <c r="H5" s="1"/>
    </row>
    <row r="6" spans="1:8" ht="15" thickBot="1" x14ac:dyDescent="0.2">
      <c r="A6" s="92"/>
      <c r="B6" s="2" t="s">
        <v>16</v>
      </c>
      <c r="C6" s="1"/>
      <c r="D6" s="1"/>
      <c r="E6" s="1"/>
      <c r="F6" s="1"/>
      <c r="G6" s="1"/>
      <c r="H6" s="1"/>
    </row>
    <row r="7" spans="1:8" ht="15" thickBot="1" x14ac:dyDescent="0.2">
      <c r="A7" s="92"/>
      <c r="B7" s="2" t="s">
        <v>2</v>
      </c>
      <c r="C7" s="1"/>
      <c r="D7" s="1"/>
      <c r="E7" s="1"/>
      <c r="F7" s="1"/>
      <c r="G7" s="1"/>
      <c r="H7" s="1"/>
    </row>
    <row r="8" spans="1:8" ht="15" thickBot="1" x14ac:dyDescent="0.2">
      <c r="A8" s="92"/>
      <c r="B8" s="2" t="s">
        <v>17</v>
      </c>
      <c r="C8" s="1"/>
      <c r="D8" s="1"/>
      <c r="E8" s="1"/>
      <c r="F8" s="1"/>
      <c r="G8" s="1"/>
      <c r="H8" s="1"/>
    </row>
    <row r="9" spans="1:8" ht="15" thickBot="1" x14ac:dyDescent="0.2">
      <c r="A9" s="92"/>
      <c r="B9" s="2" t="s">
        <v>18</v>
      </c>
      <c r="C9" s="1"/>
      <c r="D9" s="1"/>
      <c r="E9" s="1"/>
      <c r="F9" s="1"/>
      <c r="G9" s="1"/>
      <c r="H9" s="1"/>
    </row>
    <row r="10" spans="1:8" ht="15" thickBot="1" x14ac:dyDescent="0.2">
      <c r="A10" s="92"/>
      <c r="B10" s="2" t="s">
        <v>19</v>
      </c>
      <c r="C10" s="1"/>
      <c r="D10" s="1"/>
      <c r="E10" s="1"/>
      <c r="F10" s="1"/>
      <c r="G10" s="1"/>
      <c r="H10" s="1"/>
    </row>
    <row r="11" spans="1:8" ht="15" thickBot="1" x14ac:dyDescent="0.2">
      <c r="A11" s="92"/>
      <c r="B11" s="2" t="s">
        <v>20</v>
      </c>
      <c r="C11" s="1"/>
      <c r="D11" s="1"/>
      <c r="E11" s="1"/>
      <c r="F11" s="1"/>
      <c r="G11" s="1"/>
      <c r="H11" s="1"/>
    </row>
    <row r="12" spans="1:8" ht="15" thickBot="1" x14ac:dyDescent="0.2">
      <c r="A12" s="92"/>
      <c r="B12" s="2" t="s">
        <v>21</v>
      </c>
      <c r="C12" s="1"/>
      <c r="D12" s="1"/>
      <c r="E12" s="1"/>
      <c r="F12" s="1"/>
      <c r="G12" s="1"/>
      <c r="H12" s="1"/>
    </row>
    <row r="13" spans="1:8" ht="15" thickBot="1" x14ac:dyDescent="0.2">
      <c r="A13" s="92"/>
      <c r="B13" s="2" t="s">
        <v>22</v>
      </c>
      <c r="C13" s="1"/>
      <c r="D13" s="1"/>
      <c r="E13" s="1"/>
      <c r="F13" s="1"/>
      <c r="G13" s="1"/>
      <c r="H13" s="1"/>
    </row>
    <row r="14" spans="1:8" ht="15" thickBot="1" x14ac:dyDescent="0.2">
      <c r="A14" s="92"/>
      <c r="B14" s="2" t="s">
        <v>23</v>
      </c>
      <c r="C14" s="1"/>
      <c r="D14" s="1"/>
      <c r="E14" s="1"/>
      <c r="F14" s="1"/>
      <c r="G14" s="1"/>
      <c r="H14" s="1"/>
    </row>
    <row r="15" spans="1:8" ht="15" thickBot="1" x14ac:dyDescent="0.2">
      <c r="A15" s="92"/>
      <c r="B15" s="2" t="s">
        <v>24</v>
      </c>
      <c r="C15" s="1"/>
      <c r="D15" s="1"/>
      <c r="E15" s="1"/>
      <c r="F15" s="1"/>
      <c r="G15" s="1"/>
      <c r="H15" s="1"/>
    </row>
    <row r="16" spans="1:8" ht="15" thickBot="1" x14ac:dyDescent="0.2">
      <c r="A16" s="92"/>
      <c r="B16" s="2" t="s">
        <v>25</v>
      </c>
      <c r="C16" s="1"/>
      <c r="D16" s="1"/>
      <c r="E16" s="1"/>
      <c r="F16" s="1"/>
      <c r="G16" s="1"/>
      <c r="H16" s="1"/>
    </row>
    <row r="17" spans="1:8" ht="15" thickBot="1" x14ac:dyDescent="0.2">
      <c r="A17" s="92"/>
      <c r="B17" s="2" t="s">
        <v>26</v>
      </c>
      <c r="C17" s="1"/>
      <c r="D17" s="1"/>
      <c r="E17" s="1"/>
      <c r="F17" s="1"/>
      <c r="G17" s="1"/>
      <c r="H17" s="1"/>
    </row>
    <row r="18" spans="1:8" ht="15" thickBot="1" x14ac:dyDescent="0.2">
      <c r="A18" s="92"/>
      <c r="B18" s="2" t="s">
        <v>27</v>
      </c>
      <c r="C18" s="1"/>
      <c r="D18" s="1"/>
      <c r="E18" s="1"/>
      <c r="F18" s="1"/>
      <c r="G18" s="1"/>
      <c r="H18" s="1"/>
    </row>
    <row r="19" spans="1:8" ht="15" thickBot="1" x14ac:dyDescent="0.2">
      <c r="A19" s="92"/>
      <c r="B19" s="2" t="s">
        <v>3</v>
      </c>
      <c r="C19" s="1"/>
      <c r="D19" s="1"/>
      <c r="E19" s="1"/>
      <c r="F19" s="1"/>
      <c r="G19" s="1"/>
      <c r="H19" s="1"/>
    </row>
    <row r="20" spans="1:8" ht="15" thickBot="1" x14ac:dyDescent="0.2">
      <c r="A20" s="92"/>
      <c r="B20" s="2" t="s">
        <v>28</v>
      </c>
      <c r="C20" s="1"/>
      <c r="D20" s="1"/>
      <c r="E20" s="1"/>
      <c r="F20" s="1"/>
      <c r="G20" s="1"/>
      <c r="H20" s="1"/>
    </row>
    <row r="21" spans="1:8" ht="15" thickBot="1" x14ac:dyDescent="0.2">
      <c r="A21" s="92"/>
      <c r="B21" s="2" t="s">
        <v>29</v>
      </c>
      <c r="C21" s="1"/>
      <c r="D21" s="1"/>
      <c r="E21" s="1"/>
      <c r="F21" s="1"/>
      <c r="G21" s="1"/>
      <c r="H21" s="1"/>
    </row>
    <row r="22" spans="1:8" ht="15" thickBot="1" x14ac:dyDescent="0.2">
      <c r="A22" s="92"/>
      <c r="B22" s="2" t="s">
        <v>30</v>
      </c>
      <c r="C22" s="1"/>
      <c r="D22" s="1"/>
      <c r="E22" s="1"/>
      <c r="F22" s="1"/>
      <c r="G22" s="1"/>
      <c r="H22" s="1"/>
    </row>
    <row r="23" spans="1:8" ht="15" thickBot="1" x14ac:dyDescent="0.2">
      <c r="A23" s="92"/>
      <c r="B23" s="2" t="s">
        <v>31</v>
      </c>
      <c r="C23" s="1"/>
      <c r="D23" s="1"/>
      <c r="E23" s="1"/>
      <c r="F23" s="1"/>
      <c r="G23" s="1"/>
      <c r="H23" s="1"/>
    </row>
    <row r="24" spans="1:8" ht="15" thickBot="1" x14ac:dyDescent="0.2">
      <c r="A24" s="92"/>
      <c r="B24" s="2" t="s">
        <v>32</v>
      </c>
      <c r="C24" s="1"/>
      <c r="D24" s="1"/>
      <c r="E24" s="1"/>
      <c r="F24" s="1"/>
      <c r="G24" s="1"/>
      <c r="H24" s="1"/>
    </row>
    <row r="25" spans="1:8" ht="15" thickBot="1" x14ac:dyDescent="0.2">
      <c r="A25" s="92"/>
      <c r="B25" s="2" t="s">
        <v>33</v>
      </c>
      <c r="C25" s="1"/>
      <c r="D25" s="1"/>
      <c r="E25" s="1"/>
      <c r="F25" s="1"/>
      <c r="G25" s="1"/>
      <c r="H25" s="1"/>
    </row>
    <row r="26" spans="1:8" ht="29.25" thickBot="1" x14ac:dyDescent="0.2">
      <c r="A26" s="92"/>
      <c r="B26" s="2" t="s">
        <v>34</v>
      </c>
      <c r="C26" s="1"/>
      <c r="D26" s="1"/>
      <c r="E26" s="1"/>
      <c r="F26" s="1"/>
      <c r="G26" s="1"/>
      <c r="H26" s="1"/>
    </row>
    <row r="27" spans="1:8" ht="15" thickBot="1" x14ac:dyDescent="0.2">
      <c r="A27" s="92"/>
      <c r="B27" s="2" t="s">
        <v>35</v>
      </c>
      <c r="C27" s="1"/>
      <c r="D27" s="1"/>
      <c r="E27" s="1"/>
      <c r="F27" s="1"/>
      <c r="G27" s="1"/>
      <c r="H27" s="1"/>
    </row>
    <row r="28" spans="1:8" ht="15" thickBot="1" x14ac:dyDescent="0.2">
      <c r="A28" s="92"/>
      <c r="B28" s="2" t="s">
        <v>36</v>
      </c>
      <c r="C28" s="1"/>
      <c r="D28" s="1"/>
      <c r="E28" s="1"/>
      <c r="F28" s="1"/>
      <c r="G28" s="1"/>
      <c r="H28" s="1"/>
    </row>
    <row r="29" spans="1:8" ht="15" thickBot="1" x14ac:dyDescent="0.2">
      <c r="A29" s="92"/>
      <c r="B29" s="2" t="s">
        <v>37</v>
      </c>
      <c r="C29" s="1"/>
      <c r="D29" s="1"/>
      <c r="E29" s="1"/>
      <c r="F29" s="1"/>
      <c r="G29" s="1"/>
      <c r="H29" s="1"/>
    </row>
    <row r="30" spans="1:8" ht="15" thickBot="1" x14ac:dyDescent="0.2">
      <c r="A30" s="92"/>
      <c r="B30" s="2" t="s">
        <v>38</v>
      </c>
      <c r="C30" s="1"/>
      <c r="D30" s="1"/>
      <c r="E30" s="1"/>
      <c r="F30" s="1"/>
      <c r="G30" s="1"/>
      <c r="H30" s="1"/>
    </row>
    <row r="31" spans="1:8" ht="15" thickBot="1" x14ac:dyDescent="0.2">
      <c r="A31" s="92"/>
      <c r="B31" s="2" t="s">
        <v>39</v>
      </c>
      <c r="C31" s="1"/>
      <c r="D31" s="1"/>
      <c r="E31" s="1"/>
      <c r="F31" s="1"/>
      <c r="G31" s="1"/>
      <c r="H31" s="1"/>
    </row>
    <row r="32" spans="1:8" ht="15" thickBot="1" x14ac:dyDescent="0.2">
      <c r="A32" s="92"/>
      <c r="B32" s="2" t="s">
        <v>40</v>
      </c>
      <c r="C32" s="1"/>
      <c r="D32" s="1"/>
      <c r="E32" s="1"/>
      <c r="F32" s="1"/>
      <c r="G32" s="1"/>
      <c r="H32" s="1"/>
    </row>
    <row r="33" spans="1:8" ht="29.25" thickBot="1" x14ac:dyDescent="0.2">
      <c r="A33" s="92"/>
      <c r="B33" s="2" t="s">
        <v>41</v>
      </c>
      <c r="C33" s="1"/>
      <c r="D33" s="1"/>
      <c r="E33" s="1"/>
      <c r="F33" s="1"/>
      <c r="G33" s="1"/>
      <c r="H33" s="1"/>
    </row>
    <row r="34" spans="1:8" ht="15" thickBot="1" x14ac:dyDescent="0.2">
      <c r="A34" s="92"/>
      <c r="B34" s="2" t="s">
        <v>42</v>
      </c>
      <c r="C34" s="1"/>
      <c r="D34" s="1"/>
      <c r="E34" s="1"/>
      <c r="F34" s="1"/>
      <c r="G34" s="1"/>
      <c r="H34" s="1"/>
    </row>
    <row r="35" spans="1:8" ht="15" thickBot="1" x14ac:dyDescent="0.2">
      <c r="A35" s="92"/>
      <c r="B35" s="2" t="s">
        <v>43</v>
      </c>
      <c r="C35" s="1"/>
      <c r="D35" s="1"/>
      <c r="E35" s="1"/>
      <c r="F35" s="1"/>
      <c r="G35" s="1"/>
      <c r="H35" s="1"/>
    </row>
    <row r="36" spans="1:8" ht="15" thickBot="1" x14ac:dyDescent="0.2">
      <c r="A36" s="92"/>
      <c r="B36" s="2" t="s">
        <v>44</v>
      </c>
      <c r="C36" s="1"/>
      <c r="D36" s="1"/>
      <c r="E36" s="1"/>
      <c r="F36" s="1"/>
      <c r="G36" s="1"/>
      <c r="H36" s="1"/>
    </row>
    <row r="37" spans="1:8" ht="29.25" thickBot="1" x14ac:dyDescent="0.2">
      <c r="A37" s="92"/>
      <c r="B37" s="2" t="s">
        <v>4</v>
      </c>
      <c r="C37" s="1"/>
      <c r="D37" s="1"/>
      <c r="E37" s="1"/>
      <c r="F37" s="1"/>
      <c r="G37" s="1"/>
      <c r="H37" s="1"/>
    </row>
    <row r="38" spans="1:8" ht="29.25" thickBot="1" x14ac:dyDescent="0.2">
      <c r="A38" s="93"/>
      <c r="B38" s="2" t="s">
        <v>45</v>
      </c>
      <c r="C38" s="1"/>
      <c r="D38" s="1"/>
      <c r="E38" s="1"/>
      <c r="F38" s="1"/>
      <c r="G38" s="1"/>
      <c r="H38" s="1"/>
    </row>
    <row r="39" spans="1:8" ht="15" thickBot="1" x14ac:dyDescent="0.2">
      <c r="A39" s="91" t="s">
        <v>46</v>
      </c>
      <c r="B39" s="2" t="s">
        <v>13</v>
      </c>
      <c r="C39" s="1"/>
      <c r="D39" s="1"/>
      <c r="E39" s="1"/>
      <c r="F39" s="1"/>
      <c r="G39" s="1"/>
      <c r="H39" s="1"/>
    </row>
    <row r="40" spans="1:8" ht="15" thickBot="1" x14ac:dyDescent="0.2">
      <c r="A40" s="92"/>
      <c r="B40" s="2" t="s">
        <v>14</v>
      </c>
      <c r="C40" s="1"/>
      <c r="D40" s="1"/>
      <c r="E40" s="1"/>
      <c r="F40" s="1"/>
      <c r="G40" s="1"/>
      <c r="H40" s="1"/>
    </row>
    <row r="41" spans="1:8" ht="15" thickBot="1" x14ac:dyDescent="0.2">
      <c r="A41" s="92"/>
      <c r="B41" s="2" t="s">
        <v>15</v>
      </c>
      <c r="C41" s="1"/>
      <c r="D41" s="1"/>
      <c r="E41" s="1"/>
      <c r="F41" s="1"/>
      <c r="G41" s="1"/>
      <c r="H41" s="1"/>
    </row>
    <row r="42" spans="1:8" ht="15" thickBot="1" x14ac:dyDescent="0.2">
      <c r="A42" s="92"/>
      <c r="B42" s="2" t="s">
        <v>16</v>
      </c>
      <c r="C42" s="1"/>
      <c r="D42" s="1"/>
      <c r="E42" s="1"/>
      <c r="F42" s="1"/>
      <c r="G42" s="1"/>
      <c r="H42" s="1"/>
    </row>
    <row r="43" spans="1:8" ht="15" thickBot="1" x14ac:dyDescent="0.2">
      <c r="A43" s="92"/>
      <c r="B43" s="2" t="s">
        <v>2</v>
      </c>
      <c r="C43" s="1"/>
      <c r="D43" s="1"/>
      <c r="E43" s="1"/>
      <c r="F43" s="1"/>
      <c r="G43" s="1"/>
      <c r="H43" s="1"/>
    </row>
    <row r="44" spans="1:8" ht="15" thickBot="1" x14ac:dyDescent="0.2">
      <c r="A44" s="92"/>
      <c r="B44" s="2" t="s">
        <v>17</v>
      </c>
      <c r="C44" s="1"/>
      <c r="D44" s="1"/>
      <c r="E44" s="1"/>
      <c r="F44" s="1"/>
      <c r="G44" s="1"/>
      <c r="H44" s="1"/>
    </row>
    <row r="45" spans="1:8" ht="15" thickBot="1" x14ac:dyDescent="0.2">
      <c r="A45" s="92"/>
      <c r="B45" s="2" t="s">
        <v>18</v>
      </c>
      <c r="C45" s="1"/>
      <c r="D45" s="1"/>
      <c r="E45" s="1"/>
      <c r="F45" s="1"/>
      <c r="G45" s="1"/>
      <c r="H45" s="1"/>
    </row>
    <row r="46" spans="1:8" ht="15" thickBot="1" x14ac:dyDescent="0.2">
      <c r="A46" s="92"/>
      <c r="B46" s="2" t="s">
        <v>19</v>
      </c>
      <c r="C46" s="1"/>
      <c r="D46" s="1"/>
      <c r="E46" s="1"/>
      <c r="F46" s="1"/>
      <c r="G46" s="1"/>
      <c r="H46" s="1"/>
    </row>
    <row r="47" spans="1:8" ht="15" thickBot="1" x14ac:dyDescent="0.2">
      <c r="A47" s="92"/>
      <c r="B47" s="2" t="s">
        <v>20</v>
      </c>
      <c r="C47" s="1"/>
      <c r="D47" s="1"/>
      <c r="E47" s="1"/>
      <c r="F47" s="1"/>
      <c r="G47" s="1"/>
      <c r="H47" s="1"/>
    </row>
    <row r="48" spans="1:8" ht="15" thickBot="1" x14ac:dyDescent="0.2">
      <c r="A48" s="92"/>
      <c r="B48" s="2" t="s">
        <v>21</v>
      </c>
      <c r="C48" s="1"/>
      <c r="D48" s="1"/>
      <c r="E48" s="1"/>
      <c r="F48" s="1"/>
      <c r="G48" s="1"/>
      <c r="H48" s="1"/>
    </row>
    <row r="49" spans="1:8" ht="15" thickBot="1" x14ac:dyDescent="0.2">
      <c r="A49" s="92"/>
      <c r="B49" s="2" t="s">
        <v>22</v>
      </c>
      <c r="C49" s="1"/>
      <c r="D49" s="1"/>
      <c r="E49" s="1"/>
      <c r="F49" s="1"/>
      <c r="G49" s="1"/>
      <c r="H49" s="1"/>
    </row>
    <row r="50" spans="1:8" ht="15" thickBot="1" x14ac:dyDescent="0.2">
      <c r="A50" s="92"/>
      <c r="B50" s="2" t="s">
        <v>23</v>
      </c>
      <c r="C50" s="1"/>
      <c r="D50" s="1"/>
      <c r="E50" s="1"/>
      <c r="F50" s="1"/>
      <c r="G50" s="1"/>
      <c r="H50" s="1"/>
    </row>
    <row r="51" spans="1:8" ht="15" thickBot="1" x14ac:dyDescent="0.2">
      <c r="A51" s="92"/>
      <c r="B51" s="2" t="s">
        <v>24</v>
      </c>
      <c r="C51" s="1"/>
      <c r="D51" s="1"/>
      <c r="E51" s="1"/>
      <c r="F51" s="1"/>
      <c r="G51" s="1"/>
      <c r="H51" s="1"/>
    </row>
    <row r="52" spans="1:8" ht="15" thickBot="1" x14ac:dyDescent="0.2">
      <c r="A52" s="92"/>
      <c r="B52" s="2" t="s">
        <v>25</v>
      </c>
      <c r="C52" s="1"/>
      <c r="D52" s="1"/>
      <c r="E52" s="1"/>
      <c r="F52" s="1"/>
      <c r="G52" s="1"/>
      <c r="H52" s="1"/>
    </row>
    <row r="53" spans="1:8" ht="15" thickBot="1" x14ac:dyDescent="0.2">
      <c r="A53" s="92"/>
      <c r="B53" s="2" t="s">
        <v>26</v>
      </c>
      <c r="C53" s="1"/>
      <c r="D53" s="1"/>
      <c r="E53" s="1"/>
      <c r="F53" s="1"/>
      <c r="G53" s="1"/>
      <c r="H53" s="1"/>
    </row>
    <row r="54" spans="1:8" ht="15" thickBot="1" x14ac:dyDescent="0.2">
      <c r="A54" s="92"/>
      <c r="B54" s="2" t="s">
        <v>27</v>
      </c>
      <c r="C54" s="1"/>
      <c r="D54" s="1"/>
      <c r="E54" s="1"/>
      <c r="F54" s="1"/>
      <c r="G54" s="1"/>
      <c r="H54" s="1"/>
    </row>
    <row r="55" spans="1:8" ht="15" thickBot="1" x14ac:dyDescent="0.2">
      <c r="A55" s="92"/>
      <c r="B55" s="2" t="s">
        <v>3</v>
      </c>
      <c r="C55" s="1"/>
      <c r="D55" s="1"/>
      <c r="E55" s="1"/>
      <c r="F55" s="1"/>
      <c r="G55" s="1"/>
      <c r="H55" s="1"/>
    </row>
    <row r="56" spans="1:8" ht="15" thickBot="1" x14ac:dyDescent="0.2">
      <c r="A56" s="92"/>
      <c r="B56" s="2" t="s">
        <v>28</v>
      </c>
      <c r="C56" s="1"/>
      <c r="D56" s="1"/>
      <c r="E56" s="1"/>
      <c r="F56" s="1"/>
      <c r="G56" s="1"/>
      <c r="H56" s="1"/>
    </row>
    <row r="57" spans="1:8" ht="15" thickBot="1" x14ac:dyDescent="0.2">
      <c r="A57" s="92"/>
      <c r="B57" s="2" t="s">
        <v>29</v>
      </c>
      <c r="C57" s="1"/>
      <c r="D57" s="1"/>
      <c r="E57" s="1"/>
      <c r="F57" s="1"/>
      <c r="G57" s="1"/>
      <c r="H57" s="1"/>
    </row>
    <row r="58" spans="1:8" ht="15" thickBot="1" x14ac:dyDescent="0.2">
      <c r="A58" s="92"/>
      <c r="B58" s="2" t="s">
        <v>30</v>
      </c>
      <c r="C58" s="1"/>
      <c r="D58" s="1"/>
      <c r="E58" s="1"/>
      <c r="F58" s="1"/>
      <c r="G58" s="1"/>
      <c r="H58" s="1"/>
    </row>
    <row r="59" spans="1:8" ht="15" thickBot="1" x14ac:dyDescent="0.2">
      <c r="A59" s="92"/>
      <c r="B59" s="2" t="s">
        <v>31</v>
      </c>
      <c r="C59" s="1"/>
      <c r="D59" s="1"/>
      <c r="E59" s="1"/>
      <c r="F59" s="1"/>
      <c r="G59" s="1"/>
      <c r="H59" s="1"/>
    </row>
    <row r="60" spans="1:8" ht="15" thickBot="1" x14ac:dyDescent="0.2">
      <c r="A60" s="92"/>
      <c r="B60" s="2" t="s">
        <v>32</v>
      </c>
      <c r="C60" s="1"/>
      <c r="D60" s="1"/>
      <c r="E60" s="1"/>
      <c r="F60" s="1"/>
      <c r="G60" s="1"/>
      <c r="H60" s="1"/>
    </row>
    <row r="61" spans="1:8" ht="15" thickBot="1" x14ac:dyDescent="0.2">
      <c r="A61" s="92"/>
      <c r="B61" s="2" t="s">
        <v>33</v>
      </c>
      <c r="C61" s="1"/>
      <c r="D61" s="1"/>
      <c r="E61" s="1"/>
      <c r="F61" s="1"/>
      <c r="G61" s="1"/>
      <c r="H61" s="1"/>
    </row>
    <row r="62" spans="1:8" ht="29.25" thickBot="1" x14ac:dyDescent="0.2">
      <c r="A62" s="92"/>
      <c r="B62" s="2" t="s">
        <v>34</v>
      </c>
      <c r="C62" s="1"/>
      <c r="D62" s="1"/>
      <c r="E62" s="1"/>
      <c r="F62" s="1"/>
      <c r="G62" s="1"/>
      <c r="H62" s="1"/>
    </row>
    <row r="63" spans="1:8" ht="15" thickBot="1" x14ac:dyDescent="0.2">
      <c r="A63" s="92"/>
      <c r="B63" s="2" t="s">
        <v>35</v>
      </c>
      <c r="C63" s="1"/>
      <c r="D63" s="1"/>
      <c r="E63" s="1"/>
      <c r="F63" s="1"/>
      <c r="G63" s="1"/>
      <c r="H63" s="1"/>
    </row>
    <row r="64" spans="1:8" ht="15" thickBot="1" x14ac:dyDescent="0.2">
      <c r="A64" s="92"/>
      <c r="B64" s="2" t="s">
        <v>36</v>
      </c>
      <c r="C64" s="1"/>
      <c r="D64" s="1"/>
      <c r="E64" s="1"/>
      <c r="F64" s="1"/>
      <c r="G64" s="1"/>
      <c r="H64" s="1"/>
    </row>
    <row r="65" spans="1:8" ht="15" thickBot="1" x14ac:dyDescent="0.2">
      <c r="A65" s="92"/>
      <c r="B65" s="2" t="s">
        <v>37</v>
      </c>
      <c r="C65" s="1"/>
      <c r="D65" s="1"/>
      <c r="E65" s="1"/>
      <c r="F65" s="1"/>
      <c r="G65" s="1"/>
      <c r="H65" s="1"/>
    </row>
    <row r="66" spans="1:8" ht="15" thickBot="1" x14ac:dyDescent="0.2">
      <c r="A66" s="92"/>
      <c r="B66" s="2" t="s">
        <v>38</v>
      </c>
      <c r="C66" s="1"/>
      <c r="D66" s="1"/>
      <c r="E66" s="1"/>
      <c r="F66" s="1"/>
      <c r="G66" s="1"/>
      <c r="H66" s="1"/>
    </row>
    <row r="67" spans="1:8" ht="15" thickBot="1" x14ac:dyDescent="0.2">
      <c r="A67" s="92"/>
      <c r="B67" s="2" t="s">
        <v>39</v>
      </c>
      <c r="C67" s="1"/>
      <c r="D67" s="1"/>
      <c r="E67" s="1"/>
      <c r="F67" s="1"/>
      <c r="G67" s="1"/>
      <c r="H67" s="1"/>
    </row>
    <row r="68" spans="1:8" ht="15" thickBot="1" x14ac:dyDescent="0.2">
      <c r="A68" s="92"/>
      <c r="B68" s="2" t="s">
        <v>40</v>
      </c>
      <c r="C68" s="1"/>
      <c r="D68" s="1"/>
      <c r="E68" s="1"/>
      <c r="F68" s="1"/>
      <c r="G68" s="1"/>
      <c r="H68" s="1"/>
    </row>
    <row r="69" spans="1:8" ht="29.25" thickBot="1" x14ac:dyDescent="0.2">
      <c r="A69" s="92"/>
      <c r="B69" s="2" t="s">
        <v>41</v>
      </c>
      <c r="C69" s="1"/>
      <c r="D69" s="1"/>
      <c r="E69" s="1"/>
      <c r="F69" s="1"/>
      <c r="G69" s="1"/>
      <c r="H69" s="1"/>
    </row>
    <row r="70" spans="1:8" ht="15" thickBot="1" x14ac:dyDescent="0.2">
      <c r="A70" s="92"/>
      <c r="B70" s="2" t="s">
        <v>42</v>
      </c>
      <c r="C70" s="1"/>
      <c r="D70" s="1"/>
      <c r="E70" s="1"/>
      <c r="F70" s="1"/>
      <c r="G70" s="1"/>
      <c r="H70" s="1"/>
    </row>
    <row r="71" spans="1:8" ht="15" thickBot="1" x14ac:dyDescent="0.2">
      <c r="A71" s="92"/>
      <c r="B71" s="2" t="s">
        <v>43</v>
      </c>
      <c r="C71" s="1"/>
      <c r="D71" s="1"/>
      <c r="E71" s="1"/>
      <c r="F71" s="1"/>
      <c r="G71" s="1"/>
      <c r="H71" s="1"/>
    </row>
    <row r="72" spans="1:8" ht="15" thickBot="1" x14ac:dyDescent="0.2">
      <c r="A72" s="92"/>
      <c r="B72" s="2" t="s">
        <v>44</v>
      </c>
      <c r="C72" s="1"/>
      <c r="D72" s="1"/>
      <c r="E72" s="1"/>
      <c r="F72" s="1"/>
      <c r="G72" s="1"/>
      <c r="H72" s="1"/>
    </row>
    <row r="73" spans="1:8" ht="29.25" thickBot="1" x14ac:dyDescent="0.2">
      <c r="A73" s="92"/>
      <c r="B73" s="2" t="s">
        <v>4</v>
      </c>
      <c r="C73" s="1"/>
      <c r="D73" s="1"/>
      <c r="E73" s="1"/>
      <c r="F73" s="1"/>
      <c r="G73" s="1"/>
      <c r="H73" s="1"/>
    </row>
    <row r="74" spans="1:8" ht="29.25" thickBot="1" x14ac:dyDescent="0.2">
      <c r="A74" s="93"/>
      <c r="B74" s="2" t="s">
        <v>45</v>
      </c>
      <c r="C74" s="1"/>
      <c r="D74" s="1"/>
      <c r="E74" s="1"/>
      <c r="F74" s="1"/>
      <c r="G74" s="1"/>
      <c r="H74" s="1"/>
    </row>
    <row r="75" spans="1:8" ht="15" thickBot="1" x14ac:dyDescent="0.2">
      <c r="A75" s="91" t="s">
        <v>48</v>
      </c>
      <c r="B75" s="2" t="s">
        <v>13</v>
      </c>
      <c r="C75" s="1"/>
      <c r="D75" s="1"/>
      <c r="E75" s="1"/>
      <c r="F75" s="1"/>
      <c r="G75" s="1"/>
      <c r="H75" s="1"/>
    </row>
    <row r="76" spans="1:8" ht="15" thickBot="1" x14ac:dyDescent="0.2">
      <c r="A76" s="92"/>
      <c r="B76" s="2" t="s">
        <v>14</v>
      </c>
      <c r="C76" s="1"/>
      <c r="D76" s="1"/>
      <c r="E76" s="1"/>
      <c r="F76" s="1"/>
      <c r="G76" s="1"/>
      <c r="H76" s="1"/>
    </row>
    <row r="77" spans="1:8" ht="15" thickBot="1" x14ac:dyDescent="0.2">
      <c r="A77" s="92"/>
      <c r="B77" s="2" t="s">
        <v>15</v>
      </c>
      <c r="C77" s="1"/>
      <c r="D77" s="1"/>
      <c r="E77" s="1"/>
      <c r="F77" s="1"/>
      <c r="G77" s="1"/>
      <c r="H77" s="1"/>
    </row>
    <row r="78" spans="1:8" ht="15" thickBot="1" x14ac:dyDescent="0.2">
      <c r="A78" s="92"/>
      <c r="B78" s="2" t="s">
        <v>16</v>
      </c>
      <c r="C78" s="1"/>
      <c r="D78" s="1"/>
      <c r="E78" s="1"/>
      <c r="F78" s="1"/>
      <c r="G78" s="1"/>
      <c r="H78" s="1"/>
    </row>
    <row r="79" spans="1:8" ht="15" thickBot="1" x14ac:dyDescent="0.2">
      <c r="A79" s="92"/>
      <c r="B79" s="2" t="s">
        <v>2</v>
      </c>
      <c r="C79" s="1"/>
      <c r="D79" s="1"/>
      <c r="E79" s="1"/>
      <c r="F79" s="1"/>
      <c r="G79" s="1"/>
      <c r="H79" s="1"/>
    </row>
    <row r="80" spans="1:8" ht="15" thickBot="1" x14ac:dyDescent="0.2">
      <c r="A80" s="92"/>
      <c r="B80" s="2" t="s">
        <v>17</v>
      </c>
      <c r="C80" s="1"/>
      <c r="D80" s="1"/>
      <c r="E80" s="1"/>
      <c r="F80" s="1"/>
      <c r="G80" s="1"/>
      <c r="H80" s="1"/>
    </row>
    <row r="81" spans="1:8" ht="15" thickBot="1" x14ac:dyDescent="0.2">
      <c r="A81" s="92"/>
      <c r="B81" s="2" t="s">
        <v>18</v>
      </c>
      <c r="C81" s="1"/>
      <c r="D81" s="1"/>
      <c r="E81" s="1"/>
      <c r="F81" s="1"/>
      <c r="G81" s="1"/>
      <c r="H81" s="1"/>
    </row>
    <row r="82" spans="1:8" ht="15" thickBot="1" x14ac:dyDescent="0.2">
      <c r="A82" s="92"/>
      <c r="B82" s="2" t="s">
        <v>19</v>
      </c>
      <c r="C82" s="1"/>
      <c r="D82" s="1"/>
      <c r="E82" s="1"/>
      <c r="F82" s="1"/>
      <c r="G82" s="1"/>
      <c r="H82" s="1"/>
    </row>
    <row r="83" spans="1:8" ht="15" thickBot="1" x14ac:dyDescent="0.2">
      <c r="A83" s="92"/>
      <c r="B83" s="2" t="s">
        <v>20</v>
      </c>
      <c r="C83" s="1"/>
      <c r="D83" s="1"/>
      <c r="E83" s="1"/>
      <c r="F83" s="1"/>
      <c r="G83" s="1"/>
      <c r="H83" s="1"/>
    </row>
    <row r="84" spans="1:8" ht="15" thickBot="1" x14ac:dyDescent="0.2">
      <c r="A84" s="92"/>
      <c r="B84" s="2" t="s">
        <v>21</v>
      </c>
      <c r="C84" s="1"/>
      <c r="D84" s="1"/>
      <c r="E84" s="1"/>
      <c r="F84" s="1"/>
      <c r="G84" s="1"/>
      <c r="H84" s="1"/>
    </row>
    <row r="85" spans="1:8" ht="15" thickBot="1" x14ac:dyDescent="0.2">
      <c r="A85" s="92"/>
      <c r="B85" s="2" t="s">
        <v>22</v>
      </c>
      <c r="C85" s="1"/>
      <c r="D85" s="1"/>
      <c r="E85" s="1"/>
      <c r="F85" s="1"/>
      <c r="G85" s="1"/>
      <c r="H85" s="1"/>
    </row>
    <row r="86" spans="1:8" ht="15" thickBot="1" x14ac:dyDescent="0.2">
      <c r="A86" s="92"/>
      <c r="B86" s="2" t="s">
        <v>23</v>
      </c>
      <c r="C86" s="1"/>
      <c r="D86" s="1"/>
      <c r="E86" s="1"/>
      <c r="F86" s="1"/>
      <c r="G86" s="1"/>
      <c r="H86" s="1"/>
    </row>
    <row r="87" spans="1:8" ht="15" thickBot="1" x14ac:dyDescent="0.2">
      <c r="A87" s="92"/>
      <c r="B87" s="2" t="s">
        <v>24</v>
      </c>
      <c r="C87" s="1"/>
      <c r="D87" s="1"/>
      <c r="E87" s="1"/>
      <c r="F87" s="1"/>
      <c r="G87" s="1"/>
      <c r="H87" s="1"/>
    </row>
    <row r="88" spans="1:8" ht="15" thickBot="1" x14ac:dyDescent="0.2">
      <c r="A88" s="92"/>
      <c r="B88" s="2" t="s">
        <v>25</v>
      </c>
      <c r="C88" s="1"/>
      <c r="D88" s="1"/>
      <c r="E88" s="1"/>
      <c r="F88" s="1"/>
      <c r="G88" s="1"/>
      <c r="H88" s="1"/>
    </row>
    <row r="89" spans="1:8" ht="15" thickBot="1" x14ac:dyDescent="0.2">
      <c r="A89" s="92"/>
      <c r="B89" s="2" t="s">
        <v>26</v>
      </c>
      <c r="C89" s="1"/>
      <c r="D89" s="1"/>
      <c r="E89" s="1"/>
      <c r="F89" s="1"/>
      <c r="G89" s="1"/>
      <c r="H89" s="1"/>
    </row>
    <row r="90" spans="1:8" ht="15" thickBot="1" x14ac:dyDescent="0.2">
      <c r="A90" s="92"/>
      <c r="B90" s="2" t="s">
        <v>27</v>
      </c>
      <c r="C90" s="1"/>
      <c r="D90" s="1"/>
      <c r="E90" s="1"/>
      <c r="F90" s="1"/>
      <c r="G90" s="1"/>
      <c r="H90" s="1"/>
    </row>
    <row r="91" spans="1:8" ht="15" thickBot="1" x14ac:dyDescent="0.2">
      <c r="A91" s="92"/>
      <c r="B91" s="2" t="s">
        <v>3</v>
      </c>
      <c r="C91" s="1"/>
      <c r="D91" s="1"/>
      <c r="E91" s="1"/>
      <c r="F91" s="1"/>
      <c r="G91" s="1"/>
      <c r="H91" s="1"/>
    </row>
    <row r="92" spans="1:8" ht="15" thickBot="1" x14ac:dyDescent="0.2">
      <c r="A92" s="92"/>
      <c r="B92" s="2" t="s">
        <v>28</v>
      </c>
      <c r="C92" s="1"/>
      <c r="D92" s="1"/>
      <c r="E92" s="1"/>
      <c r="F92" s="1"/>
      <c r="G92" s="1"/>
      <c r="H92" s="1"/>
    </row>
    <row r="93" spans="1:8" ht="15" thickBot="1" x14ac:dyDescent="0.2">
      <c r="A93" s="92"/>
      <c r="B93" s="2" t="s">
        <v>29</v>
      </c>
      <c r="C93" s="1"/>
      <c r="D93" s="1"/>
      <c r="E93" s="1"/>
      <c r="F93" s="1"/>
      <c r="G93" s="1"/>
      <c r="H93" s="1"/>
    </row>
    <row r="94" spans="1:8" ht="15" thickBot="1" x14ac:dyDescent="0.2">
      <c r="A94" s="92"/>
      <c r="B94" s="2" t="s">
        <v>30</v>
      </c>
      <c r="C94" s="1"/>
      <c r="D94" s="1"/>
      <c r="E94" s="1"/>
      <c r="F94" s="1"/>
      <c r="G94" s="1"/>
      <c r="H94" s="1"/>
    </row>
    <row r="95" spans="1:8" ht="15" thickBot="1" x14ac:dyDescent="0.2">
      <c r="A95" s="92"/>
      <c r="B95" s="2" t="s">
        <v>31</v>
      </c>
      <c r="C95" s="1"/>
      <c r="D95" s="1"/>
      <c r="E95" s="1"/>
      <c r="F95" s="1"/>
      <c r="G95" s="1"/>
      <c r="H95" s="1"/>
    </row>
    <row r="96" spans="1:8" ht="15" thickBot="1" x14ac:dyDescent="0.2">
      <c r="A96" s="92"/>
      <c r="B96" s="2" t="s">
        <v>32</v>
      </c>
      <c r="C96" s="1"/>
      <c r="D96" s="1"/>
      <c r="E96" s="1"/>
      <c r="F96" s="1"/>
      <c r="G96" s="1"/>
      <c r="H96" s="1"/>
    </row>
    <row r="97" spans="1:8" ht="15" thickBot="1" x14ac:dyDescent="0.2">
      <c r="A97" s="92"/>
      <c r="B97" s="2" t="s">
        <v>33</v>
      </c>
      <c r="C97" s="1"/>
      <c r="D97" s="1"/>
      <c r="E97" s="1"/>
      <c r="F97" s="1"/>
      <c r="G97" s="1"/>
      <c r="H97" s="1"/>
    </row>
    <row r="98" spans="1:8" ht="29.25" thickBot="1" x14ac:dyDescent="0.2">
      <c r="A98" s="92"/>
      <c r="B98" s="2" t="s">
        <v>34</v>
      </c>
      <c r="C98" s="1"/>
      <c r="D98" s="1"/>
      <c r="E98" s="1"/>
      <c r="F98" s="1"/>
      <c r="G98" s="1"/>
      <c r="H98" s="1"/>
    </row>
    <row r="99" spans="1:8" ht="15" thickBot="1" x14ac:dyDescent="0.2">
      <c r="A99" s="92"/>
      <c r="B99" s="2" t="s">
        <v>35</v>
      </c>
      <c r="C99" s="1"/>
      <c r="D99" s="1"/>
      <c r="E99" s="1"/>
      <c r="F99" s="1"/>
      <c r="G99" s="1"/>
      <c r="H99" s="1"/>
    </row>
    <row r="100" spans="1:8" ht="15" thickBot="1" x14ac:dyDescent="0.2">
      <c r="A100" s="92"/>
      <c r="B100" s="2" t="s">
        <v>36</v>
      </c>
      <c r="C100" s="1"/>
      <c r="D100" s="1"/>
      <c r="E100" s="1"/>
      <c r="F100" s="1"/>
      <c r="G100" s="1"/>
      <c r="H100" s="1"/>
    </row>
    <row r="101" spans="1:8" ht="15" thickBot="1" x14ac:dyDescent="0.2">
      <c r="A101" s="92"/>
      <c r="B101" s="2" t="s">
        <v>37</v>
      </c>
      <c r="C101" s="1"/>
      <c r="D101" s="1"/>
      <c r="E101" s="1"/>
      <c r="F101" s="1"/>
      <c r="G101" s="1"/>
      <c r="H101" s="1"/>
    </row>
    <row r="102" spans="1:8" ht="15" thickBot="1" x14ac:dyDescent="0.2">
      <c r="A102" s="92"/>
      <c r="B102" s="2" t="s">
        <v>38</v>
      </c>
      <c r="C102" s="1"/>
      <c r="D102" s="1"/>
      <c r="E102" s="1"/>
      <c r="F102" s="1"/>
      <c r="G102" s="1"/>
      <c r="H102" s="1"/>
    </row>
    <row r="103" spans="1:8" ht="15" thickBot="1" x14ac:dyDescent="0.2">
      <c r="A103" s="92"/>
      <c r="B103" s="2" t="s">
        <v>39</v>
      </c>
      <c r="C103" s="1"/>
      <c r="D103" s="1"/>
      <c r="E103" s="1"/>
      <c r="F103" s="1"/>
      <c r="G103" s="1"/>
      <c r="H103" s="1"/>
    </row>
    <row r="104" spans="1:8" ht="15" thickBot="1" x14ac:dyDescent="0.2">
      <c r="A104" s="92"/>
      <c r="B104" s="2" t="s">
        <v>40</v>
      </c>
      <c r="C104" s="1"/>
      <c r="D104" s="1"/>
      <c r="E104" s="1"/>
      <c r="F104" s="1"/>
      <c r="G104" s="1"/>
      <c r="H104" s="1"/>
    </row>
    <row r="105" spans="1:8" ht="29.25" thickBot="1" x14ac:dyDescent="0.2">
      <c r="A105" s="92"/>
      <c r="B105" s="2" t="s">
        <v>41</v>
      </c>
      <c r="C105" s="1"/>
      <c r="D105" s="1"/>
      <c r="E105" s="1"/>
      <c r="F105" s="1"/>
      <c r="G105" s="1"/>
      <c r="H105" s="1"/>
    </row>
    <row r="106" spans="1:8" ht="15" thickBot="1" x14ac:dyDescent="0.2">
      <c r="A106" s="92"/>
      <c r="B106" s="2" t="s">
        <v>42</v>
      </c>
      <c r="C106" s="1"/>
      <c r="D106" s="1"/>
      <c r="E106" s="1"/>
      <c r="F106" s="1"/>
      <c r="G106" s="1"/>
      <c r="H106" s="1"/>
    </row>
    <row r="107" spans="1:8" ht="15" thickBot="1" x14ac:dyDescent="0.2">
      <c r="A107" s="92"/>
      <c r="B107" s="2" t="s">
        <v>43</v>
      </c>
      <c r="C107" s="1"/>
      <c r="D107" s="1"/>
      <c r="E107" s="1"/>
      <c r="F107" s="1"/>
      <c r="G107" s="1"/>
      <c r="H107" s="1"/>
    </row>
    <row r="108" spans="1:8" ht="15" thickBot="1" x14ac:dyDescent="0.2">
      <c r="A108" s="92"/>
      <c r="B108" s="2" t="s">
        <v>44</v>
      </c>
      <c r="C108" s="1"/>
      <c r="D108" s="1"/>
      <c r="E108" s="1"/>
      <c r="F108" s="1"/>
      <c r="G108" s="1"/>
      <c r="H108" s="1"/>
    </row>
    <row r="109" spans="1:8" ht="29.25" thickBot="1" x14ac:dyDescent="0.2">
      <c r="A109" s="92"/>
      <c r="B109" s="2" t="s">
        <v>4</v>
      </c>
      <c r="C109" s="1"/>
      <c r="D109" s="1"/>
      <c r="E109" s="1"/>
      <c r="F109" s="1"/>
      <c r="G109" s="1"/>
      <c r="H109" s="1"/>
    </row>
    <row r="110" spans="1:8" ht="29.25" thickBot="1" x14ac:dyDescent="0.2">
      <c r="A110" s="93"/>
      <c r="B110" s="2" t="s">
        <v>45</v>
      </c>
      <c r="C110" s="1"/>
      <c r="D110" s="1"/>
      <c r="E110" s="1"/>
      <c r="F110" s="1"/>
      <c r="G110" s="1"/>
      <c r="H110" s="1"/>
    </row>
    <row r="111" spans="1:8" ht="15" thickBot="1" x14ac:dyDescent="0.2">
      <c r="A111" s="91" t="s">
        <v>49</v>
      </c>
      <c r="B111" s="2" t="s">
        <v>13</v>
      </c>
      <c r="C111" s="1"/>
      <c r="D111" s="1"/>
      <c r="E111" s="1"/>
      <c r="F111" s="1"/>
      <c r="G111" s="1"/>
      <c r="H111" s="1"/>
    </row>
    <row r="112" spans="1:8" ht="15" thickBot="1" x14ac:dyDescent="0.2">
      <c r="A112" s="92"/>
      <c r="B112" s="2" t="s">
        <v>14</v>
      </c>
      <c r="C112" s="1"/>
      <c r="D112" s="1"/>
      <c r="E112" s="1"/>
      <c r="F112" s="1"/>
      <c r="G112" s="1"/>
      <c r="H112" s="1"/>
    </row>
    <row r="113" spans="1:8" ht="15" thickBot="1" x14ac:dyDescent="0.2">
      <c r="A113" s="92"/>
      <c r="B113" s="2" t="s">
        <v>15</v>
      </c>
      <c r="C113" s="1"/>
      <c r="D113" s="1"/>
      <c r="E113" s="1"/>
      <c r="F113" s="1"/>
      <c r="G113" s="1"/>
      <c r="H113" s="1"/>
    </row>
    <row r="114" spans="1:8" ht="15" thickBot="1" x14ac:dyDescent="0.2">
      <c r="A114" s="92"/>
      <c r="B114" s="2" t="s">
        <v>16</v>
      </c>
      <c r="C114" s="1"/>
      <c r="D114" s="1"/>
      <c r="E114" s="1"/>
      <c r="F114" s="1"/>
      <c r="G114" s="1"/>
      <c r="H114" s="1"/>
    </row>
    <row r="115" spans="1:8" ht="15" thickBot="1" x14ac:dyDescent="0.2">
      <c r="A115" s="92"/>
      <c r="B115" s="2" t="s">
        <v>2</v>
      </c>
      <c r="C115" s="1"/>
      <c r="D115" s="1"/>
      <c r="E115" s="1"/>
      <c r="F115" s="1"/>
      <c r="G115" s="1"/>
      <c r="H115" s="1"/>
    </row>
    <row r="116" spans="1:8" ht="15" thickBot="1" x14ac:dyDescent="0.2">
      <c r="A116" s="92"/>
      <c r="B116" s="2" t="s">
        <v>17</v>
      </c>
      <c r="C116" s="1"/>
      <c r="D116" s="1"/>
      <c r="E116" s="1"/>
      <c r="F116" s="1"/>
      <c r="G116" s="1"/>
      <c r="H116" s="1"/>
    </row>
    <row r="117" spans="1:8" ht="15" thickBot="1" x14ac:dyDescent="0.2">
      <c r="A117" s="92"/>
      <c r="B117" s="2" t="s">
        <v>18</v>
      </c>
      <c r="C117" s="1"/>
      <c r="D117" s="1"/>
      <c r="E117" s="1"/>
      <c r="F117" s="1"/>
      <c r="G117" s="1"/>
      <c r="H117" s="1"/>
    </row>
    <row r="118" spans="1:8" ht="15" thickBot="1" x14ac:dyDescent="0.2">
      <c r="A118" s="92"/>
      <c r="B118" s="2" t="s">
        <v>19</v>
      </c>
      <c r="C118" s="1"/>
      <c r="D118" s="1"/>
      <c r="E118" s="1"/>
      <c r="F118" s="1"/>
      <c r="G118" s="1"/>
      <c r="H118" s="1"/>
    </row>
    <row r="119" spans="1:8" ht="15" thickBot="1" x14ac:dyDescent="0.2">
      <c r="A119" s="92"/>
      <c r="B119" s="2" t="s">
        <v>20</v>
      </c>
      <c r="C119" s="1"/>
      <c r="D119" s="1"/>
      <c r="E119" s="1"/>
      <c r="F119" s="1"/>
      <c r="G119" s="1"/>
      <c r="H119" s="1"/>
    </row>
    <row r="120" spans="1:8" ht="15" thickBot="1" x14ac:dyDescent="0.2">
      <c r="A120" s="92"/>
      <c r="B120" s="2" t="s">
        <v>21</v>
      </c>
      <c r="C120" s="1"/>
      <c r="D120" s="1"/>
      <c r="E120" s="1"/>
      <c r="F120" s="1"/>
      <c r="G120" s="1"/>
      <c r="H120" s="1"/>
    </row>
    <row r="121" spans="1:8" ht="15" thickBot="1" x14ac:dyDescent="0.2">
      <c r="A121" s="92"/>
      <c r="B121" s="2" t="s">
        <v>22</v>
      </c>
      <c r="C121" s="1"/>
      <c r="D121" s="1"/>
      <c r="E121" s="1"/>
      <c r="F121" s="1"/>
      <c r="G121" s="1"/>
      <c r="H121" s="1"/>
    </row>
    <row r="122" spans="1:8" ht="15" thickBot="1" x14ac:dyDescent="0.2">
      <c r="A122" s="92"/>
      <c r="B122" s="2" t="s">
        <v>23</v>
      </c>
      <c r="C122" s="1"/>
      <c r="D122" s="1"/>
      <c r="E122" s="1"/>
      <c r="F122" s="1"/>
      <c r="G122" s="1"/>
      <c r="H122" s="1"/>
    </row>
    <row r="123" spans="1:8" ht="15" thickBot="1" x14ac:dyDescent="0.2">
      <c r="A123" s="92"/>
      <c r="B123" s="2" t="s">
        <v>24</v>
      </c>
      <c r="C123" s="1"/>
      <c r="D123" s="1"/>
      <c r="E123" s="1"/>
      <c r="F123" s="1"/>
      <c r="G123" s="1"/>
      <c r="H123" s="1"/>
    </row>
    <row r="124" spans="1:8" ht="15" thickBot="1" x14ac:dyDescent="0.2">
      <c r="A124" s="92"/>
      <c r="B124" s="2" t="s">
        <v>25</v>
      </c>
      <c r="C124" s="1"/>
      <c r="D124" s="1"/>
      <c r="E124" s="1"/>
      <c r="F124" s="1"/>
      <c r="G124" s="1"/>
      <c r="H124" s="1"/>
    </row>
    <row r="125" spans="1:8" ht="15" thickBot="1" x14ac:dyDescent="0.2">
      <c r="A125" s="92"/>
      <c r="B125" s="2" t="s">
        <v>26</v>
      </c>
      <c r="C125" s="1"/>
      <c r="D125" s="1"/>
      <c r="E125" s="1"/>
      <c r="F125" s="1"/>
      <c r="G125" s="1"/>
      <c r="H125" s="1"/>
    </row>
    <row r="126" spans="1:8" ht="15" thickBot="1" x14ac:dyDescent="0.2">
      <c r="A126" s="92"/>
      <c r="B126" s="2" t="s">
        <v>27</v>
      </c>
      <c r="C126" s="1"/>
      <c r="D126" s="1"/>
      <c r="E126" s="1"/>
      <c r="F126" s="1"/>
      <c r="G126" s="1"/>
      <c r="H126" s="1"/>
    </row>
    <row r="127" spans="1:8" ht="15" thickBot="1" x14ac:dyDescent="0.2">
      <c r="A127" s="92"/>
      <c r="B127" s="2" t="s">
        <v>3</v>
      </c>
      <c r="C127" s="1"/>
      <c r="D127" s="1"/>
      <c r="E127" s="1"/>
      <c r="F127" s="1"/>
      <c r="G127" s="1"/>
      <c r="H127" s="1"/>
    </row>
    <row r="128" spans="1:8" ht="15" thickBot="1" x14ac:dyDescent="0.2">
      <c r="A128" s="92"/>
      <c r="B128" s="2" t="s">
        <v>28</v>
      </c>
      <c r="C128" s="1"/>
      <c r="D128" s="1"/>
      <c r="E128" s="1"/>
      <c r="F128" s="1"/>
      <c r="G128" s="1"/>
      <c r="H128" s="1"/>
    </row>
    <row r="129" spans="1:8" ht="15" thickBot="1" x14ac:dyDescent="0.2">
      <c r="A129" s="92"/>
      <c r="B129" s="2" t="s">
        <v>29</v>
      </c>
      <c r="C129" s="1"/>
      <c r="D129" s="1"/>
      <c r="E129" s="1"/>
      <c r="F129" s="1"/>
      <c r="G129" s="1"/>
      <c r="H129" s="1"/>
    </row>
    <row r="130" spans="1:8" ht="15" thickBot="1" x14ac:dyDescent="0.2">
      <c r="A130" s="92"/>
      <c r="B130" s="2" t="s">
        <v>30</v>
      </c>
      <c r="C130" s="1"/>
      <c r="D130" s="1"/>
      <c r="E130" s="1"/>
      <c r="F130" s="1"/>
      <c r="G130" s="1"/>
      <c r="H130" s="1"/>
    </row>
    <row r="131" spans="1:8" ht="15" thickBot="1" x14ac:dyDescent="0.2">
      <c r="A131" s="92"/>
      <c r="B131" s="2" t="s">
        <v>31</v>
      </c>
      <c r="C131" s="1"/>
      <c r="D131" s="1"/>
      <c r="E131" s="1"/>
      <c r="F131" s="1"/>
      <c r="G131" s="1"/>
      <c r="H131" s="1"/>
    </row>
    <row r="132" spans="1:8" ht="15" thickBot="1" x14ac:dyDescent="0.2">
      <c r="A132" s="92"/>
      <c r="B132" s="2" t="s">
        <v>32</v>
      </c>
      <c r="C132" s="1"/>
      <c r="D132" s="1"/>
      <c r="E132" s="1"/>
      <c r="F132" s="1"/>
      <c r="G132" s="1"/>
      <c r="H132" s="1"/>
    </row>
    <row r="133" spans="1:8" ht="15" thickBot="1" x14ac:dyDescent="0.2">
      <c r="A133" s="92"/>
      <c r="B133" s="2" t="s">
        <v>33</v>
      </c>
      <c r="C133" s="1"/>
      <c r="D133" s="1"/>
      <c r="E133" s="1"/>
      <c r="F133" s="1"/>
      <c r="G133" s="1"/>
      <c r="H133" s="1"/>
    </row>
    <row r="134" spans="1:8" ht="29.25" thickBot="1" x14ac:dyDescent="0.2">
      <c r="A134" s="92"/>
      <c r="B134" s="2" t="s">
        <v>34</v>
      </c>
      <c r="C134" s="1"/>
      <c r="D134" s="1"/>
      <c r="E134" s="1"/>
      <c r="F134" s="1"/>
      <c r="G134" s="1"/>
      <c r="H134" s="1"/>
    </row>
    <row r="135" spans="1:8" ht="15" thickBot="1" x14ac:dyDescent="0.2">
      <c r="A135" s="92"/>
      <c r="B135" s="2" t="s">
        <v>35</v>
      </c>
      <c r="C135" s="1"/>
      <c r="D135" s="1"/>
      <c r="E135" s="1"/>
      <c r="F135" s="1"/>
      <c r="G135" s="1"/>
      <c r="H135" s="1"/>
    </row>
    <row r="136" spans="1:8" ht="15" thickBot="1" x14ac:dyDescent="0.2">
      <c r="A136" s="92"/>
      <c r="B136" s="2" t="s">
        <v>36</v>
      </c>
      <c r="C136" s="1"/>
      <c r="D136" s="1"/>
      <c r="E136" s="1"/>
      <c r="F136" s="1"/>
      <c r="G136" s="1"/>
      <c r="H136" s="1"/>
    </row>
    <row r="137" spans="1:8" ht="15" thickBot="1" x14ac:dyDescent="0.2">
      <c r="A137" s="92"/>
      <c r="B137" s="2" t="s">
        <v>37</v>
      </c>
      <c r="C137" s="1"/>
      <c r="D137" s="1"/>
      <c r="E137" s="1"/>
      <c r="F137" s="1"/>
      <c r="G137" s="1"/>
      <c r="H137" s="1"/>
    </row>
    <row r="138" spans="1:8" ht="15" thickBot="1" x14ac:dyDescent="0.2">
      <c r="A138" s="92"/>
      <c r="B138" s="2" t="s">
        <v>38</v>
      </c>
      <c r="C138" s="1"/>
      <c r="D138" s="1"/>
      <c r="E138" s="1"/>
      <c r="F138" s="1"/>
      <c r="G138" s="1"/>
      <c r="H138" s="1"/>
    </row>
    <row r="139" spans="1:8" ht="15" thickBot="1" x14ac:dyDescent="0.2">
      <c r="A139" s="92"/>
      <c r="B139" s="2" t="s">
        <v>39</v>
      </c>
      <c r="C139" s="1"/>
      <c r="D139" s="1"/>
      <c r="E139" s="1"/>
      <c r="F139" s="1"/>
      <c r="G139" s="1"/>
      <c r="H139" s="1"/>
    </row>
    <row r="140" spans="1:8" ht="15" thickBot="1" x14ac:dyDescent="0.2">
      <c r="A140" s="92"/>
      <c r="B140" s="2" t="s">
        <v>40</v>
      </c>
      <c r="C140" s="1"/>
      <c r="D140" s="1"/>
      <c r="E140" s="1"/>
      <c r="F140" s="1"/>
      <c r="G140" s="1"/>
      <c r="H140" s="1"/>
    </row>
    <row r="141" spans="1:8" ht="29.25" thickBot="1" x14ac:dyDescent="0.2">
      <c r="A141" s="92"/>
      <c r="B141" s="2" t="s">
        <v>41</v>
      </c>
      <c r="C141" s="1"/>
      <c r="D141" s="1"/>
      <c r="E141" s="1"/>
      <c r="F141" s="1"/>
      <c r="G141" s="1"/>
      <c r="H141" s="1"/>
    </row>
    <row r="142" spans="1:8" ht="15" thickBot="1" x14ac:dyDescent="0.2">
      <c r="A142" s="92"/>
      <c r="B142" s="2" t="s">
        <v>42</v>
      </c>
      <c r="C142" s="1"/>
      <c r="D142" s="1"/>
      <c r="E142" s="1"/>
      <c r="F142" s="1"/>
      <c r="G142" s="1"/>
      <c r="H142" s="1"/>
    </row>
    <row r="143" spans="1:8" ht="15" thickBot="1" x14ac:dyDescent="0.2">
      <c r="A143" s="92"/>
      <c r="B143" s="2" t="s">
        <v>43</v>
      </c>
      <c r="C143" s="1"/>
      <c r="D143" s="1"/>
      <c r="E143" s="1"/>
      <c r="F143" s="1"/>
      <c r="G143" s="1"/>
      <c r="H143" s="1"/>
    </row>
    <row r="144" spans="1:8" ht="15" thickBot="1" x14ac:dyDescent="0.2">
      <c r="A144" s="92"/>
      <c r="B144" s="2" t="s">
        <v>44</v>
      </c>
      <c r="C144" s="1"/>
      <c r="D144" s="1"/>
      <c r="E144" s="1"/>
      <c r="F144" s="1"/>
      <c r="G144" s="1"/>
      <c r="H144" s="1"/>
    </row>
    <row r="145" spans="1:8" ht="29.25" thickBot="1" x14ac:dyDescent="0.2">
      <c r="A145" s="92"/>
      <c r="B145" s="2" t="s">
        <v>4</v>
      </c>
      <c r="C145" s="1"/>
      <c r="D145" s="1"/>
      <c r="E145" s="1"/>
      <c r="F145" s="1"/>
      <c r="G145" s="1"/>
      <c r="H145" s="1"/>
    </row>
    <row r="146" spans="1:8" ht="29.25" thickBot="1" x14ac:dyDescent="0.2">
      <c r="A146" s="93"/>
      <c r="B146" s="2" t="s">
        <v>45</v>
      </c>
      <c r="C146" s="1"/>
      <c r="D146" s="1"/>
      <c r="E146" s="1"/>
      <c r="F146" s="1"/>
      <c r="G146" s="1"/>
      <c r="H146" s="1"/>
    </row>
    <row r="151" spans="1:8" ht="14.25" thickBot="1" x14ac:dyDescent="0.2"/>
    <row r="152" spans="1:8" ht="14.25" thickBot="1" x14ac:dyDescent="0.2">
      <c r="A152" s="91" t="s">
        <v>5</v>
      </c>
      <c r="B152" s="94" t="s">
        <v>0</v>
      </c>
      <c r="C152" s="96" t="s">
        <v>6</v>
      </c>
      <c r="D152" s="97"/>
      <c r="E152" s="97"/>
      <c r="F152" s="97"/>
      <c r="G152" s="97"/>
      <c r="H152" s="98"/>
    </row>
    <row r="153" spans="1:8" ht="15" thickBot="1" x14ac:dyDescent="0.2">
      <c r="A153" s="93"/>
      <c r="B153" s="95"/>
      <c r="C153" s="1" t="s">
        <v>7</v>
      </c>
      <c r="D153" s="1" t="s">
        <v>8</v>
      </c>
      <c r="E153" s="1" t="s">
        <v>1</v>
      </c>
      <c r="F153" s="1" t="s">
        <v>9</v>
      </c>
      <c r="G153" s="1" t="s">
        <v>10</v>
      </c>
      <c r="H153" s="1" t="s">
        <v>11</v>
      </c>
    </row>
    <row r="154" spans="1:8" ht="15" thickBot="1" x14ac:dyDescent="0.2">
      <c r="A154" s="91" t="s">
        <v>12</v>
      </c>
      <c r="B154" s="2" t="s">
        <v>13</v>
      </c>
      <c r="C154" s="4"/>
      <c r="D154" s="4"/>
      <c r="E154" s="4"/>
      <c r="F154" s="4"/>
      <c r="G154" s="4"/>
      <c r="H154" s="4"/>
    </row>
    <row r="155" spans="1:8" ht="15" thickBot="1" x14ac:dyDescent="0.2">
      <c r="A155" s="92"/>
      <c r="B155" s="2" t="s">
        <v>14</v>
      </c>
      <c r="C155" s="4"/>
      <c r="D155" s="4"/>
      <c r="E155" s="4"/>
      <c r="F155" s="4"/>
      <c r="G155" s="4"/>
      <c r="H155" s="4"/>
    </row>
    <row r="156" spans="1:8" ht="15" thickBot="1" x14ac:dyDescent="0.2">
      <c r="A156" s="92"/>
      <c r="B156" s="2" t="s">
        <v>15</v>
      </c>
      <c r="C156" s="4"/>
      <c r="D156" s="4"/>
      <c r="E156" s="4"/>
      <c r="F156" s="4"/>
      <c r="G156" s="4"/>
      <c r="H156" s="4"/>
    </row>
    <row r="157" spans="1:8" ht="15" thickBot="1" x14ac:dyDescent="0.2">
      <c r="A157" s="92"/>
      <c r="B157" s="2" t="s">
        <v>16</v>
      </c>
      <c r="C157" s="4"/>
      <c r="D157" s="4"/>
      <c r="E157" s="4"/>
      <c r="F157" s="4"/>
      <c r="G157" s="4"/>
      <c r="H157" s="4"/>
    </row>
    <row r="158" spans="1:8" ht="15" thickBot="1" x14ac:dyDescent="0.2">
      <c r="A158" s="92"/>
      <c r="B158" s="2" t="s">
        <v>2</v>
      </c>
      <c r="C158" s="4"/>
      <c r="D158" s="4"/>
      <c r="E158" s="4"/>
      <c r="F158" s="4"/>
      <c r="G158" s="4"/>
      <c r="H158" s="4"/>
    </row>
    <row r="159" spans="1:8" ht="15" thickBot="1" x14ac:dyDescent="0.2">
      <c r="A159" s="92"/>
      <c r="B159" s="2" t="s">
        <v>17</v>
      </c>
      <c r="C159" s="4"/>
      <c r="D159" s="4"/>
      <c r="E159" s="4"/>
      <c r="F159" s="4"/>
      <c r="G159" s="4"/>
      <c r="H159" s="4"/>
    </row>
    <row r="160" spans="1:8" ht="15" thickBot="1" x14ac:dyDescent="0.2">
      <c r="A160" s="92"/>
      <c r="B160" s="2" t="s">
        <v>18</v>
      </c>
      <c r="C160" s="4"/>
      <c r="D160" s="4"/>
      <c r="E160" s="4"/>
      <c r="F160" s="4"/>
      <c r="G160" s="4"/>
      <c r="H160" s="4"/>
    </row>
    <row r="161" spans="1:8" ht="15" thickBot="1" x14ac:dyDescent="0.2">
      <c r="A161" s="92"/>
      <c r="B161" s="2" t="s">
        <v>19</v>
      </c>
      <c r="C161" s="4"/>
      <c r="D161" s="4"/>
      <c r="E161" s="4"/>
      <c r="F161" s="4"/>
      <c r="G161" s="4"/>
      <c r="H161" s="4"/>
    </row>
    <row r="162" spans="1:8" ht="15" thickBot="1" x14ac:dyDescent="0.2">
      <c r="A162" s="92"/>
      <c r="B162" s="2" t="s">
        <v>20</v>
      </c>
      <c r="C162" s="4"/>
      <c r="D162" s="4"/>
      <c r="E162" s="4"/>
      <c r="F162" s="4"/>
      <c r="G162" s="4"/>
      <c r="H162" s="4"/>
    </row>
    <row r="163" spans="1:8" ht="15" thickBot="1" x14ac:dyDescent="0.2">
      <c r="A163" s="92"/>
      <c r="B163" s="2" t="s">
        <v>21</v>
      </c>
      <c r="C163" s="4"/>
      <c r="D163" s="4"/>
      <c r="E163" s="4"/>
      <c r="F163" s="4"/>
      <c r="G163" s="4"/>
      <c r="H163" s="4"/>
    </row>
    <row r="164" spans="1:8" ht="15" thickBot="1" x14ac:dyDescent="0.2">
      <c r="A164" s="92"/>
      <c r="B164" s="2" t="s">
        <v>22</v>
      </c>
      <c r="C164" s="4"/>
      <c r="D164" s="4"/>
      <c r="E164" s="4"/>
      <c r="F164" s="4"/>
      <c r="G164" s="4"/>
      <c r="H164" s="4"/>
    </row>
    <row r="165" spans="1:8" ht="15" thickBot="1" x14ac:dyDescent="0.2">
      <c r="A165" s="92"/>
      <c r="B165" s="2" t="s">
        <v>23</v>
      </c>
      <c r="C165" s="4"/>
      <c r="D165" s="4"/>
      <c r="E165" s="4"/>
      <c r="F165" s="4"/>
      <c r="G165" s="4"/>
      <c r="H165" s="4"/>
    </row>
    <row r="166" spans="1:8" ht="15" thickBot="1" x14ac:dyDescent="0.2">
      <c r="A166" s="92"/>
      <c r="B166" s="2" t="s">
        <v>24</v>
      </c>
      <c r="C166" s="4"/>
      <c r="D166" s="4"/>
      <c r="E166" s="4"/>
      <c r="F166" s="4"/>
      <c r="G166" s="4"/>
      <c r="H166" s="4"/>
    </row>
    <row r="167" spans="1:8" ht="15" thickBot="1" x14ac:dyDescent="0.2">
      <c r="A167" s="92"/>
      <c r="B167" s="2" t="s">
        <v>25</v>
      </c>
      <c r="C167" s="4"/>
      <c r="D167" s="4"/>
      <c r="E167" s="4"/>
      <c r="F167" s="4"/>
      <c r="G167" s="4"/>
      <c r="H167" s="4"/>
    </row>
    <row r="168" spans="1:8" ht="14.25" thickBot="1" x14ac:dyDescent="0.2">
      <c r="A168" s="93"/>
      <c r="B168" s="5" t="s">
        <v>50</v>
      </c>
      <c r="C168" s="4"/>
      <c r="D168" s="4"/>
      <c r="E168" s="4"/>
      <c r="F168" s="4"/>
      <c r="G168" s="4"/>
      <c r="H168" s="4"/>
    </row>
    <row r="169" spans="1:8" ht="15" thickBot="1" x14ac:dyDescent="0.2">
      <c r="A169" s="91" t="s">
        <v>46</v>
      </c>
      <c r="B169" s="2" t="s">
        <v>13</v>
      </c>
      <c r="C169" s="4"/>
      <c r="D169" s="4"/>
      <c r="E169" s="4"/>
      <c r="F169" s="4"/>
      <c r="G169" s="4"/>
      <c r="H169" s="4"/>
    </row>
    <row r="170" spans="1:8" ht="15" thickBot="1" x14ac:dyDescent="0.2">
      <c r="A170" s="92"/>
      <c r="B170" s="2" t="s">
        <v>14</v>
      </c>
      <c r="C170" s="4"/>
      <c r="D170" s="4"/>
      <c r="E170" s="4"/>
      <c r="F170" s="4"/>
      <c r="G170" s="4"/>
      <c r="H170" s="4"/>
    </row>
    <row r="171" spans="1:8" ht="15" thickBot="1" x14ac:dyDescent="0.2">
      <c r="A171" s="92"/>
      <c r="B171" s="2" t="s">
        <v>15</v>
      </c>
      <c r="C171" s="4"/>
      <c r="D171" s="4"/>
      <c r="E171" s="4"/>
      <c r="F171" s="4"/>
      <c r="G171" s="4"/>
      <c r="H171" s="4"/>
    </row>
    <row r="172" spans="1:8" ht="15" thickBot="1" x14ac:dyDescent="0.2">
      <c r="A172" s="92"/>
      <c r="B172" s="2" t="s">
        <v>16</v>
      </c>
      <c r="C172" s="4"/>
      <c r="D172" s="4"/>
      <c r="E172" s="4"/>
      <c r="F172" s="4"/>
      <c r="G172" s="4"/>
      <c r="H172" s="4"/>
    </row>
    <row r="173" spans="1:8" ht="15" thickBot="1" x14ac:dyDescent="0.2">
      <c r="A173" s="92"/>
      <c r="B173" s="2" t="s">
        <v>2</v>
      </c>
      <c r="C173" s="4"/>
      <c r="D173" s="4"/>
      <c r="E173" s="4"/>
      <c r="F173" s="4"/>
      <c r="G173" s="4"/>
      <c r="H173" s="4"/>
    </row>
    <row r="174" spans="1:8" ht="15" thickBot="1" x14ac:dyDescent="0.2">
      <c r="A174" s="92"/>
      <c r="B174" s="2" t="s">
        <v>17</v>
      </c>
      <c r="C174" s="4"/>
      <c r="D174" s="4"/>
      <c r="E174" s="4"/>
      <c r="F174" s="4"/>
      <c r="G174" s="4"/>
      <c r="H174" s="4"/>
    </row>
    <row r="175" spans="1:8" ht="15" thickBot="1" x14ac:dyDescent="0.2">
      <c r="A175" s="92"/>
      <c r="B175" s="2" t="s">
        <v>18</v>
      </c>
      <c r="C175" s="4"/>
      <c r="D175" s="4"/>
      <c r="E175" s="4"/>
      <c r="F175" s="4"/>
      <c r="G175" s="4"/>
      <c r="H175" s="4"/>
    </row>
    <row r="176" spans="1:8" ht="15" thickBot="1" x14ac:dyDescent="0.2">
      <c r="A176" s="92"/>
      <c r="B176" s="2" t="s">
        <v>19</v>
      </c>
      <c r="C176" s="4"/>
      <c r="D176" s="4"/>
      <c r="E176" s="4"/>
      <c r="F176" s="4"/>
      <c r="G176" s="4"/>
      <c r="H176" s="4"/>
    </row>
    <row r="177" spans="1:8" ht="15" thickBot="1" x14ac:dyDescent="0.2">
      <c r="A177" s="92"/>
      <c r="B177" s="2" t="s">
        <v>20</v>
      </c>
      <c r="C177" s="4"/>
      <c r="D177" s="4"/>
      <c r="E177" s="4"/>
      <c r="F177" s="4"/>
      <c r="G177" s="4"/>
      <c r="H177" s="4"/>
    </row>
    <row r="178" spans="1:8" ht="15" thickBot="1" x14ac:dyDescent="0.2">
      <c r="A178" s="92"/>
      <c r="B178" s="2" t="s">
        <v>21</v>
      </c>
      <c r="C178" s="4"/>
      <c r="D178" s="4"/>
      <c r="E178" s="4"/>
      <c r="F178" s="4"/>
      <c r="G178" s="4"/>
      <c r="H178" s="4"/>
    </row>
    <row r="179" spans="1:8" ht="15" thickBot="1" x14ac:dyDescent="0.2">
      <c r="A179" s="92"/>
      <c r="B179" s="2" t="s">
        <v>22</v>
      </c>
      <c r="C179" s="4"/>
      <c r="D179" s="4"/>
      <c r="E179" s="4"/>
      <c r="F179" s="4"/>
      <c r="G179" s="4"/>
      <c r="H179" s="4"/>
    </row>
    <row r="180" spans="1:8" ht="15" thickBot="1" x14ac:dyDescent="0.2">
      <c r="A180" s="92"/>
      <c r="B180" s="2" t="s">
        <v>23</v>
      </c>
      <c r="C180" s="4"/>
      <c r="D180" s="4"/>
      <c r="E180" s="4"/>
      <c r="F180" s="4"/>
      <c r="G180" s="4"/>
      <c r="H180" s="4"/>
    </row>
    <row r="181" spans="1:8" ht="15" thickBot="1" x14ac:dyDescent="0.2">
      <c r="A181" s="92"/>
      <c r="B181" s="2" t="s">
        <v>24</v>
      </c>
      <c r="C181" s="4"/>
      <c r="D181" s="4"/>
      <c r="E181" s="4"/>
      <c r="F181" s="4"/>
      <c r="G181" s="4"/>
      <c r="H181" s="4"/>
    </row>
    <row r="182" spans="1:8" ht="15" thickBot="1" x14ac:dyDescent="0.2">
      <c r="A182" s="92"/>
      <c r="B182" s="2" t="s">
        <v>25</v>
      </c>
      <c r="C182" s="4"/>
      <c r="D182" s="4"/>
      <c r="E182" s="4"/>
      <c r="F182" s="4"/>
      <c r="G182" s="4"/>
      <c r="H182" s="4"/>
    </row>
    <row r="183" spans="1:8" ht="14.25" thickBot="1" x14ac:dyDescent="0.2">
      <c r="A183" s="93"/>
      <c r="B183" s="5" t="s">
        <v>50</v>
      </c>
      <c r="C183" s="4"/>
      <c r="D183" s="4"/>
      <c r="E183" s="4"/>
      <c r="F183" s="4"/>
      <c r="G183" s="4"/>
      <c r="H183" s="4"/>
    </row>
    <row r="184" spans="1:8" ht="15" thickBot="1" x14ac:dyDescent="0.2">
      <c r="A184" s="91" t="s">
        <v>51</v>
      </c>
      <c r="B184" s="2" t="s">
        <v>13</v>
      </c>
      <c r="C184" s="4"/>
      <c r="D184" s="4"/>
      <c r="E184" s="4"/>
      <c r="F184" s="4"/>
      <c r="G184" s="4"/>
      <c r="H184" s="4"/>
    </row>
    <row r="185" spans="1:8" ht="15" thickBot="1" x14ac:dyDescent="0.2">
      <c r="A185" s="92"/>
      <c r="B185" s="2" t="s">
        <v>14</v>
      </c>
      <c r="C185" s="4"/>
      <c r="D185" s="4"/>
      <c r="E185" s="4"/>
      <c r="F185" s="4"/>
      <c r="G185" s="4"/>
      <c r="H185" s="4"/>
    </row>
    <row r="186" spans="1:8" ht="15" thickBot="1" x14ac:dyDescent="0.2">
      <c r="A186" s="92"/>
      <c r="B186" s="2" t="s">
        <v>15</v>
      </c>
      <c r="C186" s="4"/>
      <c r="D186" s="4"/>
      <c r="E186" s="4"/>
      <c r="F186" s="4"/>
      <c r="G186" s="4"/>
      <c r="H186" s="4"/>
    </row>
    <row r="187" spans="1:8" ht="15" thickBot="1" x14ac:dyDescent="0.2">
      <c r="A187" s="92"/>
      <c r="B187" s="2" t="s">
        <v>16</v>
      </c>
      <c r="C187" s="4"/>
      <c r="D187" s="4"/>
      <c r="E187" s="4"/>
      <c r="F187" s="4"/>
      <c r="G187" s="4"/>
      <c r="H187" s="4"/>
    </row>
    <row r="188" spans="1:8" ht="15" thickBot="1" x14ac:dyDescent="0.2">
      <c r="A188" s="92"/>
      <c r="B188" s="2" t="s">
        <v>2</v>
      </c>
      <c r="C188" s="4"/>
      <c r="D188" s="4"/>
      <c r="E188" s="4"/>
      <c r="F188" s="4"/>
      <c r="G188" s="4"/>
      <c r="H188" s="4"/>
    </row>
    <row r="189" spans="1:8" ht="15" thickBot="1" x14ac:dyDescent="0.2">
      <c r="A189" s="92"/>
      <c r="B189" s="2" t="s">
        <v>17</v>
      </c>
      <c r="C189" s="4"/>
      <c r="D189" s="4"/>
      <c r="E189" s="4"/>
      <c r="F189" s="4"/>
      <c r="G189" s="4"/>
      <c r="H189" s="4"/>
    </row>
    <row r="190" spans="1:8" ht="15" thickBot="1" x14ac:dyDescent="0.2">
      <c r="A190" s="92"/>
      <c r="B190" s="2" t="s">
        <v>18</v>
      </c>
      <c r="C190" s="4"/>
      <c r="D190" s="4"/>
      <c r="E190" s="4"/>
      <c r="F190" s="4"/>
      <c r="G190" s="4"/>
      <c r="H190" s="4"/>
    </row>
    <row r="191" spans="1:8" ht="15" thickBot="1" x14ac:dyDescent="0.2">
      <c r="A191" s="92"/>
      <c r="B191" s="2" t="s">
        <v>19</v>
      </c>
      <c r="C191" s="4"/>
      <c r="D191" s="4"/>
      <c r="E191" s="4"/>
      <c r="F191" s="4"/>
      <c r="G191" s="4"/>
      <c r="H191" s="4"/>
    </row>
    <row r="192" spans="1:8" ht="15" thickBot="1" x14ac:dyDescent="0.2">
      <c r="A192" s="92"/>
      <c r="B192" s="2" t="s">
        <v>20</v>
      </c>
      <c r="C192" s="4"/>
      <c r="D192" s="4"/>
      <c r="E192" s="4"/>
      <c r="F192" s="4"/>
      <c r="G192" s="4"/>
      <c r="H192" s="4"/>
    </row>
    <row r="193" spans="1:8" ht="15" thickBot="1" x14ac:dyDescent="0.2">
      <c r="A193" s="92"/>
      <c r="B193" s="2" t="s">
        <v>21</v>
      </c>
      <c r="C193" s="4"/>
      <c r="D193" s="4"/>
      <c r="E193" s="4"/>
      <c r="F193" s="4"/>
      <c r="G193" s="4"/>
      <c r="H193" s="4"/>
    </row>
    <row r="194" spans="1:8" ht="15" thickBot="1" x14ac:dyDescent="0.2">
      <c r="A194" s="92"/>
      <c r="B194" s="2" t="s">
        <v>22</v>
      </c>
      <c r="C194" s="4"/>
      <c r="D194" s="4"/>
      <c r="E194" s="4"/>
      <c r="F194" s="4"/>
      <c r="G194" s="4"/>
      <c r="H194" s="4"/>
    </row>
    <row r="195" spans="1:8" ht="15" thickBot="1" x14ac:dyDescent="0.2">
      <c r="A195" s="92"/>
      <c r="B195" s="2" t="s">
        <v>23</v>
      </c>
      <c r="C195" s="4"/>
      <c r="D195" s="4"/>
      <c r="E195" s="4"/>
      <c r="F195" s="4"/>
      <c r="G195" s="4"/>
      <c r="H195" s="4"/>
    </row>
    <row r="196" spans="1:8" ht="15" thickBot="1" x14ac:dyDescent="0.2">
      <c r="A196" s="92"/>
      <c r="B196" s="2" t="s">
        <v>24</v>
      </c>
      <c r="C196" s="4"/>
      <c r="D196" s="4"/>
      <c r="E196" s="4"/>
      <c r="F196" s="4"/>
      <c r="G196" s="4"/>
      <c r="H196" s="4"/>
    </row>
    <row r="197" spans="1:8" ht="15" thickBot="1" x14ac:dyDescent="0.2">
      <c r="A197" s="92"/>
      <c r="B197" s="2" t="s">
        <v>25</v>
      </c>
      <c r="C197" s="4"/>
      <c r="D197" s="4"/>
      <c r="E197" s="4"/>
      <c r="F197" s="4"/>
      <c r="G197" s="4"/>
      <c r="H197" s="4"/>
    </row>
    <row r="198" spans="1:8" ht="14.25" thickBot="1" x14ac:dyDescent="0.2">
      <c r="A198" s="93"/>
      <c r="B198" s="5" t="s">
        <v>50</v>
      </c>
      <c r="C198" s="4"/>
      <c r="D198" s="4"/>
      <c r="E198" s="4"/>
      <c r="F198" s="4"/>
      <c r="G198" s="4"/>
      <c r="H198" s="4"/>
    </row>
    <row r="199" spans="1:8" ht="15" thickBot="1" x14ac:dyDescent="0.2">
      <c r="A199" s="91" t="s">
        <v>52</v>
      </c>
      <c r="B199" s="2" t="s">
        <v>13</v>
      </c>
      <c r="C199" s="4"/>
      <c r="D199" s="4"/>
      <c r="E199" s="4"/>
      <c r="F199" s="4"/>
      <c r="G199" s="4"/>
      <c r="H199" s="4"/>
    </row>
    <row r="200" spans="1:8" ht="15" thickBot="1" x14ac:dyDescent="0.2">
      <c r="A200" s="92"/>
      <c r="B200" s="2" t="s">
        <v>14</v>
      </c>
      <c r="C200" s="4"/>
      <c r="D200" s="4"/>
      <c r="E200" s="4"/>
      <c r="F200" s="4"/>
      <c r="G200" s="4"/>
      <c r="H200" s="4"/>
    </row>
    <row r="201" spans="1:8" ht="15" thickBot="1" x14ac:dyDescent="0.2">
      <c r="A201" s="92"/>
      <c r="B201" s="2" t="s">
        <v>15</v>
      </c>
      <c r="C201" s="4"/>
      <c r="D201" s="4"/>
      <c r="E201" s="4"/>
      <c r="F201" s="4"/>
      <c r="G201" s="4"/>
      <c r="H201" s="4"/>
    </row>
    <row r="202" spans="1:8" ht="15" thickBot="1" x14ac:dyDescent="0.2">
      <c r="A202" s="92"/>
      <c r="B202" s="2" t="s">
        <v>16</v>
      </c>
      <c r="C202" s="4"/>
      <c r="D202" s="4"/>
      <c r="E202" s="4"/>
      <c r="F202" s="4"/>
      <c r="G202" s="4"/>
      <c r="H202" s="4"/>
    </row>
    <row r="203" spans="1:8" ht="15" thickBot="1" x14ac:dyDescent="0.2">
      <c r="A203" s="92"/>
      <c r="B203" s="2" t="s">
        <v>2</v>
      </c>
      <c r="C203" s="4"/>
      <c r="D203" s="4"/>
      <c r="E203" s="4"/>
      <c r="F203" s="4"/>
      <c r="G203" s="4"/>
      <c r="H203" s="4"/>
    </row>
    <row r="204" spans="1:8" ht="15" thickBot="1" x14ac:dyDescent="0.2">
      <c r="A204" s="92"/>
      <c r="B204" s="2" t="s">
        <v>17</v>
      </c>
      <c r="C204" s="4"/>
      <c r="D204" s="4"/>
      <c r="E204" s="4"/>
      <c r="F204" s="4"/>
      <c r="G204" s="4"/>
      <c r="H204" s="4"/>
    </row>
    <row r="205" spans="1:8" ht="15" thickBot="1" x14ac:dyDescent="0.2">
      <c r="A205" s="92"/>
      <c r="B205" s="2" t="s">
        <v>18</v>
      </c>
      <c r="C205" s="4"/>
      <c r="D205" s="4"/>
      <c r="E205" s="4"/>
      <c r="F205" s="4"/>
      <c r="G205" s="4"/>
      <c r="H205" s="4"/>
    </row>
    <row r="206" spans="1:8" ht="15" thickBot="1" x14ac:dyDescent="0.2">
      <c r="A206" s="92"/>
      <c r="B206" s="2" t="s">
        <v>19</v>
      </c>
      <c r="C206" s="4"/>
      <c r="D206" s="4"/>
      <c r="E206" s="4"/>
      <c r="F206" s="4"/>
      <c r="G206" s="4"/>
      <c r="H206" s="4"/>
    </row>
    <row r="207" spans="1:8" ht="15" thickBot="1" x14ac:dyDescent="0.2">
      <c r="A207" s="92"/>
      <c r="B207" s="2" t="s">
        <v>20</v>
      </c>
      <c r="C207" s="4"/>
      <c r="D207" s="4"/>
      <c r="E207" s="4"/>
      <c r="F207" s="4"/>
      <c r="G207" s="4"/>
      <c r="H207" s="4"/>
    </row>
    <row r="208" spans="1:8" ht="15" thickBot="1" x14ac:dyDescent="0.2">
      <c r="A208" s="92"/>
      <c r="B208" s="2" t="s">
        <v>21</v>
      </c>
      <c r="C208" s="4"/>
      <c r="D208" s="4"/>
      <c r="E208" s="4"/>
      <c r="F208" s="4"/>
      <c r="G208" s="4"/>
      <c r="H208" s="4"/>
    </row>
    <row r="209" spans="1:8" ht="15" thickBot="1" x14ac:dyDescent="0.2">
      <c r="A209" s="92"/>
      <c r="B209" s="2" t="s">
        <v>22</v>
      </c>
      <c r="C209" s="4"/>
      <c r="D209" s="4"/>
      <c r="E209" s="4"/>
      <c r="F209" s="4"/>
      <c r="G209" s="4"/>
      <c r="H209" s="4"/>
    </row>
    <row r="210" spans="1:8" ht="15" thickBot="1" x14ac:dyDescent="0.2">
      <c r="A210" s="92"/>
      <c r="B210" s="2" t="s">
        <v>23</v>
      </c>
      <c r="C210" s="4"/>
      <c r="D210" s="4"/>
      <c r="E210" s="4"/>
      <c r="F210" s="4"/>
      <c r="G210" s="4"/>
      <c r="H210" s="4"/>
    </row>
    <row r="211" spans="1:8" ht="15" thickBot="1" x14ac:dyDescent="0.2">
      <c r="A211" s="92"/>
      <c r="B211" s="2" t="s">
        <v>24</v>
      </c>
      <c r="C211" s="4"/>
      <c r="D211" s="4"/>
      <c r="E211" s="4"/>
      <c r="F211" s="4"/>
      <c r="G211" s="4"/>
      <c r="H211" s="4"/>
    </row>
    <row r="212" spans="1:8" ht="15" thickBot="1" x14ac:dyDescent="0.2">
      <c r="A212" s="92"/>
      <c r="B212" s="2" t="s">
        <v>25</v>
      </c>
      <c r="C212" s="4"/>
      <c r="D212" s="4"/>
      <c r="E212" s="4"/>
      <c r="F212" s="4"/>
      <c r="G212" s="4"/>
      <c r="H212" s="4"/>
    </row>
    <row r="213" spans="1:8" ht="14.25" thickBot="1" x14ac:dyDescent="0.2">
      <c r="A213" s="93"/>
      <c r="B213" s="5" t="s">
        <v>50</v>
      </c>
      <c r="C213" s="4"/>
      <c r="D213" s="4"/>
      <c r="E213" s="4"/>
      <c r="F213" s="4"/>
      <c r="G213" s="4"/>
      <c r="H213" s="4"/>
    </row>
  </sheetData>
  <mergeCells count="14">
    <mergeCell ref="A184:A198"/>
    <mergeCell ref="A199:A213"/>
    <mergeCell ref="A111:A146"/>
    <mergeCell ref="A152:A153"/>
    <mergeCell ref="B152:B153"/>
    <mergeCell ref="C152:H152"/>
    <mergeCell ref="A154:A168"/>
    <mergeCell ref="A169:A183"/>
    <mergeCell ref="A1:A2"/>
    <mergeCell ref="B1:B2"/>
    <mergeCell ref="C1:H1"/>
    <mergeCell ref="A3:A38"/>
    <mergeCell ref="A39:A74"/>
    <mergeCell ref="A75:A1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Sheet4</vt:lpstr>
      <vt:lpstr>Sheet5</vt:lpstr>
      <vt:lpstr>Sheet7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lxq</dc:creator>
  <cp:lastModifiedBy>lxq</cp:lastModifiedBy>
  <dcterms:created xsi:type="dcterms:W3CDTF">2015-12-18T08:47:47Z</dcterms:created>
  <dcterms:modified xsi:type="dcterms:W3CDTF">2016-03-26T05:33:17Z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