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算法分析" sheetId="1" r:id="rId1"/>
    <sheet name="单元面积" sheetId="3" r:id="rId2"/>
    <sheet name="架构比较" sheetId="2" r:id="rId3"/>
    <sheet name="架构面积" sheetId="7" r:id="rId4"/>
    <sheet name="映射分析" sheetId="5" r:id="rId5"/>
    <sheet name="资源数比较" sheetId="6" r:id="rId6"/>
    <sheet name="面积比较" sheetId="4" r:id="rId7"/>
  </sheets>
  <calcPr calcId="152511"/>
</workbook>
</file>

<file path=xl/calcChain.xml><?xml version="1.0" encoding="utf-8"?>
<calcChain xmlns="http://schemas.openxmlformats.org/spreadsheetml/2006/main">
  <c r="D14" i="3" l="1"/>
  <c r="D15" i="3"/>
  <c r="D16" i="3"/>
  <c r="D17" i="3"/>
  <c r="D18" i="3"/>
  <c r="D13" i="3"/>
  <c r="C14" i="3"/>
  <c r="C15" i="3"/>
  <c r="C16" i="3"/>
  <c r="C17" i="3"/>
  <c r="C18" i="3"/>
  <c r="C13" i="3"/>
  <c r="C11" i="3"/>
  <c r="D11" i="3"/>
  <c r="E11" i="3"/>
  <c r="F11" i="3"/>
  <c r="G11" i="3"/>
  <c r="H11" i="3"/>
  <c r="I11" i="3"/>
  <c r="J11" i="3"/>
  <c r="K11" i="3"/>
  <c r="B11" i="3"/>
  <c r="J3" i="4" l="1"/>
  <c r="J4" i="4"/>
  <c r="J5" i="4"/>
  <c r="J6" i="4"/>
  <c r="J7" i="4"/>
  <c r="J2" i="4"/>
  <c r="G3" i="4"/>
  <c r="G4" i="4"/>
  <c r="G5" i="4"/>
  <c r="G6" i="4"/>
  <c r="G7" i="4"/>
  <c r="F3" i="4"/>
  <c r="F4" i="4"/>
  <c r="F5" i="4"/>
  <c r="F6" i="4"/>
  <c r="F7" i="4"/>
  <c r="E3" i="4"/>
  <c r="E4" i="4"/>
  <c r="E5" i="4"/>
  <c r="E6" i="4"/>
  <c r="E7" i="4"/>
  <c r="D3" i="4"/>
  <c r="D4" i="4"/>
  <c r="D5" i="4"/>
  <c r="D6" i="4"/>
  <c r="D7" i="4"/>
  <c r="D2" i="4"/>
  <c r="E2" i="4"/>
  <c r="F2" i="4"/>
  <c r="G2" i="4"/>
  <c r="C3" i="4"/>
  <c r="C4" i="4"/>
  <c r="C5" i="4"/>
  <c r="C6" i="4"/>
  <c r="C7" i="4"/>
  <c r="C2" i="4"/>
  <c r="B3" i="4"/>
  <c r="B4" i="4"/>
  <c r="B5" i="4"/>
  <c r="B6" i="4"/>
  <c r="B7" i="4"/>
  <c r="B2" i="4"/>
  <c r="E13" i="4"/>
  <c r="E12" i="4"/>
  <c r="E11" i="4"/>
  <c r="E10" i="4"/>
  <c r="J8" i="7"/>
  <c r="J4" i="7"/>
  <c r="J2" i="7"/>
  <c r="G2" i="7"/>
  <c r="F2" i="7"/>
  <c r="E2" i="7"/>
  <c r="D2" i="7"/>
  <c r="C2" i="7"/>
  <c r="B2" i="7"/>
  <c r="I9" i="3"/>
  <c r="F10" i="3"/>
  <c r="B6" i="7"/>
  <c r="F9" i="3" l="1"/>
  <c r="F5" i="3"/>
  <c r="F2" i="3" l="1"/>
  <c r="F4" i="3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8" i="7"/>
  <c r="I6" i="7"/>
  <c r="J6" i="7"/>
  <c r="B8" i="7"/>
  <c r="C5" i="3"/>
  <c r="D5" i="3"/>
  <c r="E5" i="3"/>
  <c r="G5" i="3"/>
  <c r="H5" i="3"/>
  <c r="I5" i="3"/>
  <c r="K5" i="3"/>
  <c r="B5" i="3"/>
  <c r="J4" i="3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5" i="3" l="1"/>
  <c r="I2" i="7"/>
  <c r="I4" i="7"/>
  <c r="G4" i="7"/>
  <c r="E4" i="7"/>
  <c r="C4" i="7"/>
  <c r="H6" i="7"/>
  <c r="F6" i="7"/>
  <c r="D6" i="7"/>
  <c r="I8" i="7"/>
  <c r="G8" i="7"/>
  <c r="E8" i="7"/>
  <c r="C8" i="7"/>
  <c r="J21" i="4"/>
  <c r="H2" i="7"/>
  <c r="B4" i="7"/>
  <c r="H4" i="7"/>
  <c r="F4" i="7"/>
  <c r="D4" i="7"/>
  <c r="J15" i="4"/>
  <c r="J11" i="4"/>
  <c r="K8" i="7" l="1"/>
  <c r="D9" i="7" s="1"/>
  <c r="H9" i="7"/>
  <c r="K6" i="7"/>
  <c r="B7" i="7" s="1"/>
  <c r="K4" i="7"/>
  <c r="D5" i="7" s="1"/>
  <c r="K2" i="7"/>
  <c r="J3" i="7" s="1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F11" i="6"/>
  <c r="G11" i="6"/>
  <c r="G11" i="4" s="1"/>
  <c r="C12" i="6"/>
  <c r="D12" i="6"/>
  <c r="E12" i="6"/>
  <c r="F12" i="6"/>
  <c r="F12" i="4" s="1"/>
  <c r="G12" i="6"/>
  <c r="C13" i="6"/>
  <c r="D13" i="6"/>
  <c r="E13" i="6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C9" i="7" l="1"/>
  <c r="I9" i="7"/>
  <c r="B9" i="7"/>
  <c r="G9" i="7"/>
  <c r="E9" i="7"/>
  <c r="F9" i="7"/>
  <c r="D7" i="7"/>
  <c r="C5" i="7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9" i="6"/>
  <c r="K1" i="6"/>
  <c r="Q9" i="6"/>
  <c r="Q1" i="6"/>
  <c r="O9" i="6"/>
  <c r="O1" i="6"/>
  <c r="M9" i="6"/>
  <c r="M1" i="6"/>
  <c r="F6" i="6"/>
  <c r="D6" i="6"/>
  <c r="S18" i="6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K6" i="6"/>
  <c r="K2" i="6"/>
  <c r="M7" i="6"/>
  <c r="N6" i="6"/>
  <c r="O5" i="6"/>
  <c r="P4" i="6"/>
  <c r="L4" i="6"/>
  <c r="M3" i="6"/>
  <c r="N2" i="6"/>
  <c r="H6" i="4"/>
  <c r="Q6" i="6"/>
  <c r="H4" i="4"/>
  <c r="Q4" i="6"/>
  <c r="H2" i="4"/>
  <c r="Q2" i="6"/>
  <c r="K5" i="6"/>
  <c r="P7" i="6"/>
  <c r="L7" i="6"/>
  <c r="M6" i="6"/>
  <c r="N5" i="6"/>
  <c r="O4" i="6"/>
  <c r="P3" i="6"/>
  <c r="M2" i="6"/>
  <c r="I7" i="4"/>
  <c r="R7" i="6"/>
  <c r="I5" i="4"/>
  <c r="R5" i="6"/>
  <c r="I3" i="4"/>
  <c r="R3" i="6"/>
  <c r="K4" i="6"/>
  <c r="O7" i="6"/>
  <c r="P6" i="6"/>
  <c r="L6" i="6"/>
  <c r="M5" i="6"/>
  <c r="N4" i="6"/>
  <c r="O3" i="6"/>
  <c r="P2" i="6"/>
  <c r="L2" i="6"/>
  <c r="H7" i="4"/>
  <c r="Q7" i="6"/>
  <c r="H5" i="4"/>
  <c r="Q5" i="6"/>
  <c r="H3" i="4"/>
  <c r="Q3" i="6"/>
  <c r="K7" i="6"/>
  <c r="K3" i="6"/>
  <c r="N7" i="6"/>
  <c r="O6" i="6"/>
  <c r="P5" i="6"/>
  <c r="M4" i="6"/>
  <c r="N3" i="6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P9" i="6"/>
  <c r="S20" i="6"/>
  <c r="H1" i="4"/>
  <c r="T9" i="4" s="1"/>
  <c r="B1" i="4"/>
  <c r="N9" i="4" s="1"/>
  <c r="S11" i="6"/>
  <c r="S23" i="6"/>
  <c r="S30" i="6"/>
  <c r="R21" i="6"/>
  <c r="S10" i="6"/>
  <c r="S14" i="6"/>
  <c r="S21" i="6"/>
  <c r="S31" i="6"/>
  <c r="S15" i="6"/>
  <c r="S26" i="6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P12" i="6"/>
  <c r="G12" i="4"/>
  <c r="N27" i="6"/>
  <c r="L15" i="6"/>
  <c r="C15" i="4"/>
  <c r="O18" i="6"/>
  <c r="F18" i="4"/>
  <c r="G30" i="4"/>
  <c r="P30" i="6"/>
  <c r="Q27" i="6"/>
  <c r="H27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<sst xmlns="http://schemas.openxmlformats.org/spreadsheetml/2006/main" count="52" uniqueCount="48">
  <si>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</si>
  <si>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</si>
  <si>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</si>
  <si>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</si>
  <si>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</si>
  <si>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</si>
  <si>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</si>
  <si>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</si>
  <si>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</si>
  <si>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</si>
  <si>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</si>
  <si>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</si>
  <si>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</si>
  <si>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</si>
  <si>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</si>
  <si>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</si>
  <si>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</si>
  <si>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</si>
  <si>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</si>
  <si>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</si>
  <si>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</si>
  <si>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</si>
  <si>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</si>
  <si>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</si>
  <si>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</si>
  <si>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</si>
  <si>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</si>
  <si>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</si>
  <si>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</si>
  <si>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</si>
  <si>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</si>
  <si>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</si>
  <si>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</si>
  <si>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</si>
  <si>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</si>
  <si>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</si>
  <si>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</si>
  <si>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</si>
  <si>
    <t>功能单元</t>
  </si>
  <si>
    <r>
      <t>面积</t>
    </r>
    <r>
      <rPr>
        <sz val="10.5"/>
        <color theme="1"/>
        <rFont val="Calibri"/>
        <family val="2"/>
      </rPr>
      <t>µm</t>
    </r>
    <r>
      <rPr>
        <vertAlign val="superscript"/>
        <sz val="10.5"/>
        <color theme="1"/>
        <rFont val="Calibri"/>
        <family val="2"/>
      </rPr>
      <t>2</t>
    </r>
  </si>
  <si>
    <t>等效门数</t>
  </si>
  <si>
    <t>相对值</t>
  </si>
  <si>
    <t>移位单元</t>
  </si>
  <si>
    <r>
      <t>模加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减单元</t>
    </r>
  </si>
  <si>
    <t>逻辑运算</t>
  </si>
  <si>
    <t>有限域乘法</t>
  </si>
  <si>
    <t>置换单元</t>
  </si>
  <si>
    <r>
      <t>S</t>
    </r>
    <r>
      <rPr>
        <sz val="10.5"/>
        <color theme="1"/>
        <rFont val="宋体"/>
        <family val="3"/>
        <charset val="134"/>
      </rPr>
      <t>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</si>
</sst>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#,##0.0_ "/>
    <numFmt numFmtId="178" formatCode="0.0%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vertAlign val="superscript"/>
      <sz val="10.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8" fillId="0" borderId="6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1" fontId="7" fillId="0" borderId="9" xfId="0" applyNumberFormat="1" applyFont="1" applyBorder="1" applyAlignment="1">
      <alignment horizontal="justify" vertical="center" wrapText="1"/>
    </xf>
    <xf numFmtId="176" fontId="7" fillId="0" borderId="9" xfId="0" applyNumberFormat="1" applyFont="1" applyBorder="1" applyAlignment="1">
      <alignment horizontal="justify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0:G11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B13" sqref="B13:D18"/>
    </sheetView>
  </sheetViews>
  <sheetFormatPr defaultRowHeight="15" x14ac:dyDescent="0.15"/>
  <cols>
    <col min="1" max="1" width="14.125" style="2" customWidth="1"/>
    <col min="2" max="5" width="9" style="2"/>
    <col min="6" max="6" width="11.75" style="2" customWidth="1"/>
    <col min="7" max="9" width="9" style="2"/>
    <col min="10" max="11" width="11.625" style="2" customWidth="1"/>
    <col min="12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31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32"/>
      <c r="B3" s="7">
        <f>B2/$B2</f>
        <v>1</v>
      </c>
      <c r="C3" s="7">
        <f>C2/$B2</f>
        <v>2.7773865414710484</v>
      </c>
      <c r="D3" s="7">
        <f>D2/$B2</f>
        <v>1.7981220657276995</v>
      </c>
      <c r="E3" s="7">
        <f t="shared" ref="E3:G3" si="0">E2/$B2</f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ref="H3" si="1">H2/$B2</f>
        <v>0.39123630672926446</v>
      </c>
      <c r="I3" s="7">
        <f t="shared" ref="I3:K3" si="2">I2/$B2</f>
        <v>0.3129890453834116</v>
      </c>
      <c r="J3" s="7">
        <f t="shared" si="2"/>
        <v>0.10954616588419405</v>
      </c>
      <c r="K3" s="7">
        <f t="shared" si="2"/>
        <v>0.54773082942097029</v>
      </c>
    </row>
    <row r="4" spans="1:11" x14ac:dyDescent="0.25">
      <c r="A4" s="31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32"/>
      <c r="B5" s="7">
        <f>B4/$B4</f>
        <v>1</v>
      </c>
      <c r="C5" s="7">
        <f t="shared" ref="C5:K5" si="3">C4/$B4</f>
        <v>3.2037312200759454</v>
      </c>
      <c r="D5" s="7">
        <f t="shared" si="3"/>
        <v>1.7672114908370482</v>
      </c>
      <c r="E5" s="7">
        <f t="shared" si="3"/>
        <v>0.21941555225359088</v>
      </c>
      <c r="F5" s="7">
        <f>F4/$B4</f>
        <v>23.038992209427043</v>
      </c>
      <c r="G5" s="7">
        <f t="shared" si="3"/>
        <v>4.7548291233283804</v>
      </c>
      <c r="H5" s="7">
        <f t="shared" si="3"/>
        <v>0.29717682020802377</v>
      </c>
      <c r="I5" s="7">
        <f t="shared" si="3"/>
        <v>0.23774145616641901</v>
      </c>
      <c r="J5" s="7">
        <f t="shared" si="3"/>
        <v>4.6019613670133728</v>
      </c>
      <c r="K5" s="7">
        <f t="shared" si="3"/>
        <v>23.009806835066865</v>
      </c>
    </row>
    <row r="6" spans="1:11" x14ac:dyDescent="0.15">
      <c r="A6" s="31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32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 t="shared" ref="E7" si="4">E6/$B6</f>
        <v>0.74766355140186924</v>
      </c>
      <c r="F7" s="7">
        <f t="shared" ref="F7" si="5"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2651</v>
      </c>
      <c r="C9" s="5">
        <v>8481</v>
      </c>
      <c r="D9" s="5">
        <v>7481</v>
      </c>
      <c r="E9" s="5">
        <v>2097</v>
      </c>
      <c r="F9" s="5">
        <f>51191/4</f>
        <v>12797.75</v>
      </c>
      <c r="G9" s="7">
        <f t="shared" ref="G9:I9" si="6">G4</f>
        <v>8000</v>
      </c>
      <c r="H9" s="7">
        <v>0</v>
      </c>
      <c r="I9" s="7">
        <f t="shared" si="6"/>
        <v>400</v>
      </c>
      <c r="J9" s="7">
        <v>47918</v>
      </c>
      <c r="K9" s="7">
        <v>47918</v>
      </c>
    </row>
    <row r="10" spans="1:11" x14ac:dyDescent="0.15">
      <c r="A10" s="5" t="s">
        <v>34</v>
      </c>
      <c r="B10" s="5">
        <v>1585</v>
      </c>
      <c r="C10" s="5">
        <v>1877</v>
      </c>
      <c r="D10" s="5">
        <v>7065</v>
      </c>
      <c r="E10" s="5">
        <v>399</v>
      </c>
      <c r="F10" s="5">
        <f>51191/4</f>
        <v>12797.75</v>
      </c>
      <c r="G10" s="7">
        <v>8506</v>
      </c>
      <c r="H10" s="7">
        <v>0</v>
      </c>
      <c r="I10" s="7">
        <v>400</v>
      </c>
      <c r="J10" s="7">
        <v>28253</v>
      </c>
      <c r="K10" s="7">
        <v>47918</v>
      </c>
    </row>
    <row r="11" spans="1:11" ht="15.75" thickBot="1" x14ac:dyDescent="0.2">
      <c r="B11" s="35">
        <f>B10/$B10</f>
        <v>1</v>
      </c>
      <c r="C11" s="35">
        <f t="shared" ref="C11:K11" si="7">C10/$B10</f>
        <v>1.1842271293375395</v>
      </c>
      <c r="D11" s="35">
        <f t="shared" si="7"/>
        <v>4.4574132492113563</v>
      </c>
      <c r="E11" s="35">
        <f t="shared" si="7"/>
        <v>0.25173501577287066</v>
      </c>
      <c r="F11" s="35">
        <f t="shared" si="7"/>
        <v>8.0742902208201901</v>
      </c>
      <c r="G11" s="35">
        <f t="shared" si="7"/>
        <v>5.3665615141955838</v>
      </c>
      <c r="H11" s="35">
        <f t="shared" si="7"/>
        <v>0</v>
      </c>
      <c r="I11" s="35">
        <f t="shared" si="7"/>
        <v>0.25236593059936907</v>
      </c>
      <c r="J11" s="35">
        <f t="shared" si="7"/>
        <v>17.825236593059937</v>
      </c>
      <c r="K11" s="35">
        <f t="shared" si="7"/>
        <v>30.23217665615142</v>
      </c>
    </row>
    <row r="12" spans="1:11" ht="17.25" thickBot="1" x14ac:dyDescent="0.2">
      <c r="A12" s="36" t="s">
        <v>38</v>
      </c>
      <c r="B12" s="37" t="s">
        <v>39</v>
      </c>
      <c r="C12" s="37" t="s">
        <v>40</v>
      </c>
      <c r="D12" s="37" t="s">
        <v>41</v>
      </c>
    </row>
    <row r="13" spans="1:11" ht="15.75" thickBot="1" x14ac:dyDescent="0.2">
      <c r="A13" s="38" t="s">
        <v>42</v>
      </c>
      <c r="B13" s="39">
        <v>19286</v>
      </c>
      <c r="C13" s="41">
        <f>B13/10</f>
        <v>1928.6</v>
      </c>
      <c r="D13" s="42">
        <f>C13/C$13</f>
        <v>1</v>
      </c>
    </row>
    <row r="14" spans="1:11" ht="15.75" thickBot="1" x14ac:dyDescent="0.2">
      <c r="A14" s="38" t="s">
        <v>43</v>
      </c>
      <c r="B14" s="39">
        <v>12826</v>
      </c>
      <c r="C14" s="41">
        <f t="shared" ref="C14:C18" si="8">B14/10</f>
        <v>1282.5999999999999</v>
      </c>
      <c r="D14" s="42">
        <f t="shared" ref="D14:D18" si="9">C14/C$13</f>
        <v>0.66504199937778696</v>
      </c>
    </row>
    <row r="15" spans="1:11" ht="15.75" thickBot="1" x14ac:dyDescent="0.2">
      <c r="A15" s="38" t="s">
        <v>44</v>
      </c>
      <c r="B15" s="2">
        <v>3426</v>
      </c>
      <c r="C15" s="41">
        <f t="shared" si="8"/>
        <v>342.6</v>
      </c>
      <c r="D15" s="42">
        <f t="shared" si="9"/>
        <v>0.17764181271388574</v>
      </c>
    </row>
    <row r="16" spans="1:11" ht="15.75" thickBot="1" x14ac:dyDescent="0.2">
      <c r="A16" s="38" t="s">
        <v>45</v>
      </c>
      <c r="B16" s="39">
        <v>85473</v>
      </c>
      <c r="C16" s="41">
        <f t="shared" si="8"/>
        <v>8547.2999999999993</v>
      </c>
      <c r="D16" s="42">
        <f t="shared" si="9"/>
        <v>4.4318676760344289</v>
      </c>
    </row>
    <row r="17" spans="1:4" ht="15.75" thickBot="1" x14ac:dyDescent="0.2">
      <c r="A17" s="38" t="s">
        <v>46</v>
      </c>
      <c r="B17" s="39">
        <v>49816</v>
      </c>
      <c r="C17" s="41">
        <f t="shared" si="8"/>
        <v>4981.6000000000004</v>
      </c>
      <c r="D17" s="42">
        <f t="shared" si="9"/>
        <v>2.5830135849839264</v>
      </c>
    </row>
    <row r="18" spans="1:4" ht="15.75" thickBot="1" x14ac:dyDescent="0.2">
      <c r="A18" s="40" t="s">
        <v>47</v>
      </c>
      <c r="B18" s="39">
        <v>1160372</v>
      </c>
      <c r="C18" s="41">
        <f t="shared" si="8"/>
        <v>116037.2</v>
      </c>
      <c r="D18" s="42">
        <f t="shared" si="9"/>
        <v>60.166545680804731</v>
      </c>
    </row>
  </sheetData>
  <mergeCells count="3">
    <mergeCell ref="A2:A3"/>
    <mergeCell ref="A6:A7"/>
    <mergeCell ref="A4:A5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17" sqref="J17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31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33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33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33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33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32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31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1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33"/>
      <c r="B9" s="5" t="s">
        <v>20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32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2</v>
      </c>
    </row>
    <row r="11" spans="1:11" x14ac:dyDescent="0.15">
      <c r="A11" s="31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32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34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34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" sqref="E1:E1048576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31" t="str">
        <f>架构比较!A2</f>
        <v>本文</v>
      </c>
      <c r="B2" s="5">
        <f>SUMPRODUCT(架构比较!C2:C6,架构比较!$K2:$K6)*单元面积!B10</f>
        <v>19020</v>
      </c>
      <c r="C2" s="5">
        <f>SUMPRODUCT(架构比较!D2:D6,架构比较!$K2:$K6)*单元面积!C10</f>
        <v>22524</v>
      </c>
      <c r="D2" s="5">
        <f>SUMPRODUCT(架构比较!E2:E6,架构比较!$K2:$K6)*单元面积!D10</f>
        <v>28260</v>
      </c>
      <c r="E2" s="5">
        <f>SUMPRODUCT(架构比较!F2:F6,架构比较!$K2:$K6)*单元面积!E10</f>
        <v>4788</v>
      </c>
      <c r="F2" s="5">
        <f>SUMPRODUCT(架构比较!G2:G6,架构比较!$K2:$K6)*单元面积!F10</f>
        <v>51191</v>
      </c>
      <c r="G2" s="5">
        <f>SUMPRODUCT(架构比较!H2:H6,架构比较!$K2:$K6)*单元面积!G10</f>
        <v>34024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143754</v>
      </c>
      <c r="K2" s="5">
        <f>SUM(B2:I2)</f>
        <v>159807</v>
      </c>
    </row>
    <row r="3" spans="1:11" x14ac:dyDescent="0.15">
      <c r="A3" s="32"/>
      <c r="B3" s="29">
        <f>B2/$K2</f>
        <v>0.11901856614541291</v>
      </c>
      <c r="C3" s="29">
        <f t="shared" ref="C3:J3" si="0">C2/$K2</f>
        <v>0.14094501492425238</v>
      </c>
      <c r="D3" s="29">
        <f t="shared" si="0"/>
        <v>0.17683831121290056</v>
      </c>
      <c r="E3" s="29">
        <f t="shared" si="0"/>
        <v>2.9961140625879967E-2</v>
      </c>
      <c r="F3" s="29">
        <f t="shared" si="0"/>
        <v>0.32033014824131611</v>
      </c>
      <c r="G3" s="29">
        <f t="shared" si="0"/>
        <v>0.2129068188502381</v>
      </c>
      <c r="H3" s="29">
        <f t="shared" si="0"/>
        <v>0</v>
      </c>
      <c r="I3" s="29">
        <f t="shared" si="0"/>
        <v>0</v>
      </c>
      <c r="J3" s="29">
        <f t="shared" si="0"/>
        <v>0.8995475792674914</v>
      </c>
      <c r="K3" s="5"/>
    </row>
    <row r="4" spans="1:11" x14ac:dyDescent="0.15">
      <c r="A4" s="31" t="str">
        <f>架构比较!A8</f>
        <v>TH</v>
      </c>
      <c r="B4" s="5">
        <f>SUMPRODUCT(架构比较!C8:C9,架构比较!$K8:$K9)*单元面积!B9</f>
        <v>21208</v>
      </c>
      <c r="C4" s="5">
        <f>SUMPRODUCT(架构比较!D8:D9,架构比较!$K8:$K9)*单元面积!C9</f>
        <v>67848</v>
      </c>
      <c r="D4" s="5">
        <f>SUMPRODUCT(架构比较!E8:E9,架构比较!$K8:$K9)*单元面积!D9</f>
        <v>29924</v>
      </c>
      <c r="E4" s="5">
        <f>SUMPRODUCT(架构比较!F8:F9,架构比较!$K8:$K9)*单元面积!E9</f>
        <v>16776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0</v>
      </c>
      <c r="I4" s="5">
        <f>SUMPRODUCT(架构比较!J8:J9,架构比较!$K8:$K9)*单元面积!I9</f>
        <v>0</v>
      </c>
      <c r="J4" s="5">
        <f>架构比较!K10*单元面积!K9</f>
        <v>95836</v>
      </c>
      <c r="K4" s="5">
        <f>SUM(B4:I4)</f>
        <v>340520</v>
      </c>
    </row>
    <row r="5" spans="1:11" x14ac:dyDescent="0.15">
      <c r="A5" s="32"/>
      <c r="B5" s="29">
        <f>B4/$K4</f>
        <v>6.2281216962292961E-2</v>
      </c>
      <c r="C5" s="29">
        <f t="shared" ref="C5:J5" si="1">C4/$K4</f>
        <v>0.19924820862210738</v>
      </c>
      <c r="D5" s="29">
        <f t="shared" si="1"/>
        <v>8.7877364031481262E-2</v>
      </c>
      <c r="E5" s="29">
        <f t="shared" si="1"/>
        <v>4.9265828732526724E-2</v>
      </c>
      <c r="F5" s="29">
        <f t="shared" si="1"/>
        <v>0.60132738165159172</v>
      </c>
      <c r="G5" s="29">
        <f t="shared" si="1"/>
        <v>0</v>
      </c>
      <c r="H5" s="29">
        <f t="shared" si="1"/>
        <v>0</v>
      </c>
      <c r="I5" s="29">
        <f t="shared" si="1"/>
        <v>0</v>
      </c>
      <c r="J5" s="29">
        <f t="shared" si="1"/>
        <v>0.28144015035827558</v>
      </c>
      <c r="K5" s="5"/>
    </row>
    <row r="6" spans="1:11" x14ac:dyDescent="0.15">
      <c r="A6" s="31" t="str">
        <f>架构比较!A11</f>
        <v>Cyptoraptor</v>
      </c>
      <c r="B6" s="5">
        <f>架构比较!C11*架构比较!$K11*单元面积!B9</f>
        <v>10604</v>
      </c>
      <c r="C6" s="5">
        <f>架构比较!D11*架构比较!$K11*单元面积!C9</f>
        <v>33924</v>
      </c>
      <c r="D6" s="5">
        <f>架构比较!E11*架构比较!$K11*单元面积!D9</f>
        <v>29924</v>
      </c>
      <c r="E6" s="5">
        <f>架构比较!F11*架构比较!$K11*单元面积!E9</f>
        <v>8388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47918</v>
      </c>
      <c r="K6" s="5">
        <f>SUM(B6:I6)</f>
        <v>445977</v>
      </c>
    </row>
    <row r="7" spans="1:11" x14ac:dyDescent="0.15">
      <c r="A7" s="32"/>
      <c r="B7" s="29">
        <f>B6/$K6</f>
        <v>2.3777010922087911E-2</v>
      </c>
      <c r="C7" s="29">
        <f t="shared" ref="C7:J7" si="2">C6/$K6</f>
        <v>7.6066702991409871E-2</v>
      </c>
      <c r="D7" s="29">
        <f t="shared" si="2"/>
        <v>6.7097630595299759E-2</v>
      </c>
      <c r="E7" s="29">
        <f t="shared" si="2"/>
        <v>1.8808144814642908E-2</v>
      </c>
      <c r="F7" s="29">
        <f t="shared" si="2"/>
        <v>0.8034876238012274</v>
      </c>
      <c r="G7" s="29">
        <f t="shared" si="2"/>
        <v>0</v>
      </c>
      <c r="H7" s="29">
        <f t="shared" si="2"/>
        <v>0</v>
      </c>
      <c r="I7" s="29">
        <f t="shared" si="2"/>
        <v>1.0762886875332136E-2</v>
      </c>
      <c r="J7" s="29">
        <f t="shared" si="2"/>
        <v>0.1074450027692011</v>
      </c>
      <c r="K7" s="5"/>
    </row>
    <row r="8" spans="1:11" x14ac:dyDescent="0.15">
      <c r="A8" s="34" t="str">
        <f>架构比较!A13</f>
        <v>RCPA</v>
      </c>
      <c r="B8" s="5">
        <f>架构比较!C13*架构比较!$K13*单元面积!B9</f>
        <v>10604</v>
      </c>
      <c r="C8" s="5">
        <f>架构比较!D13*架构比较!$K13*单元面积!C9</f>
        <v>33924</v>
      </c>
      <c r="D8" s="5">
        <f>架构比较!E13*架构比较!$K13*单元面积!D9</f>
        <v>29924</v>
      </c>
      <c r="E8" s="5">
        <f>架构比较!F13*架构比较!$K13*单元面积!E9</f>
        <v>16776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架构比较!K14*单元面积!K10</f>
        <v>47918</v>
      </c>
      <c r="K8" s="5">
        <f>SUM(B8:I8)</f>
        <v>225610</v>
      </c>
    </row>
    <row r="9" spans="1:11" x14ac:dyDescent="0.15">
      <c r="A9" s="34"/>
      <c r="B9" s="29">
        <f>B8/$K8</f>
        <v>4.7001462701121405E-2</v>
      </c>
      <c r="C9" s="29">
        <f t="shared" ref="C9:J9" si="3">C8/$K8</f>
        <v>0.15036567528035105</v>
      </c>
      <c r="D9" s="29">
        <f t="shared" si="3"/>
        <v>0.13263596471787598</v>
      </c>
      <c r="E9" s="29">
        <f t="shared" si="3"/>
        <v>7.4358406099020433E-2</v>
      </c>
      <c r="F9" s="29">
        <f t="shared" si="3"/>
        <v>0.45380080670183059</v>
      </c>
      <c r="G9" s="29">
        <f t="shared" si="3"/>
        <v>0.14183768449980055</v>
      </c>
      <c r="H9" s="29">
        <f t="shared" si="3"/>
        <v>0</v>
      </c>
      <c r="I9" s="29">
        <f t="shared" si="3"/>
        <v>0</v>
      </c>
      <c r="J9" s="29">
        <f t="shared" si="3"/>
        <v>0.21239306768317007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18" sqref="E18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34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34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34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34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34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34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34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34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34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31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32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31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32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E10" sqref="E10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 t="shared" ref="K10:S15" si="1">IF(B10&lt;&gt;0,(B2-B10)/B10,"")</f>
        <v>0.5</v>
      </c>
      <c r="L10" s="16">
        <f t="shared" si="1"/>
        <v>0.5</v>
      </c>
      <c r="M10" s="16">
        <f t="shared" si="1"/>
        <v>0</v>
      </c>
      <c r="N10" s="16">
        <f t="shared" si="1"/>
        <v>0.5</v>
      </c>
      <c r="O10" s="16">
        <f t="shared" si="1"/>
        <v>-0.75</v>
      </c>
      <c r="P10" s="16" t="str">
        <f t="shared" si="1"/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16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 t="shared" si="1"/>
        <v>-0.25</v>
      </c>
      <c r="L11" s="16">
        <f t="shared" si="1"/>
        <v>-0.25</v>
      </c>
      <c r="M11" s="16">
        <f t="shared" si="1"/>
        <v>-0.5</v>
      </c>
      <c r="N11" s="16">
        <f t="shared" si="1"/>
        <v>-0.25</v>
      </c>
      <c r="O11" s="16">
        <f t="shared" si="1"/>
        <v>-0.875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16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 t="shared" si="1"/>
        <v>-0.25</v>
      </c>
      <c r="L12" s="16">
        <f t="shared" si="1"/>
        <v>-0.25</v>
      </c>
      <c r="M12" s="16">
        <f t="shared" si="1"/>
        <v>-0.5</v>
      </c>
      <c r="N12" s="16">
        <f t="shared" si="1"/>
        <v>-0.25</v>
      </c>
      <c r="O12" s="16">
        <f t="shared" si="1"/>
        <v>-0.875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24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 t="shared" si="1"/>
        <v>0</v>
      </c>
      <c r="L13" s="16">
        <f t="shared" si="1"/>
        <v>0</v>
      </c>
      <c r="M13" s="16">
        <f t="shared" si="1"/>
        <v>-0.33333333333333331</v>
      </c>
      <c r="N13" s="16">
        <f t="shared" si="1"/>
        <v>0</v>
      </c>
      <c r="O13" s="16">
        <f t="shared" si="1"/>
        <v>-0.83333333333333337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16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 t="shared" si="1"/>
        <v>-1.1102230246251565E-16</v>
      </c>
      <c r="L14" s="16">
        <f t="shared" si="1"/>
        <v>-1.1102230246251565E-16</v>
      </c>
      <c r="M14" s="16">
        <f t="shared" si="1"/>
        <v>-0.33333333333333337</v>
      </c>
      <c r="N14" s="16">
        <f t="shared" si="1"/>
        <v>-1.1102230246251565E-16</v>
      </c>
      <c r="O14" s="16">
        <f t="shared" si="1"/>
        <v>-0.83333333333333337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16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 t="shared" si="1"/>
        <v>-0.25</v>
      </c>
      <c r="L15" s="16">
        <f t="shared" si="1"/>
        <v>-0.25</v>
      </c>
      <c r="M15" s="16">
        <f t="shared" si="1"/>
        <v>-0.5</v>
      </c>
      <c r="N15" s="16">
        <f t="shared" si="1"/>
        <v>-0.25</v>
      </c>
      <c r="O15" s="16">
        <f t="shared" si="1"/>
        <v>-0.875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 t="shared" ref="K18:S23" si="2">IF(B18&lt;&gt;0,(B2-B18)/B18,"")</f>
        <v>0.5</v>
      </c>
      <c r="L18" s="17">
        <f t="shared" si="2"/>
        <v>0.5</v>
      </c>
      <c r="M18" s="17">
        <f t="shared" si="2"/>
        <v>-0.5</v>
      </c>
      <c r="N18" s="17">
        <f t="shared" si="2"/>
        <v>0.5</v>
      </c>
      <c r="O18" s="17">
        <f t="shared" si="2"/>
        <v>-0.9285714285714286</v>
      </c>
      <c r="P18" s="17" t="str">
        <f t="shared" si="2"/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 t="shared" si="2"/>
        <v>0</v>
      </c>
      <c r="L19" s="17">
        <f t="shared" si="2"/>
        <v>0</v>
      </c>
      <c r="M19" s="17">
        <f t="shared" si="2"/>
        <v>-0.66666666666666663</v>
      </c>
      <c r="N19" s="17">
        <f t="shared" si="2"/>
        <v>0</v>
      </c>
      <c r="O19" s="17">
        <f t="shared" si="2"/>
        <v>-0.95238095238095233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 t="shared" si="2"/>
        <v>-0.25</v>
      </c>
      <c r="L20" s="17">
        <f t="shared" si="2"/>
        <v>-0.25</v>
      </c>
      <c r="M20" s="17">
        <f t="shared" si="2"/>
        <v>-0.75</v>
      </c>
      <c r="N20" s="17">
        <f t="shared" si="2"/>
        <v>-0.25</v>
      </c>
      <c r="O20" s="17">
        <f t="shared" si="2"/>
        <v>-0.9642857142857143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 t="shared" si="2"/>
        <v>0.2</v>
      </c>
      <c r="L21" s="17">
        <f t="shared" si="2"/>
        <v>0.2</v>
      </c>
      <c r="M21" s="17">
        <f t="shared" si="2"/>
        <v>-0.6</v>
      </c>
      <c r="N21" s="17">
        <f t="shared" si="2"/>
        <v>0.2</v>
      </c>
      <c r="O21" s="17">
        <f t="shared" si="2"/>
        <v>-0.94285714285714284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 t="shared" si="2"/>
        <v>-1.1102230246251565E-16</v>
      </c>
      <c r="L22" s="17">
        <f t="shared" si="2"/>
        <v>-1.1102230246251565E-16</v>
      </c>
      <c r="M22" s="17">
        <f t="shared" si="2"/>
        <v>-0.66666666666666674</v>
      </c>
      <c r="N22" s="17">
        <f t="shared" si="2"/>
        <v>-1.1102230246251565E-16</v>
      </c>
      <c r="O22" s="17">
        <f t="shared" si="2"/>
        <v>-0.95238095238095244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 t="shared" si="2"/>
        <v>0</v>
      </c>
      <c r="L23" s="17">
        <f t="shared" si="2"/>
        <v>0</v>
      </c>
      <c r="M23" s="17">
        <f t="shared" si="2"/>
        <v>-0.66666666666666663</v>
      </c>
      <c r="N23" s="17">
        <f t="shared" si="2"/>
        <v>0</v>
      </c>
      <c r="O23" s="17">
        <f t="shared" si="2"/>
        <v>-0.95238095238095233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 t="shared" ref="K26:S31" si="3">IF(B26&lt;&gt;0,(B2-B26)/B26,"")</f>
        <v>0.5</v>
      </c>
      <c r="L26" s="17">
        <f t="shared" si="3"/>
        <v>0.5</v>
      </c>
      <c r="M26" s="17">
        <f t="shared" si="3"/>
        <v>-0.5</v>
      </c>
      <c r="N26" s="17">
        <f t="shared" si="3"/>
        <v>-0.25</v>
      </c>
      <c r="O26" s="17">
        <f t="shared" si="3"/>
        <v>-0.75</v>
      </c>
      <c r="P26" s="17">
        <f t="shared" si="3"/>
        <v>-0.5</v>
      </c>
      <c r="Q26" s="17" t="str">
        <f t="shared" si="3"/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 t="shared" si="3"/>
        <v>0</v>
      </c>
      <c r="L27" s="17">
        <f t="shared" si="3"/>
        <v>0</v>
      </c>
      <c r="M27" s="17">
        <f t="shared" si="3"/>
        <v>-0.66666666666666663</v>
      </c>
      <c r="N27" s="17">
        <f t="shared" si="3"/>
        <v>-0.5</v>
      </c>
      <c r="O27" s="17">
        <f t="shared" si="3"/>
        <v>-0.83333333333333337</v>
      </c>
      <c r="P27" s="17">
        <f t="shared" si="3"/>
        <v>-0.66666666666666663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 t="shared" si="3"/>
        <v>-0.25</v>
      </c>
      <c r="L28" s="17">
        <f t="shared" si="3"/>
        <v>-0.25</v>
      </c>
      <c r="M28" s="17">
        <f t="shared" si="3"/>
        <v>-0.75</v>
      </c>
      <c r="N28" s="17">
        <f t="shared" si="3"/>
        <v>-0.625</v>
      </c>
      <c r="O28" s="17">
        <f t="shared" si="3"/>
        <v>-0.875</v>
      </c>
      <c r="P28" s="17">
        <f t="shared" si="3"/>
        <v>-0.75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 t="shared" si="3"/>
        <v>0.2</v>
      </c>
      <c r="L29" s="17">
        <f t="shared" si="3"/>
        <v>0.2</v>
      </c>
      <c r="M29" s="17">
        <f t="shared" si="3"/>
        <v>-0.6</v>
      </c>
      <c r="N29" s="17">
        <f t="shared" si="3"/>
        <v>-0.4</v>
      </c>
      <c r="O29" s="17">
        <f t="shared" si="3"/>
        <v>-0.8</v>
      </c>
      <c r="P29" s="17">
        <f t="shared" si="3"/>
        <v>-0.6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 t="shared" si="3"/>
        <v>-1.1102230246251565E-16</v>
      </c>
      <c r="L30" s="17">
        <f t="shared" si="3"/>
        <v>-1.1102230246251565E-16</v>
      </c>
      <c r="M30" s="17">
        <f t="shared" si="3"/>
        <v>-0.66666666666666674</v>
      </c>
      <c r="N30" s="17">
        <f t="shared" si="3"/>
        <v>-0.5</v>
      </c>
      <c r="O30" s="17">
        <f t="shared" si="3"/>
        <v>-0.83333333333333337</v>
      </c>
      <c r="P30" s="17">
        <f t="shared" si="3"/>
        <v>-0.66666666666666674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 t="shared" si="3"/>
        <v>0</v>
      </c>
      <c r="L31" s="17">
        <f t="shared" si="3"/>
        <v>0</v>
      </c>
      <c r="M31" s="17">
        <f t="shared" si="3"/>
        <v>-0.66666666666666663</v>
      </c>
      <c r="N31" s="17">
        <f t="shared" si="3"/>
        <v>-0.5</v>
      </c>
      <c r="O31" s="17">
        <f t="shared" si="3"/>
        <v>-0.83333333333333337</v>
      </c>
      <c r="P31" s="17">
        <f t="shared" si="3"/>
        <v>-0.66666666666666663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P6" sqref="P6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资源数比较!B2*单元面积!B$10</f>
        <v>19020</v>
      </c>
      <c r="C2" s="5">
        <f>资源数比较!C2*单元面积!C$10</f>
        <v>22524</v>
      </c>
      <c r="D2" s="5">
        <f>资源数比较!D2*单元面积!D$10</f>
        <v>28260</v>
      </c>
      <c r="E2" s="5">
        <f>资源数比较!E2*单元面积!E$10</f>
        <v>4788</v>
      </c>
      <c r="F2" s="5">
        <f>资源数比较!F2*单元面积!F$10</f>
        <v>51191</v>
      </c>
      <c r="G2" s="5">
        <f>资源数比较!G2*单元面积!G$10</f>
        <v>34024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资源数比较!J2*单元面积!J$10</f>
        <v>84759</v>
      </c>
      <c r="K2" s="23">
        <f t="shared" ref="K2:K7" si="0">SUM(B2:J2)</f>
        <v>244566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资源数比较!B3*单元面积!B$10</f>
        <v>19020</v>
      </c>
      <c r="C3" s="5">
        <f>资源数比较!C3*单元面积!C$10</f>
        <v>22524</v>
      </c>
      <c r="D3" s="5">
        <f>资源数比较!D3*单元面积!D$10</f>
        <v>28260</v>
      </c>
      <c r="E3" s="5">
        <f>资源数比较!E3*单元面积!E$10</f>
        <v>4788</v>
      </c>
      <c r="F3" s="5">
        <f>资源数比较!F3*单元面积!F$10</f>
        <v>51191</v>
      </c>
      <c r="G3" s="5">
        <f>资源数比较!G3*单元面积!G$10</f>
        <v>34024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资源数比较!J3*单元面积!J$10</f>
        <v>84759</v>
      </c>
      <c r="K3" s="23">
        <f t="shared" si="0"/>
        <v>244566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资源数比较!B4*单元面积!B$10</f>
        <v>19020</v>
      </c>
      <c r="C4" s="5">
        <f>资源数比较!C4*单元面积!C$10</f>
        <v>22524</v>
      </c>
      <c r="D4" s="5">
        <f>资源数比较!D4*单元面积!D$10</f>
        <v>28260</v>
      </c>
      <c r="E4" s="5">
        <f>资源数比较!E4*单元面积!E$10</f>
        <v>4788</v>
      </c>
      <c r="F4" s="5">
        <f>资源数比较!F4*单元面积!F$10</f>
        <v>51191</v>
      </c>
      <c r="G4" s="5">
        <f>资源数比较!G4*单元面积!G$10</f>
        <v>34024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资源数比较!J4*单元面积!J$10</f>
        <v>84759</v>
      </c>
      <c r="K4" s="23">
        <f t="shared" si="0"/>
        <v>244566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资源数比较!B5*单元面积!B$10</f>
        <v>38040</v>
      </c>
      <c r="C5" s="5">
        <f>资源数比较!C5*单元面积!C$10</f>
        <v>45048</v>
      </c>
      <c r="D5" s="5">
        <f>资源数比较!D5*单元面积!D$10</f>
        <v>56520</v>
      </c>
      <c r="E5" s="5">
        <f>资源数比较!E5*单元面积!E$10</f>
        <v>9576</v>
      </c>
      <c r="F5" s="5">
        <f>资源数比较!F5*单元面积!F$10</f>
        <v>102382</v>
      </c>
      <c r="G5" s="5">
        <f>资源数比较!G5*单元面积!G$10</f>
        <v>68048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资源数比较!J5*单元面积!J$10</f>
        <v>169518</v>
      </c>
      <c r="K5" s="23">
        <f t="shared" si="0"/>
        <v>489132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资源数比较!B6*单元面积!B$10</f>
        <v>25359.999999999996</v>
      </c>
      <c r="C6" s="5">
        <f>资源数比较!C6*单元面积!C$10</f>
        <v>30031.999999999996</v>
      </c>
      <c r="D6" s="5">
        <f>资源数比较!D6*单元面积!D$10</f>
        <v>37680</v>
      </c>
      <c r="E6" s="5">
        <f>资源数比较!E6*单元面积!E$10</f>
        <v>6383.9999999999991</v>
      </c>
      <c r="F6" s="5">
        <f>资源数比较!F6*单元面积!F$10</f>
        <v>68254.666666666657</v>
      </c>
      <c r="G6" s="5">
        <f>资源数比较!G6*单元面积!G$10</f>
        <v>45365.333333333328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资源数比较!J6*单元面积!J$10</f>
        <v>113012</v>
      </c>
      <c r="K6" s="23">
        <f t="shared" si="0"/>
        <v>326088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资源数比较!B7*单元面积!B$10</f>
        <v>19020</v>
      </c>
      <c r="C7" s="5">
        <f>资源数比较!C7*单元面积!C$10</f>
        <v>22524</v>
      </c>
      <c r="D7" s="5">
        <f>资源数比较!D7*单元面积!D$10</f>
        <v>28260</v>
      </c>
      <c r="E7" s="5">
        <f>资源数比较!E7*单元面积!E$10</f>
        <v>4788</v>
      </c>
      <c r="F7" s="5">
        <f>资源数比较!F7*单元面积!F$10</f>
        <v>51191</v>
      </c>
      <c r="G7" s="5">
        <f>资源数比较!G7*单元面积!G$10</f>
        <v>34024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资源数比较!J7*单元面积!J$10</f>
        <v>84759</v>
      </c>
      <c r="K7" s="23">
        <f t="shared" si="0"/>
        <v>244566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21208</v>
      </c>
      <c r="C10" s="5">
        <f>资源数比较!C10*单元面积!C$9</f>
        <v>67848</v>
      </c>
      <c r="D10" s="5">
        <f>资源数比较!D10*单元面积!D$9</f>
        <v>29924</v>
      </c>
      <c r="E10" s="5">
        <f>资源数比较!E10*单元面积!E$9</f>
        <v>16776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0</v>
      </c>
      <c r="I10" s="5">
        <f>资源数比较!I10*单元面积!I$9</f>
        <v>0</v>
      </c>
      <c r="J10" s="5">
        <f>资源数比较!J10*单元面积!K$9</f>
        <v>95836</v>
      </c>
      <c r="K10" s="23">
        <f t="shared" ref="K10:K15" si="3">SUM(B10:J10)</f>
        <v>436356</v>
      </c>
      <c r="L10" s="5">
        <f t="shared" ref="L10:L15" si="4">K10/K$10</f>
        <v>1</v>
      </c>
      <c r="M10" s="19"/>
      <c r="N10" s="18">
        <f t="shared" ref="N10:V15" si="5">(B10-B2)/($K10-$K2)</f>
        <v>1.1408311173679546E-2</v>
      </c>
      <c r="O10" s="18">
        <f t="shared" si="5"/>
        <v>0.23632097606757391</v>
      </c>
      <c r="P10" s="18">
        <f t="shared" si="5"/>
        <v>8.6761562125241155E-3</v>
      </c>
      <c r="Q10" s="18">
        <f t="shared" si="5"/>
        <v>6.250586579070859E-2</v>
      </c>
      <c r="R10" s="18">
        <f t="shared" si="5"/>
        <v>0.80073517910214298</v>
      </c>
      <c r="S10" s="18">
        <f t="shared" si="5"/>
        <v>-0.17740236717242819</v>
      </c>
      <c r="T10" s="18">
        <f t="shared" si="5"/>
        <v>0</v>
      </c>
      <c r="U10" s="18">
        <f t="shared" si="5"/>
        <v>0</v>
      </c>
      <c r="V10" s="18">
        <f t="shared" si="5"/>
        <v>5.7755878825799051E-2</v>
      </c>
      <c r="W10" s="16">
        <f>(K10-K2)/K10</f>
        <v>0.43952644171272998</v>
      </c>
    </row>
    <row r="11" spans="1:23" x14ac:dyDescent="0.15">
      <c r="A11" s="5" t="str">
        <f>算法分析!A$3</f>
        <v>DES</v>
      </c>
      <c r="B11" s="5">
        <f>资源数比较!B11*单元面积!B$9</f>
        <v>42416</v>
      </c>
      <c r="C11" s="5">
        <f>资源数比较!C11*单元面积!C$9</f>
        <v>135696</v>
      </c>
      <c r="D11" s="5">
        <f>资源数比较!D11*单元面积!D$9</f>
        <v>59848</v>
      </c>
      <c r="E11" s="5">
        <f>资源数比较!E11*单元面积!E$9</f>
        <v>33552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0</v>
      </c>
      <c r="I11" s="5">
        <f>资源数比较!I11*单元面积!I$9</f>
        <v>0</v>
      </c>
      <c r="J11" s="5">
        <f>资源数比较!J11*单元面积!K$9</f>
        <v>191672</v>
      </c>
      <c r="K11" s="23">
        <f t="shared" si="3"/>
        <v>872712</v>
      </c>
      <c r="L11" s="5">
        <f t="shared" si="4"/>
        <v>2</v>
      </c>
      <c r="M11" s="19"/>
      <c r="N11" s="18">
        <f t="shared" si="5"/>
        <v>3.7246117940733521E-2</v>
      </c>
      <c r="O11" s="18">
        <f t="shared" si="5"/>
        <v>0.18016830482085375</v>
      </c>
      <c r="P11" s="18">
        <f t="shared" si="5"/>
        <v>5.0287671974349912E-2</v>
      </c>
      <c r="Q11" s="18">
        <f t="shared" si="5"/>
        <v>4.5791901882683325E-2</v>
      </c>
      <c r="R11" s="18">
        <f t="shared" si="5"/>
        <v>0.57046769381640572</v>
      </c>
      <c r="S11" s="18">
        <f t="shared" si="5"/>
        <v>-5.4165751274385256E-2</v>
      </c>
      <c r="T11" s="18">
        <f t="shared" si="5"/>
        <v>0</v>
      </c>
      <c r="U11" s="18">
        <f t="shared" si="5"/>
        <v>0</v>
      </c>
      <c r="V11" s="18">
        <f t="shared" si="5"/>
        <v>0.17020406083935899</v>
      </c>
      <c r="W11" s="16">
        <f t="shared" ref="W11:W15" si="6">(K11-K3)/K11</f>
        <v>0.71976322085636502</v>
      </c>
    </row>
    <row r="12" spans="1:23" x14ac:dyDescent="0.15">
      <c r="A12" s="5" t="str">
        <f>算法分析!A$4</f>
        <v>SM4</v>
      </c>
      <c r="B12" s="5">
        <f>资源数比较!B12*单元面积!B$9</f>
        <v>42416</v>
      </c>
      <c r="C12" s="5">
        <f>资源数比较!C12*单元面积!C$9</f>
        <v>135696</v>
      </c>
      <c r="D12" s="5">
        <f>资源数比较!D12*单元面积!D$9</f>
        <v>59848</v>
      </c>
      <c r="E12" s="5">
        <f>资源数比较!E12*单元面积!E$9</f>
        <v>33552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0</v>
      </c>
      <c r="I12" s="5">
        <f>资源数比较!I12*单元面积!I$9</f>
        <v>0</v>
      </c>
      <c r="J12" s="5">
        <f>资源数比较!J12*单元面积!K$9</f>
        <v>191672</v>
      </c>
      <c r="K12" s="23">
        <f t="shared" si="3"/>
        <v>872712</v>
      </c>
      <c r="L12" s="5">
        <f t="shared" si="4"/>
        <v>2</v>
      </c>
      <c r="M12" s="19"/>
      <c r="N12" s="18">
        <f t="shared" si="5"/>
        <v>3.7246117940733521E-2</v>
      </c>
      <c r="O12" s="18">
        <f t="shared" si="5"/>
        <v>0.18016830482085375</v>
      </c>
      <c r="P12" s="18">
        <f t="shared" si="5"/>
        <v>5.0287671974349912E-2</v>
      </c>
      <c r="Q12" s="18">
        <f t="shared" si="5"/>
        <v>4.5791901882683325E-2</v>
      </c>
      <c r="R12" s="18">
        <f t="shared" si="5"/>
        <v>0.57046769381640572</v>
      </c>
      <c r="S12" s="18">
        <f t="shared" si="5"/>
        <v>-5.4165751274385256E-2</v>
      </c>
      <c r="T12" s="18">
        <f t="shared" si="5"/>
        <v>0</v>
      </c>
      <c r="U12" s="18">
        <f t="shared" si="5"/>
        <v>0</v>
      </c>
      <c r="V12" s="18">
        <f t="shared" si="5"/>
        <v>0.17020406083935899</v>
      </c>
      <c r="W12" s="16">
        <f t="shared" si="6"/>
        <v>0.71976322085636502</v>
      </c>
    </row>
    <row r="13" spans="1:23" x14ac:dyDescent="0.15">
      <c r="A13" s="5" t="str">
        <f>算法分析!A$5</f>
        <v>TWOFISH</v>
      </c>
      <c r="B13" s="5">
        <f>资源数比较!B13*单元面积!B$9</f>
        <v>63624</v>
      </c>
      <c r="C13" s="5">
        <f>资源数比较!C13*单元面积!C$9</f>
        <v>203544</v>
      </c>
      <c r="D13" s="5">
        <f>资源数比较!D13*单元面积!D$9</f>
        <v>89772</v>
      </c>
      <c r="E13" s="5">
        <f>资源数比较!E13*单元面积!E$9</f>
        <v>50328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0</v>
      </c>
      <c r="I13" s="5">
        <f>资源数比较!I13*单元面积!I$9</f>
        <v>0</v>
      </c>
      <c r="J13" s="5">
        <f>资源数比较!J13*单元面积!K$9</f>
        <v>287508</v>
      </c>
      <c r="K13" s="23">
        <f t="shared" si="3"/>
        <v>1309068</v>
      </c>
      <c r="L13" s="5">
        <f t="shared" si="4"/>
        <v>3</v>
      </c>
      <c r="M13" s="19"/>
      <c r="N13" s="18">
        <f t="shared" si="5"/>
        <v>3.1202435312024351E-2</v>
      </c>
      <c r="O13" s="18">
        <f t="shared" si="5"/>
        <v>0.19330289193302891</v>
      </c>
      <c r="P13" s="18">
        <f t="shared" si="5"/>
        <v>4.0554384732466926E-2</v>
      </c>
      <c r="Q13" s="18">
        <f t="shared" si="5"/>
        <v>4.9701440112399013E-2</v>
      </c>
      <c r="R13" s="18">
        <f t="shared" si="5"/>
        <v>0.62432921593880497</v>
      </c>
      <c r="S13" s="18">
        <f t="shared" si="5"/>
        <v>-8.2991843265815865E-2</v>
      </c>
      <c r="T13" s="18">
        <f t="shared" si="5"/>
        <v>0</v>
      </c>
      <c r="U13" s="18">
        <f t="shared" si="5"/>
        <v>0</v>
      </c>
      <c r="V13" s="18">
        <f t="shared" si="5"/>
        <v>0.14390147523709168</v>
      </c>
      <c r="W13" s="16">
        <f t="shared" si="6"/>
        <v>0.62635096114181998</v>
      </c>
    </row>
    <row r="14" spans="1:23" x14ac:dyDescent="0.15">
      <c r="A14" s="5" t="str">
        <f>算法分析!A$6</f>
        <v>RC5</v>
      </c>
      <c r="B14" s="5">
        <f>资源数比较!B14*单元面积!B$9</f>
        <v>42416</v>
      </c>
      <c r="C14" s="5">
        <f>资源数比较!C14*单元面积!C$9</f>
        <v>135696</v>
      </c>
      <c r="D14" s="5">
        <f>资源数比较!D14*单元面积!D$9</f>
        <v>59848</v>
      </c>
      <c r="E14" s="5">
        <f>资源数比较!E14*单元面积!E$9</f>
        <v>33552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0</v>
      </c>
      <c r="I14" s="5">
        <f>资源数比较!I14*单元面积!I$9</f>
        <v>0</v>
      </c>
      <c r="J14" s="5">
        <f>资源数比较!J14*单元面积!K$9</f>
        <v>191672</v>
      </c>
      <c r="K14" s="23">
        <f t="shared" si="3"/>
        <v>872712</v>
      </c>
      <c r="L14" s="5">
        <f t="shared" si="4"/>
        <v>2</v>
      </c>
      <c r="M14" s="19"/>
      <c r="N14" s="18">
        <f t="shared" si="5"/>
        <v>3.1202435312024358E-2</v>
      </c>
      <c r="O14" s="18">
        <f t="shared" si="5"/>
        <v>0.19330289193302891</v>
      </c>
      <c r="P14" s="18">
        <f t="shared" si="5"/>
        <v>4.0554384732466926E-2</v>
      </c>
      <c r="Q14" s="18">
        <f t="shared" si="5"/>
        <v>4.9701440112399013E-2</v>
      </c>
      <c r="R14" s="18">
        <f t="shared" si="5"/>
        <v>0.62432921593880508</v>
      </c>
      <c r="S14" s="18">
        <f t="shared" si="5"/>
        <v>-8.2991843265815865E-2</v>
      </c>
      <c r="T14" s="18">
        <f t="shared" si="5"/>
        <v>0</v>
      </c>
      <c r="U14" s="18">
        <f t="shared" si="5"/>
        <v>0</v>
      </c>
      <c r="V14" s="18">
        <f t="shared" si="5"/>
        <v>0.14390147523709168</v>
      </c>
      <c r="W14" s="16">
        <f t="shared" si="6"/>
        <v>0.62635096114181998</v>
      </c>
    </row>
    <row r="15" spans="1:23" x14ac:dyDescent="0.15">
      <c r="A15" s="5" t="str">
        <f>算法分析!A$7</f>
        <v>BLOWFISH</v>
      </c>
      <c r="B15" s="5">
        <f>资源数比较!B15*单元面积!B$9</f>
        <v>42416</v>
      </c>
      <c r="C15" s="5">
        <f>资源数比较!C15*单元面积!C$9</f>
        <v>135696</v>
      </c>
      <c r="D15" s="5">
        <f>资源数比较!D15*单元面积!D$9</f>
        <v>59848</v>
      </c>
      <c r="E15" s="5">
        <f>资源数比较!E15*单元面积!E$9</f>
        <v>33552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0</v>
      </c>
      <c r="I15" s="5">
        <f>资源数比较!I15*单元面积!I$9</f>
        <v>0</v>
      </c>
      <c r="J15" s="5">
        <f>资源数比较!J15*单元面积!K$9</f>
        <v>191672</v>
      </c>
      <c r="K15" s="23">
        <f t="shared" si="3"/>
        <v>872712</v>
      </c>
      <c r="L15" s="5">
        <f t="shared" si="4"/>
        <v>2</v>
      </c>
      <c r="M15" s="19"/>
      <c r="N15" s="18">
        <f t="shared" si="5"/>
        <v>3.7246117940733521E-2</v>
      </c>
      <c r="O15" s="18">
        <f t="shared" si="5"/>
        <v>0.18016830482085375</v>
      </c>
      <c r="P15" s="18">
        <f t="shared" si="5"/>
        <v>5.0287671974349912E-2</v>
      </c>
      <c r="Q15" s="18">
        <f t="shared" si="5"/>
        <v>4.5791901882683325E-2</v>
      </c>
      <c r="R15" s="18">
        <f t="shared" si="5"/>
        <v>0.57046769381640572</v>
      </c>
      <c r="S15" s="18">
        <f t="shared" si="5"/>
        <v>-5.4165751274385256E-2</v>
      </c>
      <c r="T15" s="18">
        <f t="shared" si="5"/>
        <v>0</v>
      </c>
      <c r="U15" s="18">
        <f t="shared" si="5"/>
        <v>0</v>
      </c>
      <c r="V15" s="18">
        <f t="shared" si="5"/>
        <v>0.17020406083935899</v>
      </c>
      <c r="W15" s="16">
        <f t="shared" si="6"/>
        <v>0.71976322085636502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21208</v>
      </c>
      <c r="C18" s="5">
        <f>资源数比较!C18*单元面积!C$9</f>
        <v>67848</v>
      </c>
      <c r="D18" s="5">
        <f>资源数比较!D18*单元面积!D$9</f>
        <v>59848</v>
      </c>
      <c r="E18" s="5">
        <f>资源数比较!E18*单元面积!E$9</f>
        <v>16776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95836</v>
      </c>
      <c r="K18" s="23">
        <f t="shared" ref="K18:K23" si="7">SUM(B18:J18)</f>
        <v>987790</v>
      </c>
      <c r="L18" s="5">
        <f t="shared" ref="L18:L23" si="8">K18/K$18</f>
        <v>1</v>
      </c>
      <c r="M18" s="10"/>
      <c r="N18" s="16">
        <f t="shared" ref="N18:V23" si="9">(B18-B2)/($K18-$K2)</f>
        <v>2.9439307664983908E-3</v>
      </c>
      <c r="O18" s="18">
        <f t="shared" si="9"/>
        <v>6.0982960722473979E-2</v>
      </c>
      <c r="P18" s="18">
        <f t="shared" si="9"/>
        <v>4.2501318579593772E-2</v>
      </c>
      <c r="Q18" s="18">
        <f t="shared" si="9"/>
        <v>1.6129726704196851E-2</v>
      </c>
      <c r="R18" s="18">
        <f t="shared" si="9"/>
        <v>0.89540031000075349</v>
      </c>
      <c r="S18" s="18">
        <f t="shared" si="9"/>
        <v>-4.5778930712678814E-2</v>
      </c>
      <c r="T18" s="18">
        <f t="shared" si="9"/>
        <v>0</v>
      </c>
      <c r="U18" s="18">
        <f t="shared" si="9"/>
        <v>1.2916698061418899E-2</v>
      </c>
      <c r="V18" s="18">
        <f t="shared" si="9"/>
        <v>1.4903985877743452E-2</v>
      </c>
      <c r="W18" s="16">
        <f>(K18-K2)/K18</f>
        <v>0.75241093754745447</v>
      </c>
    </row>
    <row r="19" spans="1:23" x14ac:dyDescent="0.15">
      <c r="A19" s="5" t="str">
        <f>算法分析!A$3</f>
        <v>DES</v>
      </c>
      <c r="B19" s="5">
        <f>资源数比较!B19*单元面积!B$9</f>
        <v>31812</v>
      </c>
      <c r="C19" s="5">
        <f>资源数比较!C19*单元面积!C$9</f>
        <v>101772</v>
      </c>
      <c r="D19" s="5">
        <f>资源数比较!D19*单元面积!D$9</f>
        <v>89772</v>
      </c>
      <c r="E19" s="5">
        <f>资源数比较!E19*单元面积!E$9</f>
        <v>25164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143754</v>
      </c>
      <c r="K19" s="23">
        <f t="shared" si="7"/>
        <v>1481685</v>
      </c>
      <c r="L19" s="5">
        <f t="shared" si="8"/>
        <v>1.5</v>
      </c>
      <c r="M19" s="10"/>
      <c r="N19" s="16">
        <f t="shared" si="9"/>
        <v>1.0340153210806721E-2</v>
      </c>
      <c r="O19" s="18">
        <f t="shared" si="9"/>
        <v>6.4058510135241636E-2</v>
      </c>
      <c r="P19" s="18">
        <f t="shared" si="9"/>
        <v>4.9721975008063087E-2</v>
      </c>
      <c r="Q19" s="18">
        <f t="shared" si="9"/>
        <v>1.6470525470872244E-2</v>
      </c>
      <c r="R19" s="18">
        <f t="shared" si="9"/>
        <v>0.82758408851533283</v>
      </c>
      <c r="S19" s="18">
        <f t="shared" si="9"/>
        <v>-2.7502608884028133E-2</v>
      </c>
      <c r="T19" s="18">
        <f t="shared" si="9"/>
        <v>0</v>
      </c>
      <c r="U19" s="18">
        <f t="shared" si="9"/>
        <v>1.1639947329238336E-2</v>
      </c>
      <c r="V19" s="18">
        <f t="shared" si="9"/>
        <v>4.7687409214473307E-2</v>
      </c>
      <c r="W19" s="16">
        <f t="shared" ref="W19:W23" si="10">(K19-K3)/K19</f>
        <v>0.83494062503163624</v>
      </c>
    </row>
    <row r="20" spans="1:23" x14ac:dyDescent="0.15">
      <c r="A20" s="5" t="str">
        <f>算法分析!A$4</f>
        <v>SM4</v>
      </c>
      <c r="B20" s="5">
        <f>资源数比较!B20*单元面积!B$9</f>
        <v>42416</v>
      </c>
      <c r="C20" s="5">
        <f>资源数比较!C20*单元面积!C$9</f>
        <v>135696</v>
      </c>
      <c r="D20" s="5">
        <f>资源数比较!D20*单元面积!D$9</f>
        <v>119696</v>
      </c>
      <c r="E20" s="5">
        <f>资源数比较!E20*单元面积!E$9</f>
        <v>33552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191672</v>
      </c>
      <c r="K20" s="23">
        <f t="shared" si="7"/>
        <v>1975580</v>
      </c>
      <c r="L20" s="5">
        <f t="shared" si="8"/>
        <v>2</v>
      </c>
      <c r="M20" s="10"/>
      <c r="N20" s="16">
        <f t="shared" si="9"/>
        <v>1.3515777457605774E-2</v>
      </c>
      <c r="O20" s="18">
        <f t="shared" si="9"/>
        <v>6.5379020620283834E-2</v>
      </c>
      <c r="P20" s="18">
        <f t="shared" si="9"/>
        <v>5.2822218653344223E-2</v>
      </c>
      <c r="Q20" s="18">
        <f t="shared" si="9"/>
        <v>1.6616850008145514E-2</v>
      </c>
      <c r="R20" s="18">
        <f t="shared" si="9"/>
        <v>0.79846667906787583</v>
      </c>
      <c r="S20" s="18">
        <f t="shared" si="9"/>
        <v>-1.9655531382184083E-2</v>
      </c>
      <c r="T20" s="18">
        <f t="shared" si="9"/>
        <v>0</v>
      </c>
      <c r="U20" s="18">
        <f t="shared" si="9"/>
        <v>1.1091764711319492E-2</v>
      </c>
      <c r="V20" s="18">
        <f t="shared" si="9"/>
        <v>6.1763220863609421E-2</v>
      </c>
      <c r="W20" s="16">
        <f t="shared" si="10"/>
        <v>0.87620546877372718</v>
      </c>
    </row>
    <row r="21" spans="1:23" x14ac:dyDescent="0.15">
      <c r="A21" s="5" t="str">
        <f>算法分析!A$5</f>
        <v>TWOFISH</v>
      </c>
      <c r="B21" s="5">
        <f>资源数比较!B21*单元面积!B$9</f>
        <v>53020</v>
      </c>
      <c r="C21" s="5">
        <f>资源数比较!C21*单元面积!C$9</f>
        <v>169620</v>
      </c>
      <c r="D21" s="5">
        <f>资源数比较!D21*单元面积!D$9</f>
        <v>149620</v>
      </c>
      <c r="E21" s="5">
        <f>资源数比较!E21*单元面积!E$9</f>
        <v>41940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239590</v>
      </c>
      <c r="K21" s="23">
        <f t="shared" si="7"/>
        <v>2469475</v>
      </c>
      <c r="L21" s="5">
        <f t="shared" si="8"/>
        <v>2.5</v>
      </c>
      <c r="M21" s="10"/>
      <c r="N21" s="16">
        <f t="shared" si="9"/>
        <v>7.5643461763946953E-3</v>
      </c>
      <c r="O21" s="18">
        <f t="shared" si="9"/>
        <v>6.2904254465009343E-2</v>
      </c>
      <c r="P21" s="18">
        <f t="shared" si="9"/>
        <v>4.701205801217264E-2</v>
      </c>
      <c r="Q21" s="18">
        <f t="shared" si="9"/>
        <v>1.634262347482229E-2</v>
      </c>
      <c r="R21" s="18">
        <f t="shared" si="9"/>
        <v>0.85303556000147451</v>
      </c>
      <c r="S21" s="18">
        <f t="shared" si="9"/>
        <v>-3.4361724206362229E-2</v>
      </c>
      <c r="T21" s="18">
        <f t="shared" si="9"/>
        <v>0</v>
      </c>
      <c r="U21" s="18">
        <f t="shared" si="9"/>
        <v>1.211911269916373E-2</v>
      </c>
      <c r="V21" s="18">
        <f t="shared" si="9"/>
        <v>3.5383769377325042E-2</v>
      </c>
      <c r="W21" s="16">
        <f t="shared" si="10"/>
        <v>0.80192875003796349</v>
      </c>
    </row>
    <row r="22" spans="1:23" x14ac:dyDescent="0.15">
      <c r="A22" s="5" t="str">
        <f>算法分析!A$6</f>
        <v>RC5</v>
      </c>
      <c r="B22" s="5">
        <f>资源数比较!B22*单元面积!B$9</f>
        <v>42416</v>
      </c>
      <c r="C22" s="5">
        <f>资源数比较!C22*单元面积!C$9</f>
        <v>135696</v>
      </c>
      <c r="D22" s="5">
        <f>资源数比较!D22*单元面积!D$9</f>
        <v>119696</v>
      </c>
      <c r="E22" s="5">
        <f>资源数比较!E22*单元面积!E$9</f>
        <v>33552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191672</v>
      </c>
      <c r="K22" s="23">
        <f t="shared" si="7"/>
        <v>1975580</v>
      </c>
      <c r="L22" s="5">
        <f t="shared" si="8"/>
        <v>2</v>
      </c>
      <c r="M22" s="10"/>
      <c r="N22" s="16">
        <f t="shared" si="9"/>
        <v>1.0340153210806724E-2</v>
      </c>
      <c r="O22" s="18">
        <f t="shared" si="9"/>
        <v>6.4058510135241636E-2</v>
      </c>
      <c r="P22" s="18">
        <f t="shared" si="9"/>
        <v>4.9721975008063087E-2</v>
      </c>
      <c r="Q22" s="18">
        <f t="shared" si="9"/>
        <v>1.6470525470872244E-2</v>
      </c>
      <c r="R22" s="18">
        <f t="shared" si="9"/>
        <v>0.82758408851533272</v>
      </c>
      <c r="S22" s="18">
        <f t="shared" si="9"/>
        <v>-2.750260888402813E-2</v>
      </c>
      <c r="T22" s="18">
        <f t="shared" si="9"/>
        <v>0</v>
      </c>
      <c r="U22" s="18">
        <f t="shared" si="9"/>
        <v>1.1639947329238336E-2</v>
      </c>
      <c r="V22" s="18">
        <f t="shared" si="9"/>
        <v>4.7687409214473307E-2</v>
      </c>
      <c r="W22" s="16">
        <f t="shared" si="10"/>
        <v>0.83494062503163624</v>
      </c>
    </row>
    <row r="23" spans="1:23" x14ac:dyDescent="0.15">
      <c r="A23" s="5" t="str">
        <f>算法分析!A$7</f>
        <v>BLOWFISH</v>
      </c>
      <c r="B23" s="5">
        <f>资源数比较!B23*单元面积!B$9</f>
        <v>31812</v>
      </c>
      <c r="C23" s="5">
        <f>资源数比较!C23*单元面积!C$9</f>
        <v>101772</v>
      </c>
      <c r="D23" s="5">
        <f>资源数比较!D23*单元面积!D$9</f>
        <v>89772</v>
      </c>
      <c r="E23" s="5">
        <f>资源数比较!E23*单元面积!E$9</f>
        <v>25164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143754</v>
      </c>
      <c r="K23" s="23">
        <f t="shared" si="7"/>
        <v>1481685</v>
      </c>
      <c r="L23" s="5">
        <f t="shared" si="8"/>
        <v>1.5</v>
      </c>
      <c r="M23" s="10"/>
      <c r="N23" s="16">
        <f t="shared" si="9"/>
        <v>1.0340153210806721E-2</v>
      </c>
      <c r="O23" s="18">
        <f t="shared" si="9"/>
        <v>6.4058510135241636E-2</v>
      </c>
      <c r="P23" s="18">
        <f t="shared" si="9"/>
        <v>4.9721975008063087E-2</v>
      </c>
      <c r="Q23" s="18">
        <f t="shared" si="9"/>
        <v>1.6470525470872244E-2</v>
      </c>
      <c r="R23" s="18">
        <f t="shared" si="9"/>
        <v>0.82758408851533283</v>
      </c>
      <c r="S23" s="18">
        <f t="shared" si="9"/>
        <v>-2.7502608884028133E-2</v>
      </c>
      <c r="T23" s="18">
        <f t="shared" si="9"/>
        <v>0</v>
      </c>
      <c r="U23" s="18">
        <f t="shared" si="9"/>
        <v>1.1639947329238336E-2</v>
      </c>
      <c r="V23" s="18">
        <f t="shared" si="9"/>
        <v>4.7687409214473307E-2</v>
      </c>
      <c r="W23" s="16">
        <f t="shared" si="10"/>
        <v>0.83494062503163624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21208</v>
      </c>
      <c r="C26" s="5">
        <f>资源数比较!C26*单元面积!C$9</f>
        <v>67848</v>
      </c>
      <c r="D26" s="5">
        <f>资源数比较!D26*单元面积!D$9</f>
        <v>59848</v>
      </c>
      <c r="E26" s="5">
        <f>资源数比较!E26*单元面积!E$9</f>
        <v>33552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95836</v>
      </c>
      <c r="K26" s="23">
        <f t="shared" ref="K26:K31" si="11">SUM(B26:J26)</f>
        <v>547056</v>
      </c>
      <c r="L26" s="5">
        <f t="shared" ref="L26:L31" si="12">K26/K$26</f>
        <v>1</v>
      </c>
      <c r="M26" s="10"/>
      <c r="N26" s="16">
        <f t="shared" ref="N26:V31" si="13">(B26-B2)/($K26-$K2)</f>
        <v>7.2332969684948262E-3</v>
      </c>
      <c r="O26" s="16">
        <f t="shared" si="13"/>
        <v>0.14983635822671823</v>
      </c>
      <c r="P26" s="16">
        <f t="shared" si="13"/>
        <v>0.10442659261463189</v>
      </c>
      <c r="Q26" s="16">
        <f t="shared" si="13"/>
        <v>9.5090746801547152E-2</v>
      </c>
      <c r="R26" s="16">
        <f t="shared" si="13"/>
        <v>0.50769612218585736</v>
      </c>
      <c r="S26" s="16">
        <f t="shared" si="13"/>
        <v>9.9097490826143012E-2</v>
      </c>
      <c r="T26" s="16">
        <f t="shared" si="13"/>
        <v>0</v>
      </c>
      <c r="U26" s="16">
        <f t="shared" si="13"/>
        <v>0</v>
      </c>
      <c r="V26" s="16">
        <f t="shared" si="13"/>
        <v>3.6619392376607489E-2</v>
      </c>
      <c r="W26" s="16">
        <f>(K26-K2)/K26</f>
        <v>0.55294156356936031</v>
      </c>
    </row>
    <row r="27" spans="1:23" x14ac:dyDescent="0.15">
      <c r="A27" s="5" t="str">
        <f>算法分析!A$3</f>
        <v>DES</v>
      </c>
      <c r="B27" s="5">
        <f>资源数比较!B27*单元面积!B$9</f>
        <v>31812</v>
      </c>
      <c r="C27" s="5">
        <f>资源数比较!C27*单元面积!C$9</f>
        <v>101772</v>
      </c>
      <c r="D27" s="5">
        <f>资源数比较!D27*单元面积!D$9</f>
        <v>89772</v>
      </c>
      <c r="E27" s="5">
        <f>资源数比较!E27*单元面积!E$9</f>
        <v>50328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143754</v>
      </c>
      <c r="K27" s="23">
        <f t="shared" si="11"/>
        <v>820584</v>
      </c>
      <c r="L27" s="5">
        <f t="shared" si="12"/>
        <v>1.5</v>
      </c>
      <c r="M27" s="10"/>
      <c r="N27" s="16">
        <f t="shared" si="13"/>
        <v>2.2207639344603815E-2</v>
      </c>
      <c r="O27" s="16">
        <f t="shared" si="13"/>
        <v>0.1375790339885212</v>
      </c>
      <c r="P27" s="16">
        <f t="shared" si="13"/>
        <v>0.10678832953136881</v>
      </c>
      <c r="Q27" s="16">
        <f t="shared" si="13"/>
        <v>7.9060029374082061E-2</v>
      </c>
      <c r="R27" s="16">
        <f t="shared" si="13"/>
        <v>0.44435243343089975</v>
      </c>
      <c r="S27" s="16">
        <f t="shared" si="13"/>
        <v>0.10759385991409991</v>
      </c>
      <c r="T27" s="16">
        <f t="shared" si="13"/>
        <v>0</v>
      </c>
      <c r="U27" s="16">
        <f t="shared" si="13"/>
        <v>0</v>
      </c>
      <c r="V27" s="16">
        <f t="shared" si="13"/>
        <v>0.10241867441642449</v>
      </c>
      <c r="W27" s="16">
        <f t="shared" ref="W27:W31" si="14">(K27-K3)/K27</f>
        <v>0.70196104237957357</v>
      </c>
    </row>
    <row r="28" spans="1:23" x14ac:dyDescent="0.15">
      <c r="A28" s="5" t="str">
        <f>算法分析!A$4</f>
        <v>SM4</v>
      </c>
      <c r="B28" s="5">
        <f>资源数比较!B28*单元面积!B$9</f>
        <v>42416</v>
      </c>
      <c r="C28" s="5">
        <f>资源数比较!C28*单元面积!C$9</f>
        <v>135696</v>
      </c>
      <c r="D28" s="5">
        <f>资源数比较!D28*单元面积!D$9</f>
        <v>119696</v>
      </c>
      <c r="E28" s="5">
        <f>资源数比较!E28*单元面积!E$9</f>
        <v>67104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191672</v>
      </c>
      <c r="K28" s="23">
        <f t="shared" si="11"/>
        <v>1094112</v>
      </c>
      <c r="L28" s="5">
        <f t="shared" si="12"/>
        <v>2</v>
      </c>
      <c r="M28" s="10"/>
      <c r="N28" s="16">
        <f t="shared" si="13"/>
        <v>2.7539415169984909E-2</v>
      </c>
      <c r="O28" s="16">
        <f t="shared" si="13"/>
        <v>0.13321468172412088</v>
      </c>
      <c r="P28" s="16">
        <f t="shared" si="13"/>
        <v>0.10762925138838862</v>
      </c>
      <c r="Q28" s="16">
        <f t="shared" si="13"/>
        <v>7.3352119838125299E-2</v>
      </c>
      <c r="R28" s="16">
        <f t="shared" si="13"/>
        <v>0.42179823105517533</v>
      </c>
      <c r="S28" s="16">
        <f t="shared" si="13"/>
        <v>0.11061908360465472</v>
      </c>
      <c r="T28" s="16">
        <f t="shared" si="13"/>
        <v>0</v>
      </c>
      <c r="U28" s="16">
        <f t="shared" si="13"/>
        <v>0</v>
      </c>
      <c r="V28" s="16">
        <f t="shared" si="13"/>
        <v>0.12584721721955019</v>
      </c>
      <c r="W28" s="16">
        <f t="shared" si="14"/>
        <v>0.77647078178468021</v>
      </c>
    </row>
    <row r="29" spans="1:23" x14ac:dyDescent="0.15">
      <c r="A29" s="5" t="str">
        <f>算法分析!A$5</f>
        <v>TWOFISH</v>
      </c>
      <c r="B29" s="5">
        <f>资源数比较!B29*单元面积!B$9</f>
        <v>53020</v>
      </c>
      <c r="C29" s="5">
        <f>资源数比较!C29*单元面积!C$9</f>
        <v>169620</v>
      </c>
      <c r="D29" s="5">
        <f>资源数比较!D29*单元面积!D$9</f>
        <v>149620</v>
      </c>
      <c r="E29" s="5">
        <f>资源数比较!E29*单元面积!E$9</f>
        <v>83880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239590</v>
      </c>
      <c r="K29" s="23">
        <f t="shared" si="11"/>
        <v>1367640</v>
      </c>
      <c r="L29" s="5">
        <f t="shared" si="12"/>
        <v>2.5</v>
      </c>
      <c r="M29" s="10"/>
      <c r="N29" s="16">
        <f t="shared" si="13"/>
        <v>1.7051637549117368E-2</v>
      </c>
      <c r="O29" s="16">
        <f t="shared" si="13"/>
        <v>0.14179950552527695</v>
      </c>
      <c r="P29" s="16">
        <f t="shared" si="13"/>
        <v>0.10597513056227149</v>
      </c>
      <c r="Q29" s="16">
        <f t="shared" si="13"/>
        <v>8.4579764783018485E-2</v>
      </c>
      <c r="R29" s="16">
        <f t="shared" si="13"/>
        <v>0.46616308559512265</v>
      </c>
      <c r="S29" s="16">
        <f t="shared" si="13"/>
        <v>0.10466836955383446</v>
      </c>
      <c r="T29" s="16">
        <f t="shared" si="13"/>
        <v>0</v>
      </c>
      <c r="U29" s="16">
        <f t="shared" si="13"/>
        <v>0</v>
      </c>
      <c r="V29" s="16">
        <f t="shared" si="13"/>
        <v>7.9762506431358626E-2</v>
      </c>
      <c r="W29" s="16">
        <f t="shared" si="14"/>
        <v>0.64235325085548833</v>
      </c>
    </row>
    <row r="30" spans="1:23" x14ac:dyDescent="0.15">
      <c r="A30" s="5" t="str">
        <f>算法分析!A$6</f>
        <v>RC5</v>
      </c>
      <c r="B30" s="5">
        <f>资源数比较!B30*单元面积!B$9</f>
        <v>42416</v>
      </c>
      <c r="C30" s="5">
        <f>资源数比较!C30*单元面积!C$9</f>
        <v>135696</v>
      </c>
      <c r="D30" s="5">
        <f>资源数比较!D30*单元面积!D$9</f>
        <v>119696</v>
      </c>
      <c r="E30" s="5">
        <f>资源数比较!E30*单元面积!E$9</f>
        <v>67104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191672</v>
      </c>
      <c r="K30" s="23">
        <f t="shared" si="11"/>
        <v>1094112</v>
      </c>
      <c r="L30" s="5">
        <f t="shared" si="12"/>
        <v>2</v>
      </c>
      <c r="M30" s="10"/>
      <c r="N30" s="16">
        <f t="shared" si="13"/>
        <v>2.2207639344603819E-2</v>
      </c>
      <c r="O30" s="16">
        <f t="shared" si="13"/>
        <v>0.1375790339885212</v>
      </c>
      <c r="P30" s="16">
        <f t="shared" si="13"/>
        <v>0.10678832953136881</v>
      </c>
      <c r="Q30" s="16">
        <f t="shared" si="13"/>
        <v>7.9060029374082061E-2</v>
      </c>
      <c r="R30" s="16">
        <f t="shared" si="13"/>
        <v>0.44435243343089981</v>
      </c>
      <c r="S30" s="16">
        <f t="shared" si="13"/>
        <v>0.10759385991409991</v>
      </c>
      <c r="T30" s="16">
        <f t="shared" si="13"/>
        <v>0</v>
      </c>
      <c r="U30" s="16">
        <f t="shared" si="13"/>
        <v>0</v>
      </c>
      <c r="V30" s="16">
        <f t="shared" si="13"/>
        <v>0.10241867441642449</v>
      </c>
      <c r="W30" s="16">
        <f t="shared" si="14"/>
        <v>0.70196104237957357</v>
      </c>
    </row>
    <row r="31" spans="1:23" x14ac:dyDescent="0.15">
      <c r="A31" s="5" t="str">
        <f>算法分析!A$7</f>
        <v>BLOWFISH</v>
      </c>
      <c r="B31" s="5">
        <f>资源数比较!B31*单元面积!B$9</f>
        <v>31812</v>
      </c>
      <c r="C31" s="5">
        <f>资源数比较!C31*单元面积!C$9</f>
        <v>101772</v>
      </c>
      <c r="D31" s="5">
        <f>资源数比较!D31*单元面积!D$9</f>
        <v>89772</v>
      </c>
      <c r="E31" s="5">
        <f>资源数比较!E31*单元面积!E$9</f>
        <v>50328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143754</v>
      </c>
      <c r="K31" s="23">
        <f t="shared" si="11"/>
        <v>820584</v>
      </c>
      <c r="L31" s="5">
        <f t="shared" si="12"/>
        <v>1.5</v>
      </c>
      <c r="M31" s="10"/>
      <c r="N31" s="16">
        <f t="shared" si="13"/>
        <v>2.2207639344603815E-2</v>
      </c>
      <c r="O31" s="16">
        <f t="shared" si="13"/>
        <v>0.1375790339885212</v>
      </c>
      <c r="P31" s="16">
        <f t="shared" si="13"/>
        <v>0.10678832953136881</v>
      </c>
      <c r="Q31" s="16">
        <f t="shared" si="13"/>
        <v>7.9060029374082061E-2</v>
      </c>
      <c r="R31" s="16">
        <f t="shared" si="13"/>
        <v>0.44435243343089975</v>
      </c>
      <c r="S31" s="16">
        <f t="shared" si="13"/>
        <v>0.10759385991409991</v>
      </c>
      <c r="T31" s="16">
        <f t="shared" si="13"/>
        <v>0</v>
      </c>
      <c r="U31" s="16">
        <f t="shared" si="13"/>
        <v>0</v>
      </c>
      <c r="V31" s="16">
        <f t="shared" si="13"/>
        <v>0.10241867441642449</v>
      </c>
      <c r="W31" s="16">
        <f t="shared" si="14"/>
        <v>0.70196104237957357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算法分析</vt:lpstr>
      <vt:lpstr>单元面积</vt:lpstr>
      <vt:lpstr>架构比较</vt:lpstr>
      <vt:lpstr>架构面积</vt:lpstr>
      <vt:lpstr>映射分析</vt:lpstr>
      <vt:lpstr>资源数比较</vt:lpstr>
      <vt:lpstr>面积比较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2016-03-22T09:00:45Z</dcterms:modified>
</cp:coreProperties>
</file>