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ed P&amp; L" sheetId="1" r:id="rId4"/>
    <sheet state="visible" name="Sheet1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<sst xmlns="http://schemas.openxmlformats.org/spreadsheetml/2006/main" count="150" uniqueCount="66">
  <si>
    <t>Company Total 2018</t>
  </si>
  <si>
    <t>India 2018</t>
  </si>
  <si>
    <t>India 2019</t>
  </si>
  <si>
    <t>India 2020</t>
  </si>
  <si>
    <t>India 2021</t>
  </si>
  <si>
    <t>India 2022</t>
  </si>
  <si>
    <t>India 2023</t>
  </si>
  <si>
    <t>India 2024</t>
  </si>
  <si>
    <t>India 2025</t>
  </si>
  <si>
    <t>India 2026</t>
  </si>
  <si>
    <t>India 2027</t>
  </si>
  <si>
    <t>India 2028</t>
  </si>
  <si>
    <t>Net Turnover</t>
  </si>
  <si>
    <t>Production Costs</t>
  </si>
  <si>
    <t>Gross Profit</t>
  </si>
  <si>
    <t>R&amp;D</t>
  </si>
  <si>
    <t>Sales and Distribution Costs</t>
  </si>
  <si>
    <t>Admin Costs</t>
  </si>
  <si>
    <t>Cost of Money</t>
  </si>
  <si>
    <t>Cost of Additional Advertising</t>
  </si>
  <si>
    <t>Operating Profit</t>
  </si>
  <si>
    <t>Share of Profit</t>
  </si>
  <si>
    <t>EBIT</t>
  </si>
  <si>
    <t>Year 1 (2019)</t>
  </si>
  <si>
    <t>Year 2 (2020)</t>
  </si>
  <si>
    <t>Year 3 (2021)</t>
  </si>
  <si>
    <t>Year 4 (2022)</t>
  </si>
  <si>
    <t>Year 5 (2023)</t>
  </si>
  <si>
    <t>Partnership with Amazon</t>
  </si>
  <si>
    <t>Technology Costs</t>
  </si>
  <si>
    <t>Contract Labor Fees</t>
  </si>
  <si>
    <t>Amazon Fees</t>
  </si>
  <si>
    <t>ROI</t>
  </si>
  <si>
    <t>India Expansion</t>
  </si>
  <si>
    <t>initial costs</t>
  </si>
  <si>
    <t>yearly costs</t>
  </si>
  <si>
    <t>growth rate(CAGR</t>
  </si>
  <si>
    <t>India marketing manager</t>
  </si>
  <si>
    <t>Additional labor India</t>
  </si>
  <si>
    <t>Cost per Click advertising</t>
  </si>
  <si>
    <t>-</t>
  </si>
  <si>
    <t>search engine optimization</t>
  </si>
  <si>
    <t>Wholesaling Contracts</t>
  </si>
  <si>
    <t>Contracts</t>
  </si>
  <si>
    <t>Additional lawyers</t>
  </si>
  <si>
    <t>Cost of time and money</t>
  </si>
  <si>
    <t>Chatbot</t>
  </si>
  <si>
    <t>setup/maintenance</t>
  </si>
  <si>
    <t>platform costs</t>
  </si>
  <si>
    <t>year 1</t>
  </si>
  <si>
    <t xml:space="preserve">year 2 </t>
  </si>
  <si>
    <t xml:space="preserve">year 3 </t>
  </si>
  <si>
    <t xml:space="preserve">year 4 </t>
  </si>
  <si>
    <t>year 5</t>
  </si>
  <si>
    <t>intitial costs</t>
  </si>
  <si>
    <t>Additional lawyer</t>
  </si>
  <si>
    <t>Total cost for year</t>
  </si>
  <si>
    <t>Partnership with Amazon and Chat Bot</t>
  </si>
  <si>
    <t>Platform</t>
  </si>
  <si>
    <t>Maintenance</t>
  </si>
  <si>
    <t>Set Up</t>
  </si>
  <si>
    <t>Labor Fees</t>
  </si>
  <si>
    <t>Outside Company Fees</t>
  </si>
  <si>
    <t>Set up</t>
  </si>
  <si>
    <t>$12,000/yr</t>
  </si>
  <si>
    <t>$40,000/yr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</si>
</sst>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1.0"/>
      <color theme="1"/>
      <name val="Arial"/>
      <scheme val="minor"/>
    </font>
    <font>
      <color theme="0"/>
      <name val="Arial"/>
      <scheme val="minor"/>
    </font>
    <font>
      <sz val="12.0"/>
      <color rgb="FF000000"/>
      <name val="&quot;Times New Roman&quot;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164" xfId="0" applyFont="1" applyNumberFormat="1"/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2" fontId="3" numFmtId="164" xfId="0" applyFont="1" applyNumberFormat="1"/>
    <xf borderId="0" fillId="2" fontId="2" numFmtId="164" xfId="0" applyAlignment="1" applyFont="1" applyNumberFormat="1">
      <alignment readingOrder="0"/>
    </xf>
    <xf borderId="0" fillId="2" fontId="5" numFmtId="164" xfId="0" applyAlignment="1" applyFont="1" applyNumberFormat="1">
      <alignment readingOrder="0"/>
    </xf>
    <xf borderId="0" fillId="0" fontId="2" numFmtId="10" xfId="0" applyFont="1" applyNumberFormat="1"/>
    <xf borderId="0" fillId="0" fontId="1" numFmtId="164" xfId="0" applyAlignment="1" applyFont="1" applyNumberFormat="1">
      <alignment readingOrder="0"/>
    </xf>
    <xf borderId="0" fillId="2" fontId="1" numFmtId="164" xfId="0" applyFont="1" applyNumberForma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Font="1"/>
    <xf borderId="0" fillId="0" fontId="2" numFmtId="10" xfId="0" applyAlignment="1" applyFont="1" applyNumberFormat="1">
      <alignment readingOrder="0"/>
    </xf>
    <xf borderId="0" fillId="3" fontId="5" numFmtId="164" xfId="0" applyFill="1" applyFont="1" applyNumberFormat="1"/>
    <xf borderId="0" fillId="0" fontId="2" numFmtId="164" xfId="0" applyFont="1" applyNumberFormat="1"/>
    <xf borderId="0" fillId="0" fontId="1" numFmtId="164" xfId="0" applyFont="1" applyNumberFormat="1"/>
    <xf borderId="0" fillId="0" fontId="6" numFmtId="164" xfId="0" applyFont="1" applyNumberFormat="1"/>
    <xf borderId="0" fillId="0" fontId="2" numFmtId="9" xfId="0" applyAlignment="1" applyFont="1" applyNumberFormat="1">
      <alignment readingOrder="0"/>
    </xf>
    <xf borderId="0" fillId="0" fontId="7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readingOrder="0" vertical="bottom"/>
    </xf>
    <xf borderId="0" fillId="0" fontId="8" numFmtId="9" xfId="0" applyAlignment="1" applyFont="1" applyNumberFormat="1">
      <alignment readingOrder="0" vertical="bottom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vertical="bottom"/>
    </xf>
    <xf borderId="1" fillId="0" fontId="8" numFmtId="9" xfId="0" applyAlignment="1" applyBorder="1" applyFont="1" applyNumberFormat="1">
      <alignment vertical="bottom"/>
    </xf>
    <xf borderId="0" fillId="0" fontId="8" numFmtId="0" xfId="0" applyAlignment="1" applyFont="1">
      <alignment horizontal="right" vertical="bottom"/>
    </xf>
    <xf borderId="0" fillId="0" fontId="8" numFmtId="9" xfId="0" applyAlignment="1" applyFont="1" applyNumberFormat="1">
      <alignment horizontal="right" vertical="bottom"/>
    </xf>
    <xf borderId="0" fillId="0" fontId="2" numFmtId="0" xfId="0" applyAlignment="1" applyFont="1">
      <alignment horizontal="center" readingOrder="0"/>
    </xf>
    <xf borderId="0" fillId="0" fontId="2" numFmtId="1" xfId="0" applyFont="1" applyNumberFormat="1"/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22.75"/>
    <col customWidth="1" min="3" max="3" width="17.13"/>
    <col customWidth="1" min="4" max="4" width="19.5"/>
    <col customWidth="1" min="6" max="6" width="12.13"/>
  </cols>
  <sheetData>
    <row r="2">
      <c r="C2" s="1" t="s">
        <v>0</v>
      </c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</row>
    <row r="3">
      <c r="A3" s="4"/>
      <c r="B3" s="4" t="s">
        <v>12</v>
      </c>
      <c r="C3" s="5">
        <v>4.23E9</v>
      </c>
      <c r="D3" s="6">
        <f t="shared" ref="D3:D4" si="4">C3*0.02</f>
        <v>84600000</v>
      </c>
      <c r="E3" s="6">
        <f t="shared" ref="E3:F3" si="1">D3*1.03</f>
        <v>87138000</v>
      </c>
      <c r="F3" s="6">
        <f t="shared" si="1"/>
        <v>89752140</v>
      </c>
      <c r="G3" s="6">
        <f t="shared" ref="G3:H3" si="2">F3*1.05</f>
        <v>94239747</v>
      </c>
      <c r="H3" s="6">
        <f t="shared" si="2"/>
        <v>98951734.35</v>
      </c>
      <c r="I3" s="6">
        <f>H3*1.08</f>
        <v>106867873.1</v>
      </c>
      <c r="J3" s="6">
        <f t="shared" ref="J3:N3" si="3">I3*1.05</f>
        <v>112211266.8</v>
      </c>
      <c r="K3" s="6">
        <f t="shared" si="3"/>
        <v>117821830.1</v>
      </c>
      <c r="L3" s="6">
        <f t="shared" si="3"/>
        <v>123712921.6</v>
      </c>
      <c r="M3" s="6">
        <f t="shared" si="3"/>
        <v>129898567.7</v>
      </c>
      <c r="N3" s="6">
        <f t="shared" si="3"/>
        <v>136393496.1</v>
      </c>
    </row>
    <row r="4">
      <c r="A4" s="4"/>
      <c r="B4" s="4" t="s">
        <v>13</v>
      </c>
      <c r="C4" s="5">
        <v>-2.621E9</v>
      </c>
      <c r="D4" s="6">
        <f t="shared" si="4"/>
        <v>-52420000</v>
      </c>
      <c r="E4" s="6">
        <f>D4*1.1</f>
        <v>-57662000</v>
      </c>
      <c r="F4" s="6">
        <f>E4*1.03</f>
        <v>-59391860</v>
      </c>
      <c r="G4" s="6">
        <f t="shared" ref="G4:N4" si="5">F4*1.05</f>
        <v>-62361453</v>
      </c>
      <c r="H4" s="6">
        <f t="shared" si="5"/>
        <v>-65479525.65</v>
      </c>
      <c r="I4" s="6">
        <f t="shared" si="5"/>
        <v>-68753501.93</v>
      </c>
      <c r="J4" s="6">
        <f t="shared" si="5"/>
        <v>-72191177.03</v>
      </c>
      <c r="K4" s="6">
        <f t="shared" si="5"/>
        <v>-75800735.88</v>
      </c>
      <c r="L4" s="6">
        <f t="shared" si="5"/>
        <v>-79590772.67</v>
      </c>
      <c r="M4" s="6">
        <f t="shared" si="5"/>
        <v>-83570311.31</v>
      </c>
      <c r="N4" s="6">
        <f t="shared" si="5"/>
        <v>-87748826.87</v>
      </c>
    </row>
    <row r="5">
      <c r="A5" s="4"/>
      <c r="B5" s="7" t="s">
        <v>14</v>
      </c>
      <c r="C5" s="8">
        <f t="shared" ref="C5:N5" si="6">C3+C4</f>
        <v>1609000000</v>
      </c>
      <c r="D5" s="9">
        <f t="shared" si="6"/>
        <v>32180000</v>
      </c>
      <c r="E5" s="9">
        <f t="shared" si="6"/>
        <v>29476000</v>
      </c>
      <c r="F5" s="9">
        <f t="shared" si="6"/>
        <v>30360280</v>
      </c>
      <c r="G5" s="9">
        <f t="shared" si="6"/>
        <v>31878294</v>
      </c>
      <c r="H5" s="9">
        <f t="shared" si="6"/>
        <v>33472208.7</v>
      </c>
      <c r="I5" s="9">
        <f t="shared" si="6"/>
        <v>38114371.17</v>
      </c>
      <c r="J5" s="9">
        <f t="shared" si="6"/>
        <v>40020089.72</v>
      </c>
      <c r="K5" s="9">
        <f t="shared" si="6"/>
        <v>42021094.21</v>
      </c>
      <c r="L5" s="9">
        <f t="shared" si="6"/>
        <v>44122148.92</v>
      </c>
      <c r="M5" s="9">
        <f t="shared" si="6"/>
        <v>46328256.37</v>
      </c>
      <c r="N5" s="9">
        <f t="shared" si="6"/>
        <v>48644669.18</v>
      </c>
    </row>
    <row r="6">
      <c r="A6" s="4"/>
      <c r="B6" s="4" t="s">
        <v>15</v>
      </c>
      <c r="C6" s="5">
        <v>-2.04E8</v>
      </c>
      <c r="D6" s="6">
        <f t="shared" ref="D6:D8" si="8">C6*0.02</f>
        <v>-4080000</v>
      </c>
      <c r="E6" s="6">
        <f>D6*1.1</f>
        <v>-4488000</v>
      </c>
      <c r="F6" s="6">
        <f t="shared" ref="F6:N6" si="7">E6*1.02</f>
        <v>-4577760</v>
      </c>
      <c r="G6" s="6">
        <f t="shared" si="7"/>
        <v>-4669315.2</v>
      </c>
      <c r="H6" s="6">
        <f t="shared" si="7"/>
        <v>-4762701.504</v>
      </c>
      <c r="I6" s="6">
        <f t="shared" si="7"/>
        <v>-4857955.534</v>
      </c>
      <c r="J6" s="6">
        <f t="shared" si="7"/>
        <v>-4955114.645</v>
      </c>
      <c r="K6" s="6">
        <f t="shared" si="7"/>
        <v>-5054216.938</v>
      </c>
      <c r="L6" s="6">
        <f t="shared" si="7"/>
        <v>-5155301.276</v>
      </c>
      <c r="M6" s="6">
        <f t="shared" si="7"/>
        <v>-5258407.302</v>
      </c>
      <c r="N6" s="6">
        <f t="shared" si="7"/>
        <v>-5363575.448</v>
      </c>
    </row>
    <row r="7">
      <c r="A7" s="4"/>
      <c r="B7" s="4" t="s">
        <v>16</v>
      </c>
      <c r="C7" s="5">
        <v>-6.76E8</v>
      </c>
      <c r="D7" s="6">
        <f t="shared" si="8"/>
        <v>-13520000</v>
      </c>
      <c r="E7" s="6">
        <f>D7*1.2</f>
        <v>-16224000</v>
      </c>
      <c r="F7" s="6">
        <f t="shared" ref="F7:N7" si="9">E7*1.05</f>
        <v>-17035200</v>
      </c>
      <c r="G7" s="6">
        <f t="shared" si="9"/>
        <v>-17886960</v>
      </c>
      <c r="H7" s="6">
        <f t="shared" si="9"/>
        <v>-18781308</v>
      </c>
      <c r="I7" s="6">
        <f t="shared" si="9"/>
        <v>-19720373.4</v>
      </c>
      <c r="J7" s="6">
        <f t="shared" si="9"/>
        <v>-20706392.07</v>
      </c>
      <c r="K7" s="6">
        <f t="shared" si="9"/>
        <v>-21741711.67</v>
      </c>
      <c r="L7" s="6">
        <f t="shared" si="9"/>
        <v>-22828797.26</v>
      </c>
      <c r="M7" s="6">
        <f t="shared" si="9"/>
        <v>-23970237.12</v>
      </c>
      <c r="N7" s="6">
        <f t="shared" si="9"/>
        <v>-25168748.98</v>
      </c>
    </row>
    <row r="8">
      <c r="A8" s="4"/>
      <c r="B8" s="4" t="s">
        <v>17</v>
      </c>
      <c r="C8" s="5">
        <v>-3.48E8</v>
      </c>
      <c r="D8" s="6">
        <f t="shared" si="8"/>
        <v>-6960000</v>
      </c>
      <c r="E8" s="6">
        <f>D8-2000000</f>
        <v>-8960000</v>
      </c>
      <c r="F8" s="6">
        <f t="shared" ref="F8:N8" si="10">E8-500000</f>
        <v>-9460000</v>
      </c>
      <c r="G8" s="6">
        <f t="shared" si="10"/>
        <v>-9960000</v>
      </c>
      <c r="H8" s="6">
        <f t="shared" si="10"/>
        <v>-10460000</v>
      </c>
      <c r="I8" s="6">
        <f t="shared" si="10"/>
        <v>-10960000</v>
      </c>
      <c r="J8" s="6">
        <f t="shared" si="10"/>
        <v>-11460000</v>
      </c>
      <c r="K8" s="6">
        <f t="shared" si="10"/>
        <v>-11960000</v>
      </c>
      <c r="L8" s="6">
        <f t="shared" si="10"/>
        <v>-12460000</v>
      </c>
      <c r="M8" s="6">
        <f t="shared" si="10"/>
        <v>-12960000</v>
      </c>
      <c r="N8" s="6">
        <f t="shared" si="10"/>
        <v>-13460000</v>
      </c>
    </row>
    <row r="9">
      <c r="A9" s="4"/>
      <c r="B9" s="4" t="s">
        <v>18</v>
      </c>
      <c r="C9" s="5"/>
      <c r="D9" s="10"/>
      <c r="E9" s="11">
        <v>-1000000.0</v>
      </c>
      <c r="F9" s="11">
        <v>-1000000.0</v>
      </c>
      <c r="G9" s="11">
        <v>-1000000.0</v>
      </c>
      <c r="H9" s="11">
        <v>-1000000.0</v>
      </c>
      <c r="I9" s="11">
        <v>-1000000.0</v>
      </c>
      <c r="J9" s="11">
        <v>-1000000.0</v>
      </c>
      <c r="K9" s="11">
        <v>-1000000.0</v>
      </c>
      <c r="L9" s="11">
        <v>-1000000.0</v>
      </c>
      <c r="M9" s="11">
        <v>-1000000.0</v>
      </c>
      <c r="N9" s="11">
        <v>-1000000.0</v>
      </c>
      <c r="O9" s="12"/>
    </row>
    <row r="10">
      <c r="A10" s="4"/>
      <c r="B10" s="4" t="s">
        <v>19</v>
      </c>
      <c r="C10" s="5"/>
      <c r="D10" s="10">
        <v>0.0</v>
      </c>
      <c r="E10" s="11">
        <v>-1200000.0</v>
      </c>
      <c r="F10" s="11">
        <v>-1200000.0</v>
      </c>
      <c r="G10" s="11">
        <v>-1200000.0</v>
      </c>
      <c r="H10" s="11">
        <v>-1000000.0</v>
      </c>
      <c r="I10" s="11">
        <v>-1000000.0</v>
      </c>
      <c r="J10" s="11">
        <v>-1000000.0</v>
      </c>
      <c r="K10" s="11">
        <v>-1000000.0</v>
      </c>
      <c r="L10" s="11">
        <v>-1000000.0</v>
      </c>
      <c r="M10" s="11">
        <v>-1000000.0</v>
      </c>
      <c r="N10" s="11">
        <v>-1000000.0</v>
      </c>
    </row>
    <row r="11">
      <c r="A11" s="4"/>
      <c r="B11" s="7" t="s">
        <v>20</v>
      </c>
      <c r="C11" s="13">
        <v>3.81E8</v>
      </c>
      <c r="D11" s="9">
        <f>D5+D6+D7+D8+D10</f>
        <v>7620000</v>
      </c>
      <c r="E11" s="9">
        <f t="shared" ref="E11:N11" si="11">SUM(E5:E10)</f>
        <v>-2396000</v>
      </c>
      <c r="F11" s="9">
        <f t="shared" si="11"/>
        <v>-2912680</v>
      </c>
      <c r="G11" s="9">
        <f t="shared" si="11"/>
        <v>-2837981.2</v>
      </c>
      <c r="H11" s="9">
        <f t="shared" si="11"/>
        <v>-2531800.804</v>
      </c>
      <c r="I11" s="9">
        <f t="shared" si="11"/>
        <v>576042.2314</v>
      </c>
      <c r="J11" s="9">
        <f t="shared" si="11"/>
        <v>898583.009</v>
      </c>
      <c r="K11" s="9">
        <f t="shared" si="11"/>
        <v>1265165.599</v>
      </c>
      <c r="L11" s="9">
        <f t="shared" si="11"/>
        <v>1678050.387</v>
      </c>
      <c r="M11" s="9">
        <f t="shared" si="11"/>
        <v>2139611.945</v>
      </c>
      <c r="N11" s="9">
        <f t="shared" si="11"/>
        <v>2652344.761</v>
      </c>
    </row>
    <row r="12">
      <c r="A12" s="4"/>
      <c r="B12" s="4" t="s">
        <v>21</v>
      </c>
      <c r="C12" s="5">
        <v>-1000000.0</v>
      </c>
      <c r="D12" s="10">
        <v>-1000000.0</v>
      </c>
      <c r="E12" s="10">
        <v>-1000000.0</v>
      </c>
      <c r="F12" s="10">
        <v>-1000000.0</v>
      </c>
      <c r="G12" s="10">
        <v>-1000000.0</v>
      </c>
      <c r="H12" s="10">
        <v>-1000000.0</v>
      </c>
      <c r="I12" s="10">
        <v>-1000000.0</v>
      </c>
      <c r="J12" s="10">
        <v>-1000000.0</v>
      </c>
      <c r="K12" s="10">
        <v>-1000000.0</v>
      </c>
      <c r="L12" s="10">
        <v>-1000000.0</v>
      </c>
      <c r="M12" s="10">
        <v>-1000000.0</v>
      </c>
      <c r="N12" s="10">
        <v>-1000000.0</v>
      </c>
    </row>
    <row r="13">
      <c r="A13" s="4"/>
      <c r="B13" s="1" t="s">
        <v>22</v>
      </c>
      <c r="C13" s="13">
        <f t="shared" ref="C13:N13" si="12">C11+C12</f>
        <v>380000000</v>
      </c>
      <c r="D13" s="14">
        <f t="shared" si="12"/>
        <v>6620000</v>
      </c>
      <c r="E13" s="14">
        <f t="shared" si="12"/>
        <v>-3396000</v>
      </c>
      <c r="F13" s="14">
        <f t="shared" si="12"/>
        <v>-3912680</v>
      </c>
      <c r="G13" s="14">
        <f t="shared" si="12"/>
        <v>-3837981.2</v>
      </c>
      <c r="H13" s="14">
        <f t="shared" si="12"/>
        <v>-3531800.804</v>
      </c>
      <c r="I13" s="14">
        <f t="shared" si="12"/>
        <v>-423957.7686</v>
      </c>
      <c r="J13" s="14">
        <f t="shared" si="12"/>
        <v>-101416.991</v>
      </c>
      <c r="K13" s="14">
        <f t="shared" si="12"/>
        <v>265165.5988</v>
      </c>
      <c r="L13" s="14">
        <f t="shared" si="12"/>
        <v>678050.3869</v>
      </c>
      <c r="M13" s="14">
        <f t="shared" si="12"/>
        <v>1139611.945</v>
      </c>
      <c r="N13" s="14">
        <f t="shared" si="12"/>
        <v>1652344.761</v>
      </c>
    </row>
    <row r="15">
      <c r="E15" s="15" t="s">
        <v>23</v>
      </c>
      <c r="F15" s="15" t="s">
        <v>24</v>
      </c>
      <c r="G15" s="15" t="s">
        <v>25</v>
      </c>
      <c r="H15" s="15" t="s">
        <v>26</v>
      </c>
      <c r="I15" s="15" t="s">
        <v>27</v>
      </c>
    </row>
    <row r="16">
      <c r="D16" s="16"/>
      <c r="E16" s="17"/>
      <c r="F16" s="17"/>
      <c r="G16" s="17"/>
      <c r="H16" s="17"/>
      <c r="I16" s="17"/>
    </row>
    <row r="17">
      <c r="E17" s="17">
        <v>-8.9534E7</v>
      </c>
      <c r="F17" s="17">
        <v>-9.266482E7</v>
      </c>
      <c r="G17" s="17">
        <v>-9.707772820000002E7</v>
      </c>
      <c r="H17" s="17">
        <v>-1.0148353515400001E8</v>
      </c>
      <c r="I17" s="17">
        <v>-1.0629183086658002E8</v>
      </c>
    </row>
    <row r="18">
      <c r="F18" s="18">
        <v>-3130820.0</v>
      </c>
      <c r="G18" s="18">
        <v>-4412908.200000018</v>
      </c>
      <c r="H18" s="18">
        <v>-4405806.953999996</v>
      </c>
      <c r="I18" s="18">
        <v>-4808295.71258001</v>
      </c>
    </row>
    <row r="19">
      <c r="E19" s="18">
        <v>538000.0</v>
      </c>
      <c r="F19" s="18">
        <v>614140.0</v>
      </c>
      <c r="G19" s="18">
        <v>2487607.0</v>
      </c>
      <c r="H19" s="18">
        <v>2711987.350000009</v>
      </c>
      <c r="I19" s="18">
        <v>2947586.717500001</v>
      </c>
      <c r="J19" s="12"/>
      <c r="K19" s="12"/>
      <c r="L19" s="12"/>
      <c r="M19" s="12"/>
      <c r="N19" s="12"/>
    </row>
    <row r="20">
      <c r="E20" s="19">
        <v>0.00600889047736056</v>
      </c>
      <c r="F20" s="19">
        <v>0.196159472598233</v>
      </c>
      <c r="G20" s="19">
        <v>0.563711477161476</v>
      </c>
      <c r="H20" s="19">
        <v>0.615548383829622</v>
      </c>
      <c r="I20" s="19">
        <v>0.613021098055219</v>
      </c>
    </row>
    <row r="21">
      <c r="C21" s="20"/>
      <c r="D21" s="12"/>
    </row>
    <row r="22">
      <c r="C22" s="5"/>
      <c r="J22" s="21">
        <f>F3-E3</f>
        <v>2614140</v>
      </c>
    </row>
    <row r="23">
      <c r="C23" s="5"/>
    </row>
    <row r="24">
      <c r="B24" s="7" t="s">
        <v>28</v>
      </c>
      <c r="C24" s="8"/>
      <c r="L24" s="15" t="s">
        <v>23</v>
      </c>
      <c r="M24" s="15" t="s">
        <v>24</v>
      </c>
      <c r="N24" s="15" t="s">
        <v>25</v>
      </c>
      <c r="O24" s="15" t="s">
        <v>26</v>
      </c>
      <c r="P24" s="15" t="s">
        <v>27</v>
      </c>
    </row>
    <row r="25">
      <c r="C25" s="1" t="s">
        <v>0</v>
      </c>
      <c r="D25" s="4">
        <v>2019.0</v>
      </c>
      <c r="E25" s="4">
        <v>2020.0</v>
      </c>
      <c r="F25" s="4">
        <v>2021.0</v>
      </c>
      <c r="G25" s="4">
        <v>2022.0</v>
      </c>
      <c r="H25" s="4">
        <v>2023.0</v>
      </c>
    </row>
    <row r="26">
      <c r="B26" s="4" t="s">
        <v>12</v>
      </c>
      <c r="C26" s="5">
        <v>4.23E9</v>
      </c>
      <c r="D26" s="21">
        <f t="shared" ref="D26:H26" si="13">C26*1.03</f>
        <v>4356900000</v>
      </c>
      <c r="E26" s="21">
        <f t="shared" si="13"/>
        <v>4487607000</v>
      </c>
      <c r="F26" s="21">
        <f t="shared" si="13"/>
        <v>4622235210</v>
      </c>
      <c r="G26" s="21">
        <f t="shared" si="13"/>
        <v>4760902266</v>
      </c>
      <c r="H26" s="21">
        <f t="shared" si="13"/>
        <v>4903729334</v>
      </c>
      <c r="L26" s="18">
        <v>-8.9534E7</v>
      </c>
      <c r="M26" s="18">
        <v>-9.266482E7</v>
      </c>
      <c r="N26" s="18">
        <v>-9.707772820000002E7</v>
      </c>
      <c r="O26" s="18">
        <v>-1.0148353515400001E8</v>
      </c>
      <c r="P26" s="18">
        <v>-1.0629183086658002E8</v>
      </c>
    </row>
    <row r="27">
      <c r="B27" s="4" t="s">
        <v>13</v>
      </c>
      <c r="C27" s="5">
        <v>-2.621E9</v>
      </c>
      <c r="D27" s="21">
        <f t="shared" ref="D27:H27" si="14">C27*1.03</f>
        <v>-2699630000</v>
      </c>
      <c r="E27" s="21">
        <f t="shared" si="14"/>
        <v>-2780618900</v>
      </c>
      <c r="F27" s="21">
        <f t="shared" si="14"/>
        <v>-2864037467</v>
      </c>
      <c r="G27" s="21">
        <f t="shared" si="14"/>
        <v>-2949958591</v>
      </c>
      <c r="H27" s="21">
        <f t="shared" si="14"/>
        <v>-3038457349</v>
      </c>
      <c r="M27" s="18">
        <v>-3130820.0</v>
      </c>
      <c r="N27" s="18">
        <v>-4412908.200000018</v>
      </c>
      <c r="O27" s="18">
        <v>-4405806.953999996</v>
      </c>
      <c r="P27" s="18">
        <v>-4808295.71258001</v>
      </c>
    </row>
    <row r="28">
      <c r="B28" s="7" t="s">
        <v>14</v>
      </c>
      <c r="C28" s="8">
        <f t="shared" ref="C28:H28" si="15">C26+C27</f>
        <v>1609000000</v>
      </c>
      <c r="D28" s="22">
        <f t="shared" si="15"/>
        <v>1657270000</v>
      </c>
      <c r="E28" s="22">
        <f t="shared" si="15"/>
        <v>1706988100</v>
      </c>
      <c r="F28" s="22">
        <f t="shared" si="15"/>
        <v>1758197743</v>
      </c>
      <c r="G28" s="22">
        <f t="shared" si="15"/>
        <v>1810943675</v>
      </c>
      <c r="H28" s="22">
        <f t="shared" si="15"/>
        <v>1865271986</v>
      </c>
      <c r="L28" s="18">
        <v>538000.0</v>
      </c>
      <c r="M28" s="18">
        <v>614140.0</v>
      </c>
      <c r="N28" s="18">
        <v>2487607.0</v>
      </c>
      <c r="O28" s="18">
        <v>5539179.760000005</v>
      </c>
      <c r="P28" s="18">
        <v>8177892.676000014</v>
      </c>
    </row>
    <row r="29">
      <c r="B29" s="4" t="s">
        <v>15</v>
      </c>
      <c r="C29" s="5">
        <v>-2.04E8</v>
      </c>
      <c r="D29" s="5">
        <v>-2.04E8</v>
      </c>
      <c r="E29" s="5">
        <f t="shared" ref="E29:H29" si="16">-204000000*1.03</f>
        <v>-210120000</v>
      </c>
      <c r="F29" s="5">
        <f t="shared" si="16"/>
        <v>-210120000</v>
      </c>
      <c r="G29" s="5">
        <f t="shared" si="16"/>
        <v>-210120000</v>
      </c>
      <c r="H29" s="5">
        <f t="shared" si="16"/>
        <v>-210120000</v>
      </c>
      <c r="L29" s="12">
        <v>-0.006008890477360556</v>
      </c>
      <c r="M29" s="12">
        <v>-0.19615947259823305</v>
      </c>
      <c r="N29" s="12">
        <v>-0.563711477161476</v>
      </c>
      <c r="O29" s="12">
        <v>-1.2572452260921303</v>
      </c>
      <c r="P29" s="12">
        <v>-1.700788213712414</v>
      </c>
    </row>
    <row r="30">
      <c r="B30" s="4" t="s">
        <v>16</v>
      </c>
      <c r="C30" s="5">
        <v>-6.76E8</v>
      </c>
      <c r="D30" s="21">
        <f t="shared" ref="D30:H30" si="17">(C30)-((D26-C26)*0.15)</f>
        <v>-695035000</v>
      </c>
      <c r="E30" s="21">
        <f t="shared" si="17"/>
        <v>-714641050</v>
      </c>
      <c r="F30" s="21">
        <f t="shared" si="17"/>
        <v>-734835281.5</v>
      </c>
      <c r="G30" s="21">
        <f t="shared" si="17"/>
        <v>-755635339.9</v>
      </c>
      <c r="H30" s="21">
        <f t="shared" si="17"/>
        <v>-777059400.1</v>
      </c>
    </row>
    <row r="31">
      <c r="B31" s="4" t="s">
        <v>17</v>
      </c>
      <c r="C31" s="5">
        <v>-3.48E8</v>
      </c>
      <c r="D31" s="21">
        <f t="shared" ref="D31:H31" si="18">C31*1.05</f>
        <v>-365400000</v>
      </c>
      <c r="E31" s="21">
        <f t="shared" si="18"/>
        <v>-383670000</v>
      </c>
      <c r="F31" s="21">
        <f t="shared" si="18"/>
        <v>-402853500</v>
      </c>
      <c r="G31" s="21">
        <f t="shared" si="18"/>
        <v>-422996175</v>
      </c>
      <c r="H31" s="21">
        <f t="shared" si="18"/>
        <v>-444145983.8</v>
      </c>
    </row>
    <row r="32">
      <c r="B32" s="4" t="s">
        <v>29</v>
      </c>
      <c r="C32" s="5"/>
      <c r="D32" s="5">
        <v>1000000.0</v>
      </c>
      <c r="E32" s="5">
        <v>1000000.0</v>
      </c>
      <c r="F32" s="5">
        <v>1000000.0</v>
      </c>
      <c r="G32" s="5">
        <v>1000000.0</v>
      </c>
      <c r="H32" s="5">
        <v>1000000.0</v>
      </c>
    </row>
    <row r="33">
      <c r="B33" s="4" t="s">
        <v>30</v>
      </c>
      <c r="C33" s="5"/>
      <c r="D33" s="5">
        <v>-2000000.0</v>
      </c>
      <c r="E33" s="5">
        <v>-2000000.0</v>
      </c>
      <c r="F33" s="5">
        <v>-2000000.0</v>
      </c>
      <c r="G33" s="5">
        <v>-2000000.0</v>
      </c>
      <c r="H33" s="5">
        <v>-2000000.0</v>
      </c>
    </row>
    <row r="34">
      <c r="B34" s="4" t="s">
        <v>31</v>
      </c>
      <c r="C34" s="5"/>
      <c r="D34" s="5">
        <v>-50000.0</v>
      </c>
      <c r="E34" s="5">
        <v>-50000.0</v>
      </c>
      <c r="F34" s="5">
        <v>-50000.0</v>
      </c>
      <c r="G34" s="5">
        <v>-50000.0</v>
      </c>
      <c r="H34" s="5">
        <v>-50000.0</v>
      </c>
    </row>
    <row r="35">
      <c r="B35" s="4" t="s">
        <v>18</v>
      </c>
      <c r="C35" s="5"/>
      <c r="D35" s="5">
        <v>-1000000.0</v>
      </c>
      <c r="E35" s="5">
        <v>-1000000.0</v>
      </c>
      <c r="F35" s="5">
        <v>-1000000.0</v>
      </c>
      <c r="G35" s="5">
        <v>-1000000.0</v>
      </c>
      <c r="H35" s="5">
        <v>-1000000.0</v>
      </c>
    </row>
    <row r="36">
      <c r="B36" s="7" t="s">
        <v>20</v>
      </c>
      <c r="C36" s="13">
        <v>3.81E8</v>
      </c>
      <c r="D36" s="22">
        <f t="shared" ref="D36:H36" si="19">SUM(D28:D35)</f>
        <v>390785000</v>
      </c>
      <c r="E36" s="22">
        <f t="shared" si="19"/>
        <v>396507050</v>
      </c>
      <c r="F36" s="22">
        <f t="shared" si="19"/>
        <v>408338961.5</v>
      </c>
      <c r="G36" s="22">
        <f t="shared" si="19"/>
        <v>420142160.3</v>
      </c>
      <c r="H36" s="22">
        <f t="shared" si="19"/>
        <v>431896601.7</v>
      </c>
    </row>
    <row r="37">
      <c r="B37" s="4" t="s">
        <v>21</v>
      </c>
      <c r="C37" s="5">
        <v>-1000000.0</v>
      </c>
      <c r="D37" s="5">
        <v>-1000000.0</v>
      </c>
      <c r="E37" s="5">
        <v>-1000000.0</v>
      </c>
      <c r="F37" s="5">
        <v>-1000000.0</v>
      </c>
      <c r="G37" s="5">
        <v>-1000000.0</v>
      </c>
      <c r="H37" s="5">
        <v>-1000000.0</v>
      </c>
    </row>
    <row r="38">
      <c r="B38" s="1" t="s">
        <v>22</v>
      </c>
      <c r="C38" s="13">
        <f t="shared" ref="C38:H38" si="20">C36+C37</f>
        <v>380000000</v>
      </c>
      <c r="D38" s="21">
        <f t="shared" si="20"/>
        <v>389785000</v>
      </c>
      <c r="E38" s="21">
        <f t="shared" si="20"/>
        <v>395507050</v>
      </c>
      <c r="F38" s="21">
        <f t="shared" si="20"/>
        <v>407338961.5</v>
      </c>
      <c r="G38" s="21">
        <f t="shared" si="20"/>
        <v>419142160.3</v>
      </c>
      <c r="H38" s="21">
        <f t="shared" si="20"/>
        <v>430896601.7</v>
      </c>
    </row>
    <row r="39">
      <c r="D39" s="23">
        <f t="shared" ref="D39:H39" si="21">(D27+SUM(D29:D35))-(C27+SUM(C29:C35))</f>
        <v>-117115000</v>
      </c>
      <c r="E39" s="23">
        <f t="shared" si="21"/>
        <v>-124984950</v>
      </c>
      <c r="F39" s="23">
        <f t="shared" si="21"/>
        <v>-122796298.5</v>
      </c>
      <c r="G39" s="23">
        <f t="shared" si="21"/>
        <v>-126863857.5</v>
      </c>
      <c r="H39" s="23">
        <f t="shared" si="21"/>
        <v>-131072626.7</v>
      </c>
    </row>
    <row r="40">
      <c r="B40" s="4" t="s">
        <v>32</v>
      </c>
      <c r="C40" s="24"/>
      <c r="D40" s="12">
        <f t="shared" ref="D40:H40" si="22">(D26-C26+D39)/D39*-1</f>
        <v>0.08355035649</v>
      </c>
      <c r="E40" s="12">
        <f t="shared" si="22"/>
        <v>0.04578191214</v>
      </c>
      <c r="F40" s="12">
        <f t="shared" si="22"/>
        <v>0.0963539752</v>
      </c>
      <c r="G40" s="12">
        <f t="shared" si="22"/>
        <v>0.09303830958</v>
      </c>
      <c r="H40" s="12">
        <f t="shared" si="22"/>
        <v>0.08967884148</v>
      </c>
    </row>
    <row r="44">
      <c r="E44" s="12">
        <f>AVERAGE(D40:H40)</f>
        <v>0.08168067898</v>
      </c>
      <c r="F44" s="12">
        <f>AVERAGE(E20:I20)</f>
        <v>0.3988898644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4" max="4" width="14.75"/>
  </cols>
  <sheetData>
    <row r="1">
      <c r="A1" s="25"/>
    </row>
    <row r="3">
      <c r="A3" s="26" t="s">
        <v>33</v>
      </c>
      <c r="B3" s="26" t="s">
        <v>34</v>
      </c>
      <c r="C3" s="26" t="s">
        <v>35</v>
      </c>
      <c r="D3" s="26" t="s">
        <v>36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>
      <c r="A4" s="4" t="s">
        <v>37</v>
      </c>
      <c r="B4" s="4">
        <v>5000.0</v>
      </c>
      <c r="C4" s="4">
        <v>104000.0</v>
      </c>
      <c r="D4" s="24">
        <v>0.03</v>
      </c>
    </row>
    <row r="5">
      <c r="A5" s="4" t="s">
        <v>38</v>
      </c>
      <c r="B5" s="4">
        <v>50000.0</v>
      </c>
      <c r="C5" s="4">
        <v>300000.0</v>
      </c>
      <c r="D5" s="24">
        <v>0.33</v>
      </c>
    </row>
    <row r="6">
      <c r="A6" s="4" t="s">
        <v>39</v>
      </c>
      <c r="B6" s="28" t="s">
        <v>40</v>
      </c>
      <c r="C6" s="4">
        <v>300000.0</v>
      </c>
      <c r="D6" s="24">
        <v>0.03</v>
      </c>
    </row>
    <row r="7">
      <c r="A7" s="29" t="s">
        <v>41</v>
      </c>
      <c r="B7" s="28" t="s">
        <v>40</v>
      </c>
      <c r="C7" s="29">
        <v>210000.0</v>
      </c>
      <c r="D7" s="30">
        <v>0.03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9">
      <c r="A9" s="32" t="s">
        <v>42</v>
      </c>
      <c r="B9" s="32"/>
      <c r="C9" s="32"/>
      <c r="D9" s="33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>
      <c r="A10" s="29" t="s">
        <v>43</v>
      </c>
      <c r="B10" s="29">
        <v>200000.0</v>
      </c>
      <c r="C10" s="28" t="s">
        <v>40</v>
      </c>
      <c r="D10" s="28" t="s">
        <v>40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29" t="s">
        <v>44</v>
      </c>
      <c r="B11" s="29">
        <v>5000.0</v>
      </c>
      <c r="C11" s="34">
        <v>175000.0</v>
      </c>
      <c r="D11" s="35">
        <v>0.03</v>
      </c>
      <c r="E11" s="31"/>
      <c r="F11" s="31"/>
      <c r="G11" s="31"/>
      <c r="H11" s="31"/>
      <c r="I11" s="31"/>
      <c r="J11" s="31"/>
      <c r="K11" s="31"/>
      <c r="L11" s="31"/>
      <c r="M11" s="29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31" t="s">
        <v>45</v>
      </c>
      <c r="B12" s="28" t="s">
        <v>40</v>
      </c>
      <c r="C12" s="34">
        <v>50000.0</v>
      </c>
      <c r="D12" s="35">
        <v>0.03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4">
      <c r="A14" s="26" t="s">
        <v>46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>
      <c r="A15" s="4" t="s">
        <v>47</v>
      </c>
      <c r="B15" s="4">
        <v>2000.0</v>
      </c>
      <c r="C15" s="4">
        <v>24000.0</v>
      </c>
      <c r="D15" s="24">
        <v>0.01</v>
      </c>
    </row>
    <row r="16">
      <c r="A16" s="4" t="s">
        <v>48</v>
      </c>
      <c r="B16" s="4" t="s">
        <v>40</v>
      </c>
      <c r="C16" s="4">
        <v>12000.0</v>
      </c>
      <c r="D16" s="24">
        <v>0.03</v>
      </c>
    </row>
    <row r="18">
      <c r="B18" s="4" t="s">
        <v>49</v>
      </c>
      <c r="C18" s="4" t="s">
        <v>50</v>
      </c>
      <c r="D18" s="4" t="s">
        <v>51</v>
      </c>
      <c r="E18" s="4" t="s">
        <v>52</v>
      </c>
      <c r="F18" s="4" t="s">
        <v>53</v>
      </c>
    </row>
    <row r="19">
      <c r="A19" s="4" t="s">
        <v>54</v>
      </c>
      <c r="B19" s="18">
        <f>sum(B4,B5,B11,B15,B10)</f>
        <v>262000</v>
      </c>
      <c r="C19" s="36" t="s">
        <v>40</v>
      </c>
      <c r="D19" s="36" t="s">
        <v>40</v>
      </c>
      <c r="E19" s="36" t="s">
        <v>40</v>
      </c>
      <c r="F19" s="36" t="s">
        <v>40</v>
      </c>
    </row>
    <row r="20">
      <c r="A20" s="4" t="s">
        <v>37</v>
      </c>
      <c r="B20" s="37">
        <f t="shared" ref="B20:B23" si="2">C4</f>
        <v>104000</v>
      </c>
      <c r="C20" s="37">
        <f t="shared" ref="C20:F20" si="1">(B20*($D$4+1))</f>
        <v>107120</v>
      </c>
      <c r="D20" s="37">
        <f t="shared" si="1"/>
        <v>110333.6</v>
      </c>
      <c r="E20" s="37">
        <f t="shared" si="1"/>
        <v>113643.608</v>
      </c>
      <c r="F20" s="37">
        <f t="shared" si="1"/>
        <v>117052.9162</v>
      </c>
    </row>
    <row r="21">
      <c r="A21" s="4" t="s">
        <v>38</v>
      </c>
      <c r="B21" s="37">
        <f t="shared" si="2"/>
        <v>300000</v>
      </c>
      <c r="C21" s="37">
        <f t="shared" ref="C21:F21" si="3">(B21*($D$5+1))</f>
        <v>399000</v>
      </c>
      <c r="D21" s="37">
        <f t="shared" si="3"/>
        <v>530670</v>
      </c>
      <c r="E21" s="37">
        <f t="shared" si="3"/>
        <v>705791.1</v>
      </c>
      <c r="F21" s="37">
        <f t="shared" si="3"/>
        <v>938702.163</v>
      </c>
    </row>
    <row r="22">
      <c r="A22" s="4" t="s">
        <v>39</v>
      </c>
      <c r="B22" s="37">
        <f t="shared" si="2"/>
        <v>300000</v>
      </c>
      <c r="C22" s="37">
        <f t="shared" ref="C22:F22" si="4">(B22*($D$6+1))</f>
        <v>309000</v>
      </c>
      <c r="D22" s="37">
        <f t="shared" si="4"/>
        <v>318270</v>
      </c>
      <c r="E22" s="37">
        <f t="shared" si="4"/>
        <v>327818.1</v>
      </c>
      <c r="F22" s="37">
        <f t="shared" si="4"/>
        <v>337652.643</v>
      </c>
    </row>
    <row r="23">
      <c r="A23" s="29" t="s">
        <v>41</v>
      </c>
      <c r="B23" s="37">
        <f t="shared" si="2"/>
        <v>210000</v>
      </c>
      <c r="C23" s="37">
        <f t="shared" ref="C23:F23" si="5">(B23*($D$7+1))</f>
        <v>216300</v>
      </c>
      <c r="D23" s="37">
        <f t="shared" si="5"/>
        <v>222789</v>
      </c>
      <c r="E23" s="37">
        <f t="shared" si="5"/>
        <v>229472.67</v>
      </c>
      <c r="F23" s="37">
        <f t="shared" si="5"/>
        <v>236356.8501</v>
      </c>
    </row>
    <row r="24">
      <c r="A24" s="31" t="s">
        <v>55</v>
      </c>
      <c r="B24" s="37">
        <f>C11</f>
        <v>175000</v>
      </c>
      <c r="C24" s="37">
        <f t="shared" ref="C24:F24" si="6">(B24*($D$11+1))</f>
        <v>180250</v>
      </c>
      <c r="D24" s="37">
        <f t="shared" si="6"/>
        <v>185657.5</v>
      </c>
      <c r="E24" s="37">
        <f t="shared" si="6"/>
        <v>191227.225</v>
      </c>
      <c r="F24" s="37">
        <f t="shared" si="6"/>
        <v>196964.0418</v>
      </c>
    </row>
    <row r="25">
      <c r="A25" s="31" t="s">
        <v>45</v>
      </c>
      <c r="B25" s="37">
        <f>50000</f>
        <v>50000</v>
      </c>
      <c r="C25" s="37">
        <f t="shared" ref="C25:F25" si="7">(B25*($D$11+1))</f>
        <v>51500</v>
      </c>
      <c r="D25" s="37">
        <f t="shared" si="7"/>
        <v>53045</v>
      </c>
      <c r="E25" s="37">
        <f t="shared" si="7"/>
        <v>54636.35</v>
      </c>
      <c r="F25" s="37">
        <f t="shared" si="7"/>
        <v>56275.4405</v>
      </c>
    </row>
    <row r="26">
      <c r="A26" s="4" t="s">
        <v>47</v>
      </c>
      <c r="B26" s="37">
        <f>24000</f>
        <v>24000</v>
      </c>
      <c r="C26" s="37">
        <f t="shared" ref="C26:F26" si="8">(B26*($D$15+1))</f>
        <v>24240</v>
      </c>
      <c r="D26" s="37">
        <f t="shared" si="8"/>
        <v>24482.4</v>
      </c>
      <c r="E26" s="37">
        <f t="shared" si="8"/>
        <v>24727.224</v>
      </c>
      <c r="F26" s="37">
        <f t="shared" si="8"/>
        <v>24974.49624</v>
      </c>
    </row>
    <row r="27">
      <c r="A27" s="4" t="s">
        <v>48</v>
      </c>
      <c r="B27" s="37">
        <f>12000</f>
        <v>12000</v>
      </c>
      <c r="C27" s="37">
        <f t="shared" ref="C27:F27" si="9">(B27*($D$16+1))</f>
        <v>12360</v>
      </c>
      <c r="D27" s="37">
        <f t="shared" si="9"/>
        <v>12730.8</v>
      </c>
      <c r="E27" s="37">
        <f t="shared" si="9"/>
        <v>13112.724</v>
      </c>
      <c r="F27" s="37">
        <f t="shared" si="9"/>
        <v>13506.10572</v>
      </c>
    </row>
    <row r="28">
      <c r="A28" s="4" t="s">
        <v>56</v>
      </c>
      <c r="B28" s="37">
        <f>SUM(B19:B27)</f>
        <v>1437000</v>
      </c>
      <c r="C28" s="37">
        <f t="shared" ref="C28:F28" si="10">SUM(C20:C27)</f>
        <v>1299770</v>
      </c>
      <c r="D28" s="37">
        <f t="shared" si="10"/>
        <v>1457978.3</v>
      </c>
      <c r="E28" s="37">
        <f t="shared" si="10"/>
        <v>1660429.001</v>
      </c>
      <c r="F28" s="37">
        <f t="shared" si="10"/>
        <v>1921484.657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3" width="17.13"/>
  </cols>
  <sheetData>
    <row r="1">
      <c r="A1" s="1"/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</row>
    <row r="2">
      <c r="A2" s="1"/>
      <c r="B2" s="1"/>
      <c r="C2" s="1" t="s">
        <v>0</v>
      </c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</row>
    <row r="3">
      <c r="A3" s="4"/>
      <c r="B3" s="4" t="s">
        <v>12</v>
      </c>
      <c r="C3" s="5">
        <v>4.23E9</v>
      </c>
      <c r="D3" s="6">
        <f t="shared" ref="D3:D4" si="4">C3*0.02</f>
        <v>84600000</v>
      </c>
      <c r="E3" s="6">
        <f t="shared" ref="E3:F3" si="1">D3*1.04</f>
        <v>87984000</v>
      </c>
      <c r="F3" s="6">
        <f t="shared" si="1"/>
        <v>91503360</v>
      </c>
      <c r="G3" s="6">
        <f>F3*1.07</f>
        <v>97908595.2</v>
      </c>
      <c r="H3" s="6">
        <f>G3*1.05</f>
        <v>102804025</v>
      </c>
      <c r="I3" s="6">
        <f t="shared" ref="I3:J3" si="2">H3*1.07</f>
        <v>110000306.7</v>
      </c>
      <c r="J3" s="6">
        <f t="shared" si="2"/>
        <v>117700328.2</v>
      </c>
      <c r="K3" s="6">
        <f>J3*1.08</f>
        <v>127116354.4</v>
      </c>
      <c r="L3" s="6">
        <f t="shared" ref="L3:N3" si="3">K3*1.05</f>
        <v>133472172.2</v>
      </c>
      <c r="M3" s="6">
        <f t="shared" si="3"/>
        <v>140145780.8</v>
      </c>
      <c r="N3" s="6">
        <f t="shared" si="3"/>
        <v>147153069.8</v>
      </c>
    </row>
    <row r="4">
      <c r="A4" s="4"/>
      <c r="B4" s="4" t="s">
        <v>13</v>
      </c>
      <c r="C4" s="5">
        <v>-2.621E9</v>
      </c>
      <c r="D4" s="6">
        <f t="shared" si="4"/>
        <v>-52420000</v>
      </c>
      <c r="E4" s="6">
        <f>D4*1.1</f>
        <v>-57662000</v>
      </c>
      <c r="F4" s="6">
        <f>E4*1.03</f>
        <v>-59391860</v>
      </c>
      <c r="G4" s="6">
        <f t="shared" ref="G4:N4" si="5">F4*1.05</f>
        <v>-62361453</v>
      </c>
      <c r="H4" s="6">
        <f t="shared" si="5"/>
        <v>-65479525.65</v>
      </c>
      <c r="I4" s="6">
        <f t="shared" si="5"/>
        <v>-68753501.93</v>
      </c>
      <c r="J4" s="6">
        <f t="shared" si="5"/>
        <v>-72191177.03</v>
      </c>
      <c r="K4" s="6">
        <f t="shared" si="5"/>
        <v>-75800735.88</v>
      </c>
      <c r="L4" s="6">
        <f t="shared" si="5"/>
        <v>-79590772.67</v>
      </c>
      <c r="M4" s="6">
        <f t="shared" si="5"/>
        <v>-83570311.31</v>
      </c>
      <c r="N4" s="6">
        <f t="shared" si="5"/>
        <v>-87748826.87</v>
      </c>
    </row>
    <row r="5">
      <c r="A5" s="7"/>
      <c r="B5" s="7" t="s">
        <v>14</v>
      </c>
      <c r="C5" s="8">
        <f t="shared" ref="C5:N5" si="6">C3+C4</f>
        <v>1609000000</v>
      </c>
      <c r="D5" s="9">
        <f t="shared" si="6"/>
        <v>32180000</v>
      </c>
      <c r="E5" s="9">
        <f t="shared" si="6"/>
        <v>30322000</v>
      </c>
      <c r="F5" s="9">
        <f t="shared" si="6"/>
        <v>32111500</v>
      </c>
      <c r="G5" s="9">
        <f t="shared" si="6"/>
        <v>35547142.2</v>
      </c>
      <c r="H5" s="9">
        <f t="shared" si="6"/>
        <v>37324499.31</v>
      </c>
      <c r="I5" s="9">
        <f t="shared" si="6"/>
        <v>41246804.77</v>
      </c>
      <c r="J5" s="9">
        <f t="shared" si="6"/>
        <v>45509151.15</v>
      </c>
      <c r="K5" s="9">
        <f t="shared" si="6"/>
        <v>51315618.55</v>
      </c>
      <c r="L5" s="9">
        <f t="shared" si="6"/>
        <v>53881399.48</v>
      </c>
      <c r="M5" s="9">
        <f t="shared" si="6"/>
        <v>56575469.45</v>
      </c>
      <c r="N5" s="9">
        <f t="shared" si="6"/>
        <v>59404242.92</v>
      </c>
    </row>
    <row r="6">
      <c r="A6" s="4"/>
      <c r="B6" s="4" t="s">
        <v>15</v>
      </c>
      <c r="C6" s="5">
        <v>-2.04E8</v>
      </c>
      <c r="D6" s="6">
        <f t="shared" ref="D6:D8" si="8">C6*0.02</f>
        <v>-4080000</v>
      </c>
      <c r="E6" s="6">
        <f>D6*1.1</f>
        <v>-4488000</v>
      </c>
      <c r="F6" s="6">
        <f t="shared" ref="F6:N6" si="7">E6*1.02</f>
        <v>-4577760</v>
      </c>
      <c r="G6" s="6">
        <f t="shared" si="7"/>
        <v>-4669315.2</v>
      </c>
      <c r="H6" s="6">
        <f t="shared" si="7"/>
        <v>-4762701.504</v>
      </c>
      <c r="I6" s="6">
        <f t="shared" si="7"/>
        <v>-4857955.534</v>
      </c>
      <c r="J6" s="6">
        <f t="shared" si="7"/>
        <v>-4955114.645</v>
      </c>
      <c r="K6" s="6">
        <f t="shared" si="7"/>
        <v>-5054216.938</v>
      </c>
      <c r="L6" s="6">
        <f t="shared" si="7"/>
        <v>-5155301.276</v>
      </c>
      <c r="M6" s="6">
        <f t="shared" si="7"/>
        <v>-5258407.302</v>
      </c>
      <c r="N6" s="6">
        <f t="shared" si="7"/>
        <v>-5363575.448</v>
      </c>
    </row>
    <row r="7">
      <c r="A7" s="4"/>
      <c r="B7" s="4" t="s">
        <v>16</v>
      </c>
      <c r="C7" s="5">
        <v>-6.76E8</v>
      </c>
      <c r="D7" s="6">
        <f t="shared" si="8"/>
        <v>-13520000</v>
      </c>
      <c r="E7" s="6">
        <f>D7*1.2</f>
        <v>-16224000</v>
      </c>
      <c r="F7" s="6">
        <f t="shared" ref="F7:N7" si="9">E7*1.05</f>
        <v>-17035200</v>
      </c>
      <c r="G7" s="6">
        <f t="shared" si="9"/>
        <v>-17886960</v>
      </c>
      <c r="H7" s="6">
        <f t="shared" si="9"/>
        <v>-18781308</v>
      </c>
      <c r="I7" s="6">
        <f t="shared" si="9"/>
        <v>-19720373.4</v>
      </c>
      <c r="J7" s="6">
        <f t="shared" si="9"/>
        <v>-20706392.07</v>
      </c>
      <c r="K7" s="6">
        <f t="shared" si="9"/>
        <v>-21741711.67</v>
      </c>
      <c r="L7" s="6">
        <f t="shared" si="9"/>
        <v>-22828797.26</v>
      </c>
      <c r="M7" s="6">
        <f t="shared" si="9"/>
        <v>-23970237.12</v>
      </c>
      <c r="N7" s="6">
        <f t="shared" si="9"/>
        <v>-25168748.98</v>
      </c>
    </row>
    <row r="8">
      <c r="A8" s="4"/>
      <c r="B8" s="4" t="s">
        <v>17</v>
      </c>
      <c r="C8" s="5">
        <v>-3.48E8</v>
      </c>
      <c r="D8" s="6">
        <f t="shared" si="8"/>
        <v>-6960000</v>
      </c>
      <c r="E8" s="6">
        <f>D8-2000000</f>
        <v>-8960000</v>
      </c>
      <c r="F8" s="6">
        <f t="shared" ref="F8:N8" si="10">E8-500000</f>
        <v>-9460000</v>
      </c>
      <c r="G8" s="6">
        <f t="shared" si="10"/>
        <v>-9960000</v>
      </c>
      <c r="H8" s="6">
        <f t="shared" si="10"/>
        <v>-10460000</v>
      </c>
      <c r="I8" s="6">
        <f t="shared" si="10"/>
        <v>-10960000</v>
      </c>
      <c r="J8" s="6">
        <f t="shared" si="10"/>
        <v>-11460000</v>
      </c>
      <c r="K8" s="6">
        <f t="shared" si="10"/>
        <v>-11960000</v>
      </c>
      <c r="L8" s="6">
        <f t="shared" si="10"/>
        <v>-12460000</v>
      </c>
      <c r="M8" s="6">
        <f t="shared" si="10"/>
        <v>-12960000</v>
      </c>
      <c r="N8" s="6">
        <f t="shared" si="10"/>
        <v>-13460000</v>
      </c>
    </row>
    <row r="9">
      <c r="A9" s="4"/>
      <c r="B9" s="4" t="s">
        <v>18</v>
      </c>
      <c r="C9" s="5"/>
      <c r="D9" s="10"/>
      <c r="E9" s="11">
        <v>-1000000.0</v>
      </c>
      <c r="F9" s="11">
        <v>-1000000.0</v>
      </c>
      <c r="G9" s="11">
        <v>-1000000.0</v>
      </c>
      <c r="H9" s="11">
        <v>-1000000.0</v>
      </c>
      <c r="I9" s="11">
        <v>-1000000.0</v>
      </c>
      <c r="J9" s="11">
        <v>-1000000.0</v>
      </c>
      <c r="K9" s="11">
        <v>-1000000.0</v>
      </c>
      <c r="L9" s="11">
        <v>-1000000.0</v>
      </c>
      <c r="M9" s="11">
        <v>-1000000.0</v>
      </c>
      <c r="N9" s="11">
        <v>-1000000.0</v>
      </c>
    </row>
    <row r="10">
      <c r="A10" s="4"/>
      <c r="B10" s="4" t="s">
        <v>19</v>
      </c>
      <c r="C10" s="5"/>
      <c r="D10" s="10">
        <v>0.0</v>
      </c>
      <c r="E10" s="11">
        <v>-1200000.0</v>
      </c>
      <c r="F10" s="11">
        <v>-1200000.0</v>
      </c>
      <c r="G10" s="11">
        <v>-1200000.0</v>
      </c>
      <c r="H10" s="11">
        <v>-1000000.0</v>
      </c>
      <c r="I10" s="11">
        <v>-1000000.0</v>
      </c>
      <c r="J10" s="11">
        <v>-1000000.0</v>
      </c>
      <c r="K10" s="11">
        <v>-1000000.0</v>
      </c>
      <c r="L10" s="11">
        <v>-1000000.0</v>
      </c>
      <c r="M10" s="11">
        <v>-1000000.0</v>
      </c>
      <c r="N10" s="11">
        <v>-1000000.0</v>
      </c>
    </row>
    <row r="11">
      <c r="A11" s="7"/>
      <c r="B11" s="7" t="s">
        <v>20</v>
      </c>
      <c r="C11" s="13">
        <v>3.81E8</v>
      </c>
      <c r="D11" s="9">
        <f>D5+D6+D7+D8+D10</f>
        <v>7620000</v>
      </c>
      <c r="E11" s="9">
        <f t="shared" ref="E11:N11" si="11">SUM(E5:E10)</f>
        <v>-1550000</v>
      </c>
      <c r="F11" s="9">
        <f t="shared" si="11"/>
        <v>-1161460</v>
      </c>
      <c r="G11" s="9">
        <f t="shared" si="11"/>
        <v>830867</v>
      </c>
      <c r="H11" s="9">
        <f t="shared" si="11"/>
        <v>1320489.806</v>
      </c>
      <c r="I11" s="9">
        <f t="shared" si="11"/>
        <v>3708475.841</v>
      </c>
      <c r="J11" s="9">
        <f t="shared" si="11"/>
        <v>6387644.433</v>
      </c>
      <c r="K11" s="9">
        <f t="shared" si="11"/>
        <v>10559689.94</v>
      </c>
      <c r="L11" s="9">
        <f t="shared" si="11"/>
        <v>11437300.94</v>
      </c>
      <c r="M11" s="9">
        <f t="shared" si="11"/>
        <v>12386825.03</v>
      </c>
      <c r="N11" s="9">
        <f t="shared" si="11"/>
        <v>13411918.5</v>
      </c>
    </row>
    <row r="12">
      <c r="A12" s="4"/>
      <c r="B12" s="4" t="s">
        <v>21</v>
      </c>
      <c r="C12" s="5">
        <v>-1000000.0</v>
      </c>
      <c r="D12" s="10">
        <v>-1000000.0</v>
      </c>
      <c r="E12" s="10">
        <v>-1000000.0</v>
      </c>
      <c r="F12" s="10">
        <v>-1000000.0</v>
      </c>
      <c r="G12" s="10">
        <v>-1000000.0</v>
      </c>
      <c r="H12" s="10">
        <v>-1000000.0</v>
      </c>
      <c r="I12" s="10">
        <v>-1000000.0</v>
      </c>
      <c r="J12" s="10">
        <v>-1000000.0</v>
      </c>
      <c r="K12" s="10">
        <v>-1000000.0</v>
      </c>
      <c r="L12" s="10">
        <v>-1000000.0</v>
      </c>
      <c r="M12" s="10">
        <v>-1000000.0</v>
      </c>
      <c r="N12" s="10">
        <v>-1000000.0</v>
      </c>
    </row>
    <row r="13">
      <c r="A13" s="1"/>
      <c r="B13" s="1" t="s">
        <v>22</v>
      </c>
      <c r="C13" s="13">
        <f t="shared" ref="C13:N13" si="12">C11+C12</f>
        <v>380000000</v>
      </c>
      <c r="D13" s="14">
        <f t="shared" si="12"/>
        <v>6620000</v>
      </c>
      <c r="E13" s="14">
        <f t="shared" si="12"/>
        <v>-2550000</v>
      </c>
      <c r="F13" s="14">
        <f t="shared" si="12"/>
        <v>-2161460</v>
      </c>
      <c r="G13" s="14">
        <f t="shared" si="12"/>
        <v>-169133</v>
      </c>
      <c r="H13" s="14">
        <f t="shared" si="12"/>
        <v>320489.806</v>
      </c>
      <c r="I13" s="14">
        <f t="shared" si="12"/>
        <v>2708475.841</v>
      </c>
      <c r="J13" s="14">
        <f t="shared" si="12"/>
        <v>5387644.433</v>
      </c>
      <c r="K13" s="14">
        <f t="shared" si="12"/>
        <v>9559689.939</v>
      </c>
      <c r="L13" s="14">
        <f t="shared" si="12"/>
        <v>10437300.94</v>
      </c>
      <c r="M13" s="14">
        <f t="shared" si="12"/>
        <v>11386825.03</v>
      </c>
      <c r="N13" s="14">
        <f t="shared" si="12"/>
        <v>12411918.5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17.13"/>
    <col customWidth="1" min="6" max="6" width="25.0"/>
  </cols>
  <sheetData>
    <row r="1">
      <c r="A1" s="7" t="s">
        <v>28</v>
      </c>
      <c r="B1" s="8"/>
      <c r="G1" s="5"/>
    </row>
    <row r="2">
      <c r="B2" s="1" t="s">
        <v>0</v>
      </c>
      <c r="C2" s="1">
        <v>2019.0</v>
      </c>
      <c r="F2" s="7" t="s">
        <v>57</v>
      </c>
      <c r="G2" s="8"/>
    </row>
    <row r="3">
      <c r="A3" s="4" t="s">
        <v>12</v>
      </c>
      <c r="B3" s="5">
        <v>4.23E9</v>
      </c>
      <c r="C3" s="5">
        <v>4.23E9</v>
      </c>
      <c r="G3" s="1" t="s">
        <v>0</v>
      </c>
      <c r="H3" s="4">
        <v>2019.0</v>
      </c>
      <c r="I3" s="4">
        <v>2020.0</v>
      </c>
      <c r="J3" s="4">
        <v>2021.0</v>
      </c>
      <c r="K3" s="4">
        <v>2022.0</v>
      </c>
      <c r="L3" s="4">
        <v>2023.0</v>
      </c>
    </row>
    <row r="4">
      <c r="A4" s="4" t="s">
        <v>13</v>
      </c>
      <c r="B4" s="5">
        <v>-2.621E9</v>
      </c>
      <c r="C4" s="5">
        <v>-2.621E9</v>
      </c>
      <c r="F4" s="4" t="s">
        <v>12</v>
      </c>
      <c r="G4" s="5">
        <v>4.23E9</v>
      </c>
      <c r="H4" s="21">
        <f t="shared" ref="H4:L4" si="1">G4*1.03</f>
        <v>4356900000</v>
      </c>
      <c r="I4" s="21">
        <f t="shared" si="1"/>
        <v>4487607000</v>
      </c>
      <c r="J4" s="21">
        <f t="shared" si="1"/>
        <v>4622235210</v>
      </c>
      <c r="K4" s="21">
        <f t="shared" si="1"/>
        <v>4760902266</v>
      </c>
      <c r="L4" s="21">
        <f t="shared" si="1"/>
        <v>4903729334</v>
      </c>
    </row>
    <row r="5">
      <c r="A5" s="7" t="s">
        <v>14</v>
      </c>
      <c r="B5" s="8">
        <f t="shared" ref="B5:C5" si="2">B3+B4</f>
        <v>1609000000</v>
      </c>
      <c r="C5" s="8">
        <f t="shared" si="2"/>
        <v>1609000000</v>
      </c>
      <c r="F5" s="4" t="s">
        <v>13</v>
      </c>
      <c r="G5" s="5">
        <v>-2.621E9</v>
      </c>
      <c r="H5" s="21">
        <f t="shared" ref="H5:L5" si="3">G5*1.03</f>
        <v>-2699630000</v>
      </c>
      <c r="I5" s="21">
        <f t="shared" si="3"/>
        <v>-2780618900</v>
      </c>
      <c r="J5" s="21">
        <f t="shared" si="3"/>
        <v>-2864037467</v>
      </c>
      <c r="K5" s="21">
        <f t="shared" si="3"/>
        <v>-2949958591</v>
      </c>
      <c r="L5" s="21">
        <f t="shared" si="3"/>
        <v>-3038457349</v>
      </c>
    </row>
    <row r="6">
      <c r="A6" s="4" t="s">
        <v>15</v>
      </c>
      <c r="B6" s="5">
        <v>-2.04E8</v>
      </c>
      <c r="C6" s="5">
        <f>-204000000*0.8</f>
        <v>-163200000</v>
      </c>
      <c r="F6" s="7" t="s">
        <v>14</v>
      </c>
      <c r="G6" s="8">
        <f t="shared" ref="G6:L6" si="4">G4+G5</f>
        <v>1609000000</v>
      </c>
      <c r="H6" s="22">
        <f t="shared" si="4"/>
        <v>1657270000</v>
      </c>
      <c r="I6" s="22">
        <f t="shared" si="4"/>
        <v>1706988100</v>
      </c>
      <c r="J6" s="22">
        <f t="shared" si="4"/>
        <v>1758197743</v>
      </c>
      <c r="K6" s="22">
        <f t="shared" si="4"/>
        <v>1810943675</v>
      </c>
      <c r="L6" s="22">
        <f t="shared" si="4"/>
        <v>1865271986</v>
      </c>
    </row>
    <row r="7">
      <c r="A7" s="4" t="s">
        <v>16</v>
      </c>
      <c r="B7" s="5">
        <v>-6.76E8</v>
      </c>
      <c r="C7" s="5">
        <f>-676000000*0.8</f>
        <v>-540800000</v>
      </c>
      <c r="F7" s="4" t="s">
        <v>15</v>
      </c>
      <c r="G7" s="5">
        <v>-2.04E8</v>
      </c>
      <c r="H7" s="5">
        <v>-2.04E8</v>
      </c>
      <c r="I7" s="5">
        <f t="shared" ref="I7:L7" si="5">-204000000*1.03</f>
        <v>-210120000</v>
      </c>
      <c r="J7" s="5">
        <f t="shared" si="5"/>
        <v>-210120000</v>
      </c>
      <c r="K7" s="5">
        <f t="shared" si="5"/>
        <v>-210120000</v>
      </c>
      <c r="L7" s="5">
        <f t="shared" si="5"/>
        <v>-210120000</v>
      </c>
    </row>
    <row r="8">
      <c r="A8" s="4" t="s">
        <v>17</v>
      </c>
      <c r="B8" s="5">
        <v>-3.48E8</v>
      </c>
      <c r="C8" s="5">
        <f>-348000000*0.8</f>
        <v>-278400000</v>
      </c>
      <c r="F8" s="4" t="s">
        <v>16</v>
      </c>
      <c r="G8" s="5">
        <v>-6.76E8</v>
      </c>
      <c r="H8" s="21">
        <f t="shared" ref="H8:L8" si="6">(G8)-((H4-G4)*0.15)</f>
        <v>-695035000</v>
      </c>
      <c r="I8" s="21">
        <f t="shared" si="6"/>
        <v>-714641050</v>
      </c>
      <c r="J8" s="21">
        <f t="shared" si="6"/>
        <v>-734835281.5</v>
      </c>
      <c r="K8" s="21">
        <f t="shared" si="6"/>
        <v>-755635339.9</v>
      </c>
      <c r="L8" s="21">
        <f t="shared" si="6"/>
        <v>-777059400.1</v>
      </c>
    </row>
    <row r="9">
      <c r="A9" s="4" t="s">
        <v>58</v>
      </c>
      <c r="B9" s="5"/>
      <c r="C9" s="38">
        <v>-12000.0</v>
      </c>
      <c r="F9" s="4" t="s">
        <v>17</v>
      </c>
      <c r="G9" s="5">
        <v>-3.48E8</v>
      </c>
      <c r="H9" s="21">
        <f t="shared" ref="H9:L9" si="7">G9*1.05</f>
        <v>-365400000</v>
      </c>
      <c r="I9" s="21">
        <f t="shared" si="7"/>
        <v>-383670000</v>
      </c>
      <c r="J9" s="21">
        <f t="shared" si="7"/>
        <v>-402853500</v>
      </c>
      <c r="K9" s="21">
        <f t="shared" si="7"/>
        <v>-422996175</v>
      </c>
      <c r="L9" s="21">
        <f t="shared" si="7"/>
        <v>-444145983.8</v>
      </c>
    </row>
    <row r="10">
      <c r="A10" s="4" t="s">
        <v>59</v>
      </c>
      <c r="B10" s="5"/>
      <c r="C10" s="38">
        <v>-12000.0</v>
      </c>
      <c r="F10" s="4" t="s">
        <v>29</v>
      </c>
      <c r="G10" s="5"/>
      <c r="H10" s="5">
        <f t="shared" ref="H10:L10" si="8">-1000000+$C$9</f>
        <v>-1012000</v>
      </c>
      <c r="I10" s="5">
        <f t="shared" si="8"/>
        <v>-1012000</v>
      </c>
      <c r="J10" s="5">
        <f t="shared" si="8"/>
        <v>-1012000</v>
      </c>
      <c r="K10" s="5">
        <f t="shared" si="8"/>
        <v>-1012000</v>
      </c>
      <c r="L10" s="5">
        <f t="shared" si="8"/>
        <v>-1012000</v>
      </c>
    </row>
    <row r="11">
      <c r="A11" s="4" t="s">
        <v>60</v>
      </c>
      <c r="B11" s="5"/>
      <c r="C11" s="4">
        <v>-3000.0</v>
      </c>
      <c r="F11" s="4" t="s">
        <v>61</v>
      </c>
      <c r="G11" s="5"/>
      <c r="H11" s="5">
        <f t="shared" ref="H11:L11" si="9">-2000000+$C$11</f>
        <v>-2003000</v>
      </c>
      <c r="I11" s="5">
        <f t="shared" si="9"/>
        <v>-2003000</v>
      </c>
      <c r="J11" s="5">
        <f t="shared" si="9"/>
        <v>-2003000</v>
      </c>
      <c r="K11" s="5">
        <f t="shared" si="9"/>
        <v>-2003000</v>
      </c>
      <c r="L11" s="5">
        <f t="shared" si="9"/>
        <v>-2003000</v>
      </c>
    </row>
    <row r="12">
      <c r="A12" s="4" t="s">
        <v>18</v>
      </c>
      <c r="B12" s="5"/>
      <c r="C12" s="38">
        <v>-40000.0</v>
      </c>
      <c r="F12" s="4" t="s">
        <v>62</v>
      </c>
      <c r="G12" s="5"/>
      <c r="H12" s="5">
        <f t="shared" ref="H12:L12" si="10">-50000+$C$10</f>
        <v>-62000</v>
      </c>
      <c r="I12" s="5">
        <f t="shared" si="10"/>
        <v>-62000</v>
      </c>
      <c r="J12" s="5">
        <f t="shared" si="10"/>
        <v>-62000</v>
      </c>
      <c r="K12" s="5">
        <f t="shared" si="10"/>
        <v>-62000</v>
      </c>
      <c r="L12" s="5">
        <f t="shared" si="10"/>
        <v>-62000</v>
      </c>
    </row>
    <row r="13">
      <c r="A13" s="7" t="s">
        <v>20</v>
      </c>
      <c r="B13" s="13">
        <v>3.81E8</v>
      </c>
      <c r="C13" s="22">
        <f>C5-SUM(C6:C12)</f>
        <v>2591467000</v>
      </c>
      <c r="F13" s="4" t="s">
        <v>18</v>
      </c>
      <c r="G13" s="5"/>
      <c r="H13" s="5">
        <f t="shared" ref="H13:L13" si="11">-1000000+$C$12</f>
        <v>-1040000</v>
      </c>
      <c r="I13" s="5">
        <f t="shared" si="11"/>
        <v>-1040000</v>
      </c>
      <c r="J13" s="5">
        <f t="shared" si="11"/>
        <v>-1040000</v>
      </c>
      <c r="K13" s="5">
        <f t="shared" si="11"/>
        <v>-1040000</v>
      </c>
      <c r="L13" s="5">
        <f t="shared" si="11"/>
        <v>-1040000</v>
      </c>
    </row>
    <row r="14">
      <c r="A14" s="4" t="s">
        <v>21</v>
      </c>
      <c r="B14" s="5">
        <v>-1000000.0</v>
      </c>
      <c r="C14" s="5">
        <v>-1000000.0</v>
      </c>
      <c r="F14" s="7" t="s">
        <v>20</v>
      </c>
      <c r="G14" s="13">
        <v>3.81E8</v>
      </c>
      <c r="H14" s="22">
        <f t="shared" ref="H14:L14" si="12">SUM(H6:H13)</f>
        <v>388718000</v>
      </c>
      <c r="I14" s="22">
        <f t="shared" si="12"/>
        <v>394440050</v>
      </c>
      <c r="J14" s="22">
        <f t="shared" si="12"/>
        <v>406271961.5</v>
      </c>
      <c r="K14" s="22">
        <f t="shared" si="12"/>
        <v>418075160.3</v>
      </c>
      <c r="L14" s="22">
        <f t="shared" si="12"/>
        <v>429829601.7</v>
      </c>
    </row>
    <row r="15">
      <c r="A15" s="1" t="s">
        <v>22</v>
      </c>
      <c r="B15" s="13">
        <f>B13+B14</f>
        <v>380000000</v>
      </c>
      <c r="C15" s="22">
        <f>C13-C14</f>
        <v>2592467000</v>
      </c>
      <c r="F15" s="4" t="s">
        <v>21</v>
      </c>
      <c r="G15" s="5">
        <v>-1000000.0</v>
      </c>
      <c r="H15" s="5">
        <v>-1000000.0</v>
      </c>
      <c r="I15" s="5">
        <v>-1000000.0</v>
      </c>
      <c r="J15" s="5">
        <v>-1000000.0</v>
      </c>
      <c r="K15" s="5">
        <v>-1000000.0</v>
      </c>
      <c r="L15" s="5">
        <v>-1000000.0</v>
      </c>
    </row>
    <row r="16">
      <c r="F16" s="1" t="s">
        <v>22</v>
      </c>
      <c r="G16" s="13">
        <f t="shared" ref="G16:L16" si="13">G14+G15</f>
        <v>380000000</v>
      </c>
      <c r="H16" s="21">
        <f t="shared" si="13"/>
        <v>387718000</v>
      </c>
      <c r="I16" s="21">
        <f t="shared" si="13"/>
        <v>393440050</v>
      </c>
      <c r="J16" s="21">
        <f t="shared" si="13"/>
        <v>405271961.5</v>
      </c>
      <c r="K16" s="21">
        <f t="shared" si="13"/>
        <v>417075160.3</v>
      </c>
      <c r="L16" s="21">
        <f t="shared" si="13"/>
        <v>428829601.7</v>
      </c>
    </row>
    <row r="17">
      <c r="A17" s="4" t="s">
        <v>63</v>
      </c>
      <c r="B17" s="5">
        <v>3000.0</v>
      </c>
      <c r="H17" s="23">
        <f t="shared" ref="H17:L17" si="14">(H5+SUM(H7:H13))-(G5+SUM(G7:G13))</f>
        <v>-119182000</v>
      </c>
      <c r="I17" s="23">
        <f t="shared" si="14"/>
        <v>-124984950</v>
      </c>
      <c r="J17" s="23">
        <f t="shared" si="14"/>
        <v>-122796298.5</v>
      </c>
      <c r="K17" s="23">
        <f t="shared" si="14"/>
        <v>-126863857.5</v>
      </c>
      <c r="L17" s="23">
        <f t="shared" si="14"/>
        <v>-131072626.7</v>
      </c>
    </row>
    <row r="18">
      <c r="A18" s="4" t="s">
        <v>59</v>
      </c>
      <c r="B18" s="4" t="s">
        <v>64</v>
      </c>
      <c r="F18" s="4" t="s">
        <v>32</v>
      </c>
      <c r="G18" s="24"/>
      <c r="H18" s="12">
        <f t="shared" ref="H18:L18" si="15">(H4-G4+H17)/H17*-1</f>
        <v>0.06475810106</v>
      </c>
      <c r="I18" s="12">
        <f t="shared" si="15"/>
        <v>0.04578191214</v>
      </c>
      <c r="J18" s="12">
        <f t="shared" si="15"/>
        <v>0.0963539752</v>
      </c>
      <c r="K18" s="12">
        <f t="shared" si="15"/>
        <v>0.09303830958</v>
      </c>
      <c r="L18" s="12">
        <f t="shared" si="15"/>
        <v>0.08967884148</v>
      </c>
    </row>
    <row r="19">
      <c r="A19" s="4" t="s">
        <v>58</v>
      </c>
      <c r="B19" s="4" t="s">
        <v>64</v>
      </c>
    </row>
    <row r="20">
      <c r="A20" s="4" t="s">
        <v>18</v>
      </c>
      <c r="B20" s="4" t="s">
        <v>65</v>
      </c>
    </row>
    <row r="21">
      <c r="B21" s="38"/>
      <c r="H21" s="12">
        <f>average(H18:L18)</f>
        <v>0.07792222789</v>
      </c>
    </row>
  </sheetData>
  <drawing r:id="rId1"/>
</worksheet>
</file>