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bangli/Desktop/REPO/rent-or-buy.homes/reference/"/>
    </mc:Choice>
  </mc:AlternateContent>
  <xr:revisionPtr revIDLastSave="0" documentId="13_ncr:1_{4DFE841B-6911-1947-8D2E-5ED4795B20BF}" xr6:coauthVersionLast="47" xr6:coauthVersionMax="47" xr10:uidLastSave="{00000000-0000-0000-0000-000000000000}"/>
  <bookViews>
    <workbookView xWindow="17760" yWindow="500" windowWidth="42400" windowHeight="29820" xr2:uid="{4FAA1B2D-A5BE-A648-AE57-B290D09E1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7" i="1"/>
  <c r="M36" i="1"/>
  <c r="O36" i="1"/>
  <c r="N36" i="1" s="1"/>
  <c r="S36" i="1"/>
  <c r="M37" i="1"/>
  <c r="O37" i="1"/>
  <c r="N37" i="1" s="1"/>
  <c r="S37" i="1"/>
  <c r="M38" i="1"/>
  <c r="O38" i="1"/>
  <c r="N38" i="1" s="1"/>
  <c r="S38" i="1"/>
  <c r="M39" i="1"/>
  <c r="O39" i="1"/>
  <c r="N39" i="1" s="1"/>
  <c r="S39" i="1"/>
  <c r="M40" i="1"/>
  <c r="O40" i="1"/>
  <c r="S40" i="1"/>
  <c r="M41" i="1"/>
  <c r="O41" i="1"/>
  <c r="N41" i="1" s="1"/>
  <c r="S41" i="1"/>
  <c r="M42" i="1"/>
  <c r="O42" i="1"/>
  <c r="N42" i="1" s="1"/>
  <c r="S42" i="1"/>
  <c r="M43" i="1"/>
  <c r="O43" i="1"/>
  <c r="N43" i="1" s="1"/>
  <c r="S43" i="1"/>
  <c r="Z43" i="1"/>
  <c r="M44" i="1"/>
  <c r="O44" i="1"/>
  <c r="N44" i="1" s="1"/>
  <c r="S44" i="1"/>
  <c r="M45" i="1"/>
  <c r="O45" i="1"/>
  <c r="N45" i="1" s="1"/>
  <c r="S45" i="1"/>
  <c r="D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6" i="1"/>
  <c r="C21" i="1"/>
  <c r="L11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35" i="1"/>
  <c r="N35" i="1" s="1"/>
  <c r="O6" i="1"/>
  <c r="N6" i="1" s="1"/>
  <c r="Z6" i="1" l="1"/>
  <c r="Z26" i="1"/>
  <c r="Z16" i="1"/>
  <c r="Z25" i="1"/>
  <c r="Z39" i="1"/>
  <c r="Z35" i="1"/>
  <c r="Z42" i="1"/>
  <c r="Z15" i="1"/>
  <c r="Z24" i="1"/>
  <c r="Z13" i="1"/>
  <c r="Z11" i="1"/>
  <c r="Z14" i="1"/>
  <c r="Z33" i="1"/>
  <c r="Z22" i="1"/>
  <c r="Z21" i="1"/>
  <c r="Z30" i="1"/>
  <c r="Z20" i="1"/>
  <c r="Z10" i="1"/>
  <c r="Z29" i="1"/>
  <c r="Z19" i="1"/>
  <c r="Z9" i="1"/>
  <c r="Z28" i="1"/>
  <c r="Z18" i="1"/>
  <c r="Z8" i="1"/>
  <c r="Z34" i="1"/>
  <c r="Z23" i="1"/>
  <c r="Z32" i="1"/>
  <c r="Z12" i="1"/>
  <c r="Z31" i="1"/>
  <c r="Z27" i="1"/>
  <c r="Z17" i="1"/>
  <c r="Z7" i="1"/>
  <c r="L45" i="1"/>
  <c r="R45" i="1" s="1"/>
  <c r="L38" i="1"/>
  <c r="R38" i="1" s="1"/>
  <c r="L43" i="1"/>
  <c r="R43" i="1" s="1"/>
  <c r="L41" i="1"/>
  <c r="J41" i="1" s="1"/>
  <c r="L39" i="1"/>
  <c r="L44" i="1"/>
  <c r="R44" i="1" s="1"/>
  <c r="L37" i="1"/>
  <c r="J37" i="1" s="1"/>
  <c r="L42" i="1"/>
  <c r="L40" i="1"/>
  <c r="R40" i="1" s="1"/>
  <c r="L36" i="1"/>
  <c r="J36" i="1" s="1"/>
  <c r="N40" i="1"/>
  <c r="Z38" i="1"/>
  <c r="J43" i="1"/>
  <c r="K43" i="1" s="1"/>
  <c r="T43" i="1" s="1"/>
  <c r="Z37" i="1"/>
  <c r="Z36" i="1"/>
  <c r="Z45" i="1"/>
  <c r="Z44" i="1"/>
  <c r="Z41" i="1"/>
  <c r="Z40" i="1"/>
  <c r="M20" i="1"/>
  <c r="M30" i="1"/>
  <c r="M10" i="1"/>
  <c r="M34" i="1"/>
  <c r="M29" i="1"/>
  <c r="M24" i="1"/>
  <c r="M19" i="1"/>
  <c r="M14" i="1"/>
  <c r="M9" i="1"/>
  <c r="M25" i="1"/>
  <c r="M35" i="1"/>
  <c r="M15" i="1"/>
  <c r="M6" i="1"/>
  <c r="M18" i="1"/>
  <c r="M33" i="1"/>
  <c r="M13" i="1"/>
  <c r="L30" i="1"/>
  <c r="M31" i="1"/>
  <c r="M16" i="1"/>
  <c r="M11" i="1"/>
  <c r="R11" i="1" s="1"/>
  <c r="M23" i="1"/>
  <c r="L20" i="1"/>
  <c r="M8" i="1"/>
  <c r="L10" i="1"/>
  <c r="M21" i="1"/>
  <c r="M28" i="1"/>
  <c r="M27" i="1"/>
  <c r="M17" i="1"/>
  <c r="M12" i="1"/>
  <c r="M7" i="1"/>
  <c r="M26" i="1"/>
  <c r="M32" i="1"/>
  <c r="M22" i="1"/>
  <c r="J11" i="1"/>
  <c r="L29" i="1"/>
  <c r="L19" i="1"/>
  <c r="L9" i="1"/>
  <c r="L28" i="1"/>
  <c r="L18" i="1"/>
  <c r="L8" i="1"/>
  <c r="L27" i="1"/>
  <c r="L17" i="1"/>
  <c r="L7" i="1"/>
  <c r="L6" i="1"/>
  <c r="L26" i="1"/>
  <c r="L16" i="1"/>
  <c r="L35" i="1"/>
  <c r="L25" i="1"/>
  <c r="L15" i="1"/>
  <c r="L34" i="1"/>
  <c r="L24" i="1"/>
  <c r="L14" i="1"/>
  <c r="L33" i="1"/>
  <c r="L23" i="1"/>
  <c r="L13" i="1"/>
  <c r="L32" i="1"/>
  <c r="L22" i="1"/>
  <c r="L12" i="1"/>
  <c r="L31" i="1"/>
  <c r="L21" i="1"/>
  <c r="R36" i="1" l="1"/>
  <c r="J38" i="1"/>
  <c r="K38" i="1" s="1"/>
  <c r="T38" i="1" s="1"/>
  <c r="J45" i="1"/>
  <c r="K45" i="1" s="1"/>
  <c r="T45" i="1" s="1"/>
  <c r="R6" i="1"/>
  <c r="P37" i="1"/>
  <c r="J40" i="1"/>
  <c r="K40" i="1" s="1"/>
  <c r="T40" i="1" s="1"/>
  <c r="R37" i="1"/>
  <c r="K37" i="1" s="1"/>
  <c r="T37" i="1" s="1"/>
  <c r="P44" i="1"/>
  <c r="K36" i="1"/>
  <c r="T36" i="1" s="1"/>
  <c r="Q40" i="1"/>
  <c r="Q39" i="1"/>
  <c r="P43" i="1"/>
  <c r="P36" i="1"/>
  <c r="Q38" i="1"/>
  <c r="P38" i="1"/>
  <c r="R41" i="1"/>
  <c r="K41" i="1" s="1"/>
  <c r="T41" i="1" s="1"/>
  <c r="Q45" i="1"/>
  <c r="J44" i="1"/>
  <c r="K44" i="1" s="1"/>
  <c r="T44" i="1" s="1"/>
  <c r="Q41" i="1"/>
  <c r="P39" i="1"/>
  <c r="R42" i="1"/>
  <c r="J42" i="1"/>
  <c r="P42" i="1"/>
  <c r="Q36" i="1"/>
  <c r="P45" i="1"/>
  <c r="Q43" i="1"/>
  <c r="P40" i="1"/>
  <c r="P41" i="1"/>
  <c r="Q44" i="1"/>
  <c r="Q37" i="1"/>
  <c r="R39" i="1"/>
  <c r="J39" i="1"/>
  <c r="Q42" i="1"/>
  <c r="Q7" i="1"/>
  <c r="Q17" i="1"/>
  <c r="Q27" i="1"/>
  <c r="Q29" i="1"/>
  <c r="Q10" i="1"/>
  <c r="Q31" i="1"/>
  <c r="Q32" i="1"/>
  <c r="Q13" i="1"/>
  <c r="Q14" i="1"/>
  <c r="Q35" i="1"/>
  <c r="Q6" i="1"/>
  <c r="Q8" i="1"/>
  <c r="Q18" i="1"/>
  <c r="Q28" i="1"/>
  <c r="Q19" i="1"/>
  <c r="Q30" i="1"/>
  <c r="Q11" i="1"/>
  <c r="Q22" i="1"/>
  <c r="Q33" i="1"/>
  <c r="Q34" i="1"/>
  <c r="Q15" i="1"/>
  <c r="Q9" i="1"/>
  <c r="Q20" i="1"/>
  <c r="Q21" i="1"/>
  <c r="Q12" i="1"/>
  <c r="Q23" i="1"/>
  <c r="Q24" i="1"/>
  <c r="Q25" i="1"/>
  <c r="Q26" i="1"/>
  <c r="Q16" i="1"/>
  <c r="J31" i="1"/>
  <c r="R31" i="1"/>
  <c r="J15" i="1"/>
  <c r="R15" i="1"/>
  <c r="J18" i="1"/>
  <c r="R18" i="1"/>
  <c r="J30" i="1"/>
  <c r="R30" i="1"/>
  <c r="J23" i="1"/>
  <c r="R23" i="1"/>
  <c r="K11" i="1"/>
  <c r="T11" i="1" s="1"/>
  <c r="J10" i="1"/>
  <c r="R10" i="1"/>
  <c r="J33" i="1"/>
  <c r="R33" i="1"/>
  <c r="J7" i="1"/>
  <c r="R7" i="1"/>
  <c r="J14" i="1"/>
  <c r="R14" i="1"/>
  <c r="J17" i="1"/>
  <c r="R17" i="1"/>
  <c r="J20" i="1"/>
  <c r="R20" i="1"/>
  <c r="J22" i="1"/>
  <c r="R22" i="1"/>
  <c r="J35" i="1"/>
  <c r="R35" i="1"/>
  <c r="J9" i="1"/>
  <c r="R9" i="1"/>
  <c r="J13" i="1"/>
  <c r="R13" i="1"/>
  <c r="J26" i="1"/>
  <c r="R26" i="1"/>
  <c r="J29" i="1"/>
  <c r="R29" i="1"/>
  <c r="J24" i="1"/>
  <c r="R24" i="1"/>
  <c r="J27" i="1"/>
  <c r="R27" i="1"/>
  <c r="J12" i="1"/>
  <c r="R12" i="1"/>
  <c r="J25" i="1"/>
  <c r="R25" i="1"/>
  <c r="J28" i="1"/>
  <c r="R28" i="1"/>
  <c r="J32" i="1"/>
  <c r="R32" i="1"/>
  <c r="J16" i="1"/>
  <c r="R16" i="1"/>
  <c r="J19" i="1"/>
  <c r="R19" i="1"/>
  <c r="J21" i="1"/>
  <c r="R21" i="1"/>
  <c r="J34" i="1"/>
  <c r="R34" i="1"/>
  <c r="J8" i="1"/>
  <c r="R8" i="1"/>
  <c r="J6" i="1"/>
  <c r="P33" i="1"/>
  <c r="P9" i="1"/>
  <c r="P12" i="1"/>
  <c r="P19" i="1"/>
  <c r="P22" i="1"/>
  <c r="P29" i="1"/>
  <c r="P32" i="1"/>
  <c r="P15" i="1"/>
  <c r="P13" i="1"/>
  <c r="P10" i="1"/>
  <c r="P23" i="1"/>
  <c r="P20" i="1"/>
  <c r="P6" i="1"/>
  <c r="P16" i="1"/>
  <c r="P26" i="1"/>
  <c r="P8" i="1"/>
  <c r="P30" i="1"/>
  <c r="P14" i="1"/>
  <c r="P7" i="1"/>
  <c r="P18" i="1"/>
  <c r="P11" i="1"/>
  <c r="P24" i="1"/>
  <c r="P17" i="1"/>
  <c r="P28" i="1"/>
  <c r="P21" i="1"/>
  <c r="P34" i="1"/>
  <c r="P27" i="1"/>
  <c r="P31" i="1"/>
  <c r="P35" i="1"/>
  <c r="P25" i="1"/>
  <c r="K6" i="1" l="1"/>
  <c r="T6" i="1" s="1"/>
  <c r="K39" i="1"/>
  <c r="T39" i="1" s="1"/>
  <c r="K42" i="1"/>
  <c r="T42" i="1" s="1"/>
  <c r="K17" i="1"/>
  <c r="T17" i="1" s="1"/>
  <c r="K13" i="1"/>
  <c r="T13" i="1" s="1"/>
  <c r="K19" i="1"/>
  <c r="T19" i="1" s="1"/>
  <c r="K12" i="1"/>
  <c r="T12" i="1" s="1"/>
  <c r="K31" i="1"/>
  <c r="T31" i="1" s="1"/>
  <c r="K16" i="1"/>
  <c r="T16" i="1" s="1"/>
  <c r="K27" i="1"/>
  <c r="T27" i="1" s="1"/>
  <c r="K24" i="1"/>
  <c r="T24" i="1" s="1"/>
  <c r="K28" i="1"/>
  <c r="T28" i="1" s="1"/>
  <c r="K29" i="1"/>
  <c r="T29" i="1" s="1"/>
  <c r="K22" i="1"/>
  <c r="T22" i="1" s="1"/>
  <c r="K33" i="1"/>
  <c r="T33" i="1" s="1"/>
  <c r="K9" i="1"/>
  <c r="T9" i="1" s="1"/>
  <c r="K35" i="1"/>
  <c r="T35" i="1" s="1"/>
  <c r="K34" i="1"/>
  <c r="T34" i="1" s="1"/>
  <c r="K15" i="1"/>
  <c r="T15" i="1" s="1"/>
  <c r="K23" i="1"/>
  <c r="T23" i="1" s="1"/>
  <c r="K14" i="1"/>
  <c r="T14" i="1" s="1"/>
  <c r="K30" i="1"/>
  <c r="T30" i="1" s="1"/>
  <c r="K8" i="1"/>
  <c r="T8" i="1" s="1"/>
  <c r="K7" i="1"/>
  <c r="T7" i="1" s="1"/>
  <c r="K25" i="1"/>
  <c r="T25" i="1" s="1"/>
  <c r="K26" i="1"/>
  <c r="T26" i="1" s="1"/>
  <c r="K20" i="1"/>
  <c r="T20" i="1" s="1"/>
  <c r="K10" i="1"/>
  <c r="T10" i="1" s="1"/>
  <c r="K32" i="1"/>
  <c r="T32" i="1" s="1"/>
  <c r="K18" i="1"/>
  <c r="T18" i="1" s="1"/>
  <c r="K21" i="1"/>
  <c r="T21" i="1" s="1"/>
  <c r="V6" i="1"/>
  <c r="AD6" i="1" s="1"/>
  <c r="U6" i="1"/>
  <c r="W6" i="1" l="1"/>
  <c r="AA6" i="1"/>
  <c r="Y6" i="1" s="1"/>
  <c r="AB6" i="1"/>
  <c r="V7" i="1"/>
  <c r="U7" i="1"/>
  <c r="U8" i="1" l="1"/>
  <c r="W8" i="1" s="1"/>
  <c r="AA7" i="1"/>
  <c r="Y7" i="1" s="1"/>
  <c r="X6" i="1"/>
  <c r="W7" i="1"/>
  <c r="AB7" i="1"/>
  <c r="AD7" i="1"/>
  <c r="AC6" i="1"/>
  <c r="V8" i="1"/>
  <c r="AD8" i="1" s="1"/>
  <c r="X7" i="1" l="1"/>
  <c r="V9" i="1"/>
  <c r="AD9" i="1" s="1"/>
  <c r="AB8" i="1"/>
  <c r="AC8" i="1" s="1"/>
  <c r="U9" i="1"/>
  <c r="AA8" i="1"/>
  <c r="Y8" i="1" s="1"/>
  <c r="X8" i="1" s="1"/>
  <c r="AC7" i="1"/>
  <c r="AB9" i="1" l="1"/>
  <c r="AC9" i="1" s="1"/>
  <c r="V10" i="1"/>
  <c r="AD10" i="1" s="1"/>
  <c r="AA9" i="1"/>
  <c r="Y9" i="1" s="1"/>
  <c r="W9" i="1"/>
  <c r="U10" i="1"/>
  <c r="V11" i="1"/>
  <c r="AD11" i="1" s="1"/>
  <c r="AB10" i="1"/>
  <c r="AC10" i="1" l="1"/>
  <c r="AA10" i="1"/>
  <c r="Y10" i="1" s="1"/>
  <c r="U11" i="1"/>
  <c r="W10" i="1"/>
  <c r="X9" i="1"/>
  <c r="V12" i="1"/>
  <c r="AD12" i="1" s="1"/>
  <c r="AB11" i="1"/>
  <c r="AC11" i="1" s="1"/>
  <c r="X10" i="1" l="1"/>
  <c r="AA11" i="1"/>
  <c r="Y11" i="1" s="1"/>
  <c r="W11" i="1"/>
  <c r="U12" i="1"/>
  <c r="V13" i="1"/>
  <c r="AD13" i="1" s="1"/>
  <c r="AB12" i="1"/>
  <c r="AC12" i="1" s="1"/>
  <c r="X11" i="1" l="1"/>
  <c r="AA12" i="1"/>
  <c r="Y12" i="1" s="1"/>
  <c r="W12" i="1"/>
  <c r="U13" i="1"/>
  <c r="V14" i="1"/>
  <c r="AD14" i="1" s="1"/>
  <c r="AB13" i="1"/>
  <c r="AC13" i="1" s="1"/>
  <c r="AA13" i="1" l="1"/>
  <c r="Y13" i="1" s="1"/>
  <c r="U14" i="1"/>
  <c r="W13" i="1"/>
  <c r="X12" i="1"/>
  <c r="V15" i="1"/>
  <c r="AD15" i="1" s="1"/>
  <c r="AB14" i="1"/>
  <c r="AC14" i="1" s="1"/>
  <c r="X13" i="1" l="1"/>
  <c r="AA14" i="1"/>
  <c r="Y14" i="1" s="1"/>
  <c r="W14" i="1"/>
  <c r="U15" i="1"/>
  <c r="V16" i="1"/>
  <c r="AD16" i="1" s="1"/>
  <c r="AB15" i="1"/>
  <c r="AC15" i="1" s="1"/>
  <c r="X14" i="1" l="1"/>
  <c r="AA15" i="1"/>
  <c r="Y15" i="1" s="1"/>
  <c r="U16" i="1"/>
  <c r="W15" i="1"/>
  <c r="V17" i="1"/>
  <c r="AD17" i="1" s="1"/>
  <c r="AB16" i="1"/>
  <c r="AC16" i="1" s="1"/>
  <c r="AA16" i="1" l="1"/>
  <c r="Y16" i="1" s="1"/>
  <c r="U17" i="1"/>
  <c r="W16" i="1"/>
  <c r="X15" i="1"/>
  <c r="V18" i="1"/>
  <c r="AD18" i="1" s="1"/>
  <c r="AB17" i="1"/>
  <c r="AC17" i="1" s="1"/>
  <c r="X16" i="1" l="1"/>
  <c r="AA17" i="1"/>
  <c r="Y17" i="1" s="1"/>
  <c r="U18" i="1"/>
  <c r="W17" i="1"/>
  <c r="V19" i="1"/>
  <c r="AD19" i="1" s="1"/>
  <c r="AB18" i="1"/>
  <c r="AC18" i="1" s="1"/>
  <c r="X17" i="1" l="1"/>
  <c r="AA18" i="1"/>
  <c r="Y18" i="1" s="1"/>
  <c r="U19" i="1"/>
  <c r="W18" i="1"/>
  <c r="V20" i="1"/>
  <c r="AD20" i="1" s="1"/>
  <c r="AB19" i="1"/>
  <c r="AC19" i="1" s="1"/>
  <c r="X18" i="1" l="1"/>
  <c r="AA19" i="1"/>
  <c r="Y19" i="1" s="1"/>
  <c r="U20" i="1"/>
  <c r="W19" i="1"/>
  <c r="V21" i="1"/>
  <c r="AD21" i="1" s="1"/>
  <c r="AB20" i="1"/>
  <c r="AC20" i="1" s="1"/>
  <c r="X19" i="1" l="1"/>
  <c r="AA20" i="1"/>
  <c r="Y20" i="1" s="1"/>
  <c r="U21" i="1"/>
  <c r="W20" i="1"/>
  <c r="V22" i="1"/>
  <c r="AD22" i="1" s="1"/>
  <c r="AB21" i="1"/>
  <c r="AC21" i="1" s="1"/>
  <c r="X20" i="1" l="1"/>
  <c r="AA21" i="1"/>
  <c r="Y21" i="1" s="1"/>
  <c r="W21" i="1"/>
  <c r="U22" i="1"/>
  <c r="V23" i="1"/>
  <c r="AD23" i="1" s="1"/>
  <c r="AB22" i="1"/>
  <c r="AC22" i="1" s="1"/>
  <c r="AA22" i="1" l="1"/>
  <c r="Y22" i="1" s="1"/>
  <c r="U23" i="1"/>
  <c r="W22" i="1"/>
  <c r="X21" i="1"/>
  <c r="V24" i="1"/>
  <c r="AD24" i="1" s="1"/>
  <c r="AB23" i="1"/>
  <c r="AC23" i="1" s="1"/>
  <c r="X22" i="1" l="1"/>
  <c r="AA23" i="1"/>
  <c r="Y23" i="1" s="1"/>
  <c r="W23" i="1"/>
  <c r="U24" i="1"/>
  <c r="V25" i="1"/>
  <c r="AD25" i="1" s="1"/>
  <c r="AB24" i="1"/>
  <c r="AC24" i="1" s="1"/>
  <c r="X23" i="1" l="1"/>
  <c r="AA24" i="1"/>
  <c r="Y24" i="1" s="1"/>
  <c r="U25" i="1"/>
  <c r="W24" i="1"/>
  <c r="V26" i="1"/>
  <c r="AD26" i="1" s="1"/>
  <c r="AB25" i="1"/>
  <c r="AC25" i="1" s="1"/>
  <c r="X24" i="1" l="1"/>
  <c r="AA25" i="1"/>
  <c r="Y25" i="1" s="1"/>
  <c r="U26" i="1"/>
  <c r="W25" i="1"/>
  <c r="V27" i="1"/>
  <c r="AD27" i="1" s="1"/>
  <c r="AB26" i="1"/>
  <c r="AC26" i="1" s="1"/>
  <c r="X25" i="1" l="1"/>
  <c r="AA26" i="1"/>
  <c r="Y26" i="1" s="1"/>
  <c r="U27" i="1"/>
  <c r="W26" i="1"/>
  <c r="V28" i="1"/>
  <c r="AD28" i="1" s="1"/>
  <c r="AB27" i="1"/>
  <c r="AC27" i="1" s="1"/>
  <c r="X26" i="1" l="1"/>
  <c r="AA27" i="1"/>
  <c r="Y27" i="1" s="1"/>
  <c r="U28" i="1"/>
  <c r="W27" i="1"/>
  <c r="V29" i="1"/>
  <c r="AD29" i="1" s="1"/>
  <c r="AB28" i="1"/>
  <c r="AC28" i="1" s="1"/>
  <c r="X27" i="1" l="1"/>
  <c r="AA28" i="1"/>
  <c r="Y28" i="1" s="1"/>
  <c r="U29" i="1"/>
  <c r="W28" i="1"/>
  <c r="V30" i="1"/>
  <c r="AD30" i="1" s="1"/>
  <c r="AB29" i="1"/>
  <c r="AC29" i="1" s="1"/>
  <c r="X28" i="1" l="1"/>
  <c r="AA29" i="1"/>
  <c r="Y29" i="1" s="1"/>
  <c r="U30" i="1"/>
  <c r="W29" i="1"/>
  <c r="V31" i="1"/>
  <c r="AD31" i="1" s="1"/>
  <c r="AB30" i="1"/>
  <c r="AC30" i="1" s="1"/>
  <c r="X29" i="1" l="1"/>
  <c r="AA30" i="1"/>
  <c r="Y30" i="1" s="1"/>
  <c r="U31" i="1"/>
  <c r="W30" i="1"/>
  <c r="V32" i="1"/>
  <c r="AD32" i="1" s="1"/>
  <c r="AB31" i="1"/>
  <c r="AC31" i="1" s="1"/>
  <c r="X30" i="1" l="1"/>
  <c r="AA31" i="1"/>
  <c r="Y31" i="1" s="1"/>
  <c r="U32" i="1"/>
  <c r="W31" i="1"/>
  <c r="V33" i="1"/>
  <c r="AD33" i="1" s="1"/>
  <c r="AB32" i="1"/>
  <c r="AC32" i="1" s="1"/>
  <c r="X31" i="1" l="1"/>
  <c r="AA32" i="1"/>
  <c r="Y32" i="1" s="1"/>
  <c r="U33" i="1"/>
  <c r="W32" i="1"/>
  <c r="V34" i="1"/>
  <c r="AD34" i="1" s="1"/>
  <c r="AB33" i="1"/>
  <c r="AC33" i="1" s="1"/>
  <c r="X32" i="1" l="1"/>
  <c r="AA33" i="1"/>
  <c r="Y33" i="1" s="1"/>
  <c r="U34" i="1"/>
  <c r="W33" i="1"/>
  <c r="V35" i="1"/>
  <c r="V36" i="1" s="1"/>
  <c r="AB34" i="1"/>
  <c r="AC34" i="1" s="1"/>
  <c r="AD36" i="1" l="1"/>
  <c r="V37" i="1"/>
  <c r="AB36" i="1"/>
  <c r="X33" i="1"/>
  <c r="AA34" i="1"/>
  <c r="Y34" i="1" s="1"/>
  <c r="X34" i="1" s="1"/>
  <c r="U35" i="1"/>
  <c r="U36" i="1" s="1"/>
  <c r="W34" i="1"/>
  <c r="AB35" i="1"/>
  <c r="AD35" i="1"/>
  <c r="W36" i="1" l="1"/>
  <c r="U37" i="1"/>
  <c r="AA36" i="1"/>
  <c r="Y36" i="1" s="1"/>
  <c r="X36" i="1" s="1"/>
  <c r="AC36" i="1"/>
  <c r="AD37" i="1"/>
  <c r="V38" i="1"/>
  <c r="AB37" i="1"/>
  <c r="W35" i="1"/>
  <c r="AA35" i="1"/>
  <c r="Y35" i="1" s="1"/>
  <c r="AC35" i="1"/>
  <c r="AC37" i="1" l="1"/>
  <c r="AB38" i="1"/>
  <c r="V39" i="1"/>
  <c r="AD38" i="1"/>
  <c r="U38" i="1"/>
  <c r="W37" i="1"/>
  <c r="AA37" i="1"/>
  <c r="Y37" i="1" s="1"/>
  <c r="X35" i="1"/>
  <c r="X37" i="1" l="1"/>
  <c r="U39" i="1"/>
  <c r="AA38" i="1"/>
  <c r="Y38" i="1" s="1"/>
  <c r="W38" i="1"/>
  <c r="AB39" i="1"/>
  <c r="AD39" i="1"/>
  <c r="V40" i="1"/>
  <c r="AC38" i="1"/>
  <c r="AD40" i="1" l="1"/>
  <c r="AB40" i="1"/>
  <c r="V41" i="1"/>
  <c r="AC39" i="1"/>
  <c r="X38" i="1"/>
  <c r="U40" i="1"/>
  <c r="W39" i="1"/>
  <c r="AA39" i="1"/>
  <c r="Y39" i="1" s="1"/>
  <c r="X39" i="1" l="1"/>
  <c r="U41" i="1"/>
  <c r="W40" i="1"/>
  <c r="AA40" i="1"/>
  <c r="Y40" i="1" s="1"/>
  <c r="AB41" i="1"/>
  <c r="V42" i="1"/>
  <c r="AD41" i="1"/>
  <c r="AC40" i="1"/>
  <c r="AB42" i="1" l="1"/>
  <c r="AD42" i="1"/>
  <c r="V43" i="1"/>
  <c r="AC41" i="1"/>
  <c r="X40" i="1"/>
  <c r="AA41" i="1"/>
  <c r="Y41" i="1" s="1"/>
  <c r="W41" i="1"/>
  <c r="U42" i="1"/>
  <c r="U43" i="1" l="1"/>
  <c r="W42" i="1"/>
  <c r="AA42" i="1"/>
  <c r="Y42" i="1" s="1"/>
  <c r="X41" i="1"/>
  <c r="V44" i="1"/>
  <c r="AB43" i="1"/>
  <c r="AD43" i="1"/>
  <c r="AC42" i="1"/>
  <c r="AC43" i="1" l="1"/>
  <c r="V45" i="1"/>
  <c r="AB44" i="1"/>
  <c r="AD44" i="1"/>
  <c r="X42" i="1"/>
  <c r="AA43" i="1"/>
  <c r="Y43" i="1" s="1"/>
  <c r="U44" i="1"/>
  <c r="W43" i="1"/>
  <c r="X43" i="1" l="1"/>
  <c r="W44" i="1"/>
  <c r="U45" i="1"/>
  <c r="AA44" i="1"/>
  <c r="Y44" i="1" s="1"/>
  <c r="AC44" i="1"/>
  <c r="AD45" i="1"/>
  <c r="AB45" i="1"/>
  <c r="AC45" i="1" l="1"/>
  <c r="AA45" i="1"/>
  <c r="Y45" i="1" s="1"/>
  <c r="W45" i="1"/>
  <c r="X44" i="1"/>
  <c r="X45" i="1" l="1"/>
</calcChain>
</file>

<file path=xl/sharedStrings.xml><?xml version="1.0" encoding="utf-8"?>
<sst xmlns="http://schemas.openxmlformats.org/spreadsheetml/2006/main" count="51" uniqueCount="50">
  <si>
    <t>Mortage Interest Deduction</t>
  </si>
  <si>
    <t>Year</t>
  </si>
  <si>
    <t>Buy Cashflow</t>
  </si>
  <si>
    <t>Rent Cashflow</t>
  </si>
  <si>
    <t>Mortgage Paid</t>
  </si>
  <si>
    <t>Recurring Cost</t>
  </si>
  <si>
    <t>Home Value</t>
  </si>
  <si>
    <t>on Principal</t>
  </si>
  <si>
    <t>on Interest</t>
  </si>
  <si>
    <t>Principal Paid</t>
  </si>
  <si>
    <t>Home Equity</t>
  </si>
  <si>
    <t>Cash Diff (Invested $)</t>
  </si>
  <si>
    <t>Buy NW</t>
  </si>
  <si>
    <t>Buy NW (Cash Out)</t>
  </si>
  <si>
    <t>Rent NW</t>
  </si>
  <si>
    <t>Rent NW (Cash Out)</t>
  </si>
  <si>
    <t>Rent Investment Value</t>
  </si>
  <si>
    <t>Buy Investment Value</t>
  </si>
  <si>
    <t>BC after Tax Benefits</t>
  </si>
  <si>
    <t>Tax Benefits</t>
  </si>
  <si>
    <t>YES</t>
  </si>
  <si>
    <t>Remaining Principal</t>
  </si>
  <si>
    <t>Taxable Gain</t>
  </si>
  <si>
    <t>T. Gain from Home</t>
  </si>
  <si>
    <t>T. Gain from Inv</t>
  </si>
  <si>
    <t>OUTPUT&gt;&gt;</t>
  </si>
  <si>
    <t>INPUT&gt;&gt;</t>
  </si>
  <si>
    <t>BUY A HOME</t>
  </si>
  <si>
    <t>RENT A HOME and INVEST</t>
  </si>
  <si>
    <t>REF&gt;&gt;</t>
  </si>
  <si>
    <t>Month</t>
  </si>
  <si>
    <t>MONTHLY PAID MORTGAGE BREAKDOWN</t>
  </si>
  <si>
    <t>Mortgage Term (years)</t>
  </si>
  <si>
    <r>
      <t xml:space="preserve">Closing Costs </t>
    </r>
    <r>
      <rPr>
        <sz val="12"/>
        <color theme="0" tint="-0.249977111117893"/>
        <rFont val="Aptos Narrow (Body)"/>
      </rPr>
      <t>% of Home Value</t>
    </r>
  </si>
  <si>
    <r>
      <t xml:space="preserve">Selling Costs  </t>
    </r>
    <r>
      <rPr>
        <sz val="12"/>
        <color theme="0" tint="-0.249977111117893"/>
        <rFont val="Aptos Narrow (Body)"/>
      </rPr>
      <t>% of Home Value</t>
    </r>
  </si>
  <si>
    <r>
      <t xml:space="preserve">Property Tax Rate </t>
    </r>
    <r>
      <rPr>
        <sz val="12"/>
        <color theme="0" tint="-0.249977111117893"/>
        <rFont val="Aptos Narrow (Body)"/>
      </rPr>
      <t>% of HV</t>
    </r>
  </si>
  <si>
    <r>
      <t xml:space="preserve">Home Appreciation </t>
    </r>
    <r>
      <rPr>
        <sz val="12"/>
        <color theme="0" tint="-0.249977111117893"/>
        <rFont val="Aptos Narrow (Body)"/>
      </rPr>
      <t>%/yr</t>
    </r>
  </si>
  <si>
    <r>
      <t xml:space="preserve">Interest Rate </t>
    </r>
    <r>
      <rPr>
        <sz val="12"/>
        <color theme="0" tint="-0.249977111117893"/>
        <rFont val="Aptos Narrow (Body)"/>
      </rPr>
      <t>%</t>
    </r>
  </si>
  <si>
    <r>
      <t xml:space="preserve">Down Payment </t>
    </r>
    <r>
      <rPr>
        <sz val="12"/>
        <color theme="0" tint="-0.249977111117893"/>
        <rFont val="Aptos Narrow (Body)"/>
      </rPr>
      <t>%</t>
    </r>
  </si>
  <si>
    <r>
      <t xml:space="preserve">Home Price </t>
    </r>
    <r>
      <rPr>
        <sz val="12"/>
        <color theme="0" tint="-0.249977111117893"/>
        <rFont val="Aptos Narrow (Body)"/>
      </rPr>
      <t>$</t>
    </r>
  </si>
  <si>
    <r>
      <t xml:space="preserve">Insurance &amp; Maintainance </t>
    </r>
    <r>
      <rPr>
        <sz val="12"/>
        <color theme="0" tint="-0.249977111117893"/>
        <rFont val="Aptos Narrow (Body)"/>
      </rPr>
      <t>%</t>
    </r>
  </si>
  <si>
    <r>
      <t xml:space="preserve">HOA </t>
    </r>
    <r>
      <rPr>
        <sz val="12"/>
        <color theme="0" tint="-0.249977111117893"/>
        <rFont val="Aptos Narrow (Body)"/>
      </rPr>
      <t>$</t>
    </r>
  </si>
  <si>
    <r>
      <t xml:space="preserve">Tax Free Capital Gain Amount </t>
    </r>
    <r>
      <rPr>
        <sz val="12"/>
        <color theme="0" tint="-0.249977111117893"/>
        <rFont val="Aptos Narrow (Body)"/>
      </rPr>
      <t>$</t>
    </r>
  </si>
  <si>
    <r>
      <t xml:space="preserve">Capital Gains Tax Rate </t>
    </r>
    <r>
      <rPr>
        <sz val="12"/>
        <color theme="0" tint="-0.249977111117893"/>
        <rFont val="Aptos Narrow (Body)"/>
      </rPr>
      <t>%</t>
    </r>
  </si>
  <si>
    <r>
      <t xml:space="preserve">Marginal Income Tax Rate </t>
    </r>
    <r>
      <rPr>
        <sz val="12"/>
        <color theme="0" tint="-0.249977111117893"/>
        <rFont val="Aptos Narrow (Body)"/>
      </rPr>
      <t>%</t>
    </r>
  </si>
  <si>
    <r>
      <t xml:space="preserve">Monthly Mortgage Payment </t>
    </r>
    <r>
      <rPr>
        <sz val="12"/>
        <color theme="0" tint="-0.249977111117893"/>
        <rFont val="Aptos Narrow (Body)"/>
      </rPr>
      <t>$</t>
    </r>
  </si>
  <si>
    <r>
      <t xml:space="preserve">Capital Gain Tax Rate </t>
    </r>
    <r>
      <rPr>
        <sz val="12"/>
        <color theme="0" tint="-0.249977111117893"/>
        <rFont val="Aptos Narrow (Body)"/>
      </rPr>
      <t>%</t>
    </r>
  </si>
  <si>
    <r>
      <t xml:space="preserve">Investment Return </t>
    </r>
    <r>
      <rPr>
        <sz val="12"/>
        <color theme="0" tint="-0.249977111117893"/>
        <rFont val="Aptos Narrow (Body)"/>
      </rPr>
      <t>%/yr</t>
    </r>
  </si>
  <si>
    <r>
      <t xml:space="preserve">Rent Increase </t>
    </r>
    <r>
      <rPr>
        <sz val="12"/>
        <color theme="0" tint="-0.249977111117893"/>
        <rFont val="Aptos Narrow (Body)"/>
      </rPr>
      <t>%/yr</t>
    </r>
  </si>
  <si>
    <r>
      <t xml:space="preserve">Monthly Rent </t>
    </r>
    <r>
      <rPr>
        <sz val="12"/>
        <color theme="0" tint="-0.249977111117893"/>
        <rFont val="Aptos Narrow (Body)"/>
      </rPr>
      <t>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</si>
</sst>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i/>
      <sz val="12"/>
      <color theme="1"/>
      <name val="Aptos Narrow"/>
      <scheme val="minor"/>
    </font>
    <font>
      <sz val="12"/>
      <color theme="0" tint="-0.249977111117893"/>
      <name val="Aptos Narrow"/>
      <scheme val="minor"/>
    </font>
    <font>
      <sz val="12"/>
      <color theme="0" tint="-0.249977111117893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theme="1"/>
      </top>
      <bottom style="thin">
        <color theme="0" tint="-0.2499465926084170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theme="0" tint="-0.2499465926084170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0" fontId="2" fillId="0" borderId="6" xfId="0" applyFont="1" applyBorder="1" applyAlignment="1"/>
    <xf numFmtId="0" fontId="2" fillId="0" borderId="8" xfId="0" applyFont="1" applyBorder="1" applyAlignment="1"/>
    <xf numFmtId="3" fontId="2" fillId="0" borderId="8" xfId="0" applyNumberFormat="1" applyFont="1" applyBorder="1" applyAlignment="1"/>
    <xf numFmtId="3" fontId="2" fillId="2" borderId="8" xfId="0" applyNumberFormat="1" applyFont="1" applyFill="1" applyBorder="1" applyAlignment="1"/>
    <xf numFmtId="8" fontId="2" fillId="0" borderId="0" xfId="0" applyNumberFormat="1" applyFont="1" applyAlignment="1"/>
    <xf numFmtId="3" fontId="2" fillId="0" borderId="8" xfId="0" applyNumberFormat="1" applyFont="1" applyFill="1" applyBorder="1" applyAlignment="1"/>
    <xf numFmtId="3" fontId="2" fillId="2" borderId="10" xfId="0" applyNumberFormat="1" applyFont="1" applyFill="1" applyBorder="1" applyAlignment="1"/>
    <xf numFmtId="0" fontId="2" fillId="0" borderId="15" xfId="0" applyFont="1" applyBorder="1" applyAlignment="1"/>
    <xf numFmtId="0" fontId="2" fillId="0" borderId="17" xfId="0" applyFont="1" applyBorder="1" applyAlignment="1"/>
    <xf numFmtId="3" fontId="2" fillId="0" borderId="17" xfId="0" applyNumberFormat="1" applyFont="1" applyBorder="1" applyAlignment="1"/>
    <xf numFmtId="3" fontId="2" fillId="2" borderId="17" xfId="0" applyNumberFormat="1" applyFont="1" applyFill="1" applyBorder="1" applyAlignment="1"/>
    <xf numFmtId="3" fontId="2" fillId="0" borderId="17" xfId="0" applyNumberFormat="1" applyFont="1" applyFill="1" applyBorder="1" applyAlignment="1"/>
    <xf numFmtId="3" fontId="2" fillId="2" borderId="19" xfId="0" applyNumberFormat="1" applyFont="1" applyFill="1" applyBorder="1" applyAlignment="1"/>
    <xf numFmtId="0" fontId="4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3" fillId="0" borderId="6" xfId="0" applyFont="1" applyBorder="1" applyAlignment="1"/>
    <xf numFmtId="0" fontId="3" fillId="0" borderId="8" xfId="0" applyFont="1" applyBorder="1" applyAlignment="1"/>
    <xf numFmtId="3" fontId="3" fillId="0" borderId="8" xfId="0" applyNumberFormat="1" applyFont="1" applyBorder="1" applyAlignment="1"/>
    <xf numFmtId="3" fontId="3" fillId="2" borderId="8" xfId="0" applyNumberFormat="1" applyFont="1" applyFill="1" applyBorder="1" applyAlignment="1"/>
    <xf numFmtId="3" fontId="3" fillId="0" borderId="8" xfId="0" applyNumberFormat="1" applyFont="1" applyFill="1" applyBorder="1" applyAlignment="1"/>
    <xf numFmtId="3" fontId="3" fillId="2" borderId="10" xfId="0" applyNumberFormat="1" applyFont="1" applyFill="1" applyBorder="1" applyAlignment="1"/>
    <xf numFmtId="0" fontId="3" fillId="0" borderId="11" xfId="0" applyFont="1" applyBorder="1" applyAlignment="1"/>
    <xf numFmtId="0" fontId="3" fillId="0" borderId="14" xfId="0" applyFont="1" applyBorder="1" applyAlignment="1"/>
    <xf numFmtId="0" fontId="3" fillId="0" borderId="12" xfId="0" applyFont="1" applyBorder="1" applyAlignment="1"/>
    <xf numFmtId="0" fontId="3" fillId="0" borderId="16" xfId="0" applyFont="1" applyBorder="1" applyAlignment="1"/>
    <xf numFmtId="3" fontId="3" fillId="0" borderId="12" xfId="0" applyNumberFormat="1" applyFont="1" applyBorder="1" applyAlignment="1"/>
    <xf numFmtId="3" fontId="3" fillId="0" borderId="16" xfId="0" applyNumberFormat="1" applyFont="1" applyBorder="1" applyAlignment="1"/>
    <xf numFmtId="3" fontId="3" fillId="2" borderId="12" xfId="0" applyNumberFormat="1" applyFont="1" applyFill="1" applyBorder="1" applyAlignment="1"/>
    <xf numFmtId="3" fontId="3" fillId="2" borderId="16" xfId="0" applyNumberFormat="1" applyFont="1" applyFill="1" applyBorder="1" applyAlignment="1"/>
    <xf numFmtId="3" fontId="3" fillId="0" borderId="12" xfId="0" applyNumberFormat="1" applyFont="1" applyFill="1" applyBorder="1" applyAlignment="1"/>
    <xf numFmtId="3" fontId="3" fillId="0" borderId="16" xfId="0" applyNumberFormat="1" applyFont="1" applyFill="1" applyBorder="1" applyAlignment="1"/>
    <xf numFmtId="3" fontId="3" fillId="2" borderId="13" xfId="0" applyNumberFormat="1" applyFont="1" applyFill="1" applyBorder="1" applyAlignment="1"/>
    <xf numFmtId="3" fontId="3" fillId="2" borderId="18" xfId="0" applyNumberFormat="1" applyFont="1" applyFill="1" applyBorder="1" applyAlignme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0" borderId="1" xfId="0" applyFont="1" applyBorder="1" applyAlignment="1"/>
    <xf numFmtId="3" fontId="2" fillId="0" borderId="2" xfId="0" applyNumberFormat="1" applyFont="1" applyBorder="1" applyAlignment="1">
      <alignment horizontal="right"/>
    </xf>
    <xf numFmtId="10" fontId="2" fillId="0" borderId="2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 applyAlignment="1">
      <alignment horizontal="right"/>
    </xf>
    <xf numFmtId="0" fontId="1" fillId="0" borderId="3" xfId="0" applyFont="1" applyBorder="1" applyAlignment="1"/>
    <xf numFmtId="8" fontId="2" fillId="0" borderId="4" xfId="0" applyNumberFormat="1" applyFont="1" applyBorder="1" applyAlignment="1">
      <alignment horizontal="right"/>
    </xf>
    <xf numFmtId="3" fontId="2" fillId="0" borderId="2" xfId="0" applyNumberFormat="1" applyFont="1" applyBorder="1" applyAlignment="1"/>
    <xf numFmtId="9" fontId="2" fillId="0" borderId="2" xfId="0" applyNumberFormat="1" applyFont="1" applyBorder="1" applyAlignment="1"/>
    <xf numFmtId="0" fontId="2" fillId="0" borderId="3" xfId="0" applyFont="1" applyBorder="1" applyAlignment="1"/>
    <xf numFmtId="9" fontId="2" fillId="0" borderId="4" xfId="0" applyNumberFormat="1" applyFont="1" applyBorder="1" applyAlignment="1"/>
    <xf numFmtId="0" fontId="5" fillId="0" borderId="20" xfId="0" applyFont="1" applyBorder="1" applyAlignment="1"/>
    <xf numFmtId="3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DB23-694F-FD4C-830D-04C78C0B4A5A}">
  <dimension ref="B2:AO386"/>
  <sheetViews>
    <sheetView showGridLines="0" tabSelected="1" zoomScale="150" workbookViewId="0"/>
  </sheetViews>
  <sheetFormatPr baseColWidth="10" defaultRowHeight="16" outlineLevelCol="1" x14ac:dyDescent="0.2"/>
  <cols>
    <col min="1" max="1" width="3.83203125" style="1" customWidth="1"/>
    <col min="2" max="2" width="25.83203125" style="1" customWidth="1"/>
    <col min="3" max="3" width="10.83203125" style="1"/>
    <col min="4" max="4" width="10.83203125" style="1" customWidth="1"/>
    <col min="5" max="5" width="3.83203125" style="1" customWidth="1"/>
    <col min="6" max="6" width="24.83203125" style="1" customWidth="1"/>
    <col min="7" max="7" width="10.83203125" style="1"/>
    <col min="8" max="8" width="3.83203125" style="1" customWidth="1"/>
    <col min="9" max="9" width="5.83203125" style="2" customWidth="1"/>
    <col min="10" max="11" width="12.83203125" style="1" customWidth="1"/>
    <col min="12" max="18" width="12.83203125" style="1" hidden="1" customWidth="1" outlineLevel="1"/>
    <col min="19" max="19" width="12.83203125" style="1" customWidth="1" collapsed="1"/>
    <col min="20" max="20" width="12.83203125" style="1" customWidth="1"/>
    <col min="21" max="22" width="12.83203125" style="1" hidden="1" customWidth="1" outlineLevel="1"/>
    <col min="23" max="23" width="12.83203125" style="1" customWidth="1" collapsed="1"/>
    <col min="24" max="24" width="12.83203125" style="1" customWidth="1"/>
    <col min="25" max="27" width="12.83203125" style="1" hidden="1" customWidth="1" outlineLevel="1"/>
    <col min="28" max="28" width="12.83203125" style="1" customWidth="1" collapsed="1"/>
    <col min="29" max="29" width="12.83203125" style="1" bestFit="1" customWidth="1"/>
    <col min="30" max="30" width="12.83203125" style="1" hidden="1" customWidth="1" outlineLevel="1"/>
    <col min="31" max="31" width="12.83203125" style="1" bestFit="1" customWidth="1" collapsed="1"/>
    <col min="32" max="41" width="12.83203125" style="1" bestFit="1" customWidth="1"/>
    <col min="42" max="16384" width="10.83203125" style="1"/>
  </cols>
  <sheetData>
    <row r="2" spans="2:30" x14ac:dyDescent="0.2">
      <c r="B2" s="19" t="s">
        <v>26</v>
      </c>
      <c r="C2" s="18"/>
      <c r="D2" s="18"/>
      <c r="E2" s="18"/>
      <c r="F2" s="18"/>
      <c r="G2" s="18"/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2:30" ht="17" thickBot="1" x14ac:dyDescent="0.25">
      <c r="B3" s="55" t="s">
        <v>27</v>
      </c>
      <c r="C3" s="55"/>
      <c r="F3" s="55" t="s">
        <v>28</v>
      </c>
      <c r="G3" s="55"/>
    </row>
    <row r="4" spans="2:30" ht="17" thickTop="1" x14ac:dyDescent="0.2">
      <c r="B4" s="43" t="s">
        <v>39</v>
      </c>
      <c r="C4" s="44">
        <v>2500000</v>
      </c>
      <c r="F4" s="46" t="s">
        <v>49</v>
      </c>
      <c r="G4" s="51">
        <v>6000</v>
      </c>
      <c r="I4" s="38" t="s">
        <v>1</v>
      </c>
      <c r="J4" s="4" t="s">
        <v>2</v>
      </c>
      <c r="K4" s="4" t="s">
        <v>18</v>
      </c>
      <c r="L4" s="4" t="s">
        <v>4</v>
      </c>
      <c r="M4" s="4" t="s">
        <v>9</v>
      </c>
      <c r="N4" s="4" t="s">
        <v>5</v>
      </c>
      <c r="O4" s="4" t="s">
        <v>6</v>
      </c>
      <c r="P4" s="4" t="s">
        <v>10</v>
      </c>
      <c r="Q4" s="4" t="s">
        <v>21</v>
      </c>
      <c r="R4" s="4" t="s">
        <v>19</v>
      </c>
      <c r="S4" s="4" t="s">
        <v>3</v>
      </c>
      <c r="T4" s="4" t="s">
        <v>11</v>
      </c>
      <c r="U4" s="4" t="s">
        <v>17</v>
      </c>
      <c r="V4" s="4" t="s">
        <v>16</v>
      </c>
      <c r="W4" s="20" t="s">
        <v>12</v>
      </c>
      <c r="X4" s="20" t="s">
        <v>13</v>
      </c>
      <c r="Y4" s="4" t="s">
        <v>22</v>
      </c>
      <c r="Z4" s="4" t="s">
        <v>23</v>
      </c>
      <c r="AA4" s="4" t="s">
        <v>24</v>
      </c>
      <c r="AB4" s="26" t="s">
        <v>14</v>
      </c>
      <c r="AC4" s="27" t="s">
        <v>15</v>
      </c>
      <c r="AD4" s="11" t="s">
        <v>22</v>
      </c>
    </row>
    <row r="5" spans="2:30" x14ac:dyDescent="0.2">
      <c r="B5" s="43" t="s">
        <v>38</v>
      </c>
      <c r="C5" s="45">
        <v>0.5</v>
      </c>
      <c r="D5" s="56">
        <f>C4*C5</f>
        <v>1250000</v>
      </c>
      <c r="F5" s="46" t="s">
        <v>48</v>
      </c>
      <c r="G5" s="52">
        <v>0.05</v>
      </c>
      <c r="I5" s="39"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0</v>
      </c>
      <c r="V5" s="6">
        <v>0</v>
      </c>
      <c r="W5" s="21"/>
      <c r="X5" s="21"/>
      <c r="Y5" s="5"/>
      <c r="Z5" s="5"/>
      <c r="AA5" s="5"/>
      <c r="AB5" s="28"/>
      <c r="AC5" s="29"/>
      <c r="AD5" s="12"/>
    </row>
    <row r="6" spans="2:30" x14ac:dyDescent="0.2">
      <c r="B6" s="43" t="s">
        <v>37</v>
      </c>
      <c r="C6" s="45">
        <v>6.7500000000000004E-2</v>
      </c>
      <c r="F6" s="46" t="s">
        <v>47</v>
      </c>
      <c r="G6" s="52">
        <v>0.15</v>
      </c>
      <c r="I6" s="39">
        <v>1</v>
      </c>
      <c r="J6" s="6">
        <f>SUM(C4*C5,C4*C10,L6,N6)</f>
        <v>1464236.4193381032</v>
      </c>
      <c r="K6" s="6">
        <f>J6-R6</f>
        <v>1444352.321677211</v>
      </c>
      <c r="L6" s="6">
        <f>$C$21*12</f>
        <v>132736.41933810321</v>
      </c>
      <c r="M6" s="6">
        <f>SUMIFS($C$27:$C$386,$B$27:$B$386,"&gt;" &amp; (I6-1)*12,$B$27:$B$386,"&lt;=" &amp; (I6)*12)</f>
        <v>49886.012417719292</v>
      </c>
      <c r="N6" s="6">
        <f>SUM($C$12:$C$13)*O6+$C$14</f>
        <v>31500</v>
      </c>
      <c r="O6" s="6">
        <f t="shared" ref="O6:O35" si="0">$C$4*(1+$C$8)^I6</f>
        <v>2625000</v>
      </c>
      <c r="P6" s="6">
        <f>O6-(1-$C$5)*$C$4+SUM($M$6:$M6)</f>
        <v>1424886.0124177192</v>
      </c>
      <c r="Q6" s="6">
        <f>$C$4*(1-$C$5)-SUM($M$6:$M6)</f>
        <v>1200113.9875822808</v>
      </c>
      <c r="R6" s="6">
        <f>(L6-M6)*$C$16</f>
        <v>19884.097660892141</v>
      </c>
      <c r="S6" s="6">
        <f>$G$4*12*(1+$G$5)^(I6-1)</f>
        <v>72000</v>
      </c>
      <c r="T6" s="6">
        <f>K6-S6</f>
        <v>1372352.321677211</v>
      </c>
      <c r="U6" s="6">
        <f>(U5+IF(T6&lt;=0,-T6,0))*(1+$G$6)</f>
        <v>0</v>
      </c>
      <c r="V6" s="6">
        <f>(V5+IF(T6&gt;=0,T6,0))*(1+$G$6)</f>
        <v>1578205.1699287924</v>
      </c>
      <c r="W6" s="22">
        <f>P6+U6</f>
        <v>1424886.0124177192</v>
      </c>
      <c r="X6" s="22">
        <f>W6-Y6*$C$18-$C$11*O6</f>
        <v>1293636.0124177192</v>
      </c>
      <c r="Y6" s="6">
        <f>SUM(Z6:AA6)</f>
        <v>0</v>
      </c>
      <c r="Z6" s="6">
        <f>MAX(O6-$C$4-$C$19, 0)</f>
        <v>0</v>
      </c>
      <c r="AA6" s="6">
        <f>U6+SUMIF($T$6:$T6,"&lt;=0",$T$6:$T6)</f>
        <v>0</v>
      </c>
      <c r="AB6" s="30">
        <f>V6</f>
        <v>1578205.1699287924</v>
      </c>
      <c r="AC6" s="31">
        <f>AB6-AD6*$G$7</f>
        <v>1547327.2426910552</v>
      </c>
      <c r="AD6" s="13">
        <f>V6-SUMIF($T$6:$T6,"&gt;=0",$T$6:$T6)</f>
        <v>205852.84825158142</v>
      </c>
    </row>
    <row r="7" spans="2:30" ht="17" thickBot="1" x14ac:dyDescent="0.25">
      <c r="B7" s="43" t="s">
        <v>32</v>
      </c>
      <c r="C7" s="44">
        <v>15</v>
      </c>
      <c r="F7" s="53" t="s">
        <v>46</v>
      </c>
      <c r="G7" s="54">
        <v>0.15</v>
      </c>
      <c r="I7" s="39">
        <v>2</v>
      </c>
      <c r="J7" s="6">
        <f t="shared" ref="J7:J35" si="1">SUM(L7,N7)</f>
        <v>165811.41933810321</v>
      </c>
      <c r="K7" s="6">
        <f t="shared" ref="K7:K35" si="2">J7-R7</f>
        <v>146760.95210323701</v>
      </c>
      <c r="L7" s="6">
        <f>$C$21*12</f>
        <v>132736.41933810321</v>
      </c>
      <c r="M7" s="6">
        <f t="shared" ref="M7:M35" si="3">SUMIFS($C$27:$C$386,$B$27:$B$386,"&gt;" &amp; (I7-1)*12,$B$27:$B$386,"&lt;=" &amp; (I7)*12)</f>
        <v>53359.472526160665</v>
      </c>
      <c r="N7" s="6">
        <f t="shared" ref="N7:N35" si="4">SUM($C$12:$C$13)*O7+$C$14</f>
        <v>33075</v>
      </c>
      <c r="O7" s="6">
        <f t="shared" si="0"/>
        <v>2756250</v>
      </c>
      <c r="P7" s="6">
        <f>O7-(1-$C$5)*$C$4+SUM($M$6:$M7)</f>
        <v>1609495.48494388</v>
      </c>
      <c r="Q7" s="6">
        <f>$C$4*(1-$C$5)-SUM($M$6:$M7)</f>
        <v>1146754.51505612</v>
      </c>
      <c r="R7" s="6">
        <f t="shared" ref="R7:R35" si="5">(L7-M7)*$C$16</f>
        <v>19050.46723486621</v>
      </c>
      <c r="S7" s="6">
        <f t="shared" ref="S7:S35" si="6">$G$4*12*(1+$G$5)^(I7-1)</f>
        <v>75600</v>
      </c>
      <c r="T7" s="6">
        <f t="shared" ref="T7:T35" si="7">K7-S7</f>
        <v>71160.95210323701</v>
      </c>
      <c r="U7" s="6">
        <f t="shared" ref="U7:U35" si="8">(U6+IF(T7&lt;=0,-T7,0))*(1+$G$6)</f>
        <v>0</v>
      </c>
      <c r="V7" s="6">
        <f>(V6+IF(T7&gt;=0,T7,0))*(1+$G$6)</f>
        <v>1896771.0403368336</v>
      </c>
      <c r="W7" s="22">
        <f t="shared" ref="W7:W35" si="9">P7+U7</f>
        <v>1609495.48494388</v>
      </c>
      <c r="X7" s="22">
        <f t="shared" ref="X7:X35" si="10">W7-Y7*$C$18-$C$11*O7</f>
        <v>1471682.98494388</v>
      </c>
      <c r="Y7" s="6">
        <f t="shared" ref="Y7:Y35" si="11">SUM(Z7:AA7)</f>
        <v>0</v>
      </c>
      <c r="Z7" s="6">
        <f t="shared" ref="Z7:Z35" si="12">MAX(O7-$C$4-$C$19, 0)</f>
        <v>0</v>
      </c>
      <c r="AA7" s="6">
        <f>U7+SUMIF($T$6:$T7,"&lt;=0",$T$6:$T7)</f>
        <v>0</v>
      </c>
      <c r="AB7" s="30">
        <f>V7</f>
        <v>1896771.0403368336</v>
      </c>
      <c r="AC7" s="31">
        <f>AB7-AD7*$G$7</f>
        <v>1828782.3753533757</v>
      </c>
      <c r="AD7" s="13">
        <f>V7-SUMIF($T$6:$T7,"&gt;=0",$T$6:$T7)</f>
        <v>453257.76655638567</v>
      </c>
    </row>
    <row r="8" spans="2:30" x14ac:dyDescent="0.2">
      <c r="B8" s="43" t="s">
        <v>36</v>
      </c>
      <c r="C8" s="45">
        <v>0.05</v>
      </c>
      <c r="I8" s="39">
        <v>3</v>
      </c>
      <c r="J8" s="6">
        <f t="shared" si="1"/>
        <v>167465.16933810321</v>
      </c>
      <c r="K8" s="6">
        <f t="shared" si="2"/>
        <v>149306.37649569061</v>
      </c>
      <c r="L8" s="6">
        <f>$C$21*12</f>
        <v>132736.41933810321</v>
      </c>
      <c r="M8" s="6">
        <f t="shared" si="3"/>
        <v>57074.782494717307</v>
      </c>
      <c r="N8" s="6">
        <f t="shared" si="4"/>
        <v>34728.750000000007</v>
      </c>
      <c r="O8" s="6">
        <f t="shared" si="0"/>
        <v>2894062.5000000005</v>
      </c>
      <c r="P8" s="6">
        <f>O8-(1-$C$5)*$C$4+SUM($M$6:$M8)</f>
        <v>1804382.7674385977</v>
      </c>
      <c r="Q8" s="6">
        <f>$C$4*(1-$C$5)-SUM($M$6:$M8)</f>
        <v>1089679.7325614027</v>
      </c>
      <c r="R8" s="6">
        <f t="shared" si="5"/>
        <v>18158.792842412615</v>
      </c>
      <c r="S8" s="6">
        <f t="shared" si="6"/>
        <v>79380</v>
      </c>
      <c r="T8" s="6">
        <f t="shared" si="7"/>
        <v>69926.376495690609</v>
      </c>
      <c r="U8" s="6">
        <f t="shared" si="8"/>
        <v>0</v>
      </c>
      <c r="V8" s="6">
        <f t="shared" ref="V8:V35" si="13">(V7+IF(T8&gt;=0,T8,0))*(1+$G$6)</f>
        <v>2261702.0293574026</v>
      </c>
      <c r="W8" s="22">
        <f t="shared" si="9"/>
        <v>1804382.7674385977</v>
      </c>
      <c r="X8" s="22">
        <f t="shared" si="10"/>
        <v>1659679.6424385977</v>
      </c>
      <c r="Y8" s="6">
        <f t="shared" si="11"/>
        <v>0</v>
      </c>
      <c r="Z8" s="6">
        <f t="shared" si="12"/>
        <v>0</v>
      </c>
      <c r="AA8" s="6">
        <f>U8+SUMIF($T$6:$T8,"&lt;=0",$T$6:$T8)</f>
        <v>0</v>
      </c>
      <c r="AB8" s="30">
        <f>V8</f>
        <v>2261702.0293574026</v>
      </c>
      <c r="AC8" s="31">
        <f>AB8-AD8*$G$7</f>
        <v>2149462.6724952129</v>
      </c>
      <c r="AD8" s="13">
        <f>V8-SUMIF($T$6:$T8,"&gt;=0",$T$6:$T8)</f>
        <v>748262.37908126414</v>
      </c>
    </row>
    <row r="9" spans="2:30" x14ac:dyDescent="0.2">
      <c r="B9" s="46"/>
      <c r="C9" s="47"/>
      <c r="I9" s="39">
        <v>4</v>
      </c>
      <c r="J9" s="6">
        <f t="shared" si="1"/>
        <v>169201.60683810321</v>
      </c>
      <c r="K9" s="6">
        <f t="shared" si="2"/>
        <v>151996.57383618466</v>
      </c>
      <c r="L9" s="6">
        <f>$C$21*12</f>
        <v>132736.41933810321</v>
      </c>
      <c r="M9" s="6">
        <f t="shared" si="3"/>
        <v>61048.781830109212</v>
      </c>
      <c r="N9" s="6">
        <f t="shared" si="4"/>
        <v>36465.1875</v>
      </c>
      <c r="O9" s="6">
        <f t="shared" si="0"/>
        <v>3038765.625</v>
      </c>
      <c r="P9" s="6">
        <f>O9-(1-$C$5)*$C$4+SUM($M$6:$M9)</f>
        <v>2010134.6742687065</v>
      </c>
      <c r="Q9" s="6">
        <f>$C$4*(1-$C$5)-SUM($M$6:$M9)</f>
        <v>1028630.9507312935</v>
      </c>
      <c r="R9" s="6">
        <f t="shared" si="5"/>
        <v>17205.033001918557</v>
      </c>
      <c r="S9" s="6">
        <f t="shared" si="6"/>
        <v>83349.000000000015</v>
      </c>
      <c r="T9" s="6">
        <f t="shared" si="7"/>
        <v>68647.573836184645</v>
      </c>
      <c r="U9" s="6">
        <f t="shared" si="8"/>
        <v>0</v>
      </c>
      <c r="V9" s="6">
        <f t="shared" si="13"/>
        <v>2679902.043672625</v>
      </c>
      <c r="W9" s="22">
        <f t="shared" si="9"/>
        <v>2010134.6742687065</v>
      </c>
      <c r="X9" s="22">
        <f t="shared" si="10"/>
        <v>1852381.5492687065</v>
      </c>
      <c r="Y9" s="6">
        <f t="shared" si="11"/>
        <v>38765.625</v>
      </c>
      <c r="Z9" s="6">
        <f t="shared" si="12"/>
        <v>38765.625</v>
      </c>
      <c r="AA9" s="6">
        <f>U9+SUMIF($T$6:$T9,"&lt;=0",$T$6:$T9)</f>
        <v>0</v>
      </c>
      <c r="AB9" s="30">
        <f>V9</f>
        <v>2679902.043672625</v>
      </c>
      <c r="AC9" s="31">
        <f>AB9-AD9*$G$7</f>
        <v>2515229.8207385796</v>
      </c>
      <c r="AD9" s="13">
        <f>V9-SUMIF($T$6:$T9,"&gt;=0",$T$6:$T9)</f>
        <v>1097814.819560302</v>
      </c>
    </row>
    <row r="10" spans="2:30" x14ac:dyDescent="0.2">
      <c r="B10" s="43" t="s">
        <v>33</v>
      </c>
      <c r="C10" s="45">
        <v>0.02</v>
      </c>
      <c r="I10" s="39">
        <v>5</v>
      </c>
      <c r="J10" s="6">
        <f t="shared" si="1"/>
        <v>171024.86621310323</v>
      </c>
      <c r="K10" s="6">
        <f t="shared" si="2"/>
        <v>154840.0013813574</v>
      </c>
      <c r="L10" s="6">
        <f>$C$21*12</f>
        <v>132736.41933810321</v>
      </c>
      <c r="M10" s="6">
        <f t="shared" si="3"/>
        <v>65299.4825391622</v>
      </c>
      <c r="N10" s="6">
        <f t="shared" si="4"/>
        <v>38288.446875000009</v>
      </c>
      <c r="O10" s="6">
        <f t="shared" si="0"/>
        <v>3190703.9062500005</v>
      </c>
      <c r="P10" s="6">
        <f>O10-(1-$C$5)*$C$4+SUM($M$6:$M10)</f>
        <v>2227372.4380578692</v>
      </c>
      <c r="Q10" s="6">
        <f>$C$4*(1-$C$5)-SUM($M$6:$M10)</f>
        <v>963331.46819213126</v>
      </c>
      <c r="R10" s="6">
        <f t="shared" si="5"/>
        <v>16184.864831745841</v>
      </c>
      <c r="S10" s="6">
        <f t="shared" si="6"/>
        <v>87516.45</v>
      </c>
      <c r="T10" s="6">
        <f t="shared" si="7"/>
        <v>67323.551381357407</v>
      </c>
      <c r="U10" s="6">
        <f t="shared" si="8"/>
        <v>0</v>
      </c>
      <c r="V10" s="6">
        <f t="shared" si="13"/>
        <v>3159309.4343120796</v>
      </c>
      <c r="W10" s="22">
        <f t="shared" si="9"/>
        <v>2227372.4380578692</v>
      </c>
      <c r="X10" s="22">
        <f t="shared" si="10"/>
        <v>2039231.6568078692</v>
      </c>
      <c r="Y10" s="6">
        <f t="shared" si="11"/>
        <v>190703.90625000047</v>
      </c>
      <c r="Z10" s="6">
        <f t="shared" si="12"/>
        <v>190703.90625000047</v>
      </c>
      <c r="AA10" s="6">
        <f>U10+SUMIF($T$6:$T10,"&lt;=0",$T$6:$T10)</f>
        <v>0</v>
      </c>
      <c r="AB10" s="30">
        <f>V10</f>
        <v>3159309.4343120796</v>
      </c>
      <c r="AC10" s="31">
        <f>AB10-AD10*$G$7</f>
        <v>2932824.6354893199</v>
      </c>
      <c r="AD10" s="13">
        <f>V10-SUMIF($T$6:$T10,"&gt;=0",$T$6:$T10)</f>
        <v>1509898.6588183991</v>
      </c>
    </row>
    <row r="11" spans="2:30" x14ac:dyDescent="0.2">
      <c r="B11" s="43" t="s">
        <v>34</v>
      </c>
      <c r="C11" s="45">
        <v>0.05</v>
      </c>
      <c r="I11" s="39">
        <v>6</v>
      </c>
      <c r="J11" s="6">
        <f t="shared" si="1"/>
        <v>172939.28855685319</v>
      </c>
      <c r="K11" s="6">
        <f t="shared" si="2"/>
        <v>157845.62409992542</v>
      </c>
      <c r="L11" s="6">
        <f>$C$21*12</f>
        <v>132736.41933810321</v>
      </c>
      <c r="M11" s="6">
        <f t="shared" si="3"/>
        <v>69846.150767570856</v>
      </c>
      <c r="N11" s="6">
        <f t="shared" si="4"/>
        <v>40202.869218749998</v>
      </c>
      <c r="O11" s="6">
        <f t="shared" si="0"/>
        <v>3350239.1015625</v>
      </c>
      <c r="P11" s="6">
        <f>O11-(1-$C$5)*$C$4+SUM($M$6:$M11)</f>
        <v>2456753.7841379396</v>
      </c>
      <c r="Q11" s="6">
        <f>$C$4*(1-$C$5)-SUM($M$6:$M11)</f>
        <v>893485.31742456043</v>
      </c>
      <c r="R11" s="6">
        <f t="shared" si="5"/>
        <v>15093.664456927763</v>
      </c>
      <c r="S11" s="6">
        <f t="shared" si="6"/>
        <v>91892.272500000006</v>
      </c>
      <c r="T11" s="6">
        <f t="shared" si="7"/>
        <v>65953.351599925416</v>
      </c>
      <c r="U11" s="6">
        <f t="shared" si="8"/>
        <v>0</v>
      </c>
      <c r="V11" s="6">
        <f t="shared" si="13"/>
        <v>3709052.2037988054</v>
      </c>
      <c r="W11" s="22">
        <f t="shared" si="9"/>
        <v>2456753.7841379396</v>
      </c>
      <c r="X11" s="22">
        <f t="shared" si="10"/>
        <v>2236705.9638254396</v>
      </c>
      <c r="Y11" s="6">
        <f t="shared" si="11"/>
        <v>350239.1015625</v>
      </c>
      <c r="Z11" s="6">
        <f t="shared" si="12"/>
        <v>350239.1015625</v>
      </c>
      <c r="AA11" s="6">
        <f>U11+SUMIF($T$6:$T11,"&lt;=0",$T$6:$T11)</f>
        <v>0</v>
      </c>
      <c r="AB11" s="30">
        <f>V11</f>
        <v>3709052.2037988054</v>
      </c>
      <c r="AC11" s="31">
        <f>AB11-AD11*$G$7</f>
        <v>3409998.9922930254</v>
      </c>
      <c r="AD11" s="13">
        <f>V11-SUMIF($T$6:$T11,"&gt;=0",$T$6:$T11)</f>
        <v>1993688.0767051994</v>
      </c>
    </row>
    <row r="12" spans="2:30" x14ac:dyDescent="0.2">
      <c r="B12" s="43" t="s">
        <v>35</v>
      </c>
      <c r="C12" s="45">
        <v>1.1000000000000001E-2</v>
      </c>
      <c r="I12" s="39">
        <v>7</v>
      </c>
      <c r="J12" s="6">
        <f t="shared" si="1"/>
        <v>174949.43201779071</v>
      </c>
      <c r="K12" s="6">
        <f t="shared" si="2"/>
        <v>161022.94596616598</v>
      </c>
      <c r="L12" s="6">
        <f>$C$21*12</f>
        <v>132736.41933810321</v>
      </c>
      <c r="M12" s="6">
        <f t="shared" si="3"/>
        <v>74709.394123000209</v>
      </c>
      <c r="N12" s="6">
        <f t="shared" si="4"/>
        <v>42213.012679687505</v>
      </c>
      <c r="O12" s="6">
        <f t="shared" si="0"/>
        <v>3517751.0566406255</v>
      </c>
      <c r="P12" s="6">
        <f>O12-(1-$C$5)*$C$4+SUM($M$6:$M12)</f>
        <v>2698975.1333390651</v>
      </c>
      <c r="Q12" s="6">
        <f>$C$4*(1-$C$5)-SUM($M$6:$M12)</f>
        <v>818775.92330156022</v>
      </c>
      <c r="R12" s="6">
        <f t="shared" si="5"/>
        <v>13926.486051624719</v>
      </c>
      <c r="S12" s="6">
        <f t="shared" si="6"/>
        <v>96486.886125000005</v>
      </c>
      <c r="T12" s="6">
        <f t="shared" si="7"/>
        <v>64536.059841165974</v>
      </c>
      <c r="U12" s="6">
        <f t="shared" si="8"/>
        <v>0</v>
      </c>
      <c r="V12" s="6">
        <f t="shared" si="13"/>
        <v>4339626.5031859661</v>
      </c>
      <c r="W12" s="22">
        <f t="shared" si="9"/>
        <v>2698975.1333390651</v>
      </c>
      <c r="X12" s="22">
        <f t="shared" si="10"/>
        <v>2445424.92201094</v>
      </c>
      <c r="Y12" s="6">
        <f t="shared" si="11"/>
        <v>517751.05664062547</v>
      </c>
      <c r="Z12" s="6">
        <f t="shared" si="12"/>
        <v>517751.05664062547</v>
      </c>
      <c r="AA12" s="6">
        <f>U12+SUMIF($T$6:$T12,"&lt;=0",$T$6:$T12)</f>
        <v>0</v>
      </c>
      <c r="AB12" s="30">
        <f>V12</f>
        <v>4339626.5031859661</v>
      </c>
      <c r="AC12" s="31">
        <f>AB12-AD12*$G$7</f>
        <v>3955667.5557482871</v>
      </c>
      <c r="AD12" s="13">
        <f>V12-SUMIF($T$6:$T12,"&gt;=0",$T$6:$T12)</f>
        <v>2559726.3162511941</v>
      </c>
    </row>
    <row r="13" spans="2:30" x14ac:dyDescent="0.2">
      <c r="B13" s="43" t="s">
        <v>40</v>
      </c>
      <c r="C13" s="45">
        <v>1E-3</v>
      </c>
      <c r="I13" s="39">
        <v>8</v>
      </c>
      <c r="J13" s="6">
        <f t="shared" si="1"/>
        <v>177060.0826517751</v>
      </c>
      <c r="K13" s="6">
        <f t="shared" si="2"/>
        <v>164382.04322942585</v>
      </c>
      <c r="L13" s="6">
        <f>$C$21*12</f>
        <v>132736.41933810321</v>
      </c>
      <c r="M13" s="6">
        <f t="shared" si="3"/>
        <v>79911.255078314658</v>
      </c>
      <c r="N13" s="6">
        <f t="shared" si="4"/>
        <v>44323.663313671881</v>
      </c>
      <c r="O13" s="6">
        <f t="shared" si="0"/>
        <v>3693638.6094726566</v>
      </c>
      <c r="P13" s="6">
        <f>O13-(1-$C$5)*$C$4+SUM($M$6:$M13)</f>
        <v>2954773.9412494111</v>
      </c>
      <c r="Q13" s="6">
        <f>$C$4*(1-$C$5)-SUM($M$6:$M13)</f>
        <v>738864.66822324554</v>
      </c>
      <c r="R13" s="6">
        <f t="shared" si="5"/>
        <v>12678.039422349251</v>
      </c>
      <c r="S13" s="6">
        <f t="shared" si="6"/>
        <v>101311.23043125002</v>
      </c>
      <c r="T13" s="6">
        <f t="shared" si="7"/>
        <v>63070.81279817583</v>
      </c>
      <c r="U13" s="6">
        <f t="shared" si="8"/>
        <v>0</v>
      </c>
      <c r="V13" s="6">
        <f t="shared" si="13"/>
        <v>5063101.9133817628</v>
      </c>
      <c r="W13" s="22">
        <f t="shared" si="9"/>
        <v>2954773.9412494111</v>
      </c>
      <c r="X13" s="22">
        <f t="shared" si="10"/>
        <v>2666046.21935488</v>
      </c>
      <c r="Y13" s="6">
        <f t="shared" si="11"/>
        <v>693638.60947265662</v>
      </c>
      <c r="Z13" s="6">
        <f t="shared" si="12"/>
        <v>693638.60947265662</v>
      </c>
      <c r="AA13" s="6">
        <f>U13+SUMIF($T$6:$T13,"&lt;=0",$T$6:$T13)</f>
        <v>0</v>
      </c>
      <c r="AB13" s="30">
        <f>V13</f>
        <v>5063101.9133817628</v>
      </c>
      <c r="AC13" s="31">
        <f>AB13-AD13*$G$7</f>
        <v>4580082.2763344403</v>
      </c>
      <c r="AD13" s="13">
        <f>V13-SUMIF($T$6:$T13,"&gt;=0",$T$6:$T13)</f>
        <v>3220130.9136488149</v>
      </c>
    </row>
    <row r="14" spans="2:30" x14ac:dyDescent="0.2">
      <c r="B14" s="43" t="s">
        <v>41</v>
      </c>
      <c r="C14" s="44">
        <v>0</v>
      </c>
      <c r="I14" s="39">
        <v>9</v>
      </c>
      <c r="J14" s="6">
        <f t="shared" si="1"/>
        <v>179276.26581745868</v>
      </c>
      <c r="K14" s="6">
        <f t="shared" si="2"/>
        <v>167933.59978710138</v>
      </c>
      <c r="L14" s="6">
        <f>$C$21*12</f>
        <v>132736.41933810321</v>
      </c>
      <c r="M14" s="6">
        <f t="shared" si="3"/>
        <v>85475.310878281103</v>
      </c>
      <c r="N14" s="6">
        <f t="shared" si="4"/>
        <v>46539.846479355474</v>
      </c>
      <c r="O14" s="6">
        <f t="shared" si="0"/>
        <v>3878320.5399462893</v>
      </c>
      <c r="P14" s="6">
        <f>O14-(1-$C$5)*$C$4+SUM($M$6:$M14)</f>
        <v>3224931.1826013247</v>
      </c>
      <c r="Q14" s="6">
        <f>$C$4*(1-$C$5)-SUM($M$6:$M14)</f>
        <v>653389.3573449644</v>
      </c>
      <c r="R14" s="6">
        <f t="shared" si="5"/>
        <v>11342.666030357304</v>
      </c>
      <c r="S14" s="6">
        <f t="shared" si="6"/>
        <v>106376.79195281251</v>
      </c>
      <c r="T14" s="6">
        <f t="shared" si="7"/>
        <v>61556.807834288877</v>
      </c>
      <c r="U14" s="6">
        <f t="shared" si="8"/>
        <v>0</v>
      </c>
      <c r="V14" s="6">
        <f t="shared" si="13"/>
        <v>5893357.529398459</v>
      </c>
      <c r="W14" s="22">
        <f t="shared" si="9"/>
        <v>3224931.1826013247</v>
      </c>
      <c r="X14" s="22">
        <f t="shared" si="10"/>
        <v>2899267.0746120671</v>
      </c>
      <c r="Y14" s="6">
        <f t="shared" si="11"/>
        <v>878320.53994628927</v>
      </c>
      <c r="Z14" s="6">
        <f t="shared" si="12"/>
        <v>878320.53994628927</v>
      </c>
      <c r="AA14" s="6">
        <f>U14+SUMIF($T$6:$T14,"&lt;=0",$T$6:$T14)</f>
        <v>0</v>
      </c>
      <c r="AB14" s="30">
        <f>V14</f>
        <v>5893357.529398459</v>
      </c>
      <c r="AC14" s="31">
        <f>AB14-AD14*$G$7</f>
        <v>5295033.071123776</v>
      </c>
      <c r="AD14" s="13">
        <f>V14-SUMIF($T$6:$T14,"&gt;=0",$T$6:$T14)</f>
        <v>3988829.7218312225</v>
      </c>
    </row>
    <row r="15" spans="2:30" x14ac:dyDescent="0.2">
      <c r="B15" s="46"/>
      <c r="C15" s="47"/>
      <c r="I15" s="40">
        <v>10</v>
      </c>
      <c r="J15" s="7">
        <f t="shared" si="1"/>
        <v>181603.25814142646</v>
      </c>
      <c r="K15" s="7">
        <f t="shared" si="2"/>
        <v>171688.9447968984</v>
      </c>
      <c r="L15" s="7">
        <f>$C$21*12</f>
        <v>132736.41933810321</v>
      </c>
      <c r="M15" s="7">
        <f t="shared" si="3"/>
        <v>91426.780402569624</v>
      </c>
      <c r="N15" s="7">
        <f t="shared" si="4"/>
        <v>48866.838803323248</v>
      </c>
      <c r="O15" s="7">
        <f t="shared" si="0"/>
        <v>4072236.566943604</v>
      </c>
      <c r="P15" s="7">
        <f>O15-(1-$C$5)*$C$4+SUM($M$6:$M15)</f>
        <v>3510273.9900012091</v>
      </c>
      <c r="Q15" s="7">
        <f>$C$4*(1-$C$5)-SUM($M$6:$M15)</f>
        <v>561962.57694239472</v>
      </c>
      <c r="R15" s="7">
        <f t="shared" si="5"/>
        <v>9914.31334452806</v>
      </c>
      <c r="S15" s="7">
        <f t="shared" si="6"/>
        <v>111695.63155045314</v>
      </c>
      <c r="T15" s="7">
        <f t="shared" si="7"/>
        <v>59993.313246445265</v>
      </c>
      <c r="U15" s="7">
        <f t="shared" si="8"/>
        <v>0</v>
      </c>
      <c r="V15" s="7">
        <f t="shared" si="13"/>
        <v>6846353.469041639</v>
      </c>
      <c r="W15" s="23">
        <f t="shared" si="9"/>
        <v>3510273.9900012091</v>
      </c>
      <c r="X15" s="23">
        <f t="shared" si="10"/>
        <v>3145826.6766124885</v>
      </c>
      <c r="Y15" s="7">
        <f>SUM(Z15:AA15)</f>
        <v>1072236.566943604</v>
      </c>
      <c r="Z15" s="7">
        <f t="shared" si="12"/>
        <v>1072236.566943604</v>
      </c>
      <c r="AA15" s="7">
        <f>U15+SUMIF($T$6:$T15,"&lt;=0",$T$6:$T15)</f>
        <v>0</v>
      </c>
      <c r="AB15" s="32">
        <f>V15</f>
        <v>6846353.469041639</v>
      </c>
      <c r="AC15" s="33">
        <f>AB15-AD15*$G$7</f>
        <v>6114078.6168074459</v>
      </c>
      <c r="AD15" s="14">
        <f>V15-SUMIF($T$6:$T15,"&gt;=0",$T$6:$T15)</f>
        <v>4881832.3482279573</v>
      </c>
    </row>
    <row r="16" spans="2:30" x14ac:dyDescent="0.2">
      <c r="B16" s="43" t="s">
        <v>44</v>
      </c>
      <c r="C16" s="48">
        <v>0.24</v>
      </c>
      <c r="I16" s="39">
        <v>11</v>
      </c>
      <c r="J16" s="6">
        <f t="shared" si="1"/>
        <v>184046.60008159262</v>
      </c>
      <c r="K16" s="6">
        <f t="shared" si="2"/>
        <v>175660.0926731049</v>
      </c>
      <c r="L16" s="6">
        <f>$C$21*12</f>
        <v>132736.41933810321</v>
      </c>
      <c r="M16" s="6">
        <f t="shared" si="3"/>
        <v>97792.638469404352</v>
      </c>
      <c r="N16" s="6">
        <f t="shared" si="4"/>
        <v>51310.180743489414</v>
      </c>
      <c r="O16" s="6">
        <f t="shared" si="0"/>
        <v>4275848.3952907845</v>
      </c>
      <c r="P16" s="6">
        <f>O16-(1-$C$5)*$C$4+SUM($M$6:$M16)</f>
        <v>3811678.4568177941</v>
      </c>
      <c r="Q16" s="6">
        <f>$C$4*(1-$C$5)-SUM($M$6:$M16)</f>
        <v>464169.93847299041</v>
      </c>
      <c r="R16" s="6">
        <f t="shared" si="5"/>
        <v>8386.5074084877251</v>
      </c>
      <c r="S16" s="6">
        <f t="shared" si="6"/>
        <v>117280.41312797579</v>
      </c>
      <c r="T16" s="6">
        <f t="shared" si="7"/>
        <v>58379.679545129111</v>
      </c>
      <c r="U16" s="6">
        <f t="shared" si="8"/>
        <v>0</v>
      </c>
      <c r="V16" s="6">
        <f t="shared" si="13"/>
        <v>7940443.1208747821</v>
      </c>
      <c r="W16" s="22">
        <f t="shared" si="9"/>
        <v>3811678.4568177941</v>
      </c>
      <c r="X16" s="22">
        <f t="shared" si="10"/>
        <v>3406508.7777596372</v>
      </c>
      <c r="Y16" s="6">
        <f t="shared" si="11"/>
        <v>1275848.3952907845</v>
      </c>
      <c r="Z16" s="6">
        <f t="shared" si="12"/>
        <v>1275848.3952907845</v>
      </c>
      <c r="AA16" s="6">
        <f>U16+SUMIF($T$6:$T16,"&lt;=0",$T$6:$T16)</f>
        <v>0</v>
      </c>
      <c r="AB16" s="30">
        <f>V16</f>
        <v>7940443.1208747821</v>
      </c>
      <c r="AC16" s="31">
        <f>AB16-AD16*$G$7</f>
        <v>7052811.7727973862</v>
      </c>
      <c r="AD16" s="13">
        <f>V16-SUMIF($T$6:$T16,"&gt;=0",$T$6:$T16)</f>
        <v>5917542.3205159716</v>
      </c>
    </row>
    <row r="17" spans="2:30" x14ac:dyDescent="0.2">
      <c r="B17" s="43" t="s">
        <v>0</v>
      </c>
      <c r="C17" s="47" t="s">
        <v>20</v>
      </c>
      <c r="I17" s="39">
        <v>12</v>
      </c>
      <c r="J17" s="6">
        <f t="shared" si="1"/>
        <v>186612.10911876708</v>
      </c>
      <c r="K17" s="6">
        <f t="shared" si="2"/>
        <v>179859.78562112834</v>
      </c>
      <c r="L17" s="6">
        <f>$C$21*12</f>
        <v>132736.41933810321</v>
      </c>
      <c r="M17" s="6">
        <f t="shared" si="3"/>
        <v>104601.73809794179</v>
      </c>
      <c r="N17" s="6">
        <f t="shared" si="4"/>
        <v>53875.689780663874</v>
      </c>
      <c r="O17" s="6">
        <f t="shared" si="0"/>
        <v>4489640.8150553228</v>
      </c>
      <c r="P17" s="6">
        <f>O17-(1-$C$5)*$C$4+SUM($M$6:$M17)</f>
        <v>4130072.6146802744</v>
      </c>
      <c r="Q17" s="6">
        <f>$C$4*(1-$C$5)-SUM($M$6:$M17)</f>
        <v>359568.20037504868</v>
      </c>
      <c r="R17" s="6">
        <f t="shared" si="5"/>
        <v>6752.3234976387394</v>
      </c>
      <c r="S17" s="6">
        <f t="shared" si="6"/>
        <v>123144.43378437459</v>
      </c>
      <c r="T17" s="6">
        <f t="shared" si="7"/>
        <v>56715.351836753747</v>
      </c>
      <c r="U17" s="6">
        <f t="shared" si="8"/>
        <v>0</v>
      </c>
      <c r="V17" s="6">
        <f>(V16+IF(T17&gt;=0,T17,0))*(1+$G$6)</f>
        <v>9196732.2436182667</v>
      </c>
      <c r="W17" s="22">
        <f t="shared" si="9"/>
        <v>4130072.6146802744</v>
      </c>
      <c r="X17" s="22">
        <f t="shared" si="10"/>
        <v>3682144.4516692096</v>
      </c>
      <c r="Y17" s="6">
        <f t="shared" si="11"/>
        <v>1489640.8150553228</v>
      </c>
      <c r="Z17" s="6">
        <f t="shared" si="12"/>
        <v>1489640.8150553228</v>
      </c>
      <c r="AA17" s="6">
        <f>U17+SUMIF($T$6:$T17,"&lt;=0",$T$6:$T17)</f>
        <v>0</v>
      </c>
      <c r="AB17" s="30">
        <f>V17</f>
        <v>9196732.2436182667</v>
      </c>
      <c r="AC17" s="31">
        <f>AB17-AD17*$G$7</f>
        <v>8129164.8299048617</v>
      </c>
      <c r="AD17" s="13">
        <f>V17-SUMIF($T$6:$T17,"&gt;=0",$T$6:$T17)</f>
        <v>7117116.0914227022</v>
      </c>
    </row>
    <row r="18" spans="2:30" x14ac:dyDescent="0.2">
      <c r="B18" s="43" t="s">
        <v>43</v>
      </c>
      <c r="C18" s="48">
        <v>0.15</v>
      </c>
      <c r="I18" s="39">
        <v>13</v>
      </c>
      <c r="J18" s="6">
        <f t="shared" si="1"/>
        <v>189305.8936078003</v>
      </c>
      <c r="K18" s="6">
        <f t="shared" si="2"/>
        <v>184301.5388747018</v>
      </c>
      <c r="L18" s="6">
        <f>$C$21*12</f>
        <v>132736.41933810321</v>
      </c>
      <c r="M18" s="6">
        <f t="shared" si="3"/>
        <v>111884.94128352613</v>
      </c>
      <c r="N18" s="6">
        <f t="shared" si="4"/>
        <v>56569.474269697086</v>
      </c>
      <c r="O18" s="6">
        <f t="shared" si="0"/>
        <v>4714122.8558080904</v>
      </c>
      <c r="P18" s="6">
        <f>O18-(1-$C$5)*$C$4+SUM($M$6:$M18)</f>
        <v>4466439.5967165679</v>
      </c>
      <c r="Q18" s="6">
        <f>$C$4*(1-$C$5)-SUM($M$6:$M18)</f>
        <v>247683.25909152254</v>
      </c>
      <c r="R18" s="6">
        <f t="shared" si="5"/>
        <v>5004.3547330984984</v>
      </c>
      <c r="S18" s="6">
        <f t="shared" si="6"/>
        <v>129301.6554735933</v>
      </c>
      <c r="T18" s="6">
        <f t="shared" si="7"/>
        <v>54999.883401108498</v>
      </c>
      <c r="U18" s="6">
        <f t="shared" si="8"/>
        <v>0</v>
      </c>
      <c r="V18" s="6">
        <f t="shared" si="13"/>
        <v>10639491.94607228</v>
      </c>
      <c r="W18" s="22">
        <f t="shared" si="9"/>
        <v>4466439.5967165679</v>
      </c>
      <c r="X18" s="22">
        <f t="shared" si="10"/>
        <v>3973615.0255549499</v>
      </c>
      <c r="Y18" s="6">
        <f t="shared" si="11"/>
        <v>1714122.8558080904</v>
      </c>
      <c r="Z18" s="6">
        <f t="shared" si="12"/>
        <v>1714122.8558080904</v>
      </c>
      <c r="AA18" s="6">
        <f>U18+SUMIF($T$6:$T18,"&lt;=0",$T$6:$T18)</f>
        <v>0</v>
      </c>
      <c r="AB18" s="30">
        <f>V18</f>
        <v>10639491.94607228</v>
      </c>
      <c r="AC18" s="31">
        <f>AB18-AD18*$G$7</f>
        <v>9363760.5595009401</v>
      </c>
      <c r="AD18" s="13">
        <f>V18-SUMIF($T$6:$T18,"&gt;=0",$T$6:$T18)</f>
        <v>8504875.910475608</v>
      </c>
    </row>
    <row r="19" spans="2:30" x14ac:dyDescent="0.2">
      <c r="B19" s="43" t="s">
        <v>42</v>
      </c>
      <c r="C19" s="44">
        <v>500000</v>
      </c>
      <c r="I19" s="39">
        <v>14</v>
      </c>
      <c r="J19" s="6">
        <f t="shared" si="1"/>
        <v>192134.36732128513</v>
      </c>
      <c r="K19" s="6">
        <f t="shared" si="2"/>
        <v>188999.68881099377</v>
      </c>
      <c r="L19" s="6">
        <f>$C$21*12</f>
        <v>132736.41933810321</v>
      </c>
      <c r="M19" s="6">
        <f t="shared" si="3"/>
        <v>119675.25887855595</v>
      </c>
      <c r="N19" s="6">
        <f t="shared" si="4"/>
        <v>59397.947983181926</v>
      </c>
      <c r="O19" s="6">
        <f t="shared" si="0"/>
        <v>4949828.9985984936</v>
      </c>
      <c r="P19" s="6">
        <f>O19-(1-$C$5)*$C$4+SUM($M$6:$M19)</f>
        <v>4821820.9983855272</v>
      </c>
      <c r="Q19" s="6">
        <f>$C$4*(1-$C$5)-SUM($M$6:$M19)</f>
        <v>128008.0002129667</v>
      </c>
      <c r="R19" s="6">
        <f t="shared" si="5"/>
        <v>3134.6785102913423</v>
      </c>
      <c r="S19" s="6">
        <f t="shared" si="6"/>
        <v>135766.738247273</v>
      </c>
      <c r="T19" s="6">
        <f t="shared" si="7"/>
        <v>53232.950563720777</v>
      </c>
      <c r="U19" s="6">
        <f t="shared" si="8"/>
        <v>0</v>
      </c>
      <c r="V19" s="6">
        <f t="shared" si="13"/>
        <v>12296633.631131401</v>
      </c>
      <c r="W19" s="22">
        <f t="shared" si="9"/>
        <v>4821820.9983855272</v>
      </c>
      <c r="X19" s="22">
        <f t="shared" si="10"/>
        <v>4281855.1986658284</v>
      </c>
      <c r="Y19" s="6">
        <f t="shared" si="11"/>
        <v>1949828.9985984936</v>
      </c>
      <c r="Z19" s="6">
        <f t="shared" si="12"/>
        <v>1949828.9985984936</v>
      </c>
      <c r="AA19" s="6">
        <f>U19+SUMIF($T$6:$T19,"&lt;=0",$T$6:$T19)</f>
        <v>0</v>
      </c>
      <c r="AB19" s="30">
        <f>V19</f>
        <v>12296633.631131401</v>
      </c>
      <c r="AC19" s="31">
        <f>AB19-AD19*$G$7</f>
        <v>10780315.93438575</v>
      </c>
      <c r="AD19" s="13">
        <f>V19-SUMIF($T$6:$T19,"&gt;=0",$T$6:$T19)</f>
        <v>10108784.644971007</v>
      </c>
    </row>
    <row r="20" spans="2:30" x14ac:dyDescent="0.2">
      <c r="B20" s="46"/>
      <c r="C20" s="47"/>
      <c r="I20" s="39">
        <v>15</v>
      </c>
      <c r="J20" s="6">
        <f t="shared" si="1"/>
        <v>195104.26472044425</v>
      </c>
      <c r="K20" s="6">
        <f t="shared" si="2"/>
        <v>193969.44413041149</v>
      </c>
      <c r="L20" s="6">
        <f>$C$21*12</f>
        <v>132736.41933810321</v>
      </c>
      <c r="M20" s="6">
        <f t="shared" si="3"/>
        <v>128008.0002129667</v>
      </c>
      <c r="N20" s="6">
        <f t="shared" si="4"/>
        <v>62367.845382341031</v>
      </c>
      <c r="O20" s="6">
        <f t="shared" si="0"/>
        <v>5197320.4485284192</v>
      </c>
      <c r="P20" s="6">
        <f>O20-(1-$C$5)*$C$4+SUM($M$6:$M20)</f>
        <v>5197320.4485284192</v>
      </c>
      <c r="Q20" s="6">
        <f>$C$4*(1-$C$5)-SUM($M$6:$M20)</f>
        <v>0</v>
      </c>
      <c r="R20" s="6">
        <f t="shared" si="5"/>
        <v>1134.8205900327628</v>
      </c>
      <c r="S20" s="6">
        <f t="shared" si="6"/>
        <v>142555.07515963662</v>
      </c>
      <c r="T20" s="6">
        <f t="shared" si="7"/>
        <v>51414.368970774871</v>
      </c>
      <c r="U20" s="6">
        <f t="shared" si="8"/>
        <v>0</v>
      </c>
      <c r="V20" s="6">
        <f t="shared" si="13"/>
        <v>14200255.2001175</v>
      </c>
      <c r="W20" s="22">
        <f t="shared" si="9"/>
        <v>5197320.4485284192</v>
      </c>
      <c r="X20" s="22">
        <f t="shared" si="10"/>
        <v>4607856.358822736</v>
      </c>
      <c r="Y20" s="6">
        <f t="shared" si="11"/>
        <v>2197320.4485284192</v>
      </c>
      <c r="Z20" s="6">
        <f t="shared" si="12"/>
        <v>2197320.4485284192</v>
      </c>
      <c r="AA20" s="6">
        <f>U20+SUMIF($T$6:$T20,"&lt;=0",$T$6:$T20)</f>
        <v>0</v>
      </c>
      <c r="AB20" s="30">
        <f>V20</f>
        <v>14200255.2001175</v>
      </c>
      <c r="AC20" s="31">
        <f>AB20-AD20*$G$7</f>
        <v>12406106.423369551</v>
      </c>
      <c r="AD20" s="13">
        <f>V20-SUMIF($T$6:$T20,"&gt;=0",$T$6:$T20)</f>
        <v>11960991.844986331</v>
      </c>
    </row>
    <row r="21" spans="2:30" ht="17" thickBot="1" x14ac:dyDescent="0.25">
      <c r="B21" s="49" t="s">
        <v>45</v>
      </c>
      <c r="C21" s="50">
        <f>PMT(C6/12,C7*12,(1-C5)*-C4)</f>
        <v>11061.368278175267</v>
      </c>
      <c r="I21" s="39">
        <v>16</v>
      </c>
      <c r="J21" s="6">
        <f t="shared" si="1"/>
        <v>198222.65698956128</v>
      </c>
      <c r="K21" s="6">
        <f t="shared" si="2"/>
        <v>166365.9163484165</v>
      </c>
      <c r="L21" s="6">
        <f>$C$21*12</f>
        <v>132736.41933810321</v>
      </c>
      <c r="M21" s="6">
        <f t="shared" si="3"/>
        <v>0</v>
      </c>
      <c r="N21" s="6">
        <f t="shared" si="4"/>
        <v>65486.237651458083</v>
      </c>
      <c r="O21" s="6">
        <f t="shared" si="0"/>
        <v>5457186.4709548401</v>
      </c>
      <c r="P21" s="6">
        <f>O21-(1-$C$5)*$C$4+SUM($M$6:$M21)</f>
        <v>5457186.4709548401</v>
      </c>
      <c r="Q21" s="6">
        <f>$C$4*(1-$C$5)-SUM($M$6:$M21)</f>
        <v>0</v>
      </c>
      <c r="R21" s="6">
        <f t="shared" si="5"/>
        <v>31856.74064114477</v>
      </c>
      <c r="S21" s="6">
        <f t="shared" si="6"/>
        <v>149682.82891761849</v>
      </c>
      <c r="T21" s="6">
        <f t="shared" si="7"/>
        <v>16683.087430798012</v>
      </c>
      <c r="U21" s="6">
        <f t="shared" si="8"/>
        <v>0</v>
      </c>
      <c r="V21" s="6">
        <f t="shared" si="13"/>
        <v>16349479.030680541</v>
      </c>
      <c r="W21" s="22">
        <f t="shared" si="9"/>
        <v>5457186.4709548401</v>
      </c>
      <c r="X21" s="22">
        <f t="shared" si="10"/>
        <v>4815749.1767638717</v>
      </c>
      <c r="Y21" s="6">
        <f t="shared" si="11"/>
        <v>2457186.4709548401</v>
      </c>
      <c r="Z21" s="6">
        <f t="shared" si="12"/>
        <v>2457186.4709548401</v>
      </c>
      <c r="AA21" s="6">
        <f>U21+SUMIF($T$6:$T21,"&lt;=0",$T$6:$T21)</f>
        <v>0</v>
      </c>
      <c r="AB21" s="30">
        <f>V21</f>
        <v>16349479.030680541</v>
      </c>
      <c r="AC21" s="31">
        <f>AB21-AD21*$G$7</f>
        <v>14235449.142462755</v>
      </c>
      <c r="AD21" s="13">
        <f>V21-SUMIF($T$6:$T21,"&gt;=0",$T$6:$T21)</f>
        <v>14093532.588118574</v>
      </c>
    </row>
    <row r="22" spans="2:30" x14ac:dyDescent="0.2">
      <c r="I22" s="39">
        <v>17</v>
      </c>
      <c r="J22" s="6">
        <f t="shared" si="1"/>
        <v>201496.96887213422</v>
      </c>
      <c r="K22" s="6">
        <f t="shared" si="2"/>
        <v>169640.22823098945</v>
      </c>
      <c r="L22" s="6">
        <f>$C$21*12</f>
        <v>132736.41933810321</v>
      </c>
      <c r="M22" s="6">
        <f t="shared" si="3"/>
        <v>0</v>
      </c>
      <c r="N22" s="6">
        <f t="shared" si="4"/>
        <v>68760.549534031001</v>
      </c>
      <c r="O22" s="6">
        <f t="shared" si="0"/>
        <v>5730045.7945025833</v>
      </c>
      <c r="P22" s="6">
        <f>O22-(1-$C$5)*$C$4+SUM($M$6:$M22)</f>
        <v>5730045.7945025833</v>
      </c>
      <c r="Q22" s="6">
        <f>$C$4*(1-$C$5)-SUM($M$6:$M22)</f>
        <v>0</v>
      </c>
      <c r="R22" s="6">
        <f t="shared" si="5"/>
        <v>31856.74064114477</v>
      </c>
      <c r="S22" s="6">
        <f t="shared" si="6"/>
        <v>157166.97036349939</v>
      </c>
      <c r="T22" s="6">
        <f t="shared" si="7"/>
        <v>12473.257867490058</v>
      </c>
      <c r="U22" s="6">
        <f t="shared" si="8"/>
        <v>0</v>
      </c>
      <c r="V22" s="6">
        <f t="shared" si="13"/>
        <v>18816245.131830234</v>
      </c>
      <c r="W22" s="22">
        <f t="shared" si="9"/>
        <v>5730045.7945025833</v>
      </c>
      <c r="X22" s="22">
        <f t="shared" si="10"/>
        <v>5034036.6356020663</v>
      </c>
      <c r="Y22" s="6">
        <f t="shared" si="11"/>
        <v>2730045.7945025833</v>
      </c>
      <c r="Z22" s="6">
        <f t="shared" si="12"/>
        <v>2730045.7945025833</v>
      </c>
      <c r="AA22" s="6">
        <f>U22+SUMIF($T$6:$T22,"&lt;=0",$T$6:$T22)</f>
        <v>0</v>
      </c>
      <c r="AB22" s="30">
        <f>V22</f>
        <v>18816245.131830234</v>
      </c>
      <c r="AC22" s="31">
        <f>AB22-AD22*$G$7</f>
        <v>16334071.317120118</v>
      </c>
      <c r="AD22" s="13">
        <f>V22-SUMIF($T$6:$T22,"&gt;=0",$T$6:$T22)</f>
        <v>16547825.431400776</v>
      </c>
    </row>
    <row r="23" spans="2:30" x14ac:dyDescent="0.2">
      <c r="I23" s="39">
        <v>18</v>
      </c>
      <c r="J23" s="6">
        <f t="shared" si="1"/>
        <v>204934.99634883576</v>
      </c>
      <c r="K23" s="6">
        <f t="shared" si="2"/>
        <v>173078.25570769099</v>
      </c>
      <c r="L23" s="6">
        <f>$C$21*12</f>
        <v>132736.41933810321</v>
      </c>
      <c r="M23" s="6">
        <f t="shared" si="3"/>
        <v>0</v>
      </c>
      <c r="N23" s="6">
        <f t="shared" si="4"/>
        <v>72198.577010732537</v>
      </c>
      <c r="O23" s="6">
        <f t="shared" si="0"/>
        <v>6016548.0842277119</v>
      </c>
      <c r="P23" s="6">
        <f>O23-(1-$C$5)*$C$4+SUM($M$6:$M23)</f>
        <v>6016548.0842277119</v>
      </c>
      <c r="Q23" s="6">
        <f>$C$4*(1-$C$5)-SUM($M$6:$M23)</f>
        <v>0</v>
      </c>
      <c r="R23" s="6">
        <f t="shared" si="5"/>
        <v>31856.74064114477</v>
      </c>
      <c r="S23" s="6">
        <f t="shared" si="6"/>
        <v>165025.31888167438</v>
      </c>
      <c r="T23" s="6">
        <f t="shared" si="7"/>
        <v>8052.9368260166084</v>
      </c>
      <c r="U23" s="6">
        <f t="shared" si="8"/>
        <v>0</v>
      </c>
      <c r="V23" s="6">
        <f t="shared" si="13"/>
        <v>21647942.778954688</v>
      </c>
      <c r="W23" s="22">
        <f t="shared" si="9"/>
        <v>6016548.0842277119</v>
      </c>
      <c r="X23" s="22">
        <f t="shared" si="10"/>
        <v>5263238.4673821703</v>
      </c>
      <c r="Y23" s="6">
        <f t="shared" si="11"/>
        <v>3016548.0842277119</v>
      </c>
      <c r="Z23" s="6">
        <f t="shared" si="12"/>
        <v>3016548.0842277119</v>
      </c>
      <c r="AA23" s="6">
        <f>U23+SUMIF($T$6:$T23,"&lt;=0",$T$6:$T23)</f>
        <v>0</v>
      </c>
      <c r="AB23" s="30">
        <f>V23</f>
        <v>21647942.778954688</v>
      </c>
      <c r="AC23" s="31">
        <f>AB23-AD23*$G$7</f>
        <v>18742222.257699806</v>
      </c>
      <c r="AD23" s="13">
        <f>V23-SUMIF($T$6:$T23,"&gt;=0",$T$6:$T23)</f>
        <v>19371470.141699214</v>
      </c>
    </row>
    <row r="24" spans="2:30" x14ac:dyDescent="0.2">
      <c r="B24" s="19" t="s">
        <v>29</v>
      </c>
      <c r="C24" s="18"/>
      <c r="D24" s="18"/>
      <c r="E24" s="18"/>
      <c r="F24" s="18"/>
      <c r="G24" s="18"/>
      <c r="I24" s="39">
        <v>19</v>
      </c>
      <c r="J24" s="6">
        <f t="shared" si="1"/>
        <v>208544.9251993724</v>
      </c>
      <c r="K24" s="6">
        <f t="shared" si="2"/>
        <v>176688.18455822763</v>
      </c>
      <c r="L24" s="6">
        <f>$C$21*12</f>
        <v>132736.41933810321</v>
      </c>
      <c r="M24" s="6">
        <f t="shared" si="3"/>
        <v>0</v>
      </c>
      <c r="N24" s="6">
        <f t="shared" si="4"/>
        <v>75808.505861269179</v>
      </c>
      <c r="O24" s="6">
        <f t="shared" si="0"/>
        <v>6317375.488439098</v>
      </c>
      <c r="P24" s="6">
        <f>O24-(1-$C$5)*$C$4+SUM($M$6:$M24)</f>
        <v>6317375.488439098</v>
      </c>
      <c r="Q24" s="6">
        <f>$C$4*(1-$C$5)-SUM($M$6:$M24)</f>
        <v>0</v>
      </c>
      <c r="R24" s="6">
        <f t="shared" si="5"/>
        <v>31856.74064114477</v>
      </c>
      <c r="S24" s="6">
        <f t="shared" si="6"/>
        <v>173276.58482575809</v>
      </c>
      <c r="T24" s="6">
        <f t="shared" si="7"/>
        <v>3411.5997324695345</v>
      </c>
      <c r="U24" s="6">
        <f t="shared" si="8"/>
        <v>0</v>
      </c>
      <c r="V24" s="6">
        <f t="shared" si="13"/>
        <v>24899057.53549023</v>
      </c>
      <c r="W24" s="22">
        <f t="shared" si="9"/>
        <v>6317375.488439098</v>
      </c>
      <c r="X24" s="22">
        <f t="shared" si="10"/>
        <v>5503900.390751279</v>
      </c>
      <c r="Y24" s="6">
        <f t="shared" si="11"/>
        <v>3317375.488439098</v>
      </c>
      <c r="Z24" s="6">
        <f t="shared" si="12"/>
        <v>3317375.488439098</v>
      </c>
      <c r="AA24" s="6">
        <f>U24+SUMIF($T$6:$T24,"&lt;=0",$T$6:$T24)</f>
        <v>0</v>
      </c>
      <c r="AB24" s="30">
        <f>V24</f>
        <v>24899057.53549023</v>
      </c>
      <c r="AC24" s="31">
        <f>AB24-AD24*$G$7</f>
        <v>21506181.540714886</v>
      </c>
      <c r="AD24" s="13">
        <f>V24-SUMIF($T$6:$T24,"&gt;=0",$T$6:$T24)</f>
        <v>22619173.298502285</v>
      </c>
    </row>
    <row r="25" spans="2:30" ht="17" thickBot="1" x14ac:dyDescent="0.25">
      <c r="B25" s="55" t="s">
        <v>31</v>
      </c>
      <c r="C25" s="55"/>
      <c r="D25" s="55"/>
      <c r="I25" s="40">
        <v>20</v>
      </c>
      <c r="J25" s="7">
        <f t="shared" si="1"/>
        <v>212335.35049243586</v>
      </c>
      <c r="K25" s="7">
        <f t="shared" si="2"/>
        <v>180478.60985129108</v>
      </c>
      <c r="L25" s="7">
        <f>$C$21*12</f>
        <v>132736.41933810321</v>
      </c>
      <c r="M25" s="7">
        <f t="shared" si="3"/>
        <v>0</v>
      </c>
      <c r="N25" s="7">
        <f t="shared" si="4"/>
        <v>79598.931154332633</v>
      </c>
      <c r="O25" s="7">
        <f t="shared" si="0"/>
        <v>6633244.2628610525</v>
      </c>
      <c r="P25" s="7">
        <f>O25-(1-$C$5)*$C$4+SUM($M$6:$M25)</f>
        <v>6633244.2628610525</v>
      </c>
      <c r="Q25" s="7">
        <f>$C$4*(1-$C$5)-SUM($M$6:$M25)</f>
        <v>0</v>
      </c>
      <c r="R25" s="7">
        <f t="shared" si="5"/>
        <v>31856.74064114477</v>
      </c>
      <c r="S25" s="7">
        <f t="shared" si="6"/>
        <v>181940.41406704602</v>
      </c>
      <c r="T25" s="7">
        <f t="shared" si="7"/>
        <v>-1461.8042157549353</v>
      </c>
      <c r="U25" s="7">
        <f t="shared" si="8"/>
        <v>1681.0748481181754</v>
      </c>
      <c r="V25" s="7">
        <f t="shared" si="13"/>
        <v>28633916.165813763</v>
      </c>
      <c r="W25" s="23">
        <f t="shared" si="9"/>
        <v>6634925.3377091708</v>
      </c>
      <c r="X25" s="23">
        <f t="shared" si="10"/>
        <v>5758243.5945421057</v>
      </c>
      <c r="Y25" s="7">
        <f t="shared" si="11"/>
        <v>3633463.5334934159</v>
      </c>
      <c r="Z25" s="7">
        <f t="shared" si="12"/>
        <v>3633244.2628610525</v>
      </c>
      <c r="AA25" s="7">
        <f>U25+SUMIF($T$6:$T25,"&lt;=0",$T$6:$T25)</f>
        <v>219.27063236324011</v>
      </c>
      <c r="AB25" s="32">
        <f>V25</f>
        <v>28633916.165813763</v>
      </c>
      <c r="AC25" s="33">
        <f>AB25-AD25*$G$7</f>
        <v>24680811.376489889</v>
      </c>
      <c r="AD25" s="14">
        <f>V25-SUMIF($T$6:$T25,"&gt;=0",$T$6:$T25)</f>
        <v>26354031.928825818</v>
      </c>
    </row>
    <row r="26" spans="2:30" ht="17" thickTop="1" x14ac:dyDescent="0.2">
      <c r="B26" s="1" t="s">
        <v>30</v>
      </c>
      <c r="C26" s="1" t="s">
        <v>7</v>
      </c>
      <c r="D26" s="1" t="s">
        <v>8</v>
      </c>
      <c r="I26" s="39">
        <v>21</v>
      </c>
      <c r="J26" s="6">
        <f t="shared" si="1"/>
        <v>216315.29705015247</v>
      </c>
      <c r="K26" s="6">
        <f t="shared" si="2"/>
        <v>184458.5564090077</v>
      </c>
      <c r="L26" s="6">
        <f>$C$21*12</f>
        <v>132736.41933810321</v>
      </c>
      <c r="M26" s="6">
        <f t="shared" si="3"/>
        <v>0</v>
      </c>
      <c r="N26" s="6">
        <f t="shared" si="4"/>
        <v>83578.87771204926</v>
      </c>
      <c r="O26" s="6">
        <f t="shared" si="0"/>
        <v>6964906.4760041051</v>
      </c>
      <c r="P26" s="6">
        <f>O26-(1-$C$5)*$C$4+SUM($M$6:$M26)</f>
        <v>6964906.4760041051</v>
      </c>
      <c r="Q26" s="6">
        <f>$C$4*(1-$C$5)-SUM($M$6:$M26)</f>
        <v>0</v>
      </c>
      <c r="R26" s="6">
        <f t="shared" si="5"/>
        <v>31856.74064114477</v>
      </c>
      <c r="S26" s="6">
        <f t="shared" si="6"/>
        <v>191037.43477039831</v>
      </c>
      <c r="T26" s="6">
        <f t="shared" si="7"/>
        <v>-6578.8783613906126</v>
      </c>
      <c r="U26" s="6">
        <f t="shared" si="8"/>
        <v>9498.9461909351066</v>
      </c>
      <c r="V26" s="6">
        <f t="shared" si="13"/>
        <v>32929003.590685826</v>
      </c>
      <c r="W26" s="22">
        <f t="shared" si="9"/>
        <v>6974405.4221950406</v>
      </c>
      <c r="X26" s="22">
        <f t="shared" si="10"/>
        <v>6031205.3874521516</v>
      </c>
      <c r="Y26" s="6">
        <f t="shared" si="11"/>
        <v>3966364.7396178944</v>
      </c>
      <c r="Z26" s="6">
        <f t="shared" si="12"/>
        <v>3964906.4760041051</v>
      </c>
      <c r="AA26" s="6">
        <f>U26+SUMIF($T$6:$T26,"&lt;=0",$T$6:$T26)</f>
        <v>1458.2636137895588</v>
      </c>
      <c r="AB26" s="30">
        <f>V26</f>
        <v>32929003.590685826</v>
      </c>
      <c r="AC26" s="31">
        <f>AB26-AD26*$G$7</f>
        <v>28331635.687631145</v>
      </c>
      <c r="AD26" s="13">
        <f>V26-SUMIF($T$6:$T26,"&gt;=0",$T$6:$T26)</f>
        <v>30649119.353697881</v>
      </c>
    </row>
    <row r="27" spans="2:30" x14ac:dyDescent="0.2">
      <c r="B27" s="1">
        <v>1</v>
      </c>
      <c r="C27" s="8">
        <f>IFERROR(PPMT($C$6/12,B27,$C$7*12,(1-$C$5)*-$C$4),0)</f>
        <v>4030.1182781752659</v>
      </c>
      <c r="D27" s="8">
        <f>IFERROR(IPMT($C$6/12,B27,$C$7*12,(1-$C$5)*-$C$4),0)</f>
        <v>7031.2500000000009</v>
      </c>
      <c r="I27" s="39">
        <v>22</v>
      </c>
      <c r="J27" s="6">
        <f t="shared" si="1"/>
        <v>220494.2409357549</v>
      </c>
      <c r="K27" s="6">
        <f t="shared" si="2"/>
        <v>188637.50029461013</v>
      </c>
      <c r="L27" s="6">
        <f>$C$21*12</f>
        <v>132736.41933810321</v>
      </c>
      <c r="M27" s="6">
        <f t="shared" si="3"/>
        <v>0</v>
      </c>
      <c r="N27" s="6">
        <f t="shared" si="4"/>
        <v>87757.821597651709</v>
      </c>
      <c r="O27" s="6">
        <f t="shared" si="0"/>
        <v>7313151.7998043094</v>
      </c>
      <c r="P27" s="6">
        <f>O27-(1-$C$5)*$C$4+SUM($M$6:$M27)</f>
        <v>7313151.7998043094</v>
      </c>
      <c r="Q27" s="6">
        <f>$C$4*(1-$C$5)-SUM($M$6:$M27)</f>
        <v>0</v>
      </c>
      <c r="R27" s="6">
        <f t="shared" si="5"/>
        <v>31856.74064114477</v>
      </c>
      <c r="S27" s="6">
        <f t="shared" si="6"/>
        <v>200589.30650891821</v>
      </c>
      <c r="T27" s="6">
        <f t="shared" si="7"/>
        <v>-11951.806214308075</v>
      </c>
      <c r="U27" s="6">
        <f t="shared" si="8"/>
        <v>24668.365266029658</v>
      </c>
      <c r="V27" s="6">
        <f t="shared" si="13"/>
        <v>37868354.129288696</v>
      </c>
      <c r="W27" s="22">
        <f t="shared" si="9"/>
        <v>7337820.1650703391</v>
      </c>
      <c r="X27" s="22">
        <f t="shared" si="10"/>
        <v>6324488.4236382907</v>
      </c>
      <c r="Y27" s="6">
        <f t="shared" si="11"/>
        <v>4317827.6762788855</v>
      </c>
      <c r="Z27" s="6">
        <f t="shared" si="12"/>
        <v>4313151.7998043094</v>
      </c>
      <c r="AA27" s="6">
        <f>U27+SUMIF($T$6:$T27,"&lt;=0",$T$6:$T27)</f>
        <v>4675.8764745760345</v>
      </c>
      <c r="AB27" s="30">
        <f>V27</f>
        <v>37868354.129288696</v>
      </c>
      <c r="AC27" s="31">
        <f>AB27-AD27*$G$7</f>
        <v>32530083.645443581</v>
      </c>
      <c r="AD27" s="13">
        <f>V27-SUMIF($T$6:$T27,"&gt;=0",$T$6:$T27)</f>
        <v>35588469.892300755</v>
      </c>
    </row>
    <row r="28" spans="2:30" x14ac:dyDescent="0.2">
      <c r="B28" s="1">
        <v>2</v>
      </c>
      <c r="C28" s="8">
        <f t="shared" ref="C28:C91" si="14">IFERROR(PPMT($C$6/12,B28,$C$7*12,(1-$C$5)*-$C$4),0)</f>
        <v>4052.7876934900023</v>
      </c>
      <c r="D28" s="8">
        <f t="shared" ref="D28:D91" si="15">IFERROR(IPMT($C$6/12,B28,$C$7*12,(1-$C$5)*-$C$4),0)</f>
        <v>7008.5805846852645</v>
      </c>
      <c r="I28" s="39">
        <v>23</v>
      </c>
      <c r="J28" s="6">
        <f t="shared" si="1"/>
        <v>224882.13201563753</v>
      </c>
      <c r="K28" s="6">
        <f t="shared" si="2"/>
        <v>193025.39137449276</v>
      </c>
      <c r="L28" s="6">
        <f>$C$21*12</f>
        <v>132736.41933810321</v>
      </c>
      <c r="M28" s="6">
        <f t="shared" si="3"/>
        <v>0</v>
      </c>
      <c r="N28" s="6">
        <f t="shared" si="4"/>
        <v>92145.71267753432</v>
      </c>
      <c r="O28" s="6">
        <f t="shared" si="0"/>
        <v>7678809.3897945266</v>
      </c>
      <c r="P28" s="6">
        <f>O28-(1-$C$5)*$C$4+SUM($M$6:$M28)</f>
        <v>7678809.3897945266</v>
      </c>
      <c r="Q28" s="6">
        <f>$C$4*(1-$C$5)-SUM($M$6:$M28)</f>
        <v>0</v>
      </c>
      <c r="R28" s="6">
        <f t="shared" si="5"/>
        <v>31856.74064114477</v>
      </c>
      <c r="S28" s="6">
        <f t="shared" si="6"/>
        <v>210618.7718343641</v>
      </c>
      <c r="T28" s="6">
        <f t="shared" si="7"/>
        <v>-17593.380459871347</v>
      </c>
      <c r="U28" s="6">
        <f t="shared" si="8"/>
        <v>48601.007584786152</v>
      </c>
      <c r="V28" s="6">
        <f t="shared" si="13"/>
        <v>43548607.248682</v>
      </c>
      <c r="W28" s="22">
        <f t="shared" si="9"/>
        <v>7727410.3973793127</v>
      </c>
      <c r="X28" s="22">
        <f t="shared" si="10"/>
        <v>6639996.248670388</v>
      </c>
      <c r="Y28" s="6">
        <f t="shared" si="11"/>
        <v>4689824.5281279879</v>
      </c>
      <c r="Z28" s="6">
        <f t="shared" si="12"/>
        <v>4678809.3897945266</v>
      </c>
      <c r="AA28" s="6">
        <f>U28+SUMIF($T$6:$T28,"&lt;=0",$T$6:$T28)</f>
        <v>11015.138333461182</v>
      </c>
      <c r="AB28" s="30">
        <f>V28</f>
        <v>43548607.248682</v>
      </c>
      <c r="AC28" s="31">
        <f>AB28-AD28*$G$7</f>
        <v>37358298.796927892</v>
      </c>
      <c r="AD28" s="13">
        <f>V28-SUMIF($T$6:$T28,"&gt;=0",$T$6:$T28)</f>
        <v>41268723.011694059</v>
      </c>
    </row>
    <row r="29" spans="2:30" x14ac:dyDescent="0.2">
      <c r="B29" s="1">
        <v>3</v>
      </c>
      <c r="C29" s="8">
        <f t="shared" si="14"/>
        <v>4075.5846242658831</v>
      </c>
      <c r="D29" s="8">
        <f t="shared" si="15"/>
        <v>6985.7836539093832</v>
      </c>
      <c r="I29" s="39">
        <v>24</v>
      </c>
      <c r="J29" s="6">
        <f t="shared" si="1"/>
        <v>229489.41764951422</v>
      </c>
      <c r="K29" s="6">
        <f t="shared" si="2"/>
        <v>197632.67700836944</v>
      </c>
      <c r="L29" s="6">
        <f>$C$21*12</f>
        <v>132736.41933810321</v>
      </c>
      <c r="M29" s="6">
        <f t="shared" si="3"/>
        <v>0</v>
      </c>
      <c r="N29" s="6">
        <f t="shared" si="4"/>
        <v>96752.998311411022</v>
      </c>
      <c r="O29" s="6">
        <f t="shared" si="0"/>
        <v>8062749.8592842519</v>
      </c>
      <c r="P29" s="6">
        <f>O29-(1-$C$5)*$C$4+SUM($M$6:$M29)</f>
        <v>8062749.8592842519</v>
      </c>
      <c r="Q29" s="6">
        <f>$C$4*(1-$C$5)-SUM($M$6:$M29)</f>
        <v>0</v>
      </c>
      <c r="R29" s="6">
        <f t="shared" si="5"/>
        <v>31856.74064114477</v>
      </c>
      <c r="S29" s="6">
        <f t="shared" si="6"/>
        <v>221149.71042608237</v>
      </c>
      <c r="T29" s="6">
        <f t="shared" si="7"/>
        <v>-23517.033417712926</v>
      </c>
      <c r="U29" s="6">
        <f t="shared" si="8"/>
        <v>82935.747152873941</v>
      </c>
      <c r="V29" s="6">
        <f t="shared" si="13"/>
        <v>50080898.335984297</v>
      </c>
      <c r="W29" s="22">
        <f t="shared" si="9"/>
        <v>8145685.6064371262</v>
      </c>
      <c r="X29" s="22">
        <f t="shared" si="10"/>
        <v>6979860.7079077</v>
      </c>
      <c r="Y29" s="6">
        <f t="shared" si="11"/>
        <v>5084582.7037680876</v>
      </c>
      <c r="Z29" s="6">
        <f t="shared" si="12"/>
        <v>5062749.8592842519</v>
      </c>
      <c r="AA29" s="6">
        <f>U29+SUMIF($T$6:$T29,"&lt;=0",$T$6:$T29)</f>
        <v>21832.844483836045</v>
      </c>
      <c r="AB29" s="30">
        <f>V29</f>
        <v>50080898.335984297</v>
      </c>
      <c r="AC29" s="31">
        <f>AB29-AD29*$G$7</f>
        <v>42910746.221134841</v>
      </c>
      <c r="AD29" s="13">
        <f>V29-SUMIF($T$6:$T29,"&gt;=0",$T$6:$T29)</f>
        <v>47801014.098996356</v>
      </c>
    </row>
    <row r="30" spans="2:30" x14ac:dyDescent="0.2">
      <c r="B30" s="1">
        <v>4</v>
      </c>
      <c r="C30" s="8">
        <f t="shared" si="14"/>
        <v>4098.5097877773787</v>
      </c>
      <c r="D30" s="8">
        <f t="shared" si="15"/>
        <v>6962.858490397889</v>
      </c>
      <c r="I30" s="39">
        <v>25</v>
      </c>
      <c r="J30" s="6">
        <f t="shared" si="1"/>
        <v>234327.06756508478</v>
      </c>
      <c r="K30" s="6">
        <f t="shared" si="2"/>
        <v>202470.32692394001</v>
      </c>
      <c r="L30" s="6">
        <f>$C$21*12</f>
        <v>132736.41933810321</v>
      </c>
      <c r="M30" s="6">
        <f t="shared" si="3"/>
        <v>0</v>
      </c>
      <c r="N30" s="6">
        <f t="shared" si="4"/>
        <v>101590.64822698156</v>
      </c>
      <c r="O30" s="6">
        <f t="shared" si="0"/>
        <v>8465887.3522484638</v>
      </c>
      <c r="P30" s="6">
        <f>O30-(1-$C$5)*$C$4+SUM($M$6:$M30)</f>
        <v>8465887.3522484638</v>
      </c>
      <c r="Q30" s="6">
        <f>$C$4*(1-$C$5)-SUM($M$6:$M30)</f>
        <v>0</v>
      </c>
      <c r="R30" s="6">
        <f t="shared" si="5"/>
        <v>31856.74064114477</v>
      </c>
      <c r="S30" s="6">
        <f t="shared" si="6"/>
        <v>232207.19594738644</v>
      </c>
      <c r="T30" s="6">
        <f t="shared" si="7"/>
        <v>-29736.86902344643</v>
      </c>
      <c r="U30" s="6">
        <f t="shared" si="8"/>
        <v>129573.50860276842</v>
      </c>
      <c r="V30" s="6">
        <f t="shared" si="13"/>
        <v>57593033.086381935</v>
      </c>
      <c r="W30" s="22">
        <f t="shared" si="9"/>
        <v>8595460.860851232</v>
      </c>
      <c r="X30" s="22">
        <f t="shared" si="10"/>
        <v>7346473.3298649965</v>
      </c>
      <c r="Y30" s="6">
        <f t="shared" si="11"/>
        <v>5504621.0891587483</v>
      </c>
      <c r="Z30" s="6">
        <f t="shared" si="12"/>
        <v>5465887.3522484638</v>
      </c>
      <c r="AA30" s="6">
        <f>U30+SUMIF($T$6:$T30,"&lt;=0",$T$6:$T30)</f>
        <v>38733.736910284089</v>
      </c>
      <c r="AB30" s="30">
        <f>V30</f>
        <v>57593033.086381935</v>
      </c>
      <c r="AC30" s="31">
        <f>AB30-AD30*$G$7</f>
        <v>49296060.758972839</v>
      </c>
      <c r="AD30" s="13">
        <f>V30-SUMIF($T$6:$T30,"&gt;=0",$T$6:$T30)</f>
        <v>55313148.849393994</v>
      </c>
    </row>
    <row r="31" spans="2:30" x14ac:dyDescent="0.2">
      <c r="B31" s="1">
        <v>5</v>
      </c>
      <c r="C31" s="8">
        <f t="shared" si="14"/>
        <v>4121.5639053336272</v>
      </c>
      <c r="D31" s="8">
        <f t="shared" si="15"/>
        <v>6939.8043728416415</v>
      </c>
      <c r="I31" s="39">
        <v>26</v>
      </c>
      <c r="J31" s="6">
        <f t="shared" si="1"/>
        <v>239406.59997643385</v>
      </c>
      <c r="K31" s="6">
        <f t="shared" si="2"/>
        <v>207549.85933528907</v>
      </c>
      <c r="L31" s="6">
        <f>$C$21*12</f>
        <v>132736.41933810321</v>
      </c>
      <c r="M31" s="6">
        <f t="shared" si="3"/>
        <v>0</v>
      </c>
      <c r="N31" s="6">
        <f t="shared" si="4"/>
        <v>106670.18063833065</v>
      </c>
      <c r="O31" s="6">
        <f t="shared" si="0"/>
        <v>8889181.7198608872</v>
      </c>
      <c r="P31" s="6">
        <f>O31-(1-$C$5)*$C$4+SUM($M$6:$M31)</f>
        <v>8889181.7198608872</v>
      </c>
      <c r="Q31" s="6">
        <f>$C$4*(1-$C$5)-SUM($M$6:$M31)</f>
        <v>0</v>
      </c>
      <c r="R31" s="6">
        <f t="shared" si="5"/>
        <v>31856.74064114477</v>
      </c>
      <c r="S31" s="6">
        <f t="shared" si="6"/>
        <v>243817.55574475578</v>
      </c>
      <c r="T31" s="6">
        <f t="shared" si="7"/>
        <v>-36267.696409466706</v>
      </c>
      <c r="U31" s="6">
        <f t="shared" si="8"/>
        <v>190717.38576407038</v>
      </c>
      <c r="V31" s="6">
        <f t="shared" si="13"/>
        <v>66231988.04933922</v>
      </c>
      <c r="W31" s="22">
        <f t="shared" si="9"/>
        <v>9079899.105624957</v>
      </c>
      <c r="X31" s="22">
        <f t="shared" si="10"/>
        <v>7742521.2740034619</v>
      </c>
      <c r="Y31" s="6">
        <f t="shared" si="11"/>
        <v>5952791.6375230066</v>
      </c>
      <c r="Z31" s="6">
        <f t="shared" si="12"/>
        <v>5889181.7198608872</v>
      </c>
      <c r="AA31" s="6">
        <f>U31+SUMIF($T$6:$T31,"&lt;=0",$T$6:$T31)</f>
        <v>63609.917662119347</v>
      </c>
      <c r="AB31" s="30">
        <f>V31</f>
        <v>66231988.04933922</v>
      </c>
      <c r="AC31" s="31">
        <f>AB31-AD31*$G$7</f>
        <v>56639172.477486528</v>
      </c>
      <c r="AD31" s="13">
        <f>V31-SUMIF($T$6:$T31,"&gt;=0",$T$6:$T31)</f>
        <v>63952103.812351279</v>
      </c>
    </row>
    <row r="32" spans="2:30" x14ac:dyDescent="0.2">
      <c r="B32" s="1">
        <v>6</v>
      </c>
      <c r="C32" s="8">
        <f t="shared" si="14"/>
        <v>4144.7477023011279</v>
      </c>
      <c r="D32" s="8">
        <f t="shared" si="15"/>
        <v>6916.6205758741398</v>
      </c>
      <c r="I32" s="39">
        <v>27</v>
      </c>
      <c r="J32" s="6">
        <f t="shared" si="1"/>
        <v>244740.10900835041</v>
      </c>
      <c r="K32" s="6">
        <f t="shared" si="2"/>
        <v>212883.36836720564</v>
      </c>
      <c r="L32" s="6">
        <f>$C$21*12</f>
        <v>132736.41933810321</v>
      </c>
      <c r="M32" s="6">
        <f t="shared" si="3"/>
        <v>0</v>
      </c>
      <c r="N32" s="6">
        <f t="shared" si="4"/>
        <v>112003.6896702472</v>
      </c>
      <c r="O32" s="6">
        <f t="shared" si="0"/>
        <v>9333640.8058539331</v>
      </c>
      <c r="P32" s="6">
        <f>O32-(1-$C$5)*$C$4+SUM($M$6:$M32)</f>
        <v>9333640.8058539331</v>
      </c>
      <c r="Q32" s="6">
        <f>$C$4*(1-$C$5)-SUM($M$6:$M32)</f>
        <v>0</v>
      </c>
      <c r="R32" s="6">
        <f t="shared" si="5"/>
        <v>31856.74064114477</v>
      </c>
      <c r="S32" s="6">
        <f t="shared" si="6"/>
        <v>256008.43353199356</v>
      </c>
      <c r="T32" s="6">
        <f t="shared" si="7"/>
        <v>-43125.065164787928</v>
      </c>
      <c r="U32" s="6">
        <f t="shared" si="8"/>
        <v>268918.81856818701</v>
      </c>
      <c r="V32" s="6">
        <f t="shared" si="13"/>
        <v>76166786.256740093</v>
      </c>
      <c r="W32" s="22">
        <f t="shared" si="9"/>
        <v>9602559.6244221199</v>
      </c>
      <c r="X32" s="22">
        <f t="shared" si="10"/>
        <v>8171028.5204561166</v>
      </c>
      <c r="Y32" s="6">
        <f t="shared" si="11"/>
        <v>6432327.0911553809</v>
      </c>
      <c r="Z32" s="6">
        <f t="shared" si="12"/>
        <v>6333640.8058539331</v>
      </c>
      <c r="AA32" s="6">
        <f>U32+SUMIF($T$6:$T32,"&lt;=0",$T$6:$T32)</f>
        <v>98686.28530144805</v>
      </c>
      <c r="AB32" s="30">
        <f>V32</f>
        <v>76166786.256740093</v>
      </c>
      <c r="AC32" s="31">
        <f>AB32-AD32*$G$7</f>
        <v>65083750.953777269</v>
      </c>
      <c r="AD32" s="13">
        <f>V32-SUMIF($T$6:$T32,"&gt;=0",$T$6:$T32)</f>
        <v>73886902.019752145</v>
      </c>
    </row>
    <row r="33" spans="2:41" x14ac:dyDescent="0.2">
      <c r="B33" s="1">
        <v>7</v>
      </c>
      <c r="C33" s="8">
        <f t="shared" si="14"/>
        <v>4168.0619081265713</v>
      </c>
      <c r="D33" s="8">
        <f t="shared" si="15"/>
        <v>6893.3063700486946</v>
      </c>
      <c r="I33" s="39">
        <v>28</v>
      </c>
      <c r="J33" s="6">
        <f t="shared" si="1"/>
        <v>250340.29349186277</v>
      </c>
      <c r="K33" s="6">
        <f t="shared" si="2"/>
        <v>218483.552850718</v>
      </c>
      <c r="L33" s="6">
        <f>$C$21*12</f>
        <v>132736.41933810321</v>
      </c>
      <c r="M33" s="6">
        <f t="shared" si="3"/>
        <v>0</v>
      </c>
      <c r="N33" s="6">
        <f t="shared" si="4"/>
        <v>117603.87415375955</v>
      </c>
      <c r="O33" s="6">
        <f t="shared" si="0"/>
        <v>9800322.8461466283</v>
      </c>
      <c r="P33" s="6">
        <f>O33-(1-$C$5)*$C$4+SUM($M$6:$M33)</f>
        <v>9800322.8461466283</v>
      </c>
      <c r="Q33" s="6">
        <f>$C$4*(1-$C$5)-SUM($M$6:$M33)</f>
        <v>0</v>
      </c>
      <c r="R33" s="6">
        <f t="shared" si="5"/>
        <v>31856.74064114477</v>
      </c>
      <c r="S33" s="6">
        <f t="shared" si="6"/>
        <v>268808.8552085933</v>
      </c>
      <c r="T33" s="6">
        <f t="shared" si="7"/>
        <v>-50325.302357875305</v>
      </c>
      <c r="U33" s="6">
        <f t="shared" si="8"/>
        <v>367130.73906497168</v>
      </c>
      <c r="V33" s="6">
        <f t="shared" si="13"/>
        <v>87591804.195251107</v>
      </c>
      <c r="W33" s="22">
        <f t="shared" si="9"/>
        <v>10167453.585211599</v>
      </c>
      <c r="X33" s="22">
        <f t="shared" si="10"/>
        <v>8635403.0804662202</v>
      </c>
      <c r="Y33" s="6">
        <f t="shared" si="11"/>
        <v>6946895.7495869854</v>
      </c>
      <c r="Z33" s="6">
        <f t="shared" si="12"/>
        <v>6800322.8461466283</v>
      </c>
      <c r="AA33" s="6">
        <f>U33+SUMIF($T$6:$T33,"&lt;=0",$T$6:$T33)</f>
        <v>146572.90344035742</v>
      </c>
      <c r="AB33" s="30">
        <f>V33</f>
        <v>87591804.195251107</v>
      </c>
      <c r="AC33" s="31">
        <f>AB33-AD33*$G$7</f>
        <v>74795016.201511636</v>
      </c>
      <c r="AD33" s="13">
        <f>V33-SUMIF($T$6:$T33,"&gt;=0",$T$6:$T33)</f>
        <v>85311919.958263159</v>
      </c>
    </row>
    <row r="34" spans="2:41" x14ac:dyDescent="0.2">
      <c r="B34" s="1">
        <v>8</v>
      </c>
      <c r="C34" s="8">
        <f t="shared" si="14"/>
        <v>4191.5072563597842</v>
      </c>
      <c r="D34" s="8">
        <f t="shared" si="15"/>
        <v>6869.8610218154827</v>
      </c>
      <c r="I34" s="39">
        <v>29</v>
      </c>
      <c r="J34" s="6">
        <f t="shared" si="1"/>
        <v>256220.48719955076</v>
      </c>
      <c r="K34" s="6">
        <f t="shared" si="2"/>
        <v>224363.74655840598</v>
      </c>
      <c r="L34" s="6">
        <f>$C$21*12</f>
        <v>132736.41933810321</v>
      </c>
      <c r="M34" s="6">
        <f t="shared" si="3"/>
        <v>0</v>
      </c>
      <c r="N34" s="6">
        <f t="shared" si="4"/>
        <v>123484.06786144755</v>
      </c>
      <c r="O34" s="6">
        <f t="shared" si="0"/>
        <v>10290338.988453962</v>
      </c>
      <c r="P34" s="6">
        <f>O34-(1-$C$5)*$C$4+SUM($M$6:$M34)</f>
        <v>10290338.988453962</v>
      </c>
      <c r="Q34" s="6">
        <f>$C$4*(1-$C$5)-SUM($M$6:$M34)</f>
        <v>0</v>
      </c>
      <c r="R34" s="6">
        <f t="shared" si="5"/>
        <v>31856.74064114477</v>
      </c>
      <c r="S34" s="6">
        <f t="shared" si="6"/>
        <v>282249.29796902288</v>
      </c>
      <c r="T34" s="6">
        <f t="shared" si="7"/>
        <v>-57885.551410616899</v>
      </c>
      <c r="U34" s="6">
        <f t="shared" si="8"/>
        <v>488768.73404692684</v>
      </c>
      <c r="V34" s="6">
        <f t="shared" si="13"/>
        <v>100730574.82453877</v>
      </c>
      <c r="W34" s="22">
        <f t="shared" si="9"/>
        <v>10779107.722500889</v>
      </c>
      <c r="X34" s="22">
        <f t="shared" si="10"/>
        <v>9139491.122758342</v>
      </c>
      <c r="Y34" s="6">
        <f t="shared" si="11"/>
        <v>7500664.3354656575</v>
      </c>
      <c r="Z34" s="6">
        <f t="shared" si="12"/>
        <v>7290338.9884539619</v>
      </c>
      <c r="AA34" s="6">
        <f>U34+SUMIF($T$6:$T34,"&lt;=0",$T$6:$T34)</f>
        <v>210325.34701169567</v>
      </c>
      <c r="AB34" s="30">
        <f>V34</f>
        <v>100730574.82453877</v>
      </c>
      <c r="AC34" s="31">
        <f>AB34-AD34*$G$7</f>
        <v>85962971.236406147</v>
      </c>
      <c r="AD34" s="13">
        <f>V34-SUMIF($T$6:$T34,"&gt;=0",$T$6:$T34)</f>
        <v>98450690.587550819</v>
      </c>
    </row>
    <row r="35" spans="2:41" x14ac:dyDescent="0.2">
      <c r="B35" s="1">
        <v>9</v>
      </c>
      <c r="C35" s="8">
        <f t="shared" si="14"/>
        <v>4215.0844846768077</v>
      </c>
      <c r="D35" s="8">
        <f t="shared" si="15"/>
        <v>6846.28379349846</v>
      </c>
      <c r="I35" s="40">
        <v>30</v>
      </c>
      <c r="J35" s="7">
        <f t="shared" si="1"/>
        <v>262394.69059262308</v>
      </c>
      <c r="K35" s="7">
        <f t="shared" si="2"/>
        <v>230537.94995147831</v>
      </c>
      <c r="L35" s="7">
        <f>$C$21*12</f>
        <v>132736.41933810321</v>
      </c>
      <c r="M35" s="7">
        <f t="shared" si="3"/>
        <v>0</v>
      </c>
      <c r="N35" s="7">
        <f t="shared" si="4"/>
        <v>129658.27125451989</v>
      </c>
      <c r="O35" s="7">
        <f t="shared" si="0"/>
        <v>10804855.937876657</v>
      </c>
      <c r="P35" s="7">
        <f>O35-(1-$C$5)*$C$4+SUM($M$6:$M35)</f>
        <v>10804855.937876657</v>
      </c>
      <c r="Q35" s="7">
        <f>$C$4*(1-$C$5)-SUM($M$6:$M35)</f>
        <v>0</v>
      </c>
      <c r="R35" s="7">
        <f t="shared" si="5"/>
        <v>31856.74064114477</v>
      </c>
      <c r="S35" s="7">
        <f t="shared" si="6"/>
        <v>296361.76286747411</v>
      </c>
      <c r="T35" s="7">
        <f t="shared" si="7"/>
        <v>-65823.812915995804</v>
      </c>
      <c r="U35" s="7">
        <f t="shared" si="8"/>
        <v>637781.42900736106</v>
      </c>
      <c r="V35" s="7">
        <f t="shared" si="13"/>
        <v>115840161.04821958</v>
      </c>
      <c r="W35" s="23">
        <f t="shared" si="9"/>
        <v>11442637.366884017</v>
      </c>
      <c r="X35" s="23">
        <f t="shared" si="10"/>
        <v>9687639.0449502654</v>
      </c>
      <c r="Y35" s="7">
        <f t="shared" si="11"/>
        <v>8098370.1669327905</v>
      </c>
      <c r="Z35" s="7">
        <f t="shared" si="12"/>
        <v>7804855.9378766567</v>
      </c>
      <c r="AA35" s="7">
        <f>U35+SUMIF($T$6:$T35,"&lt;=0",$T$6:$T35)</f>
        <v>293514.22905613412</v>
      </c>
      <c r="AB35" s="32">
        <f>V35</f>
        <v>115840161.04821958</v>
      </c>
      <c r="AC35" s="33">
        <f>AB35-AD35*$G$7</f>
        <v>98806119.526534826</v>
      </c>
      <c r="AD35" s="14">
        <f>V35-SUMIF($T$6:$T35,"&gt;=0",$T$6:$T35)</f>
        <v>113560276.81123163</v>
      </c>
    </row>
    <row r="36" spans="2:41" x14ac:dyDescent="0.2">
      <c r="B36" s="1">
        <v>10</v>
      </c>
      <c r="C36" s="8">
        <f t="shared" si="14"/>
        <v>4238.7943349031148</v>
      </c>
      <c r="D36" s="8">
        <f t="shared" si="15"/>
        <v>6822.5739432721521</v>
      </c>
      <c r="I36" s="41">
        <v>31</v>
      </c>
      <c r="J36" s="9">
        <f t="shared" ref="J36:J45" si="16">SUM(L36,N36)</f>
        <v>268877.60415534914</v>
      </c>
      <c r="K36" s="9">
        <f t="shared" ref="K36:K45" si="17">J36-R36</f>
        <v>237020.86351420436</v>
      </c>
      <c r="L36" s="9">
        <f>$C$21*12</f>
        <v>132736.41933810321</v>
      </c>
      <c r="M36" s="9">
        <f>SUMIFS($C$27:$C$386,$B$27:$B$386,"&gt;" &amp; (I36-1)*12,$B$27:$B$386,"&lt;=" &amp; (I36)*12)</f>
        <v>0</v>
      </c>
      <c r="N36" s="9">
        <f>SUM($C$12:$C$13)*O36+$C$14</f>
        <v>136141.18481724593</v>
      </c>
      <c r="O36" s="9">
        <f>$C$4*(1+$C$8)^I36</f>
        <v>11345098.734770494</v>
      </c>
      <c r="P36" s="9">
        <f>O36-(1-$C$5)*$C$4+SUM($M$6:$M36)</f>
        <v>11345098.734770494</v>
      </c>
      <c r="Q36" s="9">
        <f>$C$4*(1-$C$5)-SUM($M$6:$M36)</f>
        <v>0</v>
      </c>
      <c r="R36" s="9">
        <f>(L36-M36)*$C$16</f>
        <v>31856.74064114477</v>
      </c>
      <c r="S36" s="9">
        <f>$G$4*12*(1+$G$5)^(I36-1)</f>
        <v>311179.85101084772</v>
      </c>
      <c r="T36" s="9">
        <f t="shared" ref="T36:T45" si="18">K36-S36</f>
        <v>-74158.987496643356</v>
      </c>
      <c r="U36" s="9">
        <f>(U35+IF(T36&lt;=0,-T36,0))*(1+$G$6)</f>
        <v>818731.47897960502</v>
      </c>
      <c r="V36" s="9">
        <f>(V35+IF(T36&gt;=0,T36,0))*(1+$G$6)</f>
        <v>133216185.2054525</v>
      </c>
      <c r="W36" s="24">
        <f t="shared" ref="W36:W45" si="19">P36+U36</f>
        <v>12163830.213750098</v>
      </c>
      <c r="X36" s="24">
        <f>W36-Y36*$C$18-$C$11*O36</f>
        <v>10284764.67306624</v>
      </c>
      <c r="Y36" s="9">
        <f t="shared" ref="Y36:Y45" si="20">SUM(Z36:AA36)</f>
        <v>8745404.0263022278</v>
      </c>
      <c r="Z36" s="9">
        <f>MAX(O36-$C$4-$C$19, 0)</f>
        <v>8345098.7347704936</v>
      </c>
      <c r="AA36" s="9">
        <f>U36+SUMIF($T$6:$T36,"&lt;=0",$T$6:$T36)</f>
        <v>400305.29153173475</v>
      </c>
      <c r="AB36" s="34">
        <f t="shared" ref="AB36:AB45" si="21">V36</f>
        <v>133216185.2054525</v>
      </c>
      <c r="AC36" s="35">
        <f>AB36-AD36*$G$7</f>
        <v>113575740.06018282</v>
      </c>
      <c r="AD36" s="15">
        <f>V36-SUMIF($T$6:$T36,"&gt;=0",$T$6:$T36)</f>
        <v>130936300.96846455</v>
      </c>
    </row>
    <row r="37" spans="2:41" x14ac:dyDescent="0.2">
      <c r="B37" s="1">
        <v>11</v>
      </c>
      <c r="C37" s="8">
        <f t="shared" si="14"/>
        <v>4262.6375530369451</v>
      </c>
      <c r="D37" s="8">
        <f t="shared" si="15"/>
        <v>6798.7307251383218</v>
      </c>
      <c r="I37" s="41">
        <v>32</v>
      </c>
      <c r="J37" s="9">
        <f t="shared" si="16"/>
        <v>275684.66339621146</v>
      </c>
      <c r="K37" s="9">
        <f t="shared" si="17"/>
        <v>243827.92275506668</v>
      </c>
      <c r="L37" s="9">
        <f>$C$21*12</f>
        <v>132736.41933810321</v>
      </c>
      <c r="M37" s="9">
        <f>SUMIFS($C$27:$C$386,$B$27:$B$386,"&gt;" &amp; (I37-1)*12,$B$27:$B$386,"&lt;=" &amp; (I37)*12)</f>
        <v>0</v>
      </c>
      <c r="N37" s="9">
        <f>SUM($C$12:$C$13)*O37+$C$14</f>
        <v>142948.24405810822</v>
      </c>
      <c r="O37" s="9">
        <f>$C$4*(1+$C$8)^I37</f>
        <v>11912353.671509018</v>
      </c>
      <c r="P37" s="9">
        <f>O37-(1-$C$5)*$C$4+SUM($M$6:$M37)</f>
        <v>11912353.671509018</v>
      </c>
      <c r="Q37" s="9">
        <f>$C$4*(1-$C$5)-SUM($M$6:$M37)</f>
        <v>0</v>
      </c>
      <c r="R37" s="9">
        <f>(L37-M37)*$C$16</f>
        <v>31856.74064114477</v>
      </c>
      <c r="S37" s="9">
        <f>$G$4*12*(1+$G$5)^(I37-1)</f>
        <v>326738.84356139024</v>
      </c>
      <c r="T37" s="9">
        <f t="shared" si="18"/>
        <v>-82910.920806323556</v>
      </c>
      <c r="U37" s="9">
        <f>(U36+IF(T37&lt;=0,-T37,0))*(1+$G$6)</f>
        <v>1036888.7597538177</v>
      </c>
      <c r="V37" s="9">
        <f>(V36+IF(T37&gt;=0,T37,0))*(1+$G$6)</f>
        <v>153198612.98627037</v>
      </c>
      <c r="W37" s="24">
        <f t="shared" si="19"/>
        <v>12949242.431262836</v>
      </c>
      <c r="X37" s="24">
        <f>W37-Y37*$C$18-$C$11*O37</f>
        <v>10936438.949236088</v>
      </c>
      <c r="Y37" s="9">
        <f t="shared" si="20"/>
        <v>9447905.3230086416</v>
      </c>
      <c r="Z37" s="9">
        <f>MAX(O37-$C$4-$C$19, 0)</f>
        <v>8912353.6715090182</v>
      </c>
      <c r="AA37" s="9">
        <f>U37+SUMIF($T$6:$T37,"&lt;=0",$T$6:$T37)</f>
        <v>535551.6514996239</v>
      </c>
      <c r="AB37" s="34">
        <f t="shared" si="21"/>
        <v>153198612.98627037</v>
      </c>
      <c r="AC37" s="35">
        <f>AB37-AD37*$G$7</f>
        <v>130560803.67387801</v>
      </c>
      <c r="AD37" s="15">
        <f>V37-SUMIF($T$6:$T37,"&gt;=0",$T$6:$T37)</f>
        <v>150918728.74928242</v>
      </c>
    </row>
    <row r="38" spans="2:41" x14ac:dyDescent="0.2">
      <c r="B38" s="1">
        <v>12</v>
      </c>
      <c r="C38" s="8">
        <f t="shared" si="14"/>
        <v>4286.6148892727779</v>
      </c>
      <c r="D38" s="8">
        <f t="shared" si="15"/>
        <v>6774.753388902489</v>
      </c>
      <c r="I38" s="41">
        <v>33</v>
      </c>
      <c r="J38" s="9">
        <f t="shared" si="16"/>
        <v>282832.07559911686</v>
      </c>
      <c r="K38" s="9">
        <f t="shared" si="17"/>
        <v>250975.33495797208</v>
      </c>
      <c r="L38" s="9">
        <f>$C$21*12</f>
        <v>132736.41933810321</v>
      </c>
      <c r="M38" s="9">
        <f>SUMIFS($C$27:$C$386,$B$27:$B$386,"&gt;" &amp; (I38-1)*12,$B$27:$B$386,"&lt;=" &amp; (I38)*12)</f>
        <v>0</v>
      </c>
      <c r="N38" s="9">
        <f>SUM($C$12:$C$13)*O38+$C$14</f>
        <v>150095.65626101362</v>
      </c>
      <c r="O38" s="9">
        <f>$C$4*(1+$C$8)^I38</f>
        <v>12507971.355084468</v>
      </c>
      <c r="P38" s="9">
        <f>O38-(1-$C$5)*$C$4+SUM($M$6:$M38)</f>
        <v>12507971.355084468</v>
      </c>
      <c r="Q38" s="9">
        <f>$C$4*(1-$C$5)-SUM($M$6:$M38)</f>
        <v>0</v>
      </c>
      <c r="R38" s="9">
        <f>(L38-M38)*$C$16</f>
        <v>31856.74064114477</v>
      </c>
      <c r="S38" s="9">
        <f>$G$4*12*(1+$G$5)^(I38-1)</f>
        <v>343075.78573945968</v>
      </c>
      <c r="T38" s="9">
        <f t="shared" si="18"/>
        <v>-92100.450781487598</v>
      </c>
      <c r="U38" s="9">
        <f>(U37+IF(T38&lt;=0,-T38,0))*(1+$G$6)</f>
        <v>1298337.5921156011</v>
      </c>
      <c r="V38" s="9">
        <f>(V37+IF(T38&gt;=0,T38,0))*(1+$G$6)</f>
        <v>176178404.9342109</v>
      </c>
      <c r="W38" s="24">
        <f t="shared" si="19"/>
        <v>13806308.947200069</v>
      </c>
      <c r="X38" s="24">
        <f>W38-Y38*$C$18-$C$11*O38</f>
        <v>11648979.671221187</v>
      </c>
      <c r="Y38" s="9">
        <f t="shared" si="20"/>
        <v>10212871.388164388</v>
      </c>
      <c r="Z38" s="9">
        <f>MAX(O38-$C$4-$C$19, 0)</f>
        <v>9507971.3550844677</v>
      </c>
      <c r="AA38" s="9">
        <f>U38+SUMIF($T$6:$T38,"&lt;=0",$T$6:$T38)</f>
        <v>704900.03307991964</v>
      </c>
      <c r="AB38" s="34">
        <f t="shared" si="21"/>
        <v>176178404.9342109</v>
      </c>
      <c r="AC38" s="35">
        <f>AB38-AD38*$G$7</f>
        <v>150093626.82962745</v>
      </c>
      <c r="AD38" s="15">
        <f>V38-SUMIF($T$6:$T38,"&gt;=0",$T$6:$T38)</f>
        <v>173898520.69722295</v>
      </c>
    </row>
    <row r="39" spans="2:41" x14ac:dyDescent="0.2">
      <c r="B39" s="1">
        <v>13</v>
      </c>
      <c r="C39" s="8">
        <f t="shared" si="14"/>
        <v>4310.7270980249368</v>
      </c>
      <c r="D39" s="8">
        <f t="shared" si="15"/>
        <v>6750.64118015033</v>
      </c>
      <c r="I39" s="41">
        <v>34</v>
      </c>
      <c r="J39" s="9">
        <f t="shared" si="16"/>
        <v>290336.85841216752</v>
      </c>
      <c r="K39" s="9">
        <f t="shared" si="17"/>
        <v>258480.11777102275</v>
      </c>
      <c r="L39" s="9">
        <f>$C$21*12</f>
        <v>132736.41933810321</v>
      </c>
      <c r="M39" s="9">
        <f>SUMIFS($C$27:$C$386,$B$27:$B$386,"&gt;" &amp; (I39-1)*12,$B$27:$B$386,"&lt;=" &amp; (I39)*12)</f>
        <v>0</v>
      </c>
      <c r="N39" s="9">
        <f>SUM($C$12:$C$13)*O39+$C$14</f>
        <v>157600.43907406431</v>
      </c>
      <c r="O39" s="9">
        <f>$C$4*(1+$C$8)^I39</f>
        <v>13133369.922838692</v>
      </c>
      <c r="P39" s="9">
        <f>O39-(1-$C$5)*$C$4+SUM($M$6:$M39)</f>
        <v>13133369.922838692</v>
      </c>
      <c r="Q39" s="9">
        <f>$C$4*(1-$C$5)-SUM($M$6:$M39)</f>
        <v>0</v>
      </c>
      <c r="R39" s="9">
        <f>(L39-M39)*$C$16</f>
        <v>31856.74064114477</v>
      </c>
      <c r="S39" s="9">
        <f>$G$4*12*(1+$G$5)^(I39-1)</f>
        <v>360229.57502643269</v>
      </c>
      <c r="T39" s="9">
        <f t="shared" si="18"/>
        <v>-101749.45725540994</v>
      </c>
      <c r="U39" s="9">
        <f>(U38+IF(T39&lt;=0,-T39,0))*(1+$G$6)</f>
        <v>1610100.1067766626</v>
      </c>
      <c r="V39" s="9">
        <f>(V38+IF(T39&gt;=0,T39,0))*(1+$G$6)</f>
        <v>202605165.67434251</v>
      </c>
      <c r="W39" s="24">
        <f t="shared" si="19"/>
        <v>14743470.029615354</v>
      </c>
      <c r="X39" s="24">
        <f>W39-Y39*$C$18-$C$11*O39</f>
        <v>12429559.081474779</v>
      </c>
      <c r="Y39" s="9">
        <f t="shared" si="20"/>
        <v>11048283.013324263</v>
      </c>
      <c r="Z39" s="9">
        <f>MAX(O39-$C$4-$C$19, 0)</f>
        <v>10133369.922838692</v>
      </c>
      <c r="AA39" s="9">
        <f>U39+SUMIF($T$6:$T39,"&lt;=0",$T$6:$T39)</f>
        <v>914913.0904855713</v>
      </c>
      <c r="AB39" s="34">
        <f t="shared" si="21"/>
        <v>202605165.67434251</v>
      </c>
      <c r="AC39" s="35">
        <f>AB39-AD39*$G$7</f>
        <v>172556373.45873934</v>
      </c>
      <c r="AD39" s="15">
        <f>V39-SUMIF($T$6:$T39,"&gt;=0",$T$6:$T39)</f>
        <v>200325281.43735456</v>
      </c>
    </row>
    <row r="40" spans="2:41" x14ac:dyDescent="0.2">
      <c r="B40" s="1">
        <v>14</v>
      </c>
      <c r="C40" s="8">
        <f t="shared" si="14"/>
        <v>4334.9749379513269</v>
      </c>
      <c r="D40" s="8">
        <f t="shared" si="15"/>
        <v>6726.39334022394</v>
      </c>
      <c r="I40" s="41">
        <v>35</v>
      </c>
      <c r="J40" s="9">
        <f t="shared" si="16"/>
        <v>298216.88036587078</v>
      </c>
      <c r="K40" s="9">
        <f t="shared" si="17"/>
        <v>266360.13972472603</v>
      </c>
      <c r="L40" s="9">
        <f>$C$21*12</f>
        <v>132736.41933810321</v>
      </c>
      <c r="M40" s="9">
        <f>SUMIFS($C$27:$C$386,$B$27:$B$386,"&gt;" &amp; (I40-1)*12,$B$27:$B$386,"&lt;=" &amp; (I40)*12)</f>
        <v>0</v>
      </c>
      <c r="N40" s="9">
        <f>SUM($C$12:$C$13)*O40+$C$14</f>
        <v>165480.46102776754</v>
      </c>
      <c r="O40" s="9">
        <f>$C$4*(1+$C$8)^I40</f>
        <v>13790038.418980628</v>
      </c>
      <c r="P40" s="9">
        <f>O40-(1-$C$5)*$C$4+SUM($M$6:$M40)</f>
        <v>13790038.418980628</v>
      </c>
      <c r="Q40" s="9">
        <f>$C$4*(1-$C$5)-SUM($M$6:$M40)</f>
        <v>0</v>
      </c>
      <c r="R40" s="9">
        <f>(L40-M40)*$C$16</f>
        <v>31856.74064114477</v>
      </c>
      <c r="S40" s="9">
        <f>$G$4*12*(1+$G$5)^(I40-1)</f>
        <v>378241.05377775431</v>
      </c>
      <c r="T40" s="9">
        <f t="shared" si="18"/>
        <v>-111880.91405302827</v>
      </c>
      <c r="U40" s="9">
        <f>(U39+IF(T40&lt;=0,-T40,0))*(1+$G$6)</f>
        <v>1980278.1739541444</v>
      </c>
      <c r="V40" s="9">
        <f>(V39+IF(T40&gt;=0,T40,0))*(1+$G$6)</f>
        <v>232995940.52549386</v>
      </c>
      <c r="W40" s="24">
        <f t="shared" si="19"/>
        <v>15770316.592934772</v>
      </c>
      <c r="X40" s="24">
        <f>W40-Y40*$C$18-$C$11*O40</f>
        <v>13286327.372597143</v>
      </c>
      <c r="Y40" s="9">
        <f t="shared" si="20"/>
        <v>11963248.662590653</v>
      </c>
      <c r="Z40" s="9">
        <f>MAX(O40-$C$4-$C$19, 0)</f>
        <v>10790038.418980628</v>
      </c>
      <c r="AA40" s="9">
        <f>U40+SUMIF($T$6:$T40,"&lt;=0",$T$6:$T40)</f>
        <v>1173210.2436100247</v>
      </c>
      <c r="AB40" s="34">
        <f t="shared" si="21"/>
        <v>232995940.52549386</v>
      </c>
      <c r="AC40" s="35">
        <f>AB40-AD40*$G$7</f>
        <v>198388532.08221799</v>
      </c>
      <c r="AD40" s="15">
        <f>V40-SUMIF($T$6:$T40,"&gt;=0",$T$6:$T40)</f>
        <v>230716056.28850591</v>
      </c>
    </row>
    <row r="41" spans="2:41" x14ac:dyDescent="0.2">
      <c r="B41" s="1">
        <v>15</v>
      </c>
      <c r="C41" s="8">
        <f t="shared" si="14"/>
        <v>4359.359171977303</v>
      </c>
      <c r="D41" s="8">
        <f t="shared" si="15"/>
        <v>6702.0091061979629</v>
      </c>
      <c r="I41" s="41">
        <v>36</v>
      </c>
      <c r="J41" s="9">
        <f t="shared" si="16"/>
        <v>306490.90341725911</v>
      </c>
      <c r="K41" s="9">
        <f t="shared" si="17"/>
        <v>274634.16277611436</v>
      </c>
      <c r="L41" s="9">
        <f>$C$21*12</f>
        <v>132736.41933810321</v>
      </c>
      <c r="M41" s="9">
        <f>SUMIFS($C$27:$C$386,$B$27:$B$386,"&gt;" &amp; (I41-1)*12,$B$27:$B$386,"&lt;=" &amp; (I41)*12)</f>
        <v>0</v>
      </c>
      <c r="N41" s="9">
        <f>SUM($C$12:$C$13)*O41+$C$14</f>
        <v>173754.4840791559</v>
      </c>
      <c r="O41" s="9">
        <f>$C$4*(1+$C$8)^I41</f>
        <v>14479540.339929657</v>
      </c>
      <c r="P41" s="9">
        <f>O41-(1-$C$5)*$C$4+SUM($M$6:$M41)</f>
        <v>14479540.339929657</v>
      </c>
      <c r="Q41" s="9">
        <f>$C$4*(1-$C$5)-SUM($M$6:$M41)</f>
        <v>0</v>
      </c>
      <c r="R41" s="9">
        <f>(L41-M41)*$C$16</f>
        <v>31856.74064114477</v>
      </c>
      <c r="S41" s="9">
        <f>$G$4*12*(1+$G$5)^(I41-1)</f>
        <v>397153.10646664206</v>
      </c>
      <c r="T41" s="9">
        <f t="shared" si="18"/>
        <v>-122518.9436905277</v>
      </c>
      <c r="U41" s="9">
        <f>(U40+IF(T41&lt;=0,-T41,0))*(1+$G$6)</f>
        <v>2418216.6852913727</v>
      </c>
      <c r="V41" s="9">
        <f>(V40+IF(T41&gt;=0,T41,0))*(1+$G$6)</f>
        <v>267945331.60431793</v>
      </c>
      <c r="W41" s="24">
        <f t="shared" si="19"/>
        <v>16897757.025221031</v>
      </c>
      <c r="X41" s="24">
        <f>W41-Y41*$C$18-$C$11*O41</f>
        <v>14228554.485546591</v>
      </c>
      <c r="Y41" s="9">
        <f t="shared" si="20"/>
        <v>12968170.151186382</v>
      </c>
      <c r="Z41" s="9">
        <f>MAX(O41-$C$4-$C$19, 0)</f>
        <v>11479540.339929657</v>
      </c>
      <c r="AA41" s="9">
        <f>U41+SUMIF($T$6:$T41,"&lt;=0",$T$6:$T41)</f>
        <v>1488629.8112567253</v>
      </c>
      <c r="AB41" s="34">
        <f t="shared" si="21"/>
        <v>267945331.60431793</v>
      </c>
      <c r="AC41" s="35">
        <f>AB41-AD41*$G$7</f>
        <v>228095514.49921843</v>
      </c>
      <c r="AD41" s="15">
        <f>V41-SUMIF($T$6:$T41,"&gt;=0",$T$6:$T41)</f>
        <v>265665447.36732998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2:41" x14ac:dyDescent="0.2">
      <c r="B42" s="1">
        <v>16</v>
      </c>
      <c r="C42" s="8">
        <f t="shared" si="14"/>
        <v>4383.8805673196757</v>
      </c>
      <c r="D42" s="8">
        <f t="shared" si="15"/>
        <v>6677.4877108555911</v>
      </c>
      <c r="I42" s="41">
        <v>37</v>
      </c>
      <c r="J42" s="9">
        <f t="shared" si="16"/>
        <v>315178.62762121693</v>
      </c>
      <c r="K42" s="9">
        <f t="shared" si="17"/>
        <v>283321.88698007219</v>
      </c>
      <c r="L42" s="9">
        <f>$C$21*12</f>
        <v>132736.41933810321</v>
      </c>
      <c r="M42" s="9">
        <f>SUMIFS($C$27:$C$386,$B$27:$B$386,"&gt;" &amp; (I42-1)*12,$B$27:$B$386,"&lt;=" &amp; (I42)*12)</f>
        <v>0</v>
      </c>
      <c r="N42" s="9">
        <f>SUM($C$12:$C$13)*O42+$C$14</f>
        <v>182442.20828311369</v>
      </c>
      <c r="O42" s="9">
        <f>$C$4*(1+$C$8)^I42</f>
        <v>15203517.356926141</v>
      </c>
      <c r="P42" s="9">
        <f>O42-(1-$C$5)*$C$4+SUM($M$6:$M42)</f>
        <v>15203517.356926141</v>
      </c>
      <c r="Q42" s="9">
        <f>$C$4*(1-$C$5)-SUM($M$6:$M42)</f>
        <v>0</v>
      </c>
      <c r="R42" s="9">
        <f>(L42-M42)*$C$16</f>
        <v>31856.74064114477</v>
      </c>
      <c r="S42" s="9">
        <f>$G$4*12*(1+$G$5)^(I42-1)</f>
        <v>417010.76178997412</v>
      </c>
      <c r="T42" s="9">
        <f t="shared" si="18"/>
        <v>-133688.87480990193</v>
      </c>
      <c r="U42" s="9">
        <f>(U41+IF(T42&lt;=0,-T42,0))*(1+$G$6)</f>
        <v>2934691.3941164655</v>
      </c>
      <c r="V42" s="9">
        <f>(V41+IF(T42&gt;=0,T42,0))*(1+$G$6)</f>
        <v>308137131.34496558</v>
      </c>
      <c r="W42" s="24">
        <f t="shared" si="19"/>
        <v>18138208.751042608</v>
      </c>
      <c r="X42" s="24">
        <f>W42-Y42*$C$18-$C$11*O42</f>
        <v>15266792.932866594</v>
      </c>
      <c r="Y42" s="9">
        <f t="shared" si="20"/>
        <v>14074933.002198057</v>
      </c>
      <c r="Z42" s="9">
        <f>MAX(O42-$C$4-$C$19, 0)</f>
        <v>12203517.356926141</v>
      </c>
      <c r="AA42" s="9">
        <f>U42+SUMIF($T$6:$T42,"&lt;=0",$T$6:$T42)</f>
        <v>1871415.6452719162</v>
      </c>
      <c r="AB42" s="34">
        <f t="shared" si="21"/>
        <v>308137131.34496558</v>
      </c>
      <c r="AC42" s="35">
        <f>AB42-AD42*$G$7</f>
        <v>262258544.27876893</v>
      </c>
      <c r="AD42" s="15">
        <f>V42-SUMIF($T$6:$T42,"&gt;=0",$T$6:$T42)</f>
        <v>305857247.10797763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2:41" x14ac:dyDescent="0.2">
      <c r="B43" s="1">
        <v>17</v>
      </c>
      <c r="C43" s="8">
        <f t="shared" si="14"/>
        <v>4408.5398955108485</v>
      </c>
      <c r="D43" s="8">
        <f t="shared" si="15"/>
        <v>6652.8283826644174</v>
      </c>
      <c r="I43" s="41">
        <v>38</v>
      </c>
      <c r="J43" s="9">
        <f t="shared" si="16"/>
        <v>324300.73803537257</v>
      </c>
      <c r="K43" s="9">
        <f t="shared" si="17"/>
        <v>292443.99739422783</v>
      </c>
      <c r="L43" s="9">
        <f>$C$21*12</f>
        <v>132736.41933810321</v>
      </c>
      <c r="M43" s="9">
        <f>SUMIFS($C$27:$C$386,$B$27:$B$386,"&gt;" &amp; (I43-1)*12,$B$27:$B$386,"&lt;=" &amp; (I43)*12)</f>
        <v>0</v>
      </c>
      <c r="N43" s="9">
        <f>SUM($C$12:$C$13)*O43+$C$14</f>
        <v>191564.31869726937</v>
      </c>
      <c r="O43" s="9">
        <f>$C$4*(1+$C$8)^I43</f>
        <v>15963693.224772446</v>
      </c>
      <c r="P43" s="9">
        <f>O43-(1-$C$5)*$C$4+SUM($M$6:$M43)</f>
        <v>15963693.224772446</v>
      </c>
      <c r="Q43" s="9">
        <f>$C$4*(1-$C$5)-SUM($M$6:$M43)</f>
        <v>0</v>
      </c>
      <c r="R43" s="9">
        <f>(L43-M43)*$C$16</f>
        <v>31856.74064114477</v>
      </c>
      <c r="S43" s="9">
        <f>$G$4*12*(1+$G$5)^(I43-1)</f>
        <v>437861.29987947288</v>
      </c>
      <c r="T43" s="9">
        <f t="shared" si="18"/>
        <v>-145417.30248524505</v>
      </c>
      <c r="U43" s="9">
        <f>(U42+IF(T43&lt;=0,-T43,0))*(1+$G$6)</f>
        <v>3542125.0010919664</v>
      </c>
      <c r="V43" s="9">
        <f>(V42+IF(T43&gt;=0,T43,0))*(1+$G$6)</f>
        <v>354357701.04671037</v>
      </c>
      <c r="W43" s="24">
        <f t="shared" si="19"/>
        <v>19505818.22586441</v>
      </c>
      <c r="X43" s="24">
        <f>W43-Y43*$C$18-$C$11*O43</f>
        <v>16413064.788445596</v>
      </c>
      <c r="Y43" s="9">
        <f t="shared" si="20"/>
        <v>15297125.174534619</v>
      </c>
      <c r="Z43" s="9">
        <f>MAX(O43-$C$4-$C$19, 0)</f>
        <v>12963693.224772446</v>
      </c>
      <c r="AA43" s="9">
        <f>U43+SUMIF($T$6:$T43,"&lt;=0",$T$6:$T43)</f>
        <v>2333431.9497621721</v>
      </c>
      <c r="AB43" s="34">
        <f t="shared" si="21"/>
        <v>354357701.04671037</v>
      </c>
      <c r="AC43" s="35">
        <f>AB43-AD43*$G$7</f>
        <v>301546028.52525198</v>
      </c>
      <c r="AD43" s="15">
        <f>V43-SUMIF($T$6:$T43,"&gt;=0",$T$6:$T43)</f>
        <v>352077816.80972242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2:41" x14ac:dyDescent="0.2">
      <c r="B44" s="1">
        <v>18</v>
      </c>
      <c r="C44" s="8">
        <f t="shared" si="14"/>
        <v>4433.3379324230973</v>
      </c>
      <c r="D44" s="8">
        <f t="shared" si="15"/>
        <v>6628.0303457521695</v>
      </c>
      <c r="I44" s="41">
        <v>39</v>
      </c>
      <c r="J44" s="9">
        <f t="shared" si="16"/>
        <v>333878.95397023606</v>
      </c>
      <c r="K44" s="9">
        <f t="shared" si="17"/>
        <v>302022.21332909132</v>
      </c>
      <c r="L44" s="9">
        <f>$C$21*12</f>
        <v>132736.41933810321</v>
      </c>
      <c r="M44" s="9">
        <f>SUMIFS($C$27:$C$386,$B$27:$B$386,"&gt;" &amp; (I44-1)*12,$B$27:$B$386,"&lt;=" &amp; (I44)*12)</f>
        <v>0</v>
      </c>
      <c r="N44" s="9">
        <f>SUM($C$12:$C$13)*O44+$C$14</f>
        <v>201142.53463213285</v>
      </c>
      <c r="O44" s="9">
        <f>$C$4*(1+$C$8)^I44</f>
        <v>16761877.886011072</v>
      </c>
      <c r="P44" s="9">
        <f>O44-(1-$C$5)*$C$4+SUM($M$6:$M44)</f>
        <v>16761877.886011072</v>
      </c>
      <c r="Q44" s="9">
        <f>$C$4*(1-$C$5)-SUM($M$6:$M44)</f>
        <v>0</v>
      </c>
      <c r="R44" s="9">
        <f>(L44-M44)*$C$16</f>
        <v>31856.74064114477</v>
      </c>
      <c r="S44" s="9">
        <f>$G$4*12*(1+$G$5)^(I44-1)</f>
        <v>459754.36487344647</v>
      </c>
      <c r="T44" s="9">
        <f t="shared" si="18"/>
        <v>-157732.15154435515</v>
      </c>
      <c r="U44" s="9">
        <f>(U43+IF(T44&lt;=0,-T44,0))*(1+$G$6)</f>
        <v>4254835.7255317699</v>
      </c>
      <c r="V44" s="9">
        <f>(V43+IF(T44&gt;=0,T44,0))*(1+$G$6)</f>
        <v>407511356.20371687</v>
      </c>
      <c r="W44" s="24">
        <f t="shared" si="19"/>
        <v>21016713.611542843</v>
      </c>
      <c r="X44" s="24">
        <f>W44-Y44*$C$18-$C$11*O44</f>
        <v>17681076.455941986</v>
      </c>
      <c r="Y44" s="9">
        <f t="shared" si="20"/>
        <v>16650288.408668693</v>
      </c>
      <c r="Z44" s="9">
        <f>MAX(O44-$C$4-$C$19, 0)</f>
        <v>13761877.886011072</v>
      </c>
      <c r="AA44" s="9">
        <f>U44+SUMIF($T$6:$T44,"&lt;=0",$T$6:$T44)</f>
        <v>2888410.5226576207</v>
      </c>
      <c r="AB44" s="34">
        <f t="shared" si="21"/>
        <v>407511356.20371687</v>
      </c>
      <c r="AC44" s="35">
        <f>AB44-AD44*$G$7</f>
        <v>346726635.40870756</v>
      </c>
      <c r="AD44" s="15">
        <f>V44-SUMIF($T$6:$T44,"&gt;=0",$T$6:$T44)</f>
        <v>405231471.96672893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2:41" ht="17" thickBot="1" x14ac:dyDescent="0.25">
      <c r="B45" s="1">
        <v>19</v>
      </c>
      <c r="C45" s="8">
        <f t="shared" si="14"/>
        <v>4458.2754582929774</v>
      </c>
      <c r="D45" s="8">
        <f t="shared" si="15"/>
        <v>6603.0928198822894</v>
      </c>
      <c r="I45" s="42">
        <v>40</v>
      </c>
      <c r="J45" s="10">
        <f t="shared" si="16"/>
        <v>343936.08070184267</v>
      </c>
      <c r="K45" s="10">
        <f t="shared" si="17"/>
        <v>312079.34006069793</v>
      </c>
      <c r="L45" s="10">
        <f>$C$21*12</f>
        <v>132736.41933810321</v>
      </c>
      <c r="M45" s="10">
        <f>SUMIFS($C$27:$C$386,$B$27:$B$386,"&gt;" &amp; (I45-1)*12,$B$27:$B$386,"&lt;=" &amp; (I45)*12)</f>
        <v>0</v>
      </c>
      <c r="N45" s="10">
        <f>SUM($C$12:$C$13)*O45+$C$14</f>
        <v>211199.66136373946</v>
      </c>
      <c r="O45" s="10">
        <f>$C$4*(1+$C$8)^I45</f>
        <v>17599971.780311622</v>
      </c>
      <c r="P45" s="10">
        <f>O45-(1-$C$5)*$C$4+SUM($M$6:$M45)</f>
        <v>17599971.780311622</v>
      </c>
      <c r="Q45" s="10">
        <f>$C$4*(1-$C$5)-SUM($M$6:$M45)</f>
        <v>0</v>
      </c>
      <c r="R45" s="10">
        <f>(L45-M45)*$C$16</f>
        <v>31856.74064114477</v>
      </c>
      <c r="S45" s="10">
        <f>$G$4*12*(1+$G$5)^(I45-1)</f>
        <v>482742.08311711886</v>
      </c>
      <c r="T45" s="10">
        <f t="shared" si="18"/>
        <v>-170662.74305642094</v>
      </c>
      <c r="U45" s="10">
        <f>(U44+IF(T45&lt;=0,-T45,0))*(1+$G$6)</f>
        <v>5089323.2388764191</v>
      </c>
      <c r="V45" s="10">
        <f>(V44+IF(T45&gt;=0,T45,0))*(1+$G$6)</f>
        <v>468638059.63427436</v>
      </c>
      <c r="W45" s="25">
        <f t="shared" si="19"/>
        <v>22689295.019188039</v>
      </c>
      <c r="X45" s="25">
        <f>W45-Y45*$C$18-$C$11*O45</f>
        <v>19086465.369183838</v>
      </c>
      <c r="Y45" s="10">
        <f t="shared" si="20"/>
        <v>18152207.073257469</v>
      </c>
      <c r="Z45" s="10">
        <f>MAX(O45-$C$4-$C$19, 0)</f>
        <v>14599971.780311622</v>
      </c>
      <c r="AA45" s="10">
        <f>U45+SUMIF($T$6:$T45,"&lt;=0",$T$6:$T45)</f>
        <v>3552235.2929458488</v>
      </c>
      <c r="AB45" s="36">
        <f t="shared" si="21"/>
        <v>468638059.63427436</v>
      </c>
      <c r="AC45" s="37">
        <f>AB45-AD45*$G$7</f>
        <v>398684333.3246814</v>
      </c>
      <c r="AD45" s="16">
        <f>V45-SUMIF($T$6:$T45,"&gt;=0",$T$6:$T45)</f>
        <v>466358175.39728642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2:41" x14ac:dyDescent="0.2">
      <c r="B46" s="1">
        <v>20</v>
      </c>
      <c r="C46" s="8">
        <f t="shared" si="14"/>
        <v>4483.3532577458755</v>
      </c>
      <c r="D46" s="8">
        <f t="shared" si="15"/>
        <v>6578.0150204293896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2:41" x14ac:dyDescent="0.2">
      <c r="B47" s="1">
        <v>21</v>
      </c>
      <c r="C47" s="8">
        <f t="shared" si="14"/>
        <v>4508.5721198206966</v>
      </c>
      <c r="D47" s="8">
        <f t="shared" si="15"/>
        <v>6552.7961583545693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2:41" x14ac:dyDescent="0.2">
      <c r="B48" s="1">
        <v>22</v>
      </c>
      <c r="C48" s="8">
        <f t="shared" si="14"/>
        <v>4533.9328379946874</v>
      </c>
      <c r="D48" s="8">
        <f t="shared" si="15"/>
        <v>6527.4354401805804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2:41" x14ac:dyDescent="0.2">
      <c r="B49" s="1">
        <v>23</v>
      </c>
      <c r="C49" s="8">
        <f t="shared" si="14"/>
        <v>4559.4362102084069</v>
      </c>
      <c r="D49" s="8">
        <f t="shared" si="15"/>
        <v>6501.932067966859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2:41" x14ac:dyDescent="0.2">
      <c r="B50" s="1">
        <v>24</v>
      </c>
      <c r="C50" s="8">
        <f t="shared" si="14"/>
        <v>4585.0830388908298</v>
      </c>
      <c r="D50" s="8">
        <f t="shared" si="15"/>
        <v>6476.2852392844361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2:41" x14ac:dyDescent="0.2">
      <c r="B51" s="1">
        <v>25</v>
      </c>
      <c r="C51" s="8">
        <f t="shared" si="14"/>
        <v>4610.8741309845909</v>
      </c>
      <c r="D51" s="8">
        <f t="shared" si="15"/>
        <v>6450.4941471906741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2:41" x14ac:dyDescent="0.2">
      <c r="B52" s="1">
        <v>26</v>
      </c>
      <c r="C52" s="8">
        <f t="shared" si="14"/>
        <v>4636.8102979713785</v>
      </c>
      <c r="D52" s="8">
        <f t="shared" si="15"/>
        <v>6424.5579802038865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2:41" x14ac:dyDescent="0.2">
      <c r="B53" s="1">
        <v>27</v>
      </c>
      <c r="C53" s="8">
        <f t="shared" si="14"/>
        <v>4662.8923558974675</v>
      </c>
      <c r="D53" s="8">
        <f t="shared" si="15"/>
        <v>6398.4759222777984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2:41" x14ac:dyDescent="0.2">
      <c r="B54" s="1">
        <v>28</v>
      </c>
      <c r="C54" s="8">
        <f t="shared" si="14"/>
        <v>4689.1211253993906</v>
      </c>
      <c r="D54" s="8">
        <f t="shared" si="15"/>
        <v>6372.2471527758744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2:41" x14ac:dyDescent="0.2">
      <c r="B55" s="1">
        <v>29</v>
      </c>
      <c r="C55" s="8">
        <f t="shared" si="14"/>
        <v>4715.4974317297629</v>
      </c>
      <c r="D55" s="8">
        <f t="shared" si="15"/>
        <v>6345.870846445504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2:41" x14ac:dyDescent="0.2">
      <c r="B56" s="1">
        <v>30</v>
      </c>
      <c r="C56" s="8">
        <f t="shared" si="14"/>
        <v>4742.0221047832429</v>
      </c>
      <c r="D56" s="8">
        <f t="shared" si="15"/>
        <v>6319.346173392023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2:41" x14ac:dyDescent="0.2">
      <c r="B57" s="1">
        <v>31</v>
      </c>
      <c r="C57" s="8">
        <f t="shared" si="14"/>
        <v>4768.6959791226491</v>
      </c>
      <c r="D57" s="8">
        <f t="shared" si="15"/>
        <v>6292.6722990526177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2:41" x14ac:dyDescent="0.2">
      <c r="B58" s="1">
        <v>32</v>
      </c>
      <c r="C58" s="8">
        <f t="shared" si="14"/>
        <v>4795.5198940052132</v>
      </c>
      <c r="D58" s="8">
        <f t="shared" si="15"/>
        <v>6265.8483841700536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2:41" x14ac:dyDescent="0.2">
      <c r="B59" s="1">
        <v>33</v>
      </c>
      <c r="C59" s="8">
        <f t="shared" si="14"/>
        <v>4822.494693408993</v>
      </c>
      <c r="D59" s="8">
        <f t="shared" si="15"/>
        <v>6238.8735847662738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2:41" x14ac:dyDescent="0.2">
      <c r="B60" s="1">
        <v>34</v>
      </c>
      <c r="C60" s="8">
        <f t="shared" si="14"/>
        <v>4849.6212260594184</v>
      </c>
      <c r="D60" s="8">
        <f t="shared" si="15"/>
        <v>6211.7470521158484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2:41" x14ac:dyDescent="0.2">
      <c r="B61" s="1">
        <v>35</v>
      </c>
      <c r="C61" s="8">
        <f t="shared" si="14"/>
        <v>4876.9003454560025</v>
      </c>
      <c r="D61" s="8">
        <f t="shared" si="15"/>
        <v>6184.4679327192634</v>
      </c>
    </row>
    <row r="62" spans="2:41" x14ac:dyDescent="0.2">
      <c r="B62" s="1">
        <v>36</v>
      </c>
      <c r="C62" s="8">
        <f t="shared" si="14"/>
        <v>4904.3329098991926</v>
      </c>
      <c r="D62" s="8">
        <f t="shared" si="15"/>
        <v>6157.0353682760733</v>
      </c>
    </row>
    <row r="63" spans="2:41" x14ac:dyDescent="0.2">
      <c r="B63" s="1">
        <v>37</v>
      </c>
      <c r="C63" s="8">
        <f t="shared" si="14"/>
        <v>4931.919782517376</v>
      </c>
      <c r="D63" s="8">
        <f t="shared" si="15"/>
        <v>6129.4484956578908</v>
      </c>
    </row>
    <row r="64" spans="2:41" x14ac:dyDescent="0.2">
      <c r="B64" s="1">
        <v>38</v>
      </c>
      <c r="C64" s="8">
        <f t="shared" si="14"/>
        <v>4959.6618312940354</v>
      </c>
      <c r="D64" s="8">
        <f t="shared" si="15"/>
        <v>6101.7064468812305</v>
      </c>
    </row>
    <row r="65" spans="2:4" x14ac:dyDescent="0.2">
      <c r="B65" s="1">
        <v>39</v>
      </c>
      <c r="C65" s="8">
        <f t="shared" si="14"/>
        <v>4987.5599290950649</v>
      </c>
      <c r="D65" s="8">
        <f t="shared" si="15"/>
        <v>6073.8083490802019</v>
      </c>
    </row>
    <row r="66" spans="2:4" x14ac:dyDescent="0.2">
      <c r="B66" s="1">
        <v>40</v>
      </c>
      <c r="C66" s="8">
        <f t="shared" si="14"/>
        <v>5015.6149536962239</v>
      </c>
      <c r="D66" s="8">
        <f t="shared" si="15"/>
        <v>6045.7533244790411</v>
      </c>
    </row>
    <row r="67" spans="2:4" x14ac:dyDescent="0.2">
      <c r="B67" s="1">
        <v>41</v>
      </c>
      <c r="C67" s="8">
        <f t="shared" si="14"/>
        <v>5043.8277878107656</v>
      </c>
      <c r="D67" s="8">
        <f t="shared" si="15"/>
        <v>6017.5404903645012</v>
      </c>
    </row>
    <row r="68" spans="2:4" x14ac:dyDescent="0.2">
      <c r="B68" s="1">
        <v>42</v>
      </c>
      <c r="C68" s="8">
        <f t="shared" si="14"/>
        <v>5072.1993191172014</v>
      </c>
      <c r="D68" s="8">
        <f t="shared" si="15"/>
        <v>5989.1689590580654</v>
      </c>
    </row>
    <row r="69" spans="2:4" x14ac:dyDescent="0.2">
      <c r="B69" s="1">
        <v>43</v>
      </c>
      <c r="C69" s="8">
        <f t="shared" si="14"/>
        <v>5100.7304402872351</v>
      </c>
      <c r="D69" s="8">
        <f t="shared" si="15"/>
        <v>5960.6378378880318</v>
      </c>
    </row>
    <row r="70" spans="2:4" x14ac:dyDescent="0.2">
      <c r="B70" s="1">
        <v>44</v>
      </c>
      <c r="C70" s="8">
        <f t="shared" si="14"/>
        <v>5129.4220490138514</v>
      </c>
      <c r="D70" s="8">
        <f t="shared" si="15"/>
        <v>5931.9462291614163</v>
      </c>
    </row>
    <row r="71" spans="2:4" x14ac:dyDescent="0.2">
      <c r="B71" s="1">
        <v>45</v>
      </c>
      <c r="C71" s="8">
        <f t="shared" si="14"/>
        <v>5158.2750480395543</v>
      </c>
      <c r="D71" s="8">
        <f t="shared" si="15"/>
        <v>5903.0932301357125</v>
      </c>
    </row>
    <row r="72" spans="2:4" x14ac:dyDescent="0.2">
      <c r="B72" s="1">
        <v>46</v>
      </c>
      <c r="C72" s="8">
        <f t="shared" si="14"/>
        <v>5187.2903451847769</v>
      </c>
      <c r="D72" s="8">
        <f t="shared" si="15"/>
        <v>5874.077932990489</v>
      </c>
    </row>
    <row r="73" spans="2:4" x14ac:dyDescent="0.2">
      <c r="B73" s="1">
        <v>47</v>
      </c>
      <c r="C73" s="8">
        <f t="shared" si="14"/>
        <v>5216.4688533764411</v>
      </c>
      <c r="D73" s="8">
        <f t="shared" si="15"/>
        <v>5844.8994247988257</v>
      </c>
    </row>
    <row r="74" spans="2:4" x14ac:dyDescent="0.2">
      <c r="B74" s="1">
        <v>48</v>
      </c>
      <c r="C74" s="8">
        <f t="shared" si="14"/>
        <v>5245.8114906766832</v>
      </c>
      <c r="D74" s="8">
        <f t="shared" si="15"/>
        <v>5815.5567874985827</v>
      </c>
    </row>
    <row r="75" spans="2:4" x14ac:dyDescent="0.2">
      <c r="B75" s="1">
        <v>49</v>
      </c>
      <c r="C75" s="8">
        <f t="shared" si="14"/>
        <v>5275.3191803117397</v>
      </c>
      <c r="D75" s="8">
        <f t="shared" si="15"/>
        <v>5786.0490978635262</v>
      </c>
    </row>
    <row r="76" spans="2:4" x14ac:dyDescent="0.2">
      <c r="B76" s="1">
        <v>50</v>
      </c>
      <c r="C76" s="8">
        <f t="shared" si="14"/>
        <v>5304.9928507009936</v>
      </c>
      <c r="D76" s="8">
        <f t="shared" si="15"/>
        <v>5756.3754274742741</v>
      </c>
    </row>
    <row r="77" spans="2:4" x14ac:dyDescent="0.2">
      <c r="B77" s="1">
        <v>51</v>
      </c>
      <c r="C77" s="8">
        <f t="shared" si="14"/>
        <v>5334.8334354861863</v>
      </c>
      <c r="D77" s="8">
        <f t="shared" si="15"/>
        <v>5726.5348426890796</v>
      </c>
    </row>
    <row r="78" spans="2:4" x14ac:dyDescent="0.2">
      <c r="B78" s="1">
        <v>52</v>
      </c>
      <c r="C78" s="8">
        <f t="shared" si="14"/>
        <v>5364.8418735607966</v>
      </c>
      <c r="D78" s="8">
        <f t="shared" si="15"/>
        <v>5696.5264046144694</v>
      </c>
    </row>
    <row r="79" spans="2:4" x14ac:dyDescent="0.2">
      <c r="B79" s="1">
        <v>53</v>
      </c>
      <c r="C79" s="8">
        <f t="shared" si="14"/>
        <v>5395.0191090995759</v>
      </c>
      <c r="D79" s="8">
        <f t="shared" si="15"/>
        <v>5666.34916907569</v>
      </c>
    </row>
    <row r="80" spans="2:4" x14ac:dyDescent="0.2">
      <c r="B80" s="1">
        <v>54</v>
      </c>
      <c r="C80" s="8">
        <f t="shared" si="14"/>
        <v>5425.3660915882601</v>
      </c>
      <c r="D80" s="8">
        <f t="shared" si="15"/>
        <v>5636.0021865870067</v>
      </c>
    </row>
    <row r="81" spans="2:4" x14ac:dyDescent="0.2">
      <c r="B81" s="1">
        <v>55</v>
      </c>
      <c r="C81" s="8">
        <f t="shared" si="14"/>
        <v>5455.8837758534446</v>
      </c>
      <c r="D81" s="8">
        <f t="shared" si="15"/>
        <v>5605.4845023218222</v>
      </c>
    </row>
    <row r="82" spans="2:4" x14ac:dyDescent="0.2">
      <c r="B82" s="1">
        <v>56</v>
      </c>
      <c r="C82" s="8">
        <f t="shared" si="14"/>
        <v>5486.5731220926209</v>
      </c>
      <c r="D82" s="8">
        <f t="shared" si="15"/>
        <v>5574.7951560826468</v>
      </c>
    </row>
    <row r="83" spans="2:4" x14ac:dyDescent="0.2">
      <c r="B83" s="1">
        <v>57</v>
      </c>
      <c r="C83" s="8">
        <f t="shared" si="14"/>
        <v>5517.4350959043913</v>
      </c>
      <c r="D83" s="8">
        <f t="shared" si="15"/>
        <v>5543.9331822708764</v>
      </c>
    </row>
    <row r="84" spans="2:4" x14ac:dyDescent="0.2">
      <c r="B84" s="1">
        <v>58</v>
      </c>
      <c r="C84" s="8">
        <f t="shared" si="14"/>
        <v>5548.4706683188533</v>
      </c>
      <c r="D84" s="8">
        <f t="shared" si="15"/>
        <v>5512.8976098564126</v>
      </c>
    </row>
    <row r="85" spans="2:4" x14ac:dyDescent="0.2">
      <c r="B85" s="1">
        <v>59</v>
      </c>
      <c r="C85" s="8">
        <f t="shared" si="14"/>
        <v>5579.6808158281474</v>
      </c>
      <c r="D85" s="8">
        <f t="shared" si="15"/>
        <v>5481.6874623471203</v>
      </c>
    </row>
    <row r="86" spans="2:4" x14ac:dyDescent="0.2">
      <c r="B86" s="1">
        <v>60</v>
      </c>
      <c r="C86" s="8">
        <f t="shared" si="14"/>
        <v>5611.0665204171801</v>
      </c>
      <c r="D86" s="8">
        <f t="shared" si="15"/>
        <v>5450.3017577580868</v>
      </c>
    </row>
    <row r="87" spans="2:4" x14ac:dyDescent="0.2">
      <c r="B87" s="1">
        <v>61</v>
      </c>
      <c r="C87" s="8">
        <f t="shared" si="14"/>
        <v>5642.6287695945275</v>
      </c>
      <c r="D87" s="8">
        <f t="shared" si="15"/>
        <v>5418.7395085807393</v>
      </c>
    </row>
    <row r="88" spans="2:4" x14ac:dyDescent="0.2">
      <c r="B88" s="1">
        <v>62</v>
      </c>
      <c r="C88" s="8">
        <f t="shared" si="14"/>
        <v>5674.3685564234956</v>
      </c>
      <c r="D88" s="8">
        <f t="shared" si="15"/>
        <v>5386.9997217517694</v>
      </c>
    </row>
    <row r="89" spans="2:4" x14ac:dyDescent="0.2">
      <c r="B89" s="1">
        <v>63</v>
      </c>
      <c r="C89" s="8">
        <f t="shared" si="14"/>
        <v>5706.2868795533777</v>
      </c>
      <c r="D89" s="8">
        <f t="shared" si="15"/>
        <v>5355.0813986218882</v>
      </c>
    </row>
    <row r="90" spans="2:4" x14ac:dyDescent="0.2">
      <c r="B90" s="1">
        <v>64</v>
      </c>
      <c r="C90" s="8">
        <f t="shared" si="14"/>
        <v>5738.3847432508664</v>
      </c>
      <c r="D90" s="8">
        <f t="shared" si="15"/>
        <v>5322.9835349244004</v>
      </c>
    </row>
    <row r="91" spans="2:4" x14ac:dyDescent="0.2">
      <c r="B91" s="1">
        <v>65</v>
      </c>
      <c r="C91" s="8">
        <f t="shared" si="14"/>
        <v>5770.6631574316516</v>
      </c>
      <c r="D91" s="8">
        <f t="shared" si="15"/>
        <v>5290.7051207436134</v>
      </c>
    </row>
    <row r="92" spans="2:4" x14ac:dyDescent="0.2">
      <c r="B92" s="1">
        <v>66</v>
      </c>
      <c r="C92" s="8">
        <f t="shared" ref="C92:C155" si="22">IFERROR(PPMT($C$6/12,B92,$C$7*12,(1-$C$5)*-$C$4),0)</f>
        <v>5803.1231376922051</v>
      </c>
      <c r="D92" s="8">
        <f t="shared" ref="D92:D155" si="23">IFERROR(IPMT($C$6/12,B92,$C$7*12,(1-$C$5)*-$C$4),0)</f>
        <v>5258.2451404830599</v>
      </c>
    </row>
    <row r="93" spans="2:4" x14ac:dyDescent="0.2">
      <c r="B93" s="1">
        <v>67</v>
      </c>
      <c r="C93" s="8">
        <f t="shared" si="22"/>
        <v>5835.7657053417252</v>
      </c>
      <c r="D93" s="8">
        <f t="shared" si="23"/>
        <v>5225.6025728335426</v>
      </c>
    </row>
    <row r="94" spans="2:4" x14ac:dyDescent="0.2">
      <c r="B94" s="1">
        <v>68</v>
      </c>
      <c r="C94" s="8">
        <f t="shared" si="22"/>
        <v>5868.5918874342724</v>
      </c>
      <c r="D94" s="8">
        <f t="shared" si="23"/>
        <v>5192.7763907409944</v>
      </c>
    </row>
    <row r="95" spans="2:4" x14ac:dyDescent="0.2">
      <c r="B95" s="1">
        <v>69</v>
      </c>
      <c r="C95" s="8">
        <f t="shared" si="22"/>
        <v>5901.6027168010887</v>
      </c>
      <c r="D95" s="8">
        <f t="shared" si="23"/>
        <v>5159.7655613741781</v>
      </c>
    </row>
    <row r="96" spans="2:4" x14ac:dyDescent="0.2">
      <c r="B96" s="1">
        <v>70</v>
      </c>
      <c r="C96" s="8">
        <f t="shared" si="22"/>
        <v>5934.7992320830954</v>
      </c>
      <c r="D96" s="8">
        <f t="shared" si="23"/>
        <v>5126.5690460921724</v>
      </c>
    </row>
    <row r="97" spans="2:4" x14ac:dyDescent="0.2">
      <c r="B97" s="1">
        <v>71</v>
      </c>
      <c r="C97" s="8">
        <f t="shared" si="22"/>
        <v>5968.182477763562</v>
      </c>
      <c r="D97" s="8">
        <f t="shared" si="23"/>
        <v>5093.1858004117039</v>
      </c>
    </row>
    <row r="98" spans="2:4" x14ac:dyDescent="0.2">
      <c r="B98" s="1">
        <v>72</v>
      </c>
      <c r="C98" s="8">
        <f t="shared" si="22"/>
        <v>6001.7535042009822</v>
      </c>
      <c r="D98" s="8">
        <f t="shared" si="23"/>
        <v>5059.6147739742837</v>
      </c>
    </row>
    <row r="99" spans="2:4" x14ac:dyDescent="0.2">
      <c r="B99" s="1">
        <v>73</v>
      </c>
      <c r="C99" s="8">
        <f t="shared" si="22"/>
        <v>6035.5133676621135</v>
      </c>
      <c r="D99" s="8">
        <f t="shared" si="23"/>
        <v>5025.8549105131542</v>
      </c>
    </row>
    <row r="100" spans="2:4" x14ac:dyDescent="0.2">
      <c r="B100" s="1">
        <v>74</v>
      </c>
      <c r="C100" s="8">
        <f t="shared" si="22"/>
        <v>6069.4631303552123</v>
      </c>
      <c r="D100" s="8">
        <f t="shared" si="23"/>
        <v>4991.9051478200545</v>
      </c>
    </row>
    <row r="101" spans="2:4" x14ac:dyDescent="0.2">
      <c r="B101" s="1">
        <v>75</v>
      </c>
      <c r="C101" s="8">
        <f t="shared" si="22"/>
        <v>6103.6038604634614</v>
      </c>
      <c r="D101" s="8">
        <f t="shared" si="23"/>
        <v>4957.7644177118054</v>
      </c>
    </row>
    <row r="102" spans="2:4" x14ac:dyDescent="0.2">
      <c r="B102" s="1">
        <v>76</v>
      </c>
      <c r="C102" s="8">
        <f t="shared" si="22"/>
        <v>6137.9366321785665</v>
      </c>
      <c r="D102" s="8">
        <f t="shared" si="23"/>
        <v>4923.4316459966994</v>
      </c>
    </row>
    <row r="103" spans="2:4" x14ac:dyDescent="0.2">
      <c r="B103" s="1">
        <v>77</v>
      </c>
      <c r="C103" s="8">
        <f t="shared" si="22"/>
        <v>6172.4625257345724</v>
      </c>
      <c r="D103" s="8">
        <f t="shared" si="23"/>
        <v>4888.9057524406944</v>
      </c>
    </row>
    <row r="104" spans="2:4" x14ac:dyDescent="0.2">
      <c r="B104" s="1">
        <v>78</v>
      </c>
      <c r="C104" s="8">
        <f t="shared" si="22"/>
        <v>6207.1826274418281</v>
      </c>
      <c r="D104" s="8">
        <f t="shared" si="23"/>
        <v>4854.1856507334369</v>
      </c>
    </row>
    <row r="105" spans="2:4" x14ac:dyDescent="0.2">
      <c r="B105" s="1">
        <v>79</v>
      </c>
      <c r="C105" s="8">
        <f t="shared" si="22"/>
        <v>6242.09802972119</v>
      </c>
      <c r="D105" s="8">
        <f t="shared" si="23"/>
        <v>4819.2702484540769</v>
      </c>
    </row>
    <row r="106" spans="2:4" x14ac:dyDescent="0.2">
      <c r="B106" s="1">
        <v>80</v>
      </c>
      <c r="C106" s="8">
        <f t="shared" si="22"/>
        <v>6277.2098311383706</v>
      </c>
      <c r="D106" s="8">
        <f t="shared" si="23"/>
        <v>4784.1584470368953</v>
      </c>
    </row>
    <row r="107" spans="2:4" x14ac:dyDescent="0.2">
      <c r="B107" s="1">
        <v>81</v>
      </c>
      <c r="C107" s="8">
        <f t="shared" si="22"/>
        <v>6312.5191364385246</v>
      </c>
      <c r="D107" s="8">
        <f t="shared" si="23"/>
        <v>4748.8491417367422</v>
      </c>
    </row>
    <row r="108" spans="2:4" x14ac:dyDescent="0.2">
      <c r="B108" s="1">
        <v>82</v>
      </c>
      <c r="C108" s="8">
        <f t="shared" si="22"/>
        <v>6348.0270565809915</v>
      </c>
      <c r="D108" s="8">
        <f t="shared" si="23"/>
        <v>4713.3412215942753</v>
      </c>
    </row>
    <row r="109" spans="2:4" x14ac:dyDescent="0.2">
      <c r="B109" s="1">
        <v>83</v>
      </c>
      <c r="C109" s="8">
        <f t="shared" si="22"/>
        <v>6383.7347087742592</v>
      </c>
      <c r="D109" s="8">
        <f t="shared" si="23"/>
        <v>4677.6335694010068</v>
      </c>
    </row>
    <row r="110" spans="2:4" x14ac:dyDescent="0.2">
      <c r="B110" s="1">
        <v>84</v>
      </c>
      <c r="C110" s="8">
        <f t="shared" si="22"/>
        <v>6419.6432165111146</v>
      </c>
      <c r="D110" s="8">
        <f t="shared" si="23"/>
        <v>4641.7250616641522</v>
      </c>
    </row>
    <row r="111" spans="2:4" x14ac:dyDescent="0.2">
      <c r="B111" s="1">
        <v>85</v>
      </c>
      <c r="C111" s="8">
        <f t="shared" si="22"/>
        <v>6455.7537096039896</v>
      </c>
      <c r="D111" s="8">
        <f t="shared" si="23"/>
        <v>4605.6145685712772</v>
      </c>
    </row>
    <row r="112" spans="2:4" x14ac:dyDescent="0.2">
      <c r="B112" s="1">
        <v>86</v>
      </c>
      <c r="C112" s="8">
        <f t="shared" si="22"/>
        <v>6492.0673242205103</v>
      </c>
      <c r="D112" s="8">
        <f t="shared" si="23"/>
        <v>4569.3009539547538</v>
      </c>
    </row>
    <row r="113" spans="2:4" x14ac:dyDescent="0.2">
      <c r="B113" s="1">
        <v>87</v>
      </c>
      <c r="C113" s="8">
        <f t="shared" si="22"/>
        <v>6528.5852029192529</v>
      </c>
      <c r="D113" s="8">
        <f t="shared" si="23"/>
        <v>4532.7830752560139</v>
      </c>
    </row>
    <row r="114" spans="2:4" x14ac:dyDescent="0.2">
      <c r="B114" s="1">
        <v>88</v>
      </c>
      <c r="C114" s="8">
        <f t="shared" si="22"/>
        <v>6565.3084946856734</v>
      </c>
      <c r="D114" s="8">
        <f t="shared" si="23"/>
        <v>4496.0597834895934</v>
      </c>
    </row>
    <row r="115" spans="2:4" x14ac:dyDescent="0.2">
      <c r="B115" s="1">
        <v>89</v>
      </c>
      <c r="C115" s="8">
        <f t="shared" si="22"/>
        <v>6602.23835496828</v>
      </c>
      <c r="D115" s="8">
        <f t="shared" si="23"/>
        <v>4459.1299232069869</v>
      </c>
    </row>
    <row r="116" spans="2:4" x14ac:dyDescent="0.2">
      <c r="B116" s="1">
        <v>90</v>
      </c>
      <c r="C116" s="8">
        <f t="shared" si="22"/>
        <v>6639.3759457149754</v>
      </c>
      <c r="D116" s="8">
        <f t="shared" si="23"/>
        <v>4421.9923324602905</v>
      </c>
    </row>
    <row r="117" spans="2:4" x14ac:dyDescent="0.2">
      <c r="B117" s="1">
        <v>91</v>
      </c>
      <c r="C117" s="8">
        <f t="shared" si="22"/>
        <v>6676.7224354096224</v>
      </c>
      <c r="D117" s="8">
        <f t="shared" si="23"/>
        <v>4384.6458427656435</v>
      </c>
    </row>
    <row r="118" spans="2:4" x14ac:dyDescent="0.2">
      <c r="B118" s="1">
        <v>92</v>
      </c>
      <c r="C118" s="8">
        <f t="shared" si="22"/>
        <v>6714.2789991088021</v>
      </c>
      <c r="D118" s="8">
        <f t="shared" si="23"/>
        <v>4347.089279066463</v>
      </c>
    </row>
    <row r="119" spans="2:4" x14ac:dyDescent="0.2">
      <c r="B119" s="1">
        <v>93</v>
      </c>
      <c r="C119" s="8">
        <f t="shared" si="22"/>
        <v>6752.0468184787906</v>
      </c>
      <c r="D119" s="8">
        <f t="shared" si="23"/>
        <v>4309.3214596964772</v>
      </c>
    </row>
    <row r="120" spans="2:4" x14ac:dyDescent="0.2">
      <c r="B120" s="1">
        <v>94</v>
      </c>
      <c r="C120" s="8">
        <f t="shared" si="22"/>
        <v>6790.0270818327335</v>
      </c>
      <c r="D120" s="8">
        <f t="shared" si="23"/>
        <v>4271.3411963425342</v>
      </c>
    </row>
    <row r="121" spans="2:4" x14ac:dyDescent="0.2">
      <c r="B121" s="1">
        <v>95</v>
      </c>
      <c r="C121" s="8">
        <f t="shared" si="22"/>
        <v>6828.2209841680415</v>
      </c>
      <c r="D121" s="8">
        <f t="shared" si="23"/>
        <v>4233.1472940072254</v>
      </c>
    </row>
    <row r="122" spans="2:4" x14ac:dyDescent="0.2">
      <c r="B122" s="1">
        <v>96</v>
      </c>
      <c r="C122" s="8">
        <f t="shared" si="22"/>
        <v>6866.6297272039865</v>
      </c>
      <c r="D122" s="8">
        <f t="shared" si="23"/>
        <v>4194.7385509712794</v>
      </c>
    </row>
    <row r="123" spans="2:4" x14ac:dyDescent="0.2">
      <c r="B123" s="1">
        <v>97</v>
      </c>
      <c r="C123" s="8">
        <f t="shared" si="22"/>
        <v>6905.2545194195091</v>
      </c>
      <c r="D123" s="8">
        <f t="shared" si="23"/>
        <v>4156.1137587557569</v>
      </c>
    </row>
    <row r="124" spans="2:4" x14ac:dyDescent="0.2">
      <c r="B124" s="1">
        <v>98</v>
      </c>
      <c r="C124" s="8">
        <f t="shared" si="22"/>
        <v>6944.096576091245</v>
      </c>
      <c r="D124" s="8">
        <f t="shared" si="23"/>
        <v>4117.2717020840228</v>
      </c>
    </row>
    <row r="125" spans="2:4" x14ac:dyDescent="0.2">
      <c r="B125" s="1">
        <v>99</v>
      </c>
      <c r="C125" s="8">
        <f t="shared" si="22"/>
        <v>6983.1571193317577</v>
      </c>
      <c r="D125" s="8">
        <f t="shared" si="23"/>
        <v>4078.2111588435091</v>
      </c>
    </row>
    <row r="126" spans="2:4" x14ac:dyDescent="0.2">
      <c r="B126" s="1">
        <v>100</v>
      </c>
      <c r="C126" s="8">
        <f t="shared" si="22"/>
        <v>7022.4373781279983</v>
      </c>
      <c r="D126" s="8">
        <f t="shared" si="23"/>
        <v>4038.9309000472681</v>
      </c>
    </row>
    <row r="127" spans="2:4" x14ac:dyDescent="0.2">
      <c r="B127" s="1">
        <v>101</v>
      </c>
      <c r="C127" s="8">
        <f t="shared" si="22"/>
        <v>7061.9385883799696</v>
      </c>
      <c r="D127" s="8">
        <f t="shared" si="23"/>
        <v>3999.4296897952977</v>
      </c>
    </row>
    <row r="128" spans="2:4" x14ac:dyDescent="0.2">
      <c r="B128" s="1">
        <v>102</v>
      </c>
      <c r="C128" s="8">
        <f t="shared" si="22"/>
        <v>7101.6619929396047</v>
      </c>
      <c r="D128" s="8">
        <f t="shared" si="23"/>
        <v>3959.7062852356603</v>
      </c>
    </row>
    <row r="129" spans="2:4" x14ac:dyDescent="0.2">
      <c r="B129" s="1">
        <v>103</v>
      </c>
      <c r="C129" s="8">
        <f t="shared" si="22"/>
        <v>7141.6088416498906</v>
      </c>
      <c r="D129" s="8">
        <f t="shared" si="23"/>
        <v>3919.7594365253753</v>
      </c>
    </row>
    <row r="130" spans="2:4" x14ac:dyDescent="0.2">
      <c r="B130" s="1">
        <v>104</v>
      </c>
      <c r="C130" s="8">
        <f t="shared" si="22"/>
        <v>7181.7803913841717</v>
      </c>
      <c r="D130" s="8">
        <f t="shared" si="23"/>
        <v>3879.5878867910942</v>
      </c>
    </row>
    <row r="131" spans="2:4" x14ac:dyDescent="0.2">
      <c r="B131" s="1">
        <v>105</v>
      </c>
      <c r="C131" s="8">
        <f t="shared" si="22"/>
        <v>7222.177906085707</v>
      </c>
      <c r="D131" s="8">
        <f t="shared" si="23"/>
        <v>3839.1903720895593</v>
      </c>
    </row>
    <row r="132" spans="2:4" x14ac:dyDescent="0.2">
      <c r="B132" s="1">
        <v>106</v>
      </c>
      <c r="C132" s="8">
        <f t="shared" si="22"/>
        <v>7262.8026568074401</v>
      </c>
      <c r="D132" s="8">
        <f t="shared" si="23"/>
        <v>3798.5656213678262</v>
      </c>
    </row>
    <row r="133" spans="2:4" x14ac:dyDescent="0.2">
      <c r="B133" s="1">
        <v>107</v>
      </c>
      <c r="C133" s="8">
        <f t="shared" si="22"/>
        <v>7303.6559217519816</v>
      </c>
      <c r="D133" s="8">
        <f t="shared" si="23"/>
        <v>3757.7123564232847</v>
      </c>
    </row>
    <row r="134" spans="2:4" x14ac:dyDescent="0.2">
      <c r="B134" s="1">
        <v>108</v>
      </c>
      <c r="C134" s="8">
        <f t="shared" si="22"/>
        <v>7344.738986311836</v>
      </c>
      <c r="D134" s="8">
        <f t="shared" si="23"/>
        <v>3716.6292918634304</v>
      </c>
    </row>
    <row r="135" spans="2:4" x14ac:dyDescent="0.2">
      <c r="B135" s="1">
        <v>109</v>
      </c>
      <c r="C135" s="8">
        <f t="shared" si="22"/>
        <v>7386.0531431098407</v>
      </c>
      <c r="D135" s="8">
        <f t="shared" si="23"/>
        <v>3675.3151350654257</v>
      </c>
    </row>
    <row r="136" spans="2:4" x14ac:dyDescent="0.2">
      <c r="B136" s="1">
        <v>110</v>
      </c>
      <c r="C136" s="8">
        <f t="shared" si="22"/>
        <v>7427.5996920398338</v>
      </c>
      <c r="D136" s="8">
        <f t="shared" si="23"/>
        <v>3633.7685861354335</v>
      </c>
    </row>
    <row r="137" spans="2:4" x14ac:dyDescent="0.2">
      <c r="B137" s="1">
        <v>111</v>
      </c>
      <c r="C137" s="8">
        <f t="shared" si="22"/>
        <v>7469.3799403075573</v>
      </c>
      <c r="D137" s="8">
        <f t="shared" si="23"/>
        <v>3591.9883378677091</v>
      </c>
    </row>
    <row r="138" spans="2:4" x14ac:dyDescent="0.2">
      <c r="B138" s="1">
        <v>112</v>
      </c>
      <c r="C138" s="8">
        <f t="shared" si="22"/>
        <v>7511.3952024717873</v>
      </c>
      <c r="D138" s="8">
        <f t="shared" si="23"/>
        <v>3549.973075703479</v>
      </c>
    </row>
    <row r="139" spans="2:4" x14ac:dyDescent="0.2">
      <c r="B139" s="1">
        <v>113</v>
      </c>
      <c r="C139" s="8">
        <f t="shared" si="22"/>
        <v>7553.6468004856906</v>
      </c>
      <c r="D139" s="8">
        <f t="shared" si="23"/>
        <v>3507.7214776895753</v>
      </c>
    </row>
    <row r="140" spans="2:4" x14ac:dyDescent="0.2">
      <c r="B140" s="1">
        <v>114</v>
      </c>
      <c r="C140" s="8">
        <f t="shared" si="22"/>
        <v>7596.1360637384241</v>
      </c>
      <c r="D140" s="8">
        <f t="shared" si="23"/>
        <v>3465.2322144368432</v>
      </c>
    </row>
    <row r="141" spans="2:4" x14ac:dyDescent="0.2">
      <c r="B141" s="1">
        <v>115</v>
      </c>
      <c r="C141" s="8">
        <f t="shared" si="22"/>
        <v>7638.8643290969521</v>
      </c>
      <c r="D141" s="8">
        <f t="shared" si="23"/>
        <v>3422.5039490783142</v>
      </c>
    </row>
    <row r="142" spans="2:4" x14ac:dyDescent="0.2">
      <c r="B142" s="1">
        <v>116</v>
      </c>
      <c r="C142" s="8">
        <f t="shared" si="22"/>
        <v>7681.832940948123</v>
      </c>
      <c r="D142" s="8">
        <f t="shared" si="23"/>
        <v>3379.5353372271443</v>
      </c>
    </row>
    <row r="143" spans="2:4" x14ac:dyDescent="0.2">
      <c r="B143" s="1">
        <v>117</v>
      </c>
      <c r="C143" s="8">
        <f t="shared" si="22"/>
        <v>7725.0432512409552</v>
      </c>
      <c r="D143" s="8">
        <f t="shared" si="23"/>
        <v>3336.3250269343107</v>
      </c>
    </row>
    <row r="144" spans="2:4" x14ac:dyDescent="0.2">
      <c r="B144" s="1">
        <v>118</v>
      </c>
      <c r="C144" s="8">
        <f t="shared" si="22"/>
        <v>7768.4966195291863</v>
      </c>
      <c r="D144" s="8">
        <f t="shared" si="23"/>
        <v>3292.871658646081</v>
      </c>
    </row>
    <row r="145" spans="2:4" x14ac:dyDescent="0.2">
      <c r="B145" s="1">
        <v>119</v>
      </c>
      <c r="C145" s="8">
        <f t="shared" si="22"/>
        <v>7812.1944130140391</v>
      </c>
      <c r="D145" s="8">
        <f t="shared" si="23"/>
        <v>3249.1738651612291</v>
      </c>
    </row>
    <row r="146" spans="2:4" x14ac:dyDescent="0.2">
      <c r="B146" s="1">
        <v>120</v>
      </c>
      <c r="C146" s="8">
        <f t="shared" si="22"/>
        <v>7856.1380065872409</v>
      </c>
      <c r="D146" s="8">
        <f t="shared" si="23"/>
        <v>3205.2302715880246</v>
      </c>
    </row>
    <row r="147" spans="2:4" x14ac:dyDescent="0.2">
      <c r="B147" s="1">
        <v>121</v>
      </c>
      <c r="C147" s="8">
        <f t="shared" si="22"/>
        <v>7900.328782874295</v>
      </c>
      <c r="D147" s="8">
        <f t="shared" si="23"/>
        <v>3161.0394953009713</v>
      </c>
    </row>
    <row r="148" spans="2:4" x14ac:dyDescent="0.2">
      <c r="B148" s="1">
        <v>122</v>
      </c>
      <c r="C148" s="8">
        <f t="shared" si="22"/>
        <v>7944.7681322779626</v>
      </c>
      <c r="D148" s="8">
        <f t="shared" si="23"/>
        <v>3116.6001458973037</v>
      </c>
    </row>
    <row r="149" spans="2:4" x14ac:dyDescent="0.2">
      <c r="B149" s="1">
        <v>123</v>
      </c>
      <c r="C149" s="8">
        <f t="shared" si="22"/>
        <v>7989.457453022027</v>
      </c>
      <c r="D149" s="8">
        <f t="shared" si="23"/>
        <v>3071.9108251532402</v>
      </c>
    </row>
    <row r="150" spans="2:4" x14ac:dyDescent="0.2">
      <c r="B150" s="1">
        <v>124</v>
      </c>
      <c r="C150" s="8">
        <f t="shared" si="22"/>
        <v>8034.3981511952752</v>
      </c>
      <c r="D150" s="8">
        <f t="shared" si="23"/>
        <v>3026.9701269799916</v>
      </c>
    </row>
    <row r="151" spans="2:4" x14ac:dyDescent="0.2">
      <c r="B151" s="1">
        <v>125</v>
      </c>
      <c r="C151" s="8">
        <f t="shared" si="22"/>
        <v>8079.5916407957484</v>
      </c>
      <c r="D151" s="8">
        <f t="shared" si="23"/>
        <v>2981.7766373795175</v>
      </c>
    </row>
    <row r="152" spans="2:4" x14ac:dyDescent="0.2">
      <c r="B152" s="1">
        <v>126</v>
      </c>
      <c r="C152" s="8">
        <f t="shared" si="22"/>
        <v>8125.0393437752246</v>
      </c>
      <c r="D152" s="8">
        <f t="shared" si="23"/>
        <v>2936.3289344000414</v>
      </c>
    </row>
    <row r="153" spans="2:4" x14ac:dyDescent="0.2">
      <c r="B153" s="1">
        <v>127</v>
      </c>
      <c r="C153" s="8">
        <f t="shared" si="22"/>
        <v>8170.742690083961</v>
      </c>
      <c r="D153" s="8">
        <f t="shared" si="23"/>
        <v>2890.6255880913063</v>
      </c>
    </row>
    <row r="154" spans="2:4" x14ac:dyDescent="0.2">
      <c r="B154" s="1">
        <v>128</v>
      </c>
      <c r="C154" s="8">
        <f t="shared" si="22"/>
        <v>8216.7031177156823</v>
      </c>
      <c r="D154" s="8">
        <f t="shared" si="23"/>
        <v>2844.6651604595836</v>
      </c>
    </row>
    <row r="155" spans="2:4" x14ac:dyDescent="0.2">
      <c r="B155" s="1">
        <v>129</v>
      </c>
      <c r="C155" s="8">
        <f t="shared" si="22"/>
        <v>8262.9220727528336</v>
      </c>
      <c r="D155" s="8">
        <f t="shared" si="23"/>
        <v>2798.4462054224327</v>
      </c>
    </row>
    <row r="156" spans="2:4" x14ac:dyDescent="0.2">
      <c r="B156" s="1">
        <v>130</v>
      </c>
      <c r="C156" s="8">
        <f t="shared" ref="C156:C219" si="24">IFERROR(PPMT($C$6/12,B156,$C$7*12,(1-$C$5)*-$C$4),0)</f>
        <v>8309.4010094120677</v>
      </c>
      <c r="D156" s="8">
        <f t="shared" ref="D156:D219" si="25">IFERROR(IPMT($C$6/12,B156,$C$7*12,(1-$C$5)*-$C$4),0)</f>
        <v>2751.9672687631983</v>
      </c>
    </row>
    <row r="157" spans="2:4" x14ac:dyDescent="0.2">
      <c r="B157" s="1">
        <v>131</v>
      </c>
      <c r="C157" s="8">
        <f t="shared" si="24"/>
        <v>8356.1413900900116</v>
      </c>
      <c r="D157" s="8">
        <f t="shared" si="25"/>
        <v>2705.2268880852562</v>
      </c>
    </row>
    <row r="158" spans="2:4" x14ac:dyDescent="0.2">
      <c r="B158" s="1">
        <v>132</v>
      </c>
      <c r="C158" s="8">
        <f t="shared" si="24"/>
        <v>8403.1446854092683</v>
      </c>
      <c r="D158" s="8">
        <f t="shared" si="25"/>
        <v>2658.223592765999</v>
      </c>
    </row>
    <row r="159" spans="2:4" x14ac:dyDescent="0.2">
      <c r="B159" s="1">
        <v>133</v>
      </c>
      <c r="C159" s="8">
        <f t="shared" si="24"/>
        <v>8450.4123742646934</v>
      </c>
      <c r="D159" s="8">
        <f t="shared" si="25"/>
        <v>2610.955903910572</v>
      </c>
    </row>
    <row r="160" spans="2:4" x14ac:dyDescent="0.2">
      <c r="B160" s="1">
        <v>134</v>
      </c>
      <c r="C160" s="8">
        <f t="shared" si="24"/>
        <v>8497.9459438699341</v>
      </c>
      <c r="D160" s="8">
        <f t="shared" si="25"/>
        <v>2563.4223343053327</v>
      </c>
    </row>
    <row r="161" spans="2:4" x14ac:dyDescent="0.2">
      <c r="B161" s="1">
        <v>135</v>
      </c>
      <c r="C161" s="8">
        <f t="shared" si="24"/>
        <v>8545.7468898042007</v>
      </c>
      <c r="D161" s="8">
        <f t="shared" si="25"/>
        <v>2515.6213883710648</v>
      </c>
    </row>
    <row r="162" spans="2:4" x14ac:dyDescent="0.2">
      <c r="B162" s="1">
        <v>136</v>
      </c>
      <c r="C162" s="8">
        <f t="shared" si="24"/>
        <v>8593.8167160593512</v>
      </c>
      <c r="D162" s="8">
        <f t="shared" si="25"/>
        <v>2467.5515621159161</v>
      </c>
    </row>
    <row r="163" spans="2:4" x14ac:dyDescent="0.2">
      <c r="B163" s="1">
        <v>137</v>
      </c>
      <c r="C163" s="8">
        <f t="shared" si="24"/>
        <v>8642.156935087185</v>
      </c>
      <c r="D163" s="8">
        <f t="shared" si="25"/>
        <v>2419.2113430880822</v>
      </c>
    </row>
    <row r="164" spans="2:4" x14ac:dyDescent="0.2">
      <c r="B164" s="1">
        <v>138</v>
      </c>
      <c r="C164" s="8">
        <f t="shared" si="24"/>
        <v>8690.7690678470499</v>
      </c>
      <c r="D164" s="8">
        <f t="shared" si="25"/>
        <v>2370.5992103282174</v>
      </c>
    </row>
    <row r="165" spans="2:4" x14ac:dyDescent="0.2">
      <c r="B165" s="1">
        <v>139</v>
      </c>
      <c r="C165" s="8">
        <f t="shared" si="24"/>
        <v>8739.654643853688</v>
      </c>
      <c r="D165" s="8">
        <f t="shared" si="25"/>
        <v>2321.713634321577</v>
      </c>
    </row>
    <row r="166" spans="2:4" x14ac:dyDescent="0.2">
      <c r="B166" s="1">
        <v>140</v>
      </c>
      <c r="C166" s="8">
        <f t="shared" si="24"/>
        <v>8788.8152012253668</v>
      </c>
      <c r="D166" s="8">
        <f t="shared" si="25"/>
        <v>2272.5530769499005</v>
      </c>
    </row>
    <row r="167" spans="2:4" x14ac:dyDescent="0.2">
      <c r="B167" s="1">
        <v>141</v>
      </c>
      <c r="C167" s="8">
        <f t="shared" si="24"/>
        <v>8838.2522867322587</v>
      </c>
      <c r="D167" s="8">
        <f t="shared" si="25"/>
        <v>2223.1159914430077</v>
      </c>
    </row>
    <row r="168" spans="2:4" x14ac:dyDescent="0.2">
      <c r="B168" s="1">
        <v>142</v>
      </c>
      <c r="C168" s="8">
        <f t="shared" si="24"/>
        <v>8887.9674558451279</v>
      </c>
      <c r="D168" s="8">
        <f t="shared" si="25"/>
        <v>2173.4008223301385</v>
      </c>
    </row>
    <row r="169" spans="2:4" x14ac:dyDescent="0.2">
      <c r="B169" s="1">
        <v>143</v>
      </c>
      <c r="C169" s="8">
        <f t="shared" si="24"/>
        <v>8937.9622727842579</v>
      </c>
      <c r="D169" s="8">
        <f t="shared" si="25"/>
        <v>2123.4060053910098</v>
      </c>
    </row>
    <row r="170" spans="2:4" x14ac:dyDescent="0.2">
      <c r="B170" s="1">
        <v>144</v>
      </c>
      <c r="C170" s="8">
        <f t="shared" si="24"/>
        <v>8988.2383105686677</v>
      </c>
      <c r="D170" s="8">
        <f t="shared" si="25"/>
        <v>2073.1299676065987</v>
      </c>
    </row>
    <row r="171" spans="2:4" x14ac:dyDescent="0.2">
      <c r="B171" s="1">
        <v>145</v>
      </c>
      <c r="C171" s="8">
        <f t="shared" si="24"/>
        <v>9038.7971510656171</v>
      </c>
      <c r="D171" s="8">
        <f t="shared" si="25"/>
        <v>2022.5711271096493</v>
      </c>
    </row>
    <row r="172" spans="2:4" x14ac:dyDescent="0.2">
      <c r="B172" s="1">
        <v>146</v>
      </c>
      <c r="C172" s="8">
        <f t="shared" si="24"/>
        <v>9089.6403850403622</v>
      </c>
      <c r="D172" s="8">
        <f t="shared" si="25"/>
        <v>1971.7278931349053</v>
      </c>
    </row>
    <row r="173" spans="2:4" x14ac:dyDescent="0.2">
      <c r="B173" s="1">
        <v>147</v>
      </c>
      <c r="C173" s="8">
        <f t="shared" si="24"/>
        <v>9140.7696122062116</v>
      </c>
      <c r="D173" s="8">
        <f t="shared" si="25"/>
        <v>1920.5986659690536</v>
      </c>
    </row>
    <row r="174" spans="2:4" x14ac:dyDescent="0.2">
      <c r="B174" s="1">
        <v>148</v>
      </c>
      <c r="C174" s="8">
        <f t="shared" si="24"/>
        <v>9192.1864412748728</v>
      </c>
      <c r="D174" s="8">
        <f t="shared" si="25"/>
        <v>1869.1818369003934</v>
      </c>
    </row>
    <row r="175" spans="2:4" x14ac:dyDescent="0.2">
      <c r="B175" s="1">
        <v>149</v>
      </c>
      <c r="C175" s="8">
        <f t="shared" si="24"/>
        <v>9243.8924900070433</v>
      </c>
      <c r="D175" s="8">
        <f t="shared" si="25"/>
        <v>1817.4757881682224</v>
      </c>
    </row>
    <row r="176" spans="2:4" x14ac:dyDescent="0.2">
      <c r="B176" s="1">
        <v>150</v>
      </c>
      <c r="C176" s="8">
        <f t="shared" si="24"/>
        <v>9295.8893852633337</v>
      </c>
      <c r="D176" s="8">
        <f t="shared" si="25"/>
        <v>1765.4788929119325</v>
      </c>
    </row>
    <row r="177" spans="2:4" x14ac:dyDescent="0.2">
      <c r="B177" s="1">
        <v>151</v>
      </c>
      <c r="C177" s="8">
        <f t="shared" si="24"/>
        <v>9348.1787630554409</v>
      </c>
      <c r="D177" s="8">
        <f t="shared" si="25"/>
        <v>1713.1895151198264</v>
      </c>
    </row>
    <row r="178" spans="2:4" x14ac:dyDescent="0.2">
      <c r="B178" s="1">
        <v>152</v>
      </c>
      <c r="C178" s="8">
        <f t="shared" si="24"/>
        <v>9400.7622685976257</v>
      </c>
      <c r="D178" s="8">
        <f t="shared" si="25"/>
        <v>1660.6060095776395</v>
      </c>
    </row>
    <row r="179" spans="2:4" x14ac:dyDescent="0.2">
      <c r="B179" s="1">
        <v>153</v>
      </c>
      <c r="C179" s="8">
        <f t="shared" si="24"/>
        <v>9453.6415563584887</v>
      </c>
      <c r="D179" s="8">
        <f t="shared" si="25"/>
        <v>1607.7267218167781</v>
      </c>
    </row>
    <row r="180" spans="2:4" x14ac:dyDescent="0.2">
      <c r="B180" s="1">
        <v>154</v>
      </c>
      <c r="C180" s="8">
        <f t="shared" si="24"/>
        <v>9506.8182901130058</v>
      </c>
      <c r="D180" s="8">
        <f t="shared" si="25"/>
        <v>1554.5499880622613</v>
      </c>
    </row>
    <row r="181" spans="2:4" x14ac:dyDescent="0.2">
      <c r="B181" s="1">
        <v>155</v>
      </c>
      <c r="C181" s="8">
        <f t="shared" si="24"/>
        <v>9560.2941429948914</v>
      </c>
      <c r="D181" s="8">
        <f t="shared" si="25"/>
        <v>1501.0741351803758</v>
      </c>
    </row>
    <row r="182" spans="2:4" x14ac:dyDescent="0.2">
      <c r="B182" s="1">
        <v>156</v>
      </c>
      <c r="C182" s="8">
        <f t="shared" si="24"/>
        <v>9614.0707975492351</v>
      </c>
      <c r="D182" s="8">
        <f t="shared" si="25"/>
        <v>1447.2974806260297</v>
      </c>
    </row>
    <row r="183" spans="2:4" x14ac:dyDescent="0.2">
      <c r="B183" s="1">
        <v>157</v>
      </c>
      <c r="C183" s="8">
        <f t="shared" si="24"/>
        <v>9668.1499457854516</v>
      </c>
      <c r="D183" s="8">
        <f t="shared" si="25"/>
        <v>1393.218332389815</v>
      </c>
    </row>
    <row r="184" spans="2:4" x14ac:dyDescent="0.2">
      <c r="B184" s="1">
        <v>158</v>
      </c>
      <c r="C184" s="8">
        <f t="shared" si="24"/>
        <v>9722.5332892304941</v>
      </c>
      <c r="D184" s="8">
        <f t="shared" si="25"/>
        <v>1338.8349889447718</v>
      </c>
    </row>
    <row r="185" spans="2:4" x14ac:dyDescent="0.2">
      <c r="B185" s="1">
        <v>159</v>
      </c>
      <c r="C185" s="8">
        <f t="shared" si="24"/>
        <v>9777.2225389824162</v>
      </c>
      <c r="D185" s="8">
        <f t="shared" si="25"/>
        <v>1284.1457391928504</v>
      </c>
    </row>
    <row r="186" spans="2:4" x14ac:dyDescent="0.2">
      <c r="B186" s="1">
        <v>160</v>
      </c>
      <c r="C186" s="8">
        <f t="shared" si="24"/>
        <v>9832.2194157641916</v>
      </c>
      <c r="D186" s="8">
        <f t="shared" si="25"/>
        <v>1229.1488624110743</v>
      </c>
    </row>
    <row r="187" spans="2:4" x14ac:dyDescent="0.2">
      <c r="B187" s="1">
        <v>161</v>
      </c>
      <c r="C187" s="8">
        <f t="shared" si="24"/>
        <v>9887.5256499778661</v>
      </c>
      <c r="D187" s="8">
        <f t="shared" si="25"/>
        <v>1173.8426281974005</v>
      </c>
    </row>
    <row r="188" spans="2:4" x14ac:dyDescent="0.2">
      <c r="B188" s="1">
        <v>162</v>
      </c>
      <c r="C188" s="8">
        <f t="shared" si="24"/>
        <v>9943.1429817589924</v>
      </c>
      <c r="D188" s="8">
        <f t="shared" si="25"/>
        <v>1118.2252964162753</v>
      </c>
    </row>
    <row r="189" spans="2:4" x14ac:dyDescent="0.2">
      <c r="B189" s="1">
        <v>163</v>
      </c>
      <c r="C189" s="8">
        <f t="shared" si="24"/>
        <v>9999.0731610313851</v>
      </c>
      <c r="D189" s="8">
        <f t="shared" si="25"/>
        <v>1062.2951171438806</v>
      </c>
    </row>
    <row r="190" spans="2:4" x14ac:dyDescent="0.2">
      <c r="B190" s="1">
        <v>164</v>
      </c>
      <c r="C190" s="8">
        <f t="shared" si="24"/>
        <v>10055.317947562187</v>
      </c>
      <c r="D190" s="8">
        <f t="shared" si="25"/>
        <v>1006.0503306130793</v>
      </c>
    </row>
    <row r="191" spans="2:4" x14ac:dyDescent="0.2">
      <c r="B191" s="1">
        <v>165</v>
      </c>
      <c r="C191" s="8">
        <f t="shared" si="24"/>
        <v>10111.879111017224</v>
      </c>
      <c r="D191" s="8">
        <f t="shared" si="25"/>
        <v>949.48916715804194</v>
      </c>
    </row>
    <row r="192" spans="2:4" x14ac:dyDescent="0.2">
      <c r="B192" s="1">
        <v>166</v>
      </c>
      <c r="C192" s="8">
        <f t="shared" si="24"/>
        <v>10168.758431016697</v>
      </c>
      <c r="D192" s="8">
        <f t="shared" si="25"/>
        <v>892.60984715857012</v>
      </c>
    </row>
    <row r="193" spans="2:4" x14ac:dyDescent="0.2">
      <c r="B193" s="1">
        <v>167</v>
      </c>
      <c r="C193" s="8">
        <f t="shared" si="24"/>
        <v>10225.957697191167</v>
      </c>
      <c r="D193" s="8">
        <f t="shared" si="25"/>
        <v>835.4105809841011</v>
      </c>
    </row>
    <row r="194" spans="2:4" x14ac:dyDescent="0.2">
      <c r="B194" s="1">
        <v>168</v>
      </c>
      <c r="C194" s="8">
        <f t="shared" si="24"/>
        <v>10283.478709237866</v>
      </c>
      <c r="D194" s="8">
        <f t="shared" si="25"/>
        <v>777.88956893740067</v>
      </c>
    </row>
    <row r="195" spans="2:4" x14ac:dyDescent="0.2">
      <c r="B195" s="1">
        <v>169</v>
      </c>
      <c r="C195" s="8">
        <f t="shared" si="24"/>
        <v>10341.323276977328</v>
      </c>
      <c r="D195" s="8">
        <f t="shared" si="25"/>
        <v>720.04500119793784</v>
      </c>
    </row>
    <row r="196" spans="2:4" x14ac:dyDescent="0.2">
      <c r="B196" s="1">
        <v>170</v>
      </c>
      <c r="C196" s="8">
        <f t="shared" si="24"/>
        <v>10399.493220410326</v>
      </c>
      <c r="D196" s="8">
        <f t="shared" si="25"/>
        <v>661.87505776494038</v>
      </c>
    </row>
    <row r="197" spans="2:4" x14ac:dyDescent="0.2">
      <c r="B197" s="1">
        <v>171</v>
      </c>
      <c r="C197" s="8">
        <f t="shared" si="24"/>
        <v>10457.990369775134</v>
      </c>
      <c r="D197" s="8">
        <f t="shared" si="25"/>
        <v>603.37790840013224</v>
      </c>
    </row>
    <row r="198" spans="2:4" x14ac:dyDescent="0.2">
      <c r="B198" s="1">
        <v>172</v>
      </c>
      <c r="C198" s="8">
        <f t="shared" si="24"/>
        <v>10516.816565605119</v>
      </c>
      <c r="D198" s="8">
        <f t="shared" si="25"/>
        <v>544.55171257014706</v>
      </c>
    </row>
    <row r="199" spans="2:4" x14ac:dyDescent="0.2">
      <c r="B199" s="1">
        <v>173</v>
      </c>
      <c r="C199" s="8">
        <f t="shared" si="24"/>
        <v>10575.973658786648</v>
      </c>
      <c r="D199" s="8">
        <f t="shared" si="25"/>
        <v>485.39461938861837</v>
      </c>
    </row>
    <row r="200" spans="2:4" x14ac:dyDescent="0.2">
      <c r="B200" s="1">
        <v>174</v>
      </c>
      <c r="C200" s="8">
        <f t="shared" si="24"/>
        <v>10635.463510617325</v>
      </c>
      <c r="D200" s="8">
        <f t="shared" si="25"/>
        <v>425.90476755794339</v>
      </c>
    </row>
    <row r="201" spans="2:4" x14ac:dyDescent="0.2">
      <c r="B201" s="1">
        <v>175</v>
      </c>
      <c r="C201" s="8">
        <f t="shared" si="24"/>
        <v>10695.287992864547</v>
      </c>
      <c r="D201" s="8">
        <f t="shared" si="25"/>
        <v>366.08028531072102</v>
      </c>
    </row>
    <row r="202" spans="2:4" x14ac:dyDescent="0.2">
      <c r="B202" s="1">
        <v>176</v>
      </c>
      <c r="C202" s="8">
        <f t="shared" si="24"/>
        <v>10755.448987824409</v>
      </c>
      <c r="D202" s="8">
        <f t="shared" si="25"/>
        <v>305.91929035085786</v>
      </c>
    </row>
    <row r="203" spans="2:4" x14ac:dyDescent="0.2">
      <c r="B203" s="1">
        <v>177</v>
      </c>
      <c r="C203" s="8">
        <f t="shared" si="24"/>
        <v>10815.948388380921</v>
      </c>
      <c r="D203" s="8">
        <f t="shared" si="25"/>
        <v>245.41988979434561</v>
      </c>
    </row>
    <row r="204" spans="2:4" x14ac:dyDescent="0.2">
      <c r="B204" s="1">
        <v>178</v>
      </c>
      <c r="C204" s="8">
        <f t="shared" si="24"/>
        <v>10876.788098065565</v>
      </c>
      <c r="D204" s="8">
        <f t="shared" si="25"/>
        <v>184.58018010970295</v>
      </c>
    </row>
    <row r="205" spans="2:4" x14ac:dyDescent="0.2">
      <c r="B205" s="1">
        <v>179</v>
      </c>
      <c r="C205" s="8">
        <f t="shared" si="24"/>
        <v>10937.970031117182</v>
      </c>
      <c r="D205" s="8">
        <f t="shared" si="25"/>
        <v>123.3982470580841</v>
      </c>
    </row>
    <row r="206" spans="2:4" x14ac:dyDescent="0.2">
      <c r="B206" s="1">
        <v>180</v>
      </c>
      <c r="C206" s="8">
        <f t="shared" si="24"/>
        <v>10999.496112542216</v>
      </c>
      <c r="D206" s="8">
        <f t="shared" si="25"/>
        <v>61.872165633049981</v>
      </c>
    </row>
    <row r="207" spans="2:4" x14ac:dyDescent="0.2">
      <c r="B207" s="1">
        <v>181</v>
      </c>
      <c r="C207" s="8">
        <f t="shared" si="24"/>
        <v>0</v>
      </c>
      <c r="D207" s="8">
        <f t="shared" si="25"/>
        <v>0</v>
      </c>
    </row>
    <row r="208" spans="2:4" x14ac:dyDescent="0.2">
      <c r="B208" s="1">
        <v>182</v>
      </c>
      <c r="C208" s="8">
        <f t="shared" si="24"/>
        <v>0</v>
      </c>
      <c r="D208" s="8">
        <f t="shared" si="25"/>
        <v>0</v>
      </c>
    </row>
    <row r="209" spans="2:4" x14ac:dyDescent="0.2">
      <c r="B209" s="1">
        <v>183</v>
      </c>
      <c r="C209" s="8">
        <f t="shared" si="24"/>
        <v>0</v>
      </c>
      <c r="D209" s="8">
        <f t="shared" si="25"/>
        <v>0</v>
      </c>
    </row>
    <row r="210" spans="2:4" x14ac:dyDescent="0.2">
      <c r="B210" s="1">
        <v>184</v>
      </c>
      <c r="C210" s="8">
        <f t="shared" si="24"/>
        <v>0</v>
      </c>
      <c r="D210" s="8">
        <f t="shared" si="25"/>
        <v>0</v>
      </c>
    </row>
    <row r="211" spans="2:4" x14ac:dyDescent="0.2">
      <c r="B211" s="1">
        <v>185</v>
      </c>
      <c r="C211" s="8">
        <f t="shared" si="24"/>
        <v>0</v>
      </c>
      <c r="D211" s="8">
        <f t="shared" si="25"/>
        <v>0</v>
      </c>
    </row>
    <row r="212" spans="2:4" x14ac:dyDescent="0.2">
      <c r="B212" s="1">
        <v>186</v>
      </c>
      <c r="C212" s="8">
        <f t="shared" si="24"/>
        <v>0</v>
      </c>
      <c r="D212" s="8">
        <f t="shared" si="25"/>
        <v>0</v>
      </c>
    </row>
    <row r="213" spans="2:4" x14ac:dyDescent="0.2">
      <c r="B213" s="1">
        <v>187</v>
      </c>
      <c r="C213" s="8">
        <f t="shared" si="24"/>
        <v>0</v>
      </c>
      <c r="D213" s="8">
        <f t="shared" si="25"/>
        <v>0</v>
      </c>
    </row>
    <row r="214" spans="2:4" x14ac:dyDescent="0.2">
      <c r="B214" s="1">
        <v>188</v>
      </c>
      <c r="C214" s="8">
        <f t="shared" si="24"/>
        <v>0</v>
      </c>
      <c r="D214" s="8">
        <f t="shared" si="25"/>
        <v>0</v>
      </c>
    </row>
    <row r="215" spans="2:4" x14ac:dyDescent="0.2">
      <c r="B215" s="1">
        <v>189</v>
      </c>
      <c r="C215" s="8">
        <f t="shared" si="24"/>
        <v>0</v>
      </c>
      <c r="D215" s="8">
        <f t="shared" si="25"/>
        <v>0</v>
      </c>
    </row>
    <row r="216" spans="2:4" x14ac:dyDescent="0.2">
      <c r="B216" s="1">
        <v>190</v>
      </c>
      <c r="C216" s="8">
        <f t="shared" si="24"/>
        <v>0</v>
      </c>
      <c r="D216" s="8">
        <f t="shared" si="25"/>
        <v>0</v>
      </c>
    </row>
    <row r="217" spans="2:4" x14ac:dyDescent="0.2">
      <c r="B217" s="1">
        <v>191</v>
      </c>
      <c r="C217" s="8">
        <f t="shared" si="24"/>
        <v>0</v>
      </c>
      <c r="D217" s="8">
        <f t="shared" si="25"/>
        <v>0</v>
      </c>
    </row>
    <row r="218" spans="2:4" x14ac:dyDescent="0.2">
      <c r="B218" s="1">
        <v>192</v>
      </c>
      <c r="C218" s="8">
        <f t="shared" si="24"/>
        <v>0</v>
      </c>
      <c r="D218" s="8">
        <f t="shared" si="25"/>
        <v>0</v>
      </c>
    </row>
    <row r="219" spans="2:4" x14ac:dyDescent="0.2">
      <c r="B219" s="1">
        <v>193</v>
      </c>
      <c r="C219" s="8">
        <f t="shared" si="24"/>
        <v>0</v>
      </c>
      <c r="D219" s="8">
        <f t="shared" si="25"/>
        <v>0</v>
      </c>
    </row>
    <row r="220" spans="2:4" x14ac:dyDescent="0.2">
      <c r="B220" s="1">
        <v>194</v>
      </c>
      <c r="C220" s="8">
        <f t="shared" ref="C220:C283" si="26">IFERROR(PPMT($C$6/12,B220,$C$7*12,(1-$C$5)*-$C$4),0)</f>
        <v>0</v>
      </c>
      <c r="D220" s="8">
        <f t="shared" ref="D220:D283" si="27">IFERROR(IPMT($C$6/12,B220,$C$7*12,(1-$C$5)*-$C$4),0)</f>
        <v>0</v>
      </c>
    </row>
    <row r="221" spans="2:4" x14ac:dyDescent="0.2">
      <c r="B221" s="1">
        <v>195</v>
      </c>
      <c r="C221" s="8">
        <f t="shared" si="26"/>
        <v>0</v>
      </c>
      <c r="D221" s="8">
        <f t="shared" si="27"/>
        <v>0</v>
      </c>
    </row>
    <row r="222" spans="2:4" x14ac:dyDescent="0.2">
      <c r="B222" s="1">
        <v>196</v>
      </c>
      <c r="C222" s="8">
        <f t="shared" si="26"/>
        <v>0</v>
      </c>
      <c r="D222" s="8">
        <f t="shared" si="27"/>
        <v>0</v>
      </c>
    </row>
    <row r="223" spans="2:4" x14ac:dyDescent="0.2">
      <c r="B223" s="1">
        <v>197</v>
      </c>
      <c r="C223" s="8">
        <f t="shared" si="26"/>
        <v>0</v>
      </c>
      <c r="D223" s="8">
        <f t="shared" si="27"/>
        <v>0</v>
      </c>
    </row>
    <row r="224" spans="2:4" x14ac:dyDescent="0.2">
      <c r="B224" s="1">
        <v>198</v>
      </c>
      <c r="C224" s="8">
        <f t="shared" si="26"/>
        <v>0</v>
      </c>
      <c r="D224" s="8">
        <f t="shared" si="27"/>
        <v>0</v>
      </c>
    </row>
    <row r="225" spans="2:4" x14ac:dyDescent="0.2">
      <c r="B225" s="1">
        <v>199</v>
      </c>
      <c r="C225" s="8">
        <f t="shared" si="26"/>
        <v>0</v>
      </c>
      <c r="D225" s="8">
        <f t="shared" si="27"/>
        <v>0</v>
      </c>
    </row>
    <row r="226" spans="2:4" x14ac:dyDescent="0.2">
      <c r="B226" s="1">
        <v>200</v>
      </c>
      <c r="C226" s="8">
        <f t="shared" si="26"/>
        <v>0</v>
      </c>
      <c r="D226" s="8">
        <f t="shared" si="27"/>
        <v>0</v>
      </c>
    </row>
    <row r="227" spans="2:4" x14ac:dyDescent="0.2">
      <c r="B227" s="1">
        <v>201</v>
      </c>
      <c r="C227" s="8">
        <f t="shared" si="26"/>
        <v>0</v>
      </c>
      <c r="D227" s="8">
        <f t="shared" si="27"/>
        <v>0</v>
      </c>
    </row>
    <row r="228" spans="2:4" x14ac:dyDescent="0.2">
      <c r="B228" s="1">
        <v>202</v>
      </c>
      <c r="C228" s="8">
        <f t="shared" si="26"/>
        <v>0</v>
      </c>
      <c r="D228" s="8">
        <f t="shared" si="27"/>
        <v>0</v>
      </c>
    </row>
    <row r="229" spans="2:4" x14ac:dyDescent="0.2">
      <c r="B229" s="1">
        <v>203</v>
      </c>
      <c r="C229" s="8">
        <f t="shared" si="26"/>
        <v>0</v>
      </c>
      <c r="D229" s="8">
        <f t="shared" si="27"/>
        <v>0</v>
      </c>
    </row>
    <row r="230" spans="2:4" x14ac:dyDescent="0.2">
      <c r="B230" s="1">
        <v>204</v>
      </c>
      <c r="C230" s="8">
        <f t="shared" si="26"/>
        <v>0</v>
      </c>
      <c r="D230" s="8">
        <f t="shared" si="27"/>
        <v>0</v>
      </c>
    </row>
    <row r="231" spans="2:4" x14ac:dyDescent="0.2">
      <c r="B231" s="1">
        <v>205</v>
      </c>
      <c r="C231" s="8">
        <f t="shared" si="26"/>
        <v>0</v>
      </c>
      <c r="D231" s="8">
        <f t="shared" si="27"/>
        <v>0</v>
      </c>
    </row>
    <row r="232" spans="2:4" x14ac:dyDescent="0.2">
      <c r="B232" s="1">
        <v>206</v>
      </c>
      <c r="C232" s="8">
        <f t="shared" si="26"/>
        <v>0</v>
      </c>
      <c r="D232" s="8">
        <f t="shared" si="27"/>
        <v>0</v>
      </c>
    </row>
    <row r="233" spans="2:4" x14ac:dyDescent="0.2">
      <c r="B233" s="1">
        <v>207</v>
      </c>
      <c r="C233" s="8">
        <f t="shared" si="26"/>
        <v>0</v>
      </c>
      <c r="D233" s="8">
        <f t="shared" si="27"/>
        <v>0</v>
      </c>
    </row>
    <row r="234" spans="2:4" x14ac:dyDescent="0.2">
      <c r="B234" s="1">
        <v>208</v>
      </c>
      <c r="C234" s="8">
        <f t="shared" si="26"/>
        <v>0</v>
      </c>
      <c r="D234" s="8">
        <f t="shared" si="27"/>
        <v>0</v>
      </c>
    </row>
    <row r="235" spans="2:4" x14ac:dyDescent="0.2">
      <c r="B235" s="1">
        <v>209</v>
      </c>
      <c r="C235" s="8">
        <f t="shared" si="26"/>
        <v>0</v>
      </c>
      <c r="D235" s="8">
        <f t="shared" si="27"/>
        <v>0</v>
      </c>
    </row>
    <row r="236" spans="2:4" x14ac:dyDescent="0.2">
      <c r="B236" s="1">
        <v>210</v>
      </c>
      <c r="C236" s="8">
        <f t="shared" si="26"/>
        <v>0</v>
      </c>
      <c r="D236" s="8">
        <f t="shared" si="27"/>
        <v>0</v>
      </c>
    </row>
    <row r="237" spans="2:4" x14ac:dyDescent="0.2">
      <c r="B237" s="1">
        <v>211</v>
      </c>
      <c r="C237" s="8">
        <f t="shared" si="26"/>
        <v>0</v>
      </c>
      <c r="D237" s="8">
        <f t="shared" si="27"/>
        <v>0</v>
      </c>
    </row>
    <row r="238" spans="2:4" x14ac:dyDescent="0.2">
      <c r="B238" s="1">
        <v>212</v>
      </c>
      <c r="C238" s="8">
        <f t="shared" si="26"/>
        <v>0</v>
      </c>
      <c r="D238" s="8">
        <f t="shared" si="27"/>
        <v>0</v>
      </c>
    </row>
    <row r="239" spans="2:4" x14ac:dyDescent="0.2">
      <c r="B239" s="1">
        <v>213</v>
      </c>
      <c r="C239" s="8">
        <f t="shared" si="26"/>
        <v>0</v>
      </c>
      <c r="D239" s="8">
        <f t="shared" si="27"/>
        <v>0</v>
      </c>
    </row>
    <row r="240" spans="2:4" x14ac:dyDescent="0.2">
      <c r="B240" s="1">
        <v>214</v>
      </c>
      <c r="C240" s="8">
        <f t="shared" si="26"/>
        <v>0</v>
      </c>
      <c r="D240" s="8">
        <f t="shared" si="27"/>
        <v>0</v>
      </c>
    </row>
    <row r="241" spans="2:4" x14ac:dyDescent="0.2">
      <c r="B241" s="1">
        <v>215</v>
      </c>
      <c r="C241" s="8">
        <f t="shared" si="26"/>
        <v>0</v>
      </c>
      <c r="D241" s="8">
        <f t="shared" si="27"/>
        <v>0</v>
      </c>
    </row>
    <row r="242" spans="2:4" x14ac:dyDescent="0.2">
      <c r="B242" s="1">
        <v>216</v>
      </c>
      <c r="C242" s="8">
        <f t="shared" si="26"/>
        <v>0</v>
      </c>
      <c r="D242" s="8">
        <f t="shared" si="27"/>
        <v>0</v>
      </c>
    </row>
    <row r="243" spans="2:4" x14ac:dyDescent="0.2">
      <c r="B243" s="1">
        <v>217</v>
      </c>
      <c r="C243" s="8">
        <f t="shared" si="26"/>
        <v>0</v>
      </c>
      <c r="D243" s="8">
        <f t="shared" si="27"/>
        <v>0</v>
      </c>
    </row>
    <row r="244" spans="2:4" x14ac:dyDescent="0.2">
      <c r="B244" s="1">
        <v>218</v>
      </c>
      <c r="C244" s="8">
        <f t="shared" si="26"/>
        <v>0</v>
      </c>
      <c r="D244" s="8">
        <f t="shared" si="27"/>
        <v>0</v>
      </c>
    </row>
    <row r="245" spans="2:4" x14ac:dyDescent="0.2">
      <c r="B245" s="1">
        <v>219</v>
      </c>
      <c r="C245" s="8">
        <f t="shared" si="26"/>
        <v>0</v>
      </c>
      <c r="D245" s="8">
        <f t="shared" si="27"/>
        <v>0</v>
      </c>
    </row>
    <row r="246" spans="2:4" x14ac:dyDescent="0.2">
      <c r="B246" s="1">
        <v>220</v>
      </c>
      <c r="C246" s="8">
        <f t="shared" si="26"/>
        <v>0</v>
      </c>
      <c r="D246" s="8">
        <f t="shared" si="27"/>
        <v>0</v>
      </c>
    </row>
    <row r="247" spans="2:4" x14ac:dyDescent="0.2">
      <c r="B247" s="1">
        <v>221</v>
      </c>
      <c r="C247" s="8">
        <f t="shared" si="26"/>
        <v>0</v>
      </c>
      <c r="D247" s="8">
        <f t="shared" si="27"/>
        <v>0</v>
      </c>
    </row>
    <row r="248" spans="2:4" x14ac:dyDescent="0.2">
      <c r="B248" s="1">
        <v>222</v>
      </c>
      <c r="C248" s="8">
        <f t="shared" si="26"/>
        <v>0</v>
      </c>
      <c r="D248" s="8">
        <f t="shared" si="27"/>
        <v>0</v>
      </c>
    </row>
    <row r="249" spans="2:4" x14ac:dyDescent="0.2">
      <c r="B249" s="1">
        <v>223</v>
      </c>
      <c r="C249" s="8">
        <f t="shared" si="26"/>
        <v>0</v>
      </c>
      <c r="D249" s="8">
        <f t="shared" si="27"/>
        <v>0</v>
      </c>
    </row>
    <row r="250" spans="2:4" x14ac:dyDescent="0.2">
      <c r="B250" s="1">
        <v>224</v>
      </c>
      <c r="C250" s="8">
        <f t="shared" si="26"/>
        <v>0</v>
      </c>
      <c r="D250" s="8">
        <f t="shared" si="27"/>
        <v>0</v>
      </c>
    </row>
    <row r="251" spans="2:4" x14ac:dyDescent="0.2">
      <c r="B251" s="1">
        <v>225</v>
      </c>
      <c r="C251" s="8">
        <f t="shared" si="26"/>
        <v>0</v>
      </c>
      <c r="D251" s="8">
        <f t="shared" si="27"/>
        <v>0</v>
      </c>
    </row>
    <row r="252" spans="2:4" x14ac:dyDescent="0.2">
      <c r="B252" s="1">
        <v>226</v>
      </c>
      <c r="C252" s="8">
        <f t="shared" si="26"/>
        <v>0</v>
      </c>
      <c r="D252" s="8">
        <f t="shared" si="27"/>
        <v>0</v>
      </c>
    </row>
    <row r="253" spans="2:4" x14ac:dyDescent="0.2">
      <c r="B253" s="1">
        <v>227</v>
      </c>
      <c r="C253" s="8">
        <f t="shared" si="26"/>
        <v>0</v>
      </c>
      <c r="D253" s="8">
        <f t="shared" si="27"/>
        <v>0</v>
      </c>
    </row>
    <row r="254" spans="2:4" x14ac:dyDescent="0.2">
      <c r="B254" s="1">
        <v>228</v>
      </c>
      <c r="C254" s="8">
        <f t="shared" si="26"/>
        <v>0</v>
      </c>
      <c r="D254" s="8">
        <f t="shared" si="27"/>
        <v>0</v>
      </c>
    </row>
    <row r="255" spans="2:4" x14ac:dyDescent="0.2">
      <c r="B255" s="1">
        <v>229</v>
      </c>
      <c r="C255" s="8">
        <f t="shared" si="26"/>
        <v>0</v>
      </c>
      <c r="D255" s="8">
        <f t="shared" si="27"/>
        <v>0</v>
      </c>
    </row>
    <row r="256" spans="2:4" x14ac:dyDescent="0.2">
      <c r="B256" s="1">
        <v>230</v>
      </c>
      <c r="C256" s="8">
        <f t="shared" si="26"/>
        <v>0</v>
      </c>
      <c r="D256" s="8">
        <f t="shared" si="27"/>
        <v>0</v>
      </c>
    </row>
    <row r="257" spans="2:4" x14ac:dyDescent="0.2">
      <c r="B257" s="1">
        <v>231</v>
      </c>
      <c r="C257" s="8">
        <f t="shared" si="26"/>
        <v>0</v>
      </c>
      <c r="D257" s="8">
        <f t="shared" si="27"/>
        <v>0</v>
      </c>
    </row>
    <row r="258" spans="2:4" x14ac:dyDescent="0.2">
      <c r="B258" s="1">
        <v>232</v>
      </c>
      <c r="C258" s="8">
        <f t="shared" si="26"/>
        <v>0</v>
      </c>
      <c r="D258" s="8">
        <f t="shared" si="27"/>
        <v>0</v>
      </c>
    </row>
    <row r="259" spans="2:4" x14ac:dyDescent="0.2">
      <c r="B259" s="1">
        <v>233</v>
      </c>
      <c r="C259" s="8">
        <f t="shared" si="26"/>
        <v>0</v>
      </c>
      <c r="D259" s="8">
        <f t="shared" si="27"/>
        <v>0</v>
      </c>
    </row>
    <row r="260" spans="2:4" x14ac:dyDescent="0.2">
      <c r="B260" s="1">
        <v>234</v>
      </c>
      <c r="C260" s="8">
        <f t="shared" si="26"/>
        <v>0</v>
      </c>
      <c r="D260" s="8">
        <f t="shared" si="27"/>
        <v>0</v>
      </c>
    </row>
    <row r="261" spans="2:4" x14ac:dyDescent="0.2">
      <c r="B261" s="1">
        <v>235</v>
      </c>
      <c r="C261" s="8">
        <f t="shared" si="26"/>
        <v>0</v>
      </c>
      <c r="D261" s="8">
        <f t="shared" si="27"/>
        <v>0</v>
      </c>
    </row>
    <row r="262" spans="2:4" x14ac:dyDescent="0.2">
      <c r="B262" s="1">
        <v>236</v>
      </c>
      <c r="C262" s="8">
        <f t="shared" si="26"/>
        <v>0</v>
      </c>
      <c r="D262" s="8">
        <f t="shared" si="27"/>
        <v>0</v>
      </c>
    </row>
    <row r="263" spans="2:4" x14ac:dyDescent="0.2">
      <c r="B263" s="1">
        <v>237</v>
      </c>
      <c r="C263" s="8">
        <f t="shared" si="26"/>
        <v>0</v>
      </c>
      <c r="D263" s="8">
        <f t="shared" si="27"/>
        <v>0</v>
      </c>
    </row>
    <row r="264" spans="2:4" x14ac:dyDescent="0.2">
      <c r="B264" s="1">
        <v>238</v>
      </c>
      <c r="C264" s="8">
        <f t="shared" si="26"/>
        <v>0</v>
      </c>
      <c r="D264" s="8">
        <f t="shared" si="27"/>
        <v>0</v>
      </c>
    </row>
    <row r="265" spans="2:4" x14ac:dyDescent="0.2">
      <c r="B265" s="1">
        <v>239</v>
      </c>
      <c r="C265" s="8">
        <f t="shared" si="26"/>
        <v>0</v>
      </c>
      <c r="D265" s="8">
        <f t="shared" si="27"/>
        <v>0</v>
      </c>
    </row>
    <row r="266" spans="2:4" x14ac:dyDescent="0.2">
      <c r="B266" s="1">
        <v>240</v>
      </c>
      <c r="C266" s="8">
        <f t="shared" si="26"/>
        <v>0</v>
      </c>
      <c r="D266" s="8">
        <f t="shared" si="27"/>
        <v>0</v>
      </c>
    </row>
    <row r="267" spans="2:4" x14ac:dyDescent="0.2">
      <c r="B267" s="1">
        <v>241</v>
      </c>
      <c r="C267" s="8">
        <f t="shared" si="26"/>
        <v>0</v>
      </c>
      <c r="D267" s="8">
        <f t="shared" si="27"/>
        <v>0</v>
      </c>
    </row>
    <row r="268" spans="2:4" x14ac:dyDescent="0.2">
      <c r="B268" s="1">
        <v>242</v>
      </c>
      <c r="C268" s="8">
        <f t="shared" si="26"/>
        <v>0</v>
      </c>
      <c r="D268" s="8">
        <f t="shared" si="27"/>
        <v>0</v>
      </c>
    </row>
    <row r="269" spans="2:4" x14ac:dyDescent="0.2">
      <c r="B269" s="1">
        <v>243</v>
      </c>
      <c r="C269" s="8">
        <f t="shared" si="26"/>
        <v>0</v>
      </c>
      <c r="D269" s="8">
        <f t="shared" si="27"/>
        <v>0</v>
      </c>
    </row>
    <row r="270" spans="2:4" x14ac:dyDescent="0.2">
      <c r="B270" s="1">
        <v>244</v>
      </c>
      <c r="C270" s="8">
        <f t="shared" si="26"/>
        <v>0</v>
      </c>
      <c r="D270" s="8">
        <f t="shared" si="27"/>
        <v>0</v>
      </c>
    </row>
    <row r="271" spans="2:4" x14ac:dyDescent="0.2">
      <c r="B271" s="1">
        <v>245</v>
      </c>
      <c r="C271" s="8">
        <f t="shared" si="26"/>
        <v>0</v>
      </c>
      <c r="D271" s="8">
        <f t="shared" si="27"/>
        <v>0</v>
      </c>
    </row>
    <row r="272" spans="2:4" x14ac:dyDescent="0.2">
      <c r="B272" s="1">
        <v>246</v>
      </c>
      <c r="C272" s="8">
        <f t="shared" si="26"/>
        <v>0</v>
      </c>
      <c r="D272" s="8">
        <f t="shared" si="27"/>
        <v>0</v>
      </c>
    </row>
    <row r="273" spans="2:4" x14ac:dyDescent="0.2">
      <c r="B273" s="1">
        <v>247</v>
      </c>
      <c r="C273" s="8">
        <f t="shared" si="26"/>
        <v>0</v>
      </c>
      <c r="D273" s="8">
        <f t="shared" si="27"/>
        <v>0</v>
      </c>
    </row>
    <row r="274" spans="2:4" x14ac:dyDescent="0.2">
      <c r="B274" s="1">
        <v>248</v>
      </c>
      <c r="C274" s="8">
        <f t="shared" si="26"/>
        <v>0</v>
      </c>
      <c r="D274" s="8">
        <f t="shared" si="27"/>
        <v>0</v>
      </c>
    </row>
    <row r="275" spans="2:4" x14ac:dyDescent="0.2">
      <c r="B275" s="1">
        <v>249</v>
      </c>
      <c r="C275" s="8">
        <f t="shared" si="26"/>
        <v>0</v>
      </c>
      <c r="D275" s="8">
        <f t="shared" si="27"/>
        <v>0</v>
      </c>
    </row>
    <row r="276" spans="2:4" x14ac:dyDescent="0.2">
      <c r="B276" s="1">
        <v>250</v>
      </c>
      <c r="C276" s="8">
        <f t="shared" si="26"/>
        <v>0</v>
      </c>
      <c r="D276" s="8">
        <f t="shared" si="27"/>
        <v>0</v>
      </c>
    </row>
    <row r="277" spans="2:4" x14ac:dyDescent="0.2">
      <c r="B277" s="1">
        <v>251</v>
      </c>
      <c r="C277" s="8">
        <f t="shared" si="26"/>
        <v>0</v>
      </c>
      <c r="D277" s="8">
        <f t="shared" si="27"/>
        <v>0</v>
      </c>
    </row>
    <row r="278" spans="2:4" x14ac:dyDescent="0.2">
      <c r="B278" s="1">
        <v>252</v>
      </c>
      <c r="C278" s="8">
        <f t="shared" si="26"/>
        <v>0</v>
      </c>
      <c r="D278" s="8">
        <f t="shared" si="27"/>
        <v>0</v>
      </c>
    </row>
    <row r="279" spans="2:4" x14ac:dyDescent="0.2">
      <c r="B279" s="1">
        <v>253</v>
      </c>
      <c r="C279" s="8">
        <f t="shared" si="26"/>
        <v>0</v>
      </c>
      <c r="D279" s="8">
        <f t="shared" si="27"/>
        <v>0</v>
      </c>
    </row>
    <row r="280" spans="2:4" x14ac:dyDescent="0.2">
      <c r="B280" s="1">
        <v>254</v>
      </c>
      <c r="C280" s="8">
        <f t="shared" si="26"/>
        <v>0</v>
      </c>
      <c r="D280" s="8">
        <f t="shared" si="27"/>
        <v>0</v>
      </c>
    </row>
    <row r="281" spans="2:4" x14ac:dyDescent="0.2">
      <c r="B281" s="1">
        <v>255</v>
      </c>
      <c r="C281" s="8">
        <f t="shared" si="26"/>
        <v>0</v>
      </c>
      <c r="D281" s="8">
        <f t="shared" si="27"/>
        <v>0</v>
      </c>
    </row>
    <row r="282" spans="2:4" x14ac:dyDescent="0.2">
      <c r="B282" s="1">
        <v>256</v>
      </c>
      <c r="C282" s="8">
        <f t="shared" si="26"/>
        <v>0</v>
      </c>
      <c r="D282" s="8">
        <f t="shared" si="27"/>
        <v>0</v>
      </c>
    </row>
    <row r="283" spans="2:4" x14ac:dyDescent="0.2">
      <c r="B283" s="1">
        <v>257</v>
      </c>
      <c r="C283" s="8">
        <f t="shared" si="26"/>
        <v>0</v>
      </c>
      <c r="D283" s="8">
        <f t="shared" si="27"/>
        <v>0</v>
      </c>
    </row>
    <row r="284" spans="2:4" x14ac:dyDescent="0.2">
      <c r="B284" s="1">
        <v>258</v>
      </c>
      <c r="C284" s="8">
        <f t="shared" ref="C284:C347" si="28">IFERROR(PPMT($C$6/12,B284,$C$7*12,(1-$C$5)*-$C$4),0)</f>
        <v>0</v>
      </c>
      <c r="D284" s="8">
        <f t="shared" ref="D284:D347" si="29">IFERROR(IPMT($C$6/12,B284,$C$7*12,(1-$C$5)*-$C$4),0)</f>
        <v>0</v>
      </c>
    </row>
    <row r="285" spans="2:4" x14ac:dyDescent="0.2">
      <c r="B285" s="1">
        <v>259</v>
      </c>
      <c r="C285" s="8">
        <f t="shared" si="28"/>
        <v>0</v>
      </c>
      <c r="D285" s="8">
        <f t="shared" si="29"/>
        <v>0</v>
      </c>
    </row>
    <row r="286" spans="2:4" x14ac:dyDescent="0.2">
      <c r="B286" s="1">
        <v>260</v>
      </c>
      <c r="C286" s="8">
        <f t="shared" si="28"/>
        <v>0</v>
      </c>
      <c r="D286" s="8">
        <f t="shared" si="29"/>
        <v>0</v>
      </c>
    </row>
    <row r="287" spans="2:4" x14ac:dyDescent="0.2">
      <c r="B287" s="1">
        <v>261</v>
      </c>
      <c r="C287" s="8">
        <f t="shared" si="28"/>
        <v>0</v>
      </c>
      <c r="D287" s="8">
        <f t="shared" si="29"/>
        <v>0</v>
      </c>
    </row>
    <row r="288" spans="2:4" x14ac:dyDescent="0.2">
      <c r="B288" s="1">
        <v>262</v>
      </c>
      <c r="C288" s="8">
        <f t="shared" si="28"/>
        <v>0</v>
      </c>
      <c r="D288" s="8">
        <f t="shared" si="29"/>
        <v>0</v>
      </c>
    </row>
    <row r="289" spans="2:4" x14ac:dyDescent="0.2">
      <c r="B289" s="1">
        <v>263</v>
      </c>
      <c r="C289" s="8">
        <f t="shared" si="28"/>
        <v>0</v>
      </c>
      <c r="D289" s="8">
        <f t="shared" si="29"/>
        <v>0</v>
      </c>
    </row>
    <row r="290" spans="2:4" x14ac:dyDescent="0.2">
      <c r="B290" s="1">
        <v>264</v>
      </c>
      <c r="C290" s="8">
        <f t="shared" si="28"/>
        <v>0</v>
      </c>
      <c r="D290" s="8">
        <f t="shared" si="29"/>
        <v>0</v>
      </c>
    </row>
    <row r="291" spans="2:4" x14ac:dyDescent="0.2">
      <c r="B291" s="1">
        <v>265</v>
      </c>
      <c r="C291" s="8">
        <f t="shared" si="28"/>
        <v>0</v>
      </c>
      <c r="D291" s="8">
        <f t="shared" si="29"/>
        <v>0</v>
      </c>
    </row>
    <row r="292" spans="2:4" x14ac:dyDescent="0.2">
      <c r="B292" s="1">
        <v>266</v>
      </c>
      <c r="C292" s="8">
        <f t="shared" si="28"/>
        <v>0</v>
      </c>
      <c r="D292" s="8">
        <f t="shared" si="29"/>
        <v>0</v>
      </c>
    </row>
    <row r="293" spans="2:4" x14ac:dyDescent="0.2">
      <c r="B293" s="1">
        <v>267</v>
      </c>
      <c r="C293" s="8">
        <f t="shared" si="28"/>
        <v>0</v>
      </c>
      <c r="D293" s="8">
        <f t="shared" si="29"/>
        <v>0</v>
      </c>
    </row>
    <row r="294" spans="2:4" x14ac:dyDescent="0.2">
      <c r="B294" s="1">
        <v>268</v>
      </c>
      <c r="C294" s="8">
        <f t="shared" si="28"/>
        <v>0</v>
      </c>
      <c r="D294" s="8">
        <f t="shared" si="29"/>
        <v>0</v>
      </c>
    </row>
    <row r="295" spans="2:4" x14ac:dyDescent="0.2">
      <c r="B295" s="1">
        <v>269</v>
      </c>
      <c r="C295" s="8">
        <f t="shared" si="28"/>
        <v>0</v>
      </c>
      <c r="D295" s="8">
        <f t="shared" si="29"/>
        <v>0</v>
      </c>
    </row>
    <row r="296" spans="2:4" x14ac:dyDescent="0.2">
      <c r="B296" s="1">
        <v>270</v>
      </c>
      <c r="C296" s="8">
        <f t="shared" si="28"/>
        <v>0</v>
      </c>
      <c r="D296" s="8">
        <f t="shared" si="29"/>
        <v>0</v>
      </c>
    </row>
    <row r="297" spans="2:4" x14ac:dyDescent="0.2">
      <c r="B297" s="1">
        <v>271</v>
      </c>
      <c r="C297" s="8">
        <f t="shared" si="28"/>
        <v>0</v>
      </c>
      <c r="D297" s="8">
        <f t="shared" si="29"/>
        <v>0</v>
      </c>
    </row>
    <row r="298" spans="2:4" x14ac:dyDescent="0.2">
      <c r="B298" s="1">
        <v>272</v>
      </c>
      <c r="C298" s="8">
        <f t="shared" si="28"/>
        <v>0</v>
      </c>
      <c r="D298" s="8">
        <f t="shared" si="29"/>
        <v>0</v>
      </c>
    </row>
    <row r="299" spans="2:4" x14ac:dyDescent="0.2">
      <c r="B299" s="1">
        <v>273</v>
      </c>
      <c r="C299" s="8">
        <f t="shared" si="28"/>
        <v>0</v>
      </c>
      <c r="D299" s="8">
        <f t="shared" si="29"/>
        <v>0</v>
      </c>
    </row>
    <row r="300" spans="2:4" x14ac:dyDescent="0.2">
      <c r="B300" s="1">
        <v>274</v>
      </c>
      <c r="C300" s="8">
        <f t="shared" si="28"/>
        <v>0</v>
      </c>
      <c r="D300" s="8">
        <f t="shared" si="29"/>
        <v>0</v>
      </c>
    </row>
    <row r="301" spans="2:4" x14ac:dyDescent="0.2">
      <c r="B301" s="1">
        <v>275</v>
      </c>
      <c r="C301" s="8">
        <f t="shared" si="28"/>
        <v>0</v>
      </c>
      <c r="D301" s="8">
        <f t="shared" si="29"/>
        <v>0</v>
      </c>
    </row>
    <row r="302" spans="2:4" x14ac:dyDescent="0.2">
      <c r="B302" s="1">
        <v>276</v>
      </c>
      <c r="C302" s="8">
        <f t="shared" si="28"/>
        <v>0</v>
      </c>
      <c r="D302" s="8">
        <f t="shared" si="29"/>
        <v>0</v>
      </c>
    </row>
    <row r="303" spans="2:4" x14ac:dyDescent="0.2">
      <c r="B303" s="1">
        <v>277</v>
      </c>
      <c r="C303" s="8">
        <f t="shared" si="28"/>
        <v>0</v>
      </c>
      <c r="D303" s="8">
        <f t="shared" si="29"/>
        <v>0</v>
      </c>
    </row>
    <row r="304" spans="2:4" x14ac:dyDescent="0.2">
      <c r="B304" s="1">
        <v>278</v>
      </c>
      <c r="C304" s="8">
        <f t="shared" si="28"/>
        <v>0</v>
      </c>
      <c r="D304" s="8">
        <f t="shared" si="29"/>
        <v>0</v>
      </c>
    </row>
    <row r="305" spans="2:4" x14ac:dyDescent="0.2">
      <c r="B305" s="1">
        <v>279</v>
      </c>
      <c r="C305" s="8">
        <f t="shared" si="28"/>
        <v>0</v>
      </c>
      <c r="D305" s="8">
        <f t="shared" si="29"/>
        <v>0</v>
      </c>
    </row>
    <row r="306" spans="2:4" x14ac:dyDescent="0.2">
      <c r="B306" s="1">
        <v>280</v>
      </c>
      <c r="C306" s="8">
        <f t="shared" si="28"/>
        <v>0</v>
      </c>
      <c r="D306" s="8">
        <f t="shared" si="29"/>
        <v>0</v>
      </c>
    </row>
    <row r="307" spans="2:4" x14ac:dyDescent="0.2">
      <c r="B307" s="1">
        <v>281</v>
      </c>
      <c r="C307" s="8">
        <f t="shared" si="28"/>
        <v>0</v>
      </c>
      <c r="D307" s="8">
        <f t="shared" si="29"/>
        <v>0</v>
      </c>
    </row>
    <row r="308" spans="2:4" x14ac:dyDescent="0.2">
      <c r="B308" s="1">
        <v>282</v>
      </c>
      <c r="C308" s="8">
        <f t="shared" si="28"/>
        <v>0</v>
      </c>
      <c r="D308" s="8">
        <f t="shared" si="29"/>
        <v>0</v>
      </c>
    </row>
    <row r="309" spans="2:4" x14ac:dyDescent="0.2">
      <c r="B309" s="1">
        <v>283</v>
      </c>
      <c r="C309" s="8">
        <f t="shared" si="28"/>
        <v>0</v>
      </c>
      <c r="D309" s="8">
        <f t="shared" si="29"/>
        <v>0</v>
      </c>
    </row>
    <row r="310" spans="2:4" x14ac:dyDescent="0.2">
      <c r="B310" s="1">
        <v>284</v>
      </c>
      <c r="C310" s="8">
        <f t="shared" si="28"/>
        <v>0</v>
      </c>
      <c r="D310" s="8">
        <f t="shared" si="29"/>
        <v>0</v>
      </c>
    </row>
    <row r="311" spans="2:4" x14ac:dyDescent="0.2">
      <c r="B311" s="1">
        <v>285</v>
      </c>
      <c r="C311" s="8">
        <f t="shared" si="28"/>
        <v>0</v>
      </c>
      <c r="D311" s="8">
        <f t="shared" si="29"/>
        <v>0</v>
      </c>
    </row>
    <row r="312" spans="2:4" x14ac:dyDescent="0.2">
      <c r="B312" s="1">
        <v>286</v>
      </c>
      <c r="C312" s="8">
        <f t="shared" si="28"/>
        <v>0</v>
      </c>
      <c r="D312" s="8">
        <f t="shared" si="29"/>
        <v>0</v>
      </c>
    </row>
    <row r="313" spans="2:4" x14ac:dyDescent="0.2">
      <c r="B313" s="1">
        <v>287</v>
      </c>
      <c r="C313" s="8">
        <f t="shared" si="28"/>
        <v>0</v>
      </c>
      <c r="D313" s="8">
        <f t="shared" si="29"/>
        <v>0</v>
      </c>
    </row>
    <row r="314" spans="2:4" x14ac:dyDescent="0.2">
      <c r="B314" s="1">
        <v>288</v>
      </c>
      <c r="C314" s="8">
        <f t="shared" si="28"/>
        <v>0</v>
      </c>
      <c r="D314" s="8">
        <f t="shared" si="29"/>
        <v>0</v>
      </c>
    </row>
    <row r="315" spans="2:4" x14ac:dyDescent="0.2">
      <c r="B315" s="1">
        <v>289</v>
      </c>
      <c r="C315" s="8">
        <f t="shared" si="28"/>
        <v>0</v>
      </c>
      <c r="D315" s="8">
        <f t="shared" si="29"/>
        <v>0</v>
      </c>
    </row>
    <row r="316" spans="2:4" x14ac:dyDescent="0.2">
      <c r="B316" s="1">
        <v>290</v>
      </c>
      <c r="C316" s="8">
        <f t="shared" si="28"/>
        <v>0</v>
      </c>
      <c r="D316" s="8">
        <f t="shared" si="29"/>
        <v>0</v>
      </c>
    </row>
    <row r="317" spans="2:4" x14ac:dyDescent="0.2">
      <c r="B317" s="1">
        <v>291</v>
      </c>
      <c r="C317" s="8">
        <f t="shared" si="28"/>
        <v>0</v>
      </c>
      <c r="D317" s="8">
        <f t="shared" si="29"/>
        <v>0</v>
      </c>
    </row>
    <row r="318" spans="2:4" x14ac:dyDescent="0.2">
      <c r="B318" s="1">
        <v>292</v>
      </c>
      <c r="C318" s="8">
        <f t="shared" si="28"/>
        <v>0</v>
      </c>
      <c r="D318" s="8">
        <f t="shared" si="29"/>
        <v>0</v>
      </c>
    </row>
    <row r="319" spans="2:4" x14ac:dyDescent="0.2">
      <c r="B319" s="1">
        <v>293</v>
      </c>
      <c r="C319" s="8">
        <f t="shared" si="28"/>
        <v>0</v>
      </c>
      <c r="D319" s="8">
        <f t="shared" si="29"/>
        <v>0</v>
      </c>
    </row>
    <row r="320" spans="2:4" x14ac:dyDescent="0.2">
      <c r="B320" s="1">
        <v>294</v>
      </c>
      <c r="C320" s="8">
        <f t="shared" si="28"/>
        <v>0</v>
      </c>
      <c r="D320" s="8">
        <f t="shared" si="29"/>
        <v>0</v>
      </c>
    </row>
    <row r="321" spans="2:4" x14ac:dyDescent="0.2">
      <c r="B321" s="1">
        <v>295</v>
      </c>
      <c r="C321" s="8">
        <f t="shared" si="28"/>
        <v>0</v>
      </c>
      <c r="D321" s="8">
        <f t="shared" si="29"/>
        <v>0</v>
      </c>
    </row>
    <row r="322" spans="2:4" x14ac:dyDescent="0.2">
      <c r="B322" s="1">
        <v>296</v>
      </c>
      <c r="C322" s="8">
        <f t="shared" si="28"/>
        <v>0</v>
      </c>
      <c r="D322" s="8">
        <f t="shared" si="29"/>
        <v>0</v>
      </c>
    </row>
    <row r="323" spans="2:4" x14ac:dyDescent="0.2">
      <c r="B323" s="1">
        <v>297</v>
      </c>
      <c r="C323" s="8">
        <f t="shared" si="28"/>
        <v>0</v>
      </c>
      <c r="D323" s="8">
        <f t="shared" si="29"/>
        <v>0</v>
      </c>
    </row>
    <row r="324" spans="2:4" x14ac:dyDescent="0.2">
      <c r="B324" s="1">
        <v>298</v>
      </c>
      <c r="C324" s="8">
        <f t="shared" si="28"/>
        <v>0</v>
      </c>
      <c r="D324" s="8">
        <f t="shared" si="29"/>
        <v>0</v>
      </c>
    </row>
    <row r="325" spans="2:4" x14ac:dyDescent="0.2">
      <c r="B325" s="1">
        <v>299</v>
      </c>
      <c r="C325" s="8">
        <f t="shared" si="28"/>
        <v>0</v>
      </c>
      <c r="D325" s="8">
        <f t="shared" si="29"/>
        <v>0</v>
      </c>
    </row>
    <row r="326" spans="2:4" x14ac:dyDescent="0.2">
      <c r="B326" s="1">
        <v>300</v>
      </c>
      <c r="C326" s="8">
        <f t="shared" si="28"/>
        <v>0</v>
      </c>
      <c r="D326" s="8">
        <f t="shared" si="29"/>
        <v>0</v>
      </c>
    </row>
    <row r="327" spans="2:4" x14ac:dyDescent="0.2">
      <c r="B327" s="1">
        <v>301</v>
      </c>
      <c r="C327" s="8">
        <f t="shared" si="28"/>
        <v>0</v>
      </c>
      <c r="D327" s="8">
        <f t="shared" si="29"/>
        <v>0</v>
      </c>
    </row>
    <row r="328" spans="2:4" x14ac:dyDescent="0.2">
      <c r="B328" s="1">
        <v>302</v>
      </c>
      <c r="C328" s="8">
        <f t="shared" si="28"/>
        <v>0</v>
      </c>
      <c r="D328" s="8">
        <f t="shared" si="29"/>
        <v>0</v>
      </c>
    </row>
    <row r="329" spans="2:4" x14ac:dyDescent="0.2">
      <c r="B329" s="1">
        <v>303</v>
      </c>
      <c r="C329" s="8">
        <f t="shared" si="28"/>
        <v>0</v>
      </c>
      <c r="D329" s="8">
        <f t="shared" si="29"/>
        <v>0</v>
      </c>
    </row>
    <row r="330" spans="2:4" x14ac:dyDescent="0.2">
      <c r="B330" s="1">
        <v>304</v>
      </c>
      <c r="C330" s="8">
        <f t="shared" si="28"/>
        <v>0</v>
      </c>
      <c r="D330" s="8">
        <f t="shared" si="29"/>
        <v>0</v>
      </c>
    </row>
    <row r="331" spans="2:4" x14ac:dyDescent="0.2">
      <c r="B331" s="1">
        <v>305</v>
      </c>
      <c r="C331" s="8">
        <f t="shared" si="28"/>
        <v>0</v>
      </c>
      <c r="D331" s="8">
        <f t="shared" si="29"/>
        <v>0</v>
      </c>
    </row>
    <row r="332" spans="2:4" x14ac:dyDescent="0.2">
      <c r="B332" s="1">
        <v>306</v>
      </c>
      <c r="C332" s="8">
        <f t="shared" si="28"/>
        <v>0</v>
      </c>
      <c r="D332" s="8">
        <f t="shared" si="29"/>
        <v>0</v>
      </c>
    </row>
    <row r="333" spans="2:4" x14ac:dyDescent="0.2">
      <c r="B333" s="1">
        <v>307</v>
      </c>
      <c r="C333" s="8">
        <f t="shared" si="28"/>
        <v>0</v>
      </c>
      <c r="D333" s="8">
        <f t="shared" si="29"/>
        <v>0</v>
      </c>
    </row>
    <row r="334" spans="2:4" x14ac:dyDescent="0.2">
      <c r="B334" s="1">
        <v>308</v>
      </c>
      <c r="C334" s="8">
        <f t="shared" si="28"/>
        <v>0</v>
      </c>
      <c r="D334" s="8">
        <f t="shared" si="29"/>
        <v>0</v>
      </c>
    </row>
    <row r="335" spans="2:4" x14ac:dyDescent="0.2">
      <c r="B335" s="1">
        <v>309</v>
      </c>
      <c r="C335" s="8">
        <f t="shared" si="28"/>
        <v>0</v>
      </c>
      <c r="D335" s="8">
        <f t="shared" si="29"/>
        <v>0</v>
      </c>
    </row>
    <row r="336" spans="2:4" x14ac:dyDescent="0.2">
      <c r="B336" s="1">
        <v>310</v>
      </c>
      <c r="C336" s="8">
        <f t="shared" si="28"/>
        <v>0</v>
      </c>
      <c r="D336" s="8">
        <f t="shared" si="29"/>
        <v>0</v>
      </c>
    </row>
    <row r="337" spans="2:4" x14ac:dyDescent="0.2">
      <c r="B337" s="1">
        <v>311</v>
      </c>
      <c r="C337" s="8">
        <f t="shared" si="28"/>
        <v>0</v>
      </c>
      <c r="D337" s="8">
        <f t="shared" si="29"/>
        <v>0</v>
      </c>
    </row>
    <row r="338" spans="2:4" x14ac:dyDescent="0.2">
      <c r="B338" s="1">
        <v>312</v>
      </c>
      <c r="C338" s="8">
        <f t="shared" si="28"/>
        <v>0</v>
      </c>
      <c r="D338" s="8">
        <f t="shared" si="29"/>
        <v>0</v>
      </c>
    </row>
    <row r="339" spans="2:4" x14ac:dyDescent="0.2">
      <c r="B339" s="1">
        <v>313</v>
      </c>
      <c r="C339" s="8">
        <f t="shared" si="28"/>
        <v>0</v>
      </c>
      <c r="D339" s="8">
        <f t="shared" si="29"/>
        <v>0</v>
      </c>
    </row>
    <row r="340" spans="2:4" x14ac:dyDescent="0.2">
      <c r="B340" s="1">
        <v>314</v>
      </c>
      <c r="C340" s="8">
        <f t="shared" si="28"/>
        <v>0</v>
      </c>
      <c r="D340" s="8">
        <f t="shared" si="29"/>
        <v>0</v>
      </c>
    </row>
    <row r="341" spans="2:4" x14ac:dyDescent="0.2">
      <c r="B341" s="1">
        <v>315</v>
      </c>
      <c r="C341" s="8">
        <f t="shared" si="28"/>
        <v>0</v>
      </c>
      <c r="D341" s="8">
        <f t="shared" si="29"/>
        <v>0</v>
      </c>
    </row>
    <row r="342" spans="2:4" x14ac:dyDescent="0.2">
      <c r="B342" s="1">
        <v>316</v>
      </c>
      <c r="C342" s="8">
        <f t="shared" si="28"/>
        <v>0</v>
      </c>
      <c r="D342" s="8">
        <f t="shared" si="29"/>
        <v>0</v>
      </c>
    </row>
    <row r="343" spans="2:4" x14ac:dyDescent="0.2">
      <c r="B343" s="1">
        <v>317</v>
      </c>
      <c r="C343" s="8">
        <f t="shared" si="28"/>
        <v>0</v>
      </c>
      <c r="D343" s="8">
        <f t="shared" si="29"/>
        <v>0</v>
      </c>
    </row>
    <row r="344" spans="2:4" x14ac:dyDescent="0.2">
      <c r="B344" s="1">
        <v>318</v>
      </c>
      <c r="C344" s="8">
        <f t="shared" si="28"/>
        <v>0</v>
      </c>
      <c r="D344" s="8">
        <f t="shared" si="29"/>
        <v>0</v>
      </c>
    </row>
    <row r="345" spans="2:4" x14ac:dyDescent="0.2">
      <c r="B345" s="1">
        <v>319</v>
      </c>
      <c r="C345" s="8">
        <f t="shared" si="28"/>
        <v>0</v>
      </c>
      <c r="D345" s="8">
        <f t="shared" si="29"/>
        <v>0</v>
      </c>
    </row>
    <row r="346" spans="2:4" x14ac:dyDescent="0.2">
      <c r="B346" s="1">
        <v>320</v>
      </c>
      <c r="C346" s="8">
        <f t="shared" si="28"/>
        <v>0</v>
      </c>
      <c r="D346" s="8">
        <f t="shared" si="29"/>
        <v>0</v>
      </c>
    </row>
    <row r="347" spans="2:4" x14ac:dyDescent="0.2">
      <c r="B347" s="1">
        <v>321</v>
      </c>
      <c r="C347" s="8">
        <f t="shared" si="28"/>
        <v>0</v>
      </c>
      <c r="D347" s="8">
        <f t="shared" si="29"/>
        <v>0</v>
      </c>
    </row>
    <row r="348" spans="2:4" x14ac:dyDescent="0.2">
      <c r="B348" s="1">
        <v>322</v>
      </c>
      <c r="C348" s="8">
        <f t="shared" ref="C348:C386" si="30">IFERROR(PPMT($C$6/12,B348,$C$7*12,(1-$C$5)*-$C$4),0)</f>
        <v>0</v>
      </c>
      <c r="D348" s="8">
        <f t="shared" ref="D348:D386" si="31">IFERROR(IPMT($C$6/12,B348,$C$7*12,(1-$C$5)*-$C$4),0)</f>
        <v>0</v>
      </c>
    </row>
    <row r="349" spans="2:4" x14ac:dyDescent="0.2">
      <c r="B349" s="1">
        <v>323</v>
      </c>
      <c r="C349" s="8">
        <f t="shared" si="30"/>
        <v>0</v>
      </c>
      <c r="D349" s="8">
        <f t="shared" si="31"/>
        <v>0</v>
      </c>
    </row>
    <row r="350" spans="2:4" x14ac:dyDescent="0.2">
      <c r="B350" s="1">
        <v>324</v>
      </c>
      <c r="C350" s="8">
        <f t="shared" si="30"/>
        <v>0</v>
      </c>
      <c r="D350" s="8">
        <f t="shared" si="31"/>
        <v>0</v>
      </c>
    </row>
    <row r="351" spans="2:4" x14ac:dyDescent="0.2">
      <c r="B351" s="1">
        <v>325</v>
      </c>
      <c r="C351" s="8">
        <f t="shared" si="30"/>
        <v>0</v>
      </c>
      <c r="D351" s="8">
        <f t="shared" si="31"/>
        <v>0</v>
      </c>
    </row>
    <row r="352" spans="2:4" x14ac:dyDescent="0.2">
      <c r="B352" s="1">
        <v>326</v>
      </c>
      <c r="C352" s="8">
        <f t="shared" si="30"/>
        <v>0</v>
      </c>
      <c r="D352" s="8">
        <f t="shared" si="31"/>
        <v>0</v>
      </c>
    </row>
    <row r="353" spans="2:4" x14ac:dyDescent="0.2">
      <c r="B353" s="1">
        <v>327</v>
      </c>
      <c r="C353" s="8">
        <f t="shared" si="30"/>
        <v>0</v>
      </c>
      <c r="D353" s="8">
        <f t="shared" si="31"/>
        <v>0</v>
      </c>
    </row>
    <row r="354" spans="2:4" x14ac:dyDescent="0.2">
      <c r="B354" s="1">
        <v>328</v>
      </c>
      <c r="C354" s="8">
        <f t="shared" si="30"/>
        <v>0</v>
      </c>
      <c r="D354" s="8">
        <f t="shared" si="31"/>
        <v>0</v>
      </c>
    </row>
    <row r="355" spans="2:4" x14ac:dyDescent="0.2">
      <c r="B355" s="1">
        <v>329</v>
      </c>
      <c r="C355" s="8">
        <f t="shared" si="30"/>
        <v>0</v>
      </c>
      <c r="D355" s="8">
        <f t="shared" si="31"/>
        <v>0</v>
      </c>
    </row>
    <row r="356" spans="2:4" x14ac:dyDescent="0.2">
      <c r="B356" s="1">
        <v>330</v>
      </c>
      <c r="C356" s="8">
        <f t="shared" si="30"/>
        <v>0</v>
      </c>
      <c r="D356" s="8">
        <f t="shared" si="31"/>
        <v>0</v>
      </c>
    </row>
    <row r="357" spans="2:4" x14ac:dyDescent="0.2">
      <c r="B357" s="1">
        <v>331</v>
      </c>
      <c r="C357" s="8">
        <f t="shared" si="30"/>
        <v>0</v>
      </c>
      <c r="D357" s="8">
        <f t="shared" si="31"/>
        <v>0</v>
      </c>
    </row>
    <row r="358" spans="2:4" x14ac:dyDescent="0.2">
      <c r="B358" s="1">
        <v>332</v>
      </c>
      <c r="C358" s="8">
        <f t="shared" si="30"/>
        <v>0</v>
      </c>
      <c r="D358" s="8">
        <f t="shared" si="31"/>
        <v>0</v>
      </c>
    </row>
    <row r="359" spans="2:4" x14ac:dyDescent="0.2">
      <c r="B359" s="1">
        <v>333</v>
      </c>
      <c r="C359" s="8">
        <f t="shared" si="30"/>
        <v>0</v>
      </c>
      <c r="D359" s="8">
        <f t="shared" si="31"/>
        <v>0</v>
      </c>
    </row>
    <row r="360" spans="2:4" x14ac:dyDescent="0.2">
      <c r="B360" s="1">
        <v>334</v>
      </c>
      <c r="C360" s="8">
        <f t="shared" si="30"/>
        <v>0</v>
      </c>
      <c r="D360" s="8">
        <f t="shared" si="31"/>
        <v>0</v>
      </c>
    </row>
    <row r="361" spans="2:4" x14ac:dyDescent="0.2">
      <c r="B361" s="1">
        <v>335</v>
      </c>
      <c r="C361" s="8">
        <f t="shared" si="30"/>
        <v>0</v>
      </c>
      <c r="D361" s="8">
        <f t="shared" si="31"/>
        <v>0</v>
      </c>
    </row>
    <row r="362" spans="2:4" x14ac:dyDescent="0.2">
      <c r="B362" s="1">
        <v>336</v>
      </c>
      <c r="C362" s="8">
        <f t="shared" si="30"/>
        <v>0</v>
      </c>
      <c r="D362" s="8">
        <f t="shared" si="31"/>
        <v>0</v>
      </c>
    </row>
    <row r="363" spans="2:4" x14ac:dyDescent="0.2">
      <c r="B363" s="1">
        <v>337</v>
      </c>
      <c r="C363" s="8">
        <f t="shared" si="30"/>
        <v>0</v>
      </c>
      <c r="D363" s="8">
        <f t="shared" si="31"/>
        <v>0</v>
      </c>
    </row>
    <row r="364" spans="2:4" x14ac:dyDescent="0.2">
      <c r="B364" s="1">
        <v>338</v>
      </c>
      <c r="C364" s="8">
        <f t="shared" si="30"/>
        <v>0</v>
      </c>
      <c r="D364" s="8">
        <f t="shared" si="31"/>
        <v>0</v>
      </c>
    </row>
    <row r="365" spans="2:4" x14ac:dyDescent="0.2">
      <c r="B365" s="1">
        <v>339</v>
      </c>
      <c r="C365" s="8">
        <f t="shared" si="30"/>
        <v>0</v>
      </c>
      <c r="D365" s="8">
        <f t="shared" si="31"/>
        <v>0</v>
      </c>
    </row>
    <row r="366" spans="2:4" x14ac:dyDescent="0.2">
      <c r="B366" s="1">
        <v>340</v>
      </c>
      <c r="C366" s="8">
        <f t="shared" si="30"/>
        <v>0</v>
      </c>
      <c r="D366" s="8">
        <f t="shared" si="31"/>
        <v>0</v>
      </c>
    </row>
    <row r="367" spans="2:4" x14ac:dyDescent="0.2">
      <c r="B367" s="1">
        <v>341</v>
      </c>
      <c r="C367" s="8">
        <f t="shared" si="30"/>
        <v>0</v>
      </c>
      <c r="D367" s="8">
        <f t="shared" si="31"/>
        <v>0</v>
      </c>
    </row>
    <row r="368" spans="2:4" x14ac:dyDescent="0.2">
      <c r="B368" s="1">
        <v>342</v>
      </c>
      <c r="C368" s="8">
        <f t="shared" si="30"/>
        <v>0</v>
      </c>
      <c r="D368" s="8">
        <f t="shared" si="31"/>
        <v>0</v>
      </c>
    </row>
    <row r="369" spans="2:4" x14ac:dyDescent="0.2">
      <c r="B369" s="1">
        <v>343</v>
      </c>
      <c r="C369" s="8">
        <f t="shared" si="30"/>
        <v>0</v>
      </c>
      <c r="D369" s="8">
        <f t="shared" si="31"/>
        <v>0</v>
      </c>
    </row>
    <row r="370" spans="2:4" x14ac:dyDescent="0.2">
      <c r="B370" s="1">
        <v>344</v>
      </c>
      <c r="C370" s="8">
        <f t="shared" si="30"/>
        <v>0</v>
      </c>
      <c r="D370" s="8">
        <f t="shared" si="31"/>
        <v>0</v>
      </c>
    </row>
    <row r="371" spans="2:4" x14ac:dyDescent="0.2">
      <c r="B371" s="1">
        <v>345</v>
      </c>
      <c r="C371" s="8">
        <f t="shared" si="30"/>
        <v>0</v>
      </c>
      <c r="D371" s="8">
        <f t="shared" si="31"/>
        <v>0</v>
      </c>
    </row>
    <row r="372" spans="2:4" x14ac:dyDescent="0.2">
      <c r="B372" s="1">
        <v>346</v>
      </c>
      <c r="C372" s="8">
        <f t="shared" si="30"/>
        <v>0</v>
      </c>
      <c r="D372" s="8">
        <f t="shared" si="31"/>
        <v>0</v>
      </c>
    </row>
    <row r="373" spans="2:4" x14ac:dyDescent="0.2">
      <c r="B373" s="1">
        <v>347</v>
      </c>
      <c r="C373" s="8">
        <f t="shared" si="30"/>
        <v>0</v>
      </c>
      <c r="D373" s="8">
        <f t="shared" si="31"/>
        <v>0</v>
      </c>
    </row>
    <row r="374" spans="2:4" x14ac:dyDescent="0.2">
      <c r="B374" s="1">
        <v>348</v>
      </c>
      <c r="C374" s="8">
        <f t="shared" si="30"/>
        <v>0</v>
      </c>
      <c r="D374" s="8">
        <f t="shared" si="31"/>
        <v>0</v>
      </c>
    </row>
    <row r="375" spans="2:4" x14ac:dyDescent="0.2">
      <c r="B375" s="1">
        <v>349</v>
      </c>
      <c r="C375" s="8">
        <f t="shared" si="30"/>
        <v>0</v>
      </c>
      <c r="D375" s="8">
        <f t="shared" si="31"/>
        <v>0</v>
      </c>
    </row>
    <row r="376" spans="2:4" x14ac:dyDescent="0.2">
      <c r="B376" s="1">
        <v>350</v>
      </c>
      <c r="C376" s="8">
        <f t="shared" si="30"/>
        <v>0</v>
      </c>
      <c r="D376" s="8">
        <f t="shared" si="31"/>
        <v>0</v>
      </c>
    </row>
    <row r="377" spans="2:4" x14ac:dyDescent="0.2">
      <c r="B377" s="1">
        <v>351</v>
      </c>
      <c r="C377" s="8">
        <f t="shared" si="30"/>
        <v>0</v>
      </c>
      <c r="D377" s="8">
        <f t="shared" si="31"/>
        <v>0</v>
      </c>
    </row>
    <row r="378" spans="2:4" x14ac:dyDescent="0.2">
      <c r="B378" s="1">
        <v>352</v>
      </c>
      <c r="C378" s="8">
        <f t="shared" si="30"/>
        <v>0</v>
      </c>
      <c r="D378" s="8">
        <f t="shared" si="31"/>
        <v>0</v>
      </c>
    </row>
    <row r="379" spans="2:4" x14ac:dyDescent="0.2">
      <c r="B379" s="1">
        <v>353</v>
      </c>
      <c r="C379" s="8">
        <f t="shared" si="30"/>
        <v>0</v>
      </c>
      <c r="D379" s="8">
        <f t="shared" si="31"/>
        <v>0</v>
      </c>
    </row>
    <row r="380" spans="2:4" x14ac:dyDescent="0.2">
      <c r="B380" s="1">
        <v>354</v>
      </c>
      <c r="C380" s="8">
        <f t="shared" si="30"/>
        <v>0</v>
      </c>
      <c r="D380" s="8">
        <f t="shared" si="31"/>
        <v>0</v>
      </c>
    </row>
    <row r="381" spans="2:4" x14ac:dyDescent="0.2">
      <c r="B381" s="1">
        <v>355</v>
      </c>
      <c r="C381" s="8">
        <f t="shared" si="30"/>
        <v>0</v>
      </c>
      <c r="D381" s="8">
        <f t="shared" si="31"/>
        <v>0</v>
      </c>
    </row>
    <row r="382" spans="2:4" x14ac:dyDescent="0.2">
      <c r="B382" s="1">
        <v>356</v>
      </c>
      <c r="C382" s="8">
        <f t="shared" si="30"/>
        <v>0</v>
      </c>
      <c r="D382" s="8">
        <f t="shared" si="31"/>
        <v>0</v>
      </c>
    </row>
    <row r="383" spans="2:4" x14ac:dyDescent="0.2">
      <c r="B383" s="1">
        <v>357</v>
      </c>
      <c r="C383" s="8">
        <f t="shared" si="30"/>
        <v>0</v>
      </c>
      <c r="D383" s="8">
        <f t="shared" si="31"/>
        <v>0</v>
      </c>
    </row>
    <row r="384" spans="2:4" x14ac:dyDescent="0.2">
      <c r="B384" s="1">
        <v>358</v>
      </c>
      <c r="C384" s="8">
        <f t="shared" si="30"/>
        <v>0</v>
      </c>
      <c r="D384" s="8">
        <f t="shared" si="31"/>
        <v>0</v>
      </c>
    </row>
    <row r="385" spans="2:4" x14ac:dyDescent="0.2">
      <c r="B385" s="1">
        <v>359</v>
      </c>
      <c r="C385" s="8">
        <f t="shared" si="30"/>
        <v>0</v>
      </c>
      <c r="D385" s="8">
        <f t="shared" si="31"/>
        <v>0</v>
      </c>
    </row>
    <row r="386" spans="2:4" x14ac:dyDescent="0.2">
      <c r="B386" s="1">
        <v>360</v>
      </c>
      <c r="C386" s="8">
        <f t="shared" si="30"/>
        <v>0</v>
      </c>
      <c r="D386" s="8">
        <f t="shared" si="3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Zebang Li</dc:creator>
  <cp:lastModifiedBy>Zebang Li</cp:lastModifiedBy>
  <dcterms:created xsi:type="dcterms:W3CDTF">2025-06-26T05:16:42Z</dcterms:created>
  <dcterms:modified xsi:type="dcterms:W3CDTF">2025-06-29T04:20:27Z</dcterms:modified>
</cp:coreProperties>
</file>