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bangli/Desktop/REPO/rent-or-buy.homes/reference/"/>
    </mc:Choice>
  </mc:AlternateContent>
  <xr:revisionPtr revIDLastSave="0" documentId="13_ncr:1_{BA92C9A6-FF72-B34A-9C9E-CCF78E316F0B}" xr6:coauthVersionLast="47" xr6:coauthVersionMax="47" xr10:uidLastSave="{00000000-0000-0000-0000-000000000000}"/>
  <bookViews>
    <workbookView xWindow="0" yWindow="500" windowWidth="30080" windowHeight="33340" xr2:uid="{4FAA1B2D-A5BE-A648-AE57-B290D09E19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27" i="1"/>
  <c r="M36" i="1"/>
  <c r="O36" i="1"/>
  <c r="N36" i="1" s="1"/>
  <c r="S36" i="1"/>
  <c r="M37" i="1"/>
  <c r="O37" i="1"/>
  <c r="N37" i="1" s="1"/>
  <c r="S37" i="1"/>
  <c r="M38" i="1"/>
  <c r="O38" i="1"/>
  <c r="N38" i="1" s="1"/>
  <c r="S38" i="1"/>
  <c r="M39" i="1"/>
  <c r="O39" i="1"/>
  <c r="N39" i="1" s="1"/>
  <c r="S39" i="1"/>
  <c r="M40" i="1"/>
  <c r="O40" i="1"/>
  <c r="S40" i="1"/>
  <c r="M41" i="1"/>
  <c r="O41" i="1"/>
  <c r="N41" i="1" s="1"/>
  <c r="S41" i="1"/>
  <c r="M42" i="1"/>
  <c r="O42" i="1"/>
  <c r="N42" i="1" s="1"/>
  <c r="S42" i="1"/>
  <c r="M43" i="1"/>
  <c r="O43" i="1"/>
  <c r="N43" i="1" s="1"/>
  <c r="S43" i="1"/>
  <c r="Z43" i="1"/>
  <c r="M44" i="1"/>
  <c r="O44" i="1"/>
  <c r="N44" i="1" s="1"/>
  <c r="S44" i="1"/>
  <c r="M45" i="1"/>
  <c r="O45" i="1"/>
  <c r="N45" i="1" s="1"/>
  <c r="S45" i="1"/>
  <c r="D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6" i="1"/>
  <c r="C21" i="1"/>
  <c r="L11" i="1" s="1"/>
  <c r="O7" i="1"/>
  <c r="N7" i="1" s="1"/>
  <c r="O8" i="1"/>
  <c r="N8" i="1" s="1"/>
  <c r="O9" i="1"/>
  <c r="N9" i="1" s="1"/>
  <c r="O10" i="1"/>
  <c r="N10" i="1" s="1"/>
  <c r="O11" i="1"/>
  <c r="N11" i="1" s="1"/>
  <c r="O12" i="1"/>
  <c r="N12" i="1" s="1"/>
  <c r="O13" i="1"/>
  <c r="N13" i="1" s="1"/>
  <c r="O14" i="1"/>
  <c r="N14" i="1" s="1"/>
  <c r="O15" i="1"/>
  <c r="N15" i="1" s="1"/>
  <c r="O16" i="1"/>
  <c r="N16" i="1" s="1"/>
  <c r="O17" i="1"/>
  <c r="N17" i="1" s="1"/>
  <c r="O18" i="1"/>
  <c r="N18" i="1" s="1"/>
  <c r="O19" i="1"/>
  <c r="N19" i="1" s="1"/>
  <c r="O20" i="1"/>
  <c r="N20" i="1" s="1"/>
  <c r="O21" i="1"/>
  <c r="N21" i="1" s="1"/>
  <c r="O22" i="1"/>
  <c r="N22" i="1" s="1"/>
  <c r="O23" i="1"/>
  <c r="N23" i="1" s="1"/>
  <c r="O24" i="1"/>
  <c r="N24" i="1" s="1"/>
  <c r="O25" i="1"/>
  <c r="N25" i="1" s="1"/>
  <c r="O26" i="1"/>
  <c r="N26" i="1" s="1"/>
  <c r="O27" i="1"/>
  <c r="N27" i="1" s="1"/>
  <c r="O28" i="1"/>
  <c r="N28" i="1" s="1"/>
  <c r="O29" i="1"/>
  <c r="N29" i="1" s="1"/>
  <c r="O30" i="1"/>
  <c r="N30" i="1" s="1"/>
  <c r="O31" i="1"/>
  <c r="N31" i="1" s="1"/>
  <c r="O32" i="1"/>
  <c r="N32" i="1" s="1"/>
  <c r="O33" i="1"/>
  <c r="N33" i="1" s="1"/>
  <c r="O34" i="1"/>
  <c r="N34" i="1" s="1"/>
  <c r="O35" i="1"/>
  <c r="N35" i="1" s="1"/>
  <c r="O6" i="1"/>
  <c r="N6" i="1" s="1"/>
  <c r="Z6" i="1" l="1"/>
  <c r="Z26" i="1"/>
  <c r="Z16" i="1"/>
  <c r="Z25" i="1"/>
  <c r="Z39" i="1"/>
  <c r="Z35" i="1"/>
  <c r="Z42" i="1"/>
  <c r="Z15" i="1"/>
  <c r="Z24" i="1"/>
  <c r="Z13" i="1"/>
  <c r="Z11" i="1"/>
  <c r="Z14" i="1"/>
  <c r="Z33" i="1"/>
  <c r="Z22" i="1"/>
  <c r="Z21" i="1"/>
  <c r="Z30" i="1"/>
  <c r="Z20" i="1"/>
  <c r="Z10" i="1"/>
  <c r="Z29" i="1"/>
  <c r="Z19" i="1"/>
  <c r="Z9" i="1"/>
  <c r="Z28" i="1"/>
  <c r="Z18" i="1"/>
  <c r="Z8" i="1"/>
  <c r="Z34" i="1"/>
  <c r="Z23" i="1"/>
  <c r="Z32" i="1"/>
  <c r="Z12" i="1"/>
  <c r="Z31" i="1"/>
  <c r="Z27" i="1"/>
  <c r="Z17" i="1"/>
  <c r="Z7" i="1"/>
  <c r="L45" i="1"/>
  <c r="R45" i="1" s="1"/>
  <c r="L38" i="1"/>
  <c r="R38" i="1" s="1"/>
  <c r="L43" i="1"/>
  <c r="R43" i="1" s="1"/>
  <c r="L41" i="1"/>
  <c r="J41" i="1" s="1"/>
  <c r="L39" i="1"/>
  <c r="L44" i="1"/>
  <c r="R44" i="1" s="1"/>
  <c r="L37" i="1"/>
  <c r="J37" i="1" s="1"/>
  <c r="L42" i="1"/>
  <c r="L40" i="1"/>
  <c r="R40" i="1" s="1"/>
  <c r="L36" i="1"/>
  <c r="J36" i="1" s="1"/>
  <c r="N40" i="1"/>
  <c r="Z38" i="1"/>
  <c r="J43" i="1"/>
  <c r="K43" i="1" s="1"/>
  <c r="T43" i="1" s="1"/>
  <c r="Z37" i="1"/>
  <c r="Z36" i="1"/>
  <c r="Z45" i="1"/>
  <c r="Z44" i="1"/>
  <c r="Z41" i="1"/>
  <c r="Z40" i="1"/>
  <c r="M20" i="1"/>
  <c r="M30" i="1"/>
  <c r="M10" i="1"/>
  <c r="M34" i="1"/>
  <c r="M29" i="1"/>
  <c r="M24" i="1"/>
  <c r="M19" i="1"/>
  <c r="M14" i="1"/>
  <c r="M9" i="1"/>
  <c r="M25" i="1"/>
  <c r="M35" i="1"/>
  <c r="M15" i="1"/>
  <c r="M6" i="1"/>
  <c r="M18" i="1"/>
  <c r="M33" i="1"/>
  <c r="M13" i="1"/>
  <c r="L30" i="1"/>
  <c r="M31" i="1"/>
  <c r="M16" i="1"/>
  <c r="M11" i="1"/>
  <c r="R11" i="1" s="1"/>
  <c r="M23" i="1"/>
  <c r="L20" i="1"/>
  <c r="M8" i="1"/>
  <c r="L10" i="1"/>
  <c r="M21" i="1"/>
  <c r="M28" i="1"/>
  <c r="M27" i="1"/>
  <c r="M17" i="1"/>
  <c r="M12" i="1"/>
  <c r="M7" i="1"/>
  <c r="M26" i="1"/>
  <c r="M32" i="1"/>
  <c r="M22" i="1"/>
  <c r="J11" i="1"/>
  <c r="L29" i="1"/>
  <c r="L19" i="1"/>
  <c r="L9" i="1"/>
  <c r="L28" i="1"/>
  <c r="L18" i="1"/>
  <c r="L8" i="1"/>
  <c r="L27" i="1"/>
  <c r="L17" i="1"/>
  <c r="L7" i="1"/>
  <c r="L6" i="1"/>
  <c r="L26" i="1"/>
  <c r="L16" i="1"/>
  <c r="L35" i="1"/>
  <c r="L25" i="1"/>
  <c r="L15" i="1"/>
  <c r="L34" i="1"/>
  <c r="L24" i="1"/>
  <c r="L14" i="1"/>
  <c r="L33" i="1"/>
  <c r="L23" i="1"/>
  <c r="L13" i="1"/>
  <c r="L32" i="1"/>
  <c r="L22" i="1"/>
  <c r="L12" i="1"/>
  <c r="L31" i="1"/>
  <c r="L21" i="1"/>
  <c r="R36" i="1" l="1"/>
  <c r="J38" i="1"/>
  <c r="K38" i="1" s="1"/>
  <c r="T38" i="1" s="1"/>
  <c r="J45" i="1"/>
  <c r="K45" i="1" s="1"/>
  <c r="T45" i="1" s="1"/>
  <c r="R6" i="1"/>
  <c r="P37" i="1"/>
  <c r="J40" i="1"/>
  <c r="K40" i="1" s="1"/>
  <c r="T40" i="1" s="1"/>
  <c r="R37" i="1"/>
  <c r="K37" i="1" s="1"/>
  <c r="T37" i="1" s="1"/>
  <c r="P44" i="1"/>
  <c r="K36" i="1"/>
  <c r="T36" i="1" s="1"/>
  <c r="Q40" i="1"/>
  <c r="Q39" i="1"/>
  <c r="P43" i="1"/>
  <c r="P36" i="1"/>
  <c r="Q38" i="1"/>
  <c r="P38" i="1"/>
  <c r="R41" i="1"/>
  <c r="K41" i="1" s="1"/>
  <c r="T41" i="1" s="1"/>
  <c r="Q45" i="1"/>
  <c r="J44" i="1"/>
  <c r="K44" i="1" s="1"/>
  <c r="T44" i="1" s="1"/>
  <c r="Q41" i="1"/>
  <c r="P39" i="1"/>
  <c r="R42" i="1"/>
  <c r="J42" i="1"/>
  <c r="P42" i="1"/>
  <c r="Q36" i="1"/>
  <c r="P45" i="1"/>
  <c r="Q43" i="1"/>
  <c r="P40" i="1"/>
  <c r="P41" i="1"/>
  <c r="Q44" i="1"/>
  <c r="Q37" i="1"/>
  <c r="R39" i="1"/>
  <c r="J39" i="1"/>
  <c r="Q42" i="1"/>
  <c r="Q7" i="1"/>
  <c r="Q17" i="1"/>
  <c r="Q27" i="1"/>
  <c r="Q29" i="1"/>
  <c r="Q10" i="1"/>
  <c r="Q31" i="1"/>
  <c r="Q32" i="1"/>
  <c r="Q13" i="1"/>
  <c r="Q14" i="1"/>
  <c r="Q35" i="1"/>
  <c r="Q6" i="1"/>
  <c r="Q8" i="1"/>
  <c r="Q18" i="1"/>
  <c r="Q28" i="1"/>
  <c r="Q19" i="1"/>
  <c r="Q30" i="1"/>
  <c r="Q11" i="1"/>
  <c r="Q22" i="1"/>
  <c r="Q33" i="1"/>
  <c r="Q34" i="1"/>
  <c r="Q15" i="1"/>
  <c r="Q9" i="1"/>
  <c r="Q20" i="1"/>
  <c r="Q21" i="1"/>
  <c r="Q12" i="1"/>
  <c r="Q23" i="1"/>
  <c r="Q24" i="1"/>
  <c r="Q25" i="1"/>
  <c r="Q26" i="1"/>
  <c r="Q16" i="1"/>
  <c r="J31" i="1"/>
  <c r="R31" i="1"/>
  <c r="J15" i="1"/>
  <c r="R15" i="1"/>
  <c r="J18" i="1"/>
  <c r="R18" i="1"/>
  <c r="J30" i="1"/>
  <c r="R30" i="1"/>
  <c r="J23" i="1"/>
  <c r="R23" i="1"/>
  <c r="K11" i="1"/>
  <c r="T11" i="1" s="1"/>
  <c r="J10" i="1"/>
  <c r="R10" i="1"/>
  <c r="J33" i="1"/>
  <c r="R33" i="1"/>
  <c r="J7" i="1"/>
  <c r="R7" i="1"/>
  <c r="J14" i="1"/>
  <c r="R14" i="1"/>
  <c r="J17" i="1"/>
  <c r="R17" i="1"/>
  <c r="J20" i="1"/>
  <c r="R20" i="1"/>
  <c r="J22" i="1"/>
  <c r="R22" i="1"/>
  <c r="J35" i="1"/>
  <c r="R35" i="1"/>
  <c r="J9" i="1"/>
  <c r="R9" i="1"/>
  <c r="J13" i="1"/>
  <c r="R13" i="1"/>
  <c r="J26" i="1"/>
  <c r="R26" i="1"/>
  <c r="J29" i="1"/>
  <c r="R29" i="1"/>
  <c r="J24" i="1"/>
  <c r="R24" i="1"/>
  <c r="J27" i="1"/>
  <c r="R27" i="1"/>
  <c r="J12" i="1"/>
  <c r="R12" i="1"/>
  <c r="J25" i="1"/>
  <c r="R25" i="1"/>
  <c r="J28" i="1"/>
  <c r="R28" i="1"/>
  <c r="J32" i="1"/>
  <c r="R32" i="1"/>
  <c r="J16" i="1"/>
  <c r="R16" i="1"/>
  <c r="J19" i="1"/>
  <c r="R19" i="1"/>
  <c r="J21" i="1"/>
  <c r="R21" i="1"/>
  <c r="J34" i="1"/>
  <c r="R34" i="1"/>
  <c r="J8" i="1"/>
  <c r="R8" i="1"/>
  <c r="J6" i="1"/>
  <c r="P33" i="1"/>
  <c r="P9" i="1"/>
  <c r="P12" i="1"/>
  <c r="P19" i="1"/>
  <c r="P22" i="1"/>
  <c r="P29" i="1"/>
  <c r="P32" i="1"/>
  <c r="P15" i="1"/>
  <c r="P13" i="1"/>
  <c r="P10" i="1"/>
  <c r="P23" i="1"/>
  <c r="P20" i="1"/>
  <c r="P6" i="1"/>
  <c r="P16" i="1"/>
  <c r="P26" i="1"/>
  <c r="P8" i="1"/>
  <c r="P30" i="1"/>
  <c r="P14" i="1"/>
  <c r="P7" i="1"/>
  <c r="P18" i="1"/>
  <c r="P11" i="1"/>
  <c r="P24" i="1"/>
  <c r="P17" i="1"/>
  <c r="P28" i="1"/>
  <c r="P21" i="1"/>
  <c r="P34" i="1"/>
  <c r="P27" i="1"/>
  <c r="P31" i="1"/>
  <c r="P35" i="1"/>
  <c r="P25" i="1"/>
  <c r="K6" i="1" l="1"/>
  <c r="T6" i="1" s="1"/>
  <c r="K39" i="1"/>
  <c r="T39" i="1" s="1"/>
  <c r="K42" i="1"/>
  <c r="T42" i="1" s="1"/>
  <c r="K17" i="1"/>
  <c r="T17" i="1" s="1"/>
  <c r="K13" i="1"/>
  <c r="T13" i="1" s="1"/>
  <c r="K19" i="1"/>
  <c r="T19" i="1" s="1"/>
  <c r="K12" i="1"/>
  <c r="T12" i="1" s="1"/>
  <c r="K31" i="1"/>
  <c r="T31" i="1" s="1"/>
  <c r="K16" i="1"/>
  <c r="T16" i="1" s="1"/>
  <c r="K27" i="1"/>
  <c r="T27" i="1" s="1"/>
  <c r="K24" i="1"/>
  <c r="T24" i="1" s="1"/>
  <c r="K28" i="1"/>
  <c r="T28" i="1" s="1"/>
  <c r="K29" i="1"/>
  <c r="T29" i="1" s="1"/>
  <c r="K22" i="1"/>
  <c r="T22" i="1" s="1"/>
  <c r="K33" i="1"/>
  <c r="T33" i="1" s="1"/>
  <c r="K9" i="1"/>
  <c r="T9" i="1" s="1"/>
  <c r="K35" i="1"/>
  <c r="T35" i="1" s="1"/>
  <c r="K34" i="1"/>
  <c r="T34" i="1" s="1"/>
  <c r="K15" i="1"/>
  <c r="T15" i="1" s="1"/>
  <c r="K23" i="1"/>
  <c r="T23" i="1" s="1"/>
  <c r="K14" i="1"/>
  <c r="T14" i="1" s="1"/>
  <c r="K30" i="1"/>
  <c r="T30" i="1" s="1"/>
  <c r="K8" i="1"/>
  <c r="T8" i="1" s="1"/>
  <c r="K7" i="1"/>
  <c r="T7" i="1" s="1"/>
  <c r="K25" i="1"/>
  <c r="T25" i="1" s="1"/>
  <c r="K26" i="1"/>
  <c r="T26" i="1" s="1"/>
  <c r="K20" i="1"/>
  <c r="T20" i="1" s="1"/>
  <c r="K10" i="1"/>
  <c r="T10" i="1" s="1"/>
  <c r="K32" i="1"/>
  <c r="T32" i="1" s="1"/>
  <c r="K18" i="1"/>
  <c r="T18" i="1" s="1"/>
  <c r="K21" i="1"/>
  <c r="T21" i="1" s="1"/>
  <c r="V6" i="1"/>
  <c r="AD6" i="1" s="1"/>
  <c r="U6" i="1"/>
  <c r="W6" i="1" l="1"/>
  <c r="AA6" i="1"/>
  <c r="Y6" i="1" s="1"/>
  <c r="AB6" i="1"/>
  <c r="V7" i="1"/>
  <c r="U7" i="1"/>
  <c r="U8" i="1" l="1"/>
  <c r="W8" i="1" s="1"/>
  <c r="AA7" i="1"/>
  <c r="Y7" i="1" s="1"/>
  <c r="X6" i="1"/>
  <c r="W7" i="1"/>
  <c r="AB7" i="1"/>
  <c r="AD7" i="1"/>
  <c r="AC6" i="1"/>
  <c r="V8" i="1"/>
  <c r="AD8" i="1" s="1"/>
  <c r="X7" i="1" l="1"/>
  <c r="V9" i="1"/>
  <c r="AD9" i="1" s="1"/>
  <c r="AB8" i="1"/>
  <c r="AC8" i="1" s="1"/>
  <c r="U9" i="1"/>
  <c r="AA8" i="1"/>
  <c r="Y8" i="1" s="1"/>
  <c r="X8" i="1" s="1"/>
  <c r="AC7" i="1"/>
  <c r="AB9" i="1" l="1"/>
  <c r="AC9" i="1" s="1"/>
  <c r="V10" i="1"/>
  <c r="AD10" i="1" s="1"/>
  <c r="AA9" i="1"/>
  <c r="Y9" i="1" s="1"/>
  <c r="W9" i="1"/>
  <c r="U10" i="1"/>
  <c r="V11" i="1"/>
  <c r="AD11" i="1" s="1"/>
  <c r="AB10" i="1"/>
  <c r="AC10" i="1" l="1"/>
  <c r="AA10" i="1"/>
  <c r="Y10" i="1" s="1"/>
  <c r="U11" i="1"/>
  <c r="W10" i="1"/>
  <c r="X9" i="1"/>
  <c r="V12" i="1"/>
  <c r="AD12" i="1" s="1"/>
  <c r="AB11" i="1"/>
  <c r="AC11" i="1" s="1"/>
  <c r="X10" i="1" l="1"/>
  <c r="AA11" i="1"/>
  <c r="Y11" i="1" s="1"/>
  <c r="W11" i="1"/>
  <c r="U12" i="1"/>
  <c r="V13" i="1"/>
  <c r="AD13" i="1" s="1"/>
  <c r="AB12" i="1"/>
  <c r="AC12" i="1" s="1"/>
  <c r="X11" i="1" l="1"/>
  <c r="AA12" i="1"/>
  <c r="Y12" i="1" s="1"/>
  <c r="W12" i="1"/>
  <c r="U13" i="1"/>
  <c r="V14" i="1"/>
  <c r="AD14" i="1" s="1"/>
  <c r="AB13" i="1"/>
  <c r="AC13" i="1" s="1"/>
  <c r="AA13" i="1" l="1"/>
  <c r="Y13" i="1" s="1"/>
  <c r="U14" i="1"/>
  <c r="W13" i="1"/>
  <c r="X12" i="1"/>
  <c r="V15" i="1"/>
  <c r="AD15" i="1" s="1"/>
  <c r="AB14" i="1"/>
  <c r="AC14" i="1" s="1"/>
  <c r="X13" i="1" l="1"/>
  <c r="AA14" i="1"/>
  <c r="Y14" i="1" s="1"/>
  <c r="W14" i="1"/>
  <c r="U15" i="1"/>
  <c r="V16" i="1"/>
  <c r="AD16" i="1" s="1"/>
  <c r="AB15" i="1"/>
  <c r="AC15" i="1" s="1"/>
  <c r="W15" i="1" l="1"/>
  <c r="X14" i="1"/>
  <c r="AA15" i="1"/>
  <c r="U16" i="1"/>
  <c r="V17" i="1"/>
  <c r="AD17" i="1" s="1"/>
  <c r="AB16" i="1"/>
  <c r="AC16" i="1" s="1"/>
  <c r="Y15" i="1" l="1"/>
  <c r="X15" i="1" s="1"/>
  <c r="AA16" i="1"/>
  <c r="Y16" i="1" s="1"/>
  <c r="U17" i="1"/>
  <c r="W16" i="1"/>
  <c r="V18" i="1"/>
  <c r="AD18" i="1" s="1"/>
  <c r="AB17" i="1"/>
  <c r="AC17" i="1" s="1"/>
  <c r="X16" i="1" l="1"/>
  <c r="AA17" i="1"/>
  <c r="Y17" i="1" s="1"/>
  <c r="U18" i="1"/>
  <c r="W17" i="1"/>
  <c r="V19" i="1"/>
  <c r="AD19" i="1" s="1"/>
  <c r="AB18" i="1"/>
  <c r="AC18" i="1" s="1"/>
  <c r="X17" i="1" l="1"/>
  <c r="AA18" i="1"/>
  <c r="Y18" i="1" s="1"/>
  <c r="U19" i="1"/>
  <c r="W18" i="1"/>
  <c r="V20" i="1"/>
  <c r="AD20" i="1" s="1"/>
  <c r="AB19" i="1"/>
  <c r="AC19" i="1" s="1"/>
  <c r="X18" i="1" l="1"/>
  <c r="AA19" i="1"/>
  <c r="Y19" i="1" s="1"/>
  <c r="U20" i="1"/>
  <c r="W19" i="1"/>
  <c r="V21" i="1"/>
  <c r="AD21" i="1" s="1"/>
  <c r="AB20" i="1"/>
  <c r="AC20" i="1" s="1"/>
  <c r="X19" i="1" l="1"/>
  <c r="AA20" i="1"/>
  <c r="Y20" i="1" s="1"/>
  <c r="U21" i="1"/>
  <c r="W20" i="1"/>
  <c r="V22" i="1"/>
  <c r="AD22" i="1" s="1"/>
  <c r="AB21" i="1"/>
  <c r="AC21" i="1" s="1"/>
  <c r="X20" i="1" l="1"/>
  <c r="AA21" i="1"/>
  <c r="Y21" i="1" s="1"/>
  <c r="W21" i="1"/>
  <c r="U22" i="1"/>
  <c r="V23" i="1"/>
  <c r="AD23" i="1" s="1"/>
  <c r="AB22" i="1"/>
  <c r="AC22" i="1" s="1"/>
  <c r="AA22" i="1" l="1"/>
  <c r="Y22" i="1" s="1"/>
  <c r="U23" i="1"/>
  <c r="W22" i="1"/>
  <c r="X21" i="1"/>
  <c r="V24" i="1"/>
  <c r="AD24" i="1" s="1"/>
  <c r="AB23" i="1"/>
  <c r="AC23" i="1" s="1"/>
  <c r="X22" i="1" l="1"/>
  <c r="AA23" i="1"/>
  <c r="Y23" i="1" s="1"/>
  <c r="W23" i="1"/>
  <c r="U24" i="1"/>
  <c r="V25" i="1"/>
  <c r="AD25" i="1" s="1"/>
  <c r="AB24" i="1"/>
  <c r="AC24" i="1" s="1"/>
  <c r="X23" i="1" l="1"/>
  <c r="AA24" i="1"/>
  <c r="Y24" i="1" s="1"/>
  <c r="U25" i="1"/>
  <c r="W24" i="1"/>
  <c r="V26" i="1"/>
  <c r="AD26" i="1" s="1"/>
  <c r="AB25" i="1"/>
  <c r="AC25" i="1" s="1"/>
  <c r="X24" i="1" l="1"/>
  <c r="AA25" i="1"/>
  <c r="Y25" i="1" s="1"/>
  <c r="U26" i="1"/>
  <c r="W25" i="1"/>
  <c r="V27" i="1"/>
  <c r="AD27" i="1" s="1"/>
  <c r="AB26" i="1"/>
  <c r="AC26" i="1" s="1"/>
  <c r="X25" i="1" l="1"/>
  <c r="AA26" i="1"/>
  <c r="Y26" i="1" s="1"/>
  <c r="U27" i="1"/>
  <c r="W26" i="1"/>
  <c r="V28" i="1"/>
  <c r="AD28" i="1" s="1"/>
  <c r="AB27" i="1"/>
  <c r="AC27" i="1" s="1"/>
  <c r="X26" i="1" l="1"/>
  <c r="AA27" i="1"/>
  <c r="Y27" i="1" s="1"/>
  <c r="U28" i="1"/>
  <c r="W27" i="1"/>
  <c r="V29" i="1"/>
  <c r="AD29" i="1" s="1"/>
  <c r="AB28" i="1"/>
  <c r="AC28" i="1" s="1"/>
  <c r="X27" i="1" l="1"/>
  <c r="AA28" i="1"/>
  <c r="Y28" i="1" s="1"/>
  <c r="U29" i="1"/>
  <c r="W28" i="1"/>
  <c r="V30" i="1"/>
  <c r="AD30" i="1" s="1"/>
  <c r="AB29" i="1"/>
  <c r="AC29" i="1" s="1"/>
  <c r="X28" i="1" l="1"/>
  <c r="AA29" i="1"/>
  <c r="Y29" i="1" s="1"/>
  <c r="U30" i="1"/>
  <c r="W29" i="1"/>
  <c r="V31" i="1"/>
  <c r="AD31" i="1" s="1"/>
  <c r="AB30" i="1"/>
  <c r="AC30" i="1" s="1"/>
  <c r="X29" i="1" l="1"/>
  <c r="AA30" i="1"/>
  <c r="Y30" i="1" s="1"/>
  <c r="U31" i="1"/>
  <c r="W30" i="1"/>
  <c r="V32" i="1"/>
  <c r="AD32" i="1" s="1"/>
  <c r="AB31" i="1"/>
  <c r="AC31" i="1" s="1"/>
  <c r="X30" i="1" l="1"/>
  <c r="AA31" i="1"/>
  <c r="Y31" i="1" s="1"/>
  <c r="U32" i="1"/>
  <c r="W31" i="1"/>
  <c r="V33" i="1"/>
  <c r="AD33" i="1" s="1"/>
  <c r="AB32" i="1"/>
  <c r="AC32" i="1" s="1"/>
  <c r="X31" i="1" l="1"/>
  <c r="AA32" i="1"/>
  <c r="Y32" i="1" s="1"/>
  <c r="U33" i="1"/>
  <c r="W32" i="1"/>
  <c r="V34" i="1"/>
  <c r="AD34" i="1" s="1"/>
  <c r="AB33" i="1"/>
  <c r="AC33" i="1" s="1"/>
  <c r="X32" i="1" l="1"/>
  <c r="AA33" i="1"/>
  <c r="Y33" i="1" s="1"/>
  <c r="U34" i="1"/>
  <c r="W33" i="1"/>
  <c r="V35" i="1"/>
  <c r="V36" i="1" s="1"/>
  <c r="AB34" i="1"/>
  <c r="AC34" i="1" s="1"/>
  <c r="AD36" i="1" l="1"/>
  <c r="V37" i="1"/>
  <c r="AB36" i="1"/>
  <c r="X33" i="1"/>
  <c r="AA34" i="1"/>
  <c r="Y34" i="1" s="1"/>
  <c r="U35" i="1"/>
  <c r="U36" i="1" s="1"/>
  <c r="W34" i="1"/>
  <c r="AB35" i="1"/>
  <c r="AD35" i="1"/>
  <c r="X34" i="1" l="1"/>
  <c r="W36" i="1"/>
  <c r="U37" i="1"/>
  <c r="AA36" i="1"/>
  <c r="Y36" i="1" s="1"/>
  <c r="X36" i="1" s="1"/>
  <c r="AC36" i="1"/>
  <c r="AD37" i="1"/>
  <c r="V38" i="1"/>
  <c r="AB37" i="1"/>
  <c r="W35" i="1"/>
  <c r="AA35" i="1"/>
  <c r="Y35" i="1" s="1"/>
  <c r="AC35" i="1"/>
  <c r="AC37" i="1" l="1"/>
  <c r="AB38" i="1"/>
  <c r="V39" i="1"/>
  <c r="AD38" i="1"/>
  <c r="U38" i="1"/>
  <c r="W37" i="1"/>
  <c r="AA37" i="1"/>
  <c r="Y37" i="1" s="1"/>
  <c r="X35" i="1"/>
  <c r="X37" i="1" l="1"/>
  <c r="U39" i="1"/>
  <c r="AA38" i="1"/>
  <c r="Y38" i="1" s="1"/>
  <c r="W38" i="1"/>
  <c r="AB39" i="1"/>
  <c r="AD39" i="1"/>
  <c r="V40" i="1"/>
  <c r="AC38" i="1"/>
  <c r="AD40" i="1" l="1"/>
  <c r="AB40" i="1"/>
  <c r="V41" i="1"/>
  <c r="AC39" i="1"/>
  <c r="X38" i="1"/>
  <c r="U40" i="1"/>
  <c r="W39" i="1"/>
  <c r="AA39" i="1"/>
  <c r="Y39" i="1" s="1"/>
  <c r="X39" i="1" l="1"/>
  <c r="U41" i="1"/>
  <c r="W40" i="1"/>
  <c r="AA40" i="1"/>
  <c r="Y40" i="1" s="1"/>
  <c r="AB41" i="1"/>
  <c r="V42" i="1"/>
  <c r="AD41" i="1"/>
  <c r="AC40" i="1"/>
  <c r="AB42" i="1" l="1"/>
  <c r="AD42" i="1"/>
  <c r="V43" i="1"/>
  <c r="AC41" i="1"/>
  <c r="X40" i="1"/>
  <c r="AA41" i="1"/>
  <c r="Y41" i="1" s="1"/>
  <c r="W41" i="1"/>
  <c r="U42" i="1"/>
  <c r="U43" i="1" l="1"/>
  <c r="W42" i="1"/>
  <c r="AA42" i="1"/>
  <c r="Y42" i="1" s="1"/>
  <c r="X41" i="1"/>
  <c r="V44" i="1"/>
  <c r="AB43" i="1"/>
  <c r="AD43" i="1"/>
  <c r="AC42" i="1"/>
  <c r="AC43" i="1" l="1"/>
  <c r="V45" i="1"/>
  <c r="AB44" i="1"/>
  <c r="AD44" i="1"/>
  <c r="X42" i="1"/>
  <c r="AA43" i="1"/>
  <c r="Y43" i="1" s="1"/>
  <c r="U44" i="1"/>
  <c r="W43" i="1"/>
  <c r="X43" i="1" l="1"/>
  <c r="W44" i="1"/>
  <c r="U45" i="1"/>
  <c r="AA44" i="1"/>
  <c r="Y44" i="1" s="1"/>
  <c r="AC44" i="1"/>
  <c r="AD45" i="1"/>
  <c r="AB45" i="1"/>
  <c r="AC45" i="1" l="1"/>
  <c r="AA45" i="1"/>
  <c r="Y45" i="1" s="1"/>
  <c r="W45" i="1"/>
  <c r="X44" i="1"/>
  <c r="X45" i="1" l="1"/>
</calcChain>
</file>

<file path=xl/sharedStrings.xml><?xml version="1.0" encoding="utf-8"?>
<sst xmlns="http://schemas.openxmlformats.org/spreadsheetml/2006/main" count="51" uniqueCount="50">
  <si>
    <t>Mortage Interest Deduction</t>
  </si>
  <si>
    <t>Year</t>
  </si>
  <si>
    <t>Buy Cashflow</t>
  </si>
  <si>
    <t>Rent Cashflow</t>
  </si>
  <si>
    <t>Mortgage Paid</t>
  </si>
  <si>
    <t>Recurring Cost</t>
  </si>
  <si>
    <t>Home Value</t>
  </si>
  <si>
    <t>on Principal</t>
  </si>
  <si>
    <t>on Interest</t>
  </si>
  <si>
    <t>Principal Paid</t>
  </si>
  <si>
    <t>Home Equity</t>
  </si>
  <si>
    <t>Cash Diff (Invested $)</t>
  </si>
  <si>
    <t>Buy NW</t>
  </si>
  <si>
    <t>Buy NW (Cash Out)</t>
  </si>
  <si>
    <t>Rent NW</t>
  </si>
  <si>
    <t>Rent NW (Cash Out)</t>
  </si>
  <si>
    <t>Rent Investment Value</t>
  </si>
  <si>
    <t>Buy Investment Value</t>
  </si>
  <si>
    <t>BC after Tax Benefits</t>
  </si>
  <si>
    <t>Tax Benefits</t>
  </si>
  <si>
    <t>YES</t>
  </si>
  <si>
    <t>Remaining Principal</t>
  </si>
  <si>
    <t>Taxable Gain</t>
  </si>
  <si>
    <t>T. Gain from Home</t>
  </si>
  <si>
    <t>T. Gain from Inv</t>
  </si>
  <si>
    <t>OUTPUT&gt;&gt;</t>
  </si>
  <si>
    <t>INPUT&gt;&gt;</t>
  </si>
  <si>
    <t>BUY A HOME</t>
  </si>
  <si>
    <t>RENT A HOME and INVEST</t>
  </si>
  <si>
    <t>REF&gt;&gt;</t>
  </si>
  <si>
    <t>Month</t>
  </si>
  <si>
    <t>MONTHLY PAID MORTGAGE BREAKDOWN</t>
  </si>
  <si>
    <t>Mortgage Term (years)</t>
  </si>
  <si>
    <r>
      <t xml:space="preserve">Closing Costs </t>
    </r>
    <r>
      <rPr>
        <sz val="12"/>
        <color theme="0" tint="-0.249977111117893"/>
        <rFont val="Aptos Narrow (Body)"/>
      </rPr>
      <t>% of Home Value</t>
    </r>
  </si>
  <si>
    <r>
      <t xml:space="preserve">Selling Costs  </t>
    </r>
    <r>
      <rPr>
        <sz val="12"/>
        <color theme="0" tint="-0.249977111117893"/>
        <rFont val="Aptos Narrow (Body)"/>
      </rPr>
      <t>% of Home Value</t>
    </r>
  </si>
  <si>
    <r>
      <t xml:space="preserve">Property Tax Rate </t>
    </r>
    <r>
      <rPr>
        <sz val="12"/>
        <color theme="0" tint="-0.249977111117893"/>
        <rFont val="Aptos Narrow (Body)"/>
      </rPr>
      <t>% of HV</t>
    </r>
  </si>
  <si>
    <r>
      <t xml:space="preserve">Home Appreciation </t>
    </r>
    <r>
      <rPr>
        <sz val="12"/>
        <color theme="0" tint="-0.249977111117893"/>
        <rFont val="Aptos Narrow (Body)"/>
      </rPr>
      <t>%/yr</t>
    </r>
  </si>
  <si>
    <r>
      <t xml:space="preserve">Interest Rate </t>
    </r>
    <r>
      <rPr>
        <sz val="12"/>
        <color theme="0" tint="-0.249977111117893"/>
        <rFont val="Aptos Narrow (Body)"/>
      </rPr>
      <t>%</t>
    </r>
  </si>
  <si>
    <r>
      <t xml:space="preserve">Down Payment </t>
    </r>
    <r>
      <rPr>
        <sz val="12"/>
        <color theme="0" tint="-0.249977111117893"/>
        <rFont val="Aptos Narrow (Body)"/>
      </rPr>
      <t>%</t>
    </r>
  </si>
  <si>
    <r>
      <t xml:space="preserve">Home Price </t>
    </r>
    <r>
      <rPr>
        <sz val="12"/>
        <color theme="0" tint="-0.249977111117893"/>
        <rFont val="Aptos Narrow (Body)"/>
      </rPr>
      <t>$</t>
    </r>
  </si>
  <si>
    <r>
      <t xml:space="preserve">Insurance &amp; Maintainance </t>
    </r>
    <r>
      <rPr>
        <sz val="12"/>
        <color theme="0" tint="-0.249977111117893"/>
        <rFont val="Aptos Narrow (Body)"/>
      </rPr>
      <t>%</t>
    </r>
  </si>
  <si>
    <r>
      <t xml:space="preserve">HOA </t>
    </r>
    <r>
      <rPr>
        <sz val="12"/>
        <color theme="0" tint="-0.249977111117893"/>
        <rFont val="Aptos Narrow (Body)"/>
      </rPr>
      <t>$</t>
    </r>
  </si>
  <si>
    <r>
      <t xml:space="preserve">Tax Free Capital Gain Amount </t>
    </r>
    <r>
      <rPr>
        <sz val="12"/>
        <color theme="0" tint="-0.249977111117893"/>
        <rFont val="Aptos Narrow (Body)"/>
      </rPr>
      <t>$</t>
    </r>
  </si>
  <si>
    <r>
      <t xml:space="preserve">Capital Gains Tax Rate </t>
    </r>
    <r>
      <rPr>
        <sz val="12"/>
        <color theme="0" tint="-0.249977111117893"/>
        <rFont val="Aptos Narrow (Body)"/>
      </rPr>
      <t>%</t>
    </r>
  </si>
  <si>
    <r>
      <t xml:space="preserve">Marginal Income Tax Rate </t>
    </r>
    <r>
      <rPr>
        <sz val="12"/>
        <color theme="0" tint="-0.249977111117893"/>
        <rFont val="Aptos Narrow (Body)"/>
      </rPr>
      <t>%</t>
    </r>
  </si>
  <si>
    <r>
      <t xml:space="preserve">Monthly Mortgage Payment </t>
    </r>
    <r>
      <rPr>
        <sz val="12"/>
        <color theme="0" tint="-0.249977111117893"/>
        <rFont val="Aptos Narrow (Body)"/>
      </rPr>
      <t>$</t>
    </r>
  </si>
  <si>
    <r>
      <t xml:space="preserve">Capital Gain Tax Rate </t>
    </r>
    <r>
      <rPr>
        <sz val="12"/>
        <color theme="0" tint="-0.249977111117893"/>
        <rFont val="Aptos Narrow (Body)"/>
      </rPr>
      <t>%</t>
    </r>
  </si>
  <si>
    <r>
      <t xml:space="preserve">Investment Return </t>
    </r>
    <r>
      <rPr>
        <sz val="12"/>
        <color theme="0" tint="-0.249977111117893"/>
        <rFont val="Aptos Narrow (Body)"/>
      </rPr>
      <t>%/yr</t>
    </r>
  </si>
  <si>
    <r>
      <t xml:space="preserve">Rent Increase </t>
    </r>
    <r>
      <rPr>
        <sz val="12"/>
        <color theme="0" tint="-0.249977111117893"/>
        <rFont val="Aptos Narrow (Body)"/>
      </rPr>
      <t>%/yr</t>
    </r>
  </si>
  <si>
    <r>
      <t xml:space="preserve">Monthly Rent </t>
    </r>
    <r>
      <rPr>
        <sz val="12"/>
        <color theme="0" tint="-0.249977111117893"/>
        <rFont val="Aptos Narrow (Body)"/>
      </rPr>
      <t>$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</si>
</sst>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71" formatCode="&quot;$&quot;#,##0"/>
  </numFmts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i/>
      <sz val="12"/>
      <color theme="1"/>
      <name val="Aptos Narrow"/>
      <scheme val="minor"/>
    </font>
    <font>
      <sz val="12"/>
      <color theme="0" tint="-0.249977111117893"/>
      <name val="Aptos Narrow"/>
      <scheme val="minor"/>
    </font>
    <font>
      <sz val="12"/>
      <color theme="0" tint="-0.249977111117893"/>
      <name val="Aptos Narrow (Body)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1" tint="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theme="1"/>
      </top>
      <bottom style="thin">
        <color theme="0" tint="-0.2499465926084170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indexed="64"/>
      </right>
      <top style="thin">
        <color theme="0" tint="-0.2499465926084170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2" fillId="0" borderId="6" xfId="0" applyFont="1" applyBorder="1"/>
    <xf numFmtId="0" fontId="2" fillId="0" borderId="8" xfId="0" applyFont="1" applyBorder="1"/>
    <xf numFmtId="3" fontId="2" fillId="0" borderId="8" xfId="0" applyNumberFormat="1" applyFont="1" applyBorder="1"/>
    <xf numFmtId="3" fontId="2" fillId="2" borderId="8" xfId="0" applyNumberFormat="1" applyFont="1" applyFill="1" applyBorder="1"/>
    <xf numFmtId="8" fontId="2" fillId="0" borderId="0" xfId="0" applyNumberFormat="1" applyFont="1"/>
    <xf numFmtId="3" fontId="2" fillId="2" borderId="10" xfId="0" applyNumberFormat="1" applyFont="1" applyFill="1" applyBorder="1"/>
    <xf numFmtId="0" fontId="2" fillId="0" borderId="15" xfId="0" applyFont="1" applyBorder="1"/>
    <xf numFmtId="0" fontId="2" fillId="0" borderId="17" xfId="0" applyFont="1" applyBorder="1"/>
    <xf numFmtId="3" fontId="2" fillId="0" borderId="17" xfId="0" applyNumberFormat="1" applyFont="1" applyBorder="1"/>
    <xf numFmtId="3" fontId="2" fillId="2" borderId="17" xfId="0" applyNumberFormat="1" applyFont="1" applyFill="1" applyBorder="1"/>
    <xf numFmtId="3" fontId="2" fillId="2" borderId="19" xfId="0" applyNumberFormat="1" applyFont="1" applyFill="1" applyBorder="1"/>
    <xf numFmtId="0" fontId="4" fillId="3" borderId="0" xfId="0" applyFont="1" applyFill="1" applyAlignment="1">
      <alignment horizontal="left"/>
    </xf>
    <xf numFmtId="0" fontId="2" fillId="3" borderId="0" xfId="0" applyFont="1" applyFill="1"/>
    <xf numFmtId="0" fontId="4" fillId="3" borderId="0" xfId="0" applyFont="1" applyFill="1"/>
    <xf numFmtId="0" fontId="3" fillId="0" borderId="6" xfId="0" applyFont="1" applyBorder="1"/>
    <xf numFmtId="0" fontId="3" fillId="0" borderId="8" xfId="0" applyFont="1" applyBorder="1"/>
    <xf numFmtId="3" fontId="3" fillId="0" borderId="8" xfId="0" applyNumberFormat="1" applyFont="1" applyBorder="1"/>
    <xf numFmtId="3" fontId="3" fillId="2" borderId="8" xfId="0" applyNumberFormat="1" applyFont="1" applyFill="1" applyBorder="1"/>
    <xf numFmtId="3" fontId="3" fillId="2" borderId="10" xfId="0" applyNumberFormat="1" applyFont="1" applyFill="1" applyBorder="1"/>
    <xf numFmtId="0" fontId="3" fillId="0" borderId="11" xfId="0" applyFont="1" applyBorder="1"/>
    <xf numFmtId="0" fontId="3" fillId="0" borderId="14" xfId="0" applyFont="1" applyBorder="1"/>
    <xf numFmtId="0" fontId="3" fillId="0" borderId="12" xfId="0" applyFont="1" applyBorder="1"/>
    <xf numFmtId="0" fontId="3" fillId="0" borderId="16" xfId="0" applyFont="1" applyBorder="1"/>
    <xf numFmtId="3" fontId="3" fillId="0" borderId="12" xfId="0" applyNumberFormat="1" applyFont="1" applyBorder="1"/>
    <xf numFmtId="3" fontId="3" fillId="0" borderId="16" xfId="0" applyNumberFormat="1" applyFont="1" applyBorder="1"/>
    <xf numFmtId="3" fontId="3" fillId="2" borderId="12" xfId="0" applyNumberFormat="1" applyFont="1" applyFill="1" applyBorder="1"/>
    <xf numFmtId="3" fontId="3" fillId="2" borderId="16" xfId="0" applyNumberFormat="1" applyFont="1" applyFill="1" applyBorder="1"/>
    <xf numFmtId="3" fontId="3" fillId="2" borderId="13" xfId="0" applyNumberFormat="1" applyFont="1" applyFill="1" applyBorder="1"/>
    <xf numFmtId="3" fontId="3" fillId="2" borderId="18" xfId="0" applyNumberFormat="1" applyFont="1" applyFill="1" applyBorder="1"/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1" fillId="0" borderId="1" xfId="0" applyFont="1" applyBorder="1"/>
    <xf numFmtId="3" fontId="2" fillId="0" borderId="2" xfId="0" applyNumberFormat="1" applyFont="1" applyBorder="1" applyAlignment="1">
      <alignment horizontal="right"/>
    </xf>
    <xf numFmtId="10" fontId="2" fillId="0" borderId="2" xfId="0" applyNumberFormat="1" applyFont="1" applyBorder="1" applyAlignment="1">
      <alignment horizontal="right"/>
    </xf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9" fontId="2" fillId="0" borderId="2" xfId="0" applyNumberFormat="1" applyFont="1" applyBorder="1" applyAlignment="1">
      <alignment horizontal="right"/>
    </xf>
    <xf numFmtId="0" fontId="1" fillId="0" borderId="3" xfId="0" applyFont="1" applyBorder="1"/>
    <xf numFmtId="3" fontId="2" fillId="0" borderId="2" xfId="0" applyNumberFormat="1" applyFont="1" applyBorder="1"/>
    <xf numFmtId="0" fontId="2" fillId="0" borderId="3" xfId="0" applyFont="1" applyBorder="1"/>
    <xf numFmtId="0" fontId="5" fillId="0" borderId="20" xfId="0" applyFont="1" applyBorder="1"/>
    <xf numFmtId="3" fontId="6" fillId="0" borderId="0" xfId="0" applyNumberFormat="1" applyFont="1"/>
    <xf numFmtId="6" fontId="2" fillId="0" borderId="4" xfId="0" applyNumberFormat="1" applyFont="1" applyBorder="1" applyAlignment="1">
      <alignment horizontal="right"/>
    </xf>
    <xf numFmtId="171" fontId="2" fillId="0" borderId="2" xfId="0" applyNumberFormat="1" applyFont="1" applyBorder="1" applyAlignment="1">
      <alignment horizontal="right"/>
    </xf>
    <xf numFmtId="10" fontId="2" fillId="0" borderId="2" xfId="0" applyNumberFormat="1" applyFont="1" applyBorder="1"/>
    <xf numFmtId="10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DB23-694F-FD4C-830D-04C78C0B4A5A}">
  <dimension ref="B2:AO386"/>
  <sheetViews>
    <sheetView showGridLines="0" tabSelected="1" zoomScale="150" workbookViewId="0">
      <selection activeCell="X37" sqref="X37"/>
    </sheetView>
  </sheetViews>
  <sheetFormatPr baseColWidth="10" defaultRowHeight="16" outlineLevelCol="1" x14ac:dyDescent="0.2"/>
  <cols>
    <col min="1" max="1" width="3.83203125" style="1" customWidth="1"/>
    <col min="2" max="2" width="25.83203125" style="1" customWidth="1"/>
    <col min="3" max="4" width="12.83203125" style="1" customWidth="1"/>
    <col min="5" max="5" width="3.83203125" style="1" customWidth="1"/>
    <col min="6" max="6" width="24.83203125" style="1" customWidth="1"/>
    <col min="7" max="7" width="10.83203125" style="1"/>
    <col min="8" max="8" width="3.83203125" style="1" customWidth="1"/>
    <col min="9" max="9" width="5.83203125" style="2" customWidth="1"/>
    <col min="10" max="11" width="12.83203125" style="1" customWidth="1"/>
    <col min="12" max="18" width="12.83203125" style="1" hidden="1" customWidth="1" outlineLevel="1"/>
    <col min="19" max="19" width="12.83203125" style="1" customWidth="1" collapsed="1"/>
    <col min="20" max="20" width="12.83203125" style="1" customWidth="1"/>
    <col min="21" max="22" width="12.83203125" style="1" hidden="1" customWidth="1" outlineLevel="1"/>
    <col min="23" max="23" width="12.83203125" style="1" customWidth="1" collapsed="1"/>
    <col min="24" max="24" width="12.83203125" style="1" customWidth="1"/>
    <col min="25" max="27" width="12.83203125" style="1" hidden="1" customWidth="1" outlineLevel="1"/>
    <col min="28" max="28" width="12.83203125" style="1" customWidth="1" collapsed="1"/>
    <col min="29" max="29" width="12.83203125" style="1" bestFit="1" customWidth="1"/>
    <col min="30" max="30" width="12.83203125" style="1" hidden="1" customWidth="1" outlineLevel="1"/>
    <col min="31" max="31" width="12.83203125" style="1" bestFit="1" customWidth="1" collapsed="1"/>
    <col min="32" max="41" width="12.83203125" style="1" bestFit="1" customWidth="1"/>
    <col min="42" max="16384" width="10.83203125" style="1"/>
  </cols>
  <sheetData>
    <row r="2" spans="2:30" x14ac:dyDescent="0.2">
      <c r="B2" s="17" t="s">
        <v>26</v>
      </c>
      <c r="C2" s="16"/>
      <c r="D2" s="16"/>
      <c r="E2" s="16"/>
      <c r="F2" s="16"/>
      <c r="G2" s="16"/>
      <c r="I2" s="15" t="s">
        <v>25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2:30" ht="17" thickBot="1" x14ac:dyDescent="0.25">
      <c r="B3" s="46" t="s">
        <v>27</v>
      </c>
      <c r="C3" s="46"/>
      <c r="F3" s="46" t="s">
        <v>28</v>
      </c>
      <c r="G3" s="46"/>
    </row>
    <row r="4" spans="2:30" ht="17" thickTop="1" x14ac:dyDescent="0.2">
      <c r="B4" s="37" t="s">
        <v>39</v>
      </c>
      <c r="C4" s="49">
        <v>2500000</v>
      </c>
      <c r="F4" s="40" t="s">
        <v>49</v>
      </c>
      <c r="G4" s="44">
        <v>6000</v>
      </c>
      <c r="I4" s="33" t="s">
        <v>1</v>
      </c>
      <c r="J4" s="4" t="s">
        <v>2</v>
      </c>
      <c r="K4" s="4" t="s">
        <v>18</v>
      </c>
      <c r="L4" s="4" t="s">
        <v>4</v>
      </c>
      <c r="M4" s="4" t="s">
        <v>9</v>
      </c>
      <c r="N4" s="4" t="s">
        <v>5</v>
      </c>
      <c r="O4" s="4" t="s">
        <v>6</v>
      </c>
      <c r="P4" s="4" t="s">
        <v>10</v>
      </c>
      <c r="Q4" s="4" t="s">
        <v>21</v>
      </c>
      <c r="R4" s="4" t="s">
        <v>19</v>
      </c>
      <c r="S4" s="4" t="s">
        <v>3</v>
      </c>
      <c r="T4" s="4" t="s">
        <v>11</v>
      </c>
      <c r="U4" s="4" t="s">
        <v>17</v>
      </c>
      <c r="V4" s="4" t="s">
        <v>16</v>
      </c>
      <c r="W4" s="18" t="s">
        <v>12</v>
      </c>
      <c r="X4" s="18" t="s">
        <v>13</v>
      </c>
      <c r="Y4" s="4" t="s">
        <v>22</v>
      </c>
      <c r="Z4" s="4" t="s">
        <v>23</v>
      </c>
      <c r="AA4" s="4" t="s">
        <v>24</v>
      </c>
      <c r="AB4" s="23" t="s">
        <v>14</v>
      </c>
      <c r="AC4" s="24" t="s">
        <v>15</v>
      </c>
      <c r="AD4" s="10" t="s">
        <v>22</v>
      </c>
    </row>
    <row r="5" spans="2:30" x14ac:dyDescent="0.2">
      <c r="B5" s="37" t="s">
        <v>38</v>
      </c>
      <c r="C5" s="39">
        <v>0.25</v>
      </c>
      <c r="D5" s="47">
        <f>C4*C5</f>
        <v>625000</v>
      </c>
      <c r="F5" s="40" t="s">
        <v>48</v>
      </c>
      <c r="G5" s="50">
        <v>3.5000000000000003E-2</v>
      </c>
      <c r="I5" s="34">
        <v>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>
        <v>0</v>
      </c>
      <c r="V5" s="6">
        <v>0</v>
      </c>
      <c r="W5" s="19"/>
      <c r="X5" s="19"/>
      <c r="Y5" s="5"/>
      <c r="Z5" s="5"/>
      <c r="AA5" s="5"/>
      <c r="AB5" s="25"/>
      <c r="AC5" s="26"/>
      <c r="AD5" s="11"/>
    </row>
    <row r="6" spans="2:30" x14ac:dyDescent="0.2">
      <c r="B6" s="37" t="s">
        <v>37</v>
      </c>
      <c r="C6" s="39">
        <v>6.7500000000000004E-2</v>
      </c>
      <c r="F6" s="40" t="s">
        <v>47</v>
      </c>
      <c r="G6" s="50">
        <v>0.08</v>
      </c>
      <c r="I6" s="34">
        <v>1</v>
      </c>
      <c r="J6" s="6">
        <f>SUM(C4*C5,C4*C10,L6,N6)</f>
        <v>875272.07172784838</v>
      </c>
      <c r="K6" s="6">
        <f>J6-R6</f>
        <v>845043.64075860882</v>
      </c>
      <c r="L6" s="6">
        <f t="shared" ref="L6:L45" si="0">$C$21*12</f>
        <v>145934.57172784844</v>
      </c>
      <c r="M6" s="6">
        <f>SUMIFS($C$27:$C$386,$B$27:$B$386,"&gt;" &amp; (I6-1)*12,$B$27:$B$386,"&lt;=" &amp; (I6)*12)</f>
        <v>19982.776022683593</v>
      </c>
      <c r="N6" s="6">
        <f>SUM($C$12:$C$13)*O6+$C$14</f>
        <v>54337.5</v>
      </c>
      <c r="O6" s="6">
        <f t="shared" ref="O6:O35" si="1">$C$4*(1+$C$8)^I6</f>
        <v>2587500</v>
      </c>
      <c r="P6" s="6">
        <f>O6-(1-$C$5)*$C$4+SUM($M$6:$M6)</f>
        <v>732482.7760226836</v>
      </c>
      <c r="Q6" s="6">
        <f>$C$4*(1-$C$5)-SUM($M$6:$M6)</f>
        <v>1855017.2239773164</v>
      </c>
      <c r="R6" s="6">
        <f>(L6-M6)*$C$16</f>
        <v>30228.430969239562</v>
      </c>
      <c r="S6" s="6">
        <f>$G$4*12*(1+$G$5)^(I6-1)</f>
        <v>72000</v>
      </c>
      <c r="T6" s="6">
        <f>K6-S6</f>
        <v>773043.64075860882</v>
      </c>
      <c r="U6" s="6">
        <f>(U5+IF(T6&lt;=0,-T6,0))*(1+$G$6)</f>
        <v>0</v>
      </c>
      <c r="V6" s="6">
        <f>(V5+IF(T6&gt;=0,T6,0))*(1+$G$6)</f>
        <v>834887.13201929757</v>
      </c>
      <c r="W6" s="20">
        <f>P6+U6</f>
        <v>732482.7760226836</v>
      </c>
      <c r="X6" s="20">
        <f>W6-Y6*$C$18-$C$11*O6</f>
        <v>603107.7760226836</v>
      </c>
      <c r="Y6" s="6">
        <f>SUM(Z6:AA6)</f>
        <v>0</v>
      </c>
      <c r="Z6" s="6">
        <f>MAX(O6-$C$4-$C$19, 0)</f>
        <v>0</v>
      </c>
      <c r="AA6" s="6">
        <f>U6+SUMIF($T$6:$T6,"&lt;=0",$T$6:$T6)</f>
        <v>0</v>
      </c>
      <c r="AB6" s="27">
        <f t="shared" ref="AB6:AB35" si="2">V6</f>
        <v>834887.13201929757</v>
      </c>
      <c r="AC6" s="28">
        <f t="shared" ref="AC6:AC45" si="3">AB6-AD6*$G$7</f>
        <v>825610.60833019426</v>
      </c>
      <c r="AD6" s="12">
        <f>V6-SUMIF($T$6:$T6,"&gt;=0",$T$6:$T6)</f>
        <v>61843.491260688752</v>
      </c>
    </row>
    <row r="7" spans="2:30" ht="17" thickBot="1" x14ac:dyDescent="0.25">
      <c r="B7" s="37" t="s">
        <v>32</v>
      </c>
      <c r="C7" s="38">
        <v>30</v>
      </c>
      <c r="F7" s="45" t="s">
        <v>46</v>
      </c>
      <c r="G7" s="51">
        <v>0.15</v>
      </c>
      <c r="I7" s="34">
        <v>2</v>
      </c>
      <c r="J7" s="6">
        <f t="shared" ref="J7:J35" si="4">SUM(L7,N7)</f>
        <v>202173.88422784844</v>
      </c>
      <c r="K7" s="6">
        <f t="shared" ref="K7:K35" si="5">J7-R7</f>
        <v>172279.37952935352</v>
      </c>
      <c r="L7" s="6">
        <f t="shared" si="0"/>
        <v>145934.57172784844</v>
      </c>
      <c r="M7" s="6">
        <f t="shared" ref="M7:M35" si="6">SUMIFS($C$27:$C$386,$B$27:$B$386,"&gt;" &amp; (I7-1)*12,$B$27:$B$386,"&lt;=" &amp; (I7)*12)</f>
        <v>21374.135484119648</v>
      </c>
      <c r="N7" s="6">
        <f t="shared" ref="N7:N35" si="7">SUM($C$12:$C$13)*O7+$C$14</f>
        <v>56239.312499999993</v>
      </c>
      <c r="O7" s="6">
        <f t="shared" si="1"/>
        <v>2678062.4999999995</v>
      </c>
      <c r="P7" s="6">
        <f>O7-(1-$C$5)*$C$4+SUM($M$6:$M7)</f>
        <v>844419.41150680277</v>
      </c>
      <c r="Q7" s="6">
        <f>$C$4*(1-$C$5)-SUM($M$6:$M7)</f>
        <v>1833643.0884931968</v>
      </c>
      <c r="R7" s="6">
        <f t="shared" ref="R7:R35" si="8">(L7-M7)*$C$16</f>
        <v>29894.504698494908</v>
      </c>
      <c r="S7" s="6">
        <f t="shared" ref="S7:S35" si="9">$G$4*12*(1+$G$5)^(I7-1)</f>
        <v>74520</v>
      </c>
      <c r="T7" s="6">
        <f t="shared" ref="T7:T35" si="10">K7-S7</f>
        <v>97759.379529353522</v>
      </c>
      <c r="U7" s="6">
        <f t="shared" ref="U7:U35" si="11">(U6+IF(T7&lt;=0,-T7,0))*(1+$G$6)</f>
        <v>0</v>
      </c>
      <c r="V7" s="6">
        <f>(V6+IF(T7&gt;=0,T7,0))*(1+$G$6)</f>
        <v>1007258.2324725433</v>
      </c>
      <c r="W7" s="20">
        <f t="shared" ref="W7:W35" si="12">P7+U7</f>
        <v>844419.41150680277</v>
      </c>
      <c r="X7" s="20">
        <f t="shared" ref="X7:X35" si="13">W7-Y7*$C$18-$C$11*O7</f>
        <v>710516.28650680277</v>
      </c>
      <c r="Y7" s="6">
        <f t="shared" ref="Y7:Y35" si="14">SUM(Z7:AA7)</f>
        <v>0</v>
      </c>
      <c r="Z7" s="6">
        <f t="shared" ref="Z7:Z35" si="15">MAX(O7-$C$4-$C$19, 0)</f>
        <v>0</v>
      </c>
      <c r="AA7" s="6">
        <f>U7+SUMIF($T$6:$T7,"&lt;=0",$T$6:$T7)</f>
        <v>0</v>
      </c>
      <c r="AB7" s="27">
        <f t="shared" si="2"/>
        <v>1007258.2324725433</v>
      </c>
      <c r="AC7" s="28">
        <f t="shared" si="3"/>
        <v>986789.95064485609</v>
      </c>
      <c r="AD7" s="12">
        <f>V7-SUMIF($T$6:$T7,"&gt;=0",$T$6:$T7)</f>
        <v>136455.21218458086</v>
      </c>
    </row>
    <row r="8" spans="2:30" x14ac:dyDescent="0.2">
      <c r="B8" s="37" t="s">
        <v>36</v>
      </c>
      <c r="C8" s="39">
        <v>3.5000000000000003E-2</v>
      </c>
      <c r="I8" s="34">
        <v>3</v>
      </c>
      <c r="J8" s="6">
        <f t="shared" si="4"/>
        <v>204142.26016534842</v>
      </c>
      <c r="K8" s="6">
        <f t="shared" si="5"/>
        <v>174604.93233479722</v>
      </c>
      <c r="L8" s="6">
        <f t="shared" si="0"/>
        <v>145934.57172784844</v>
      </c>
      <c r="M8" s="6">
        <f t="shared" si="6"/>
        <v>22862.372433885157</v>
      </c>
      <c r="N8" s="6">
        <f t="shared" si="7"/>
        <v>58207.688437499994</v>
      </c>
      <c r="O8" s="6">
        <f t="shared" si="1"/>
        <v>2771794.6874999995</v>
      </c>
      <c r="P8" s="6">
        <f>O8-(1-$C$5)*$C$4+SUM($M$6:$M8)</f>
        <v>961013.97144068789</v>
      </c>
      <c r="Q8" s="6">
        <f>$C$4*(1-$C$5)-SUM($M$6:$M8)</f>
        <v>1810780.7160593115</v>
      </c>
      <c r="R8" s="6">
        <f t="shared" si="8"/>
        <v>29537.327830551185</v>
      </c>
      <c r="S8" s="6">
        <f t="shared" si="9"/>
        <v>77128.2</v>
      </c>
      <c r="T8" s="6">
        <f t="shared" si="10"/>
        <v>97476.732334797227</v>
      </c>
      <c r="U8" s="6">
        <f t="shared" si="11"/>
        <v>0</v>
      </c>
      <c r="V8" s="6">
        <f t="shared" ref="V8:V35" si="16">(V7+IF(T8&gt;=0,T8,0))*(1+$G$6)</f>
        <v>1193113.7619919276</v>
      </c>
      <c r="W8" s="20">
        <f t="shared" si="12"/>
        <v>961013.97144068789</v>
      </c>
      <c r="X8" s="20">
        <f t="shared" si="13"/>
        <v>822424.23706568789</v>
      </c>
      <c r="Y8" s="6">
        <f t="shared" si="14"/>
        <v>0</v>
      </c>
      <c r="Z8" s="6">
        <f t="shared" si="15"/>
        <v>0</v>
      </c>
      <c r="AA8" s="6">
        <f>U8+SUMIF($T$6:$T8,"&lt;=0",$T$6:$T8)</f>
        <v>0</v>
      </c>
      <c r="AB8" s="27">
        <f t="shared" si="2"/>
        <v>1193113.7619919276</v>
      </c>
      <c r="AC8" s="28">
        <f t="shared" si="3"/>
        <v>1159388.6605865525</v>
      </c>
      <c r="AD8" s="12">
        <f>V8-SUMIF($T$6:$T8,"&gt;=0",$T$6:$T8)</f>
        <v>224834.00936916796</v>
      </c>
    </row>
    <row r="9" spans="2:30" x14ac:dyDescent="0.2">
      <c r="B9" s="40"/>
      <c r="C9" s="41"/>
      <c r="I9" s="34">
        <v>4</v>
      </c>
      <c r="J9" s="6">
        <f t="shared" si="4"/>
        <v>206179.52926066093</v>
      </c>
      <c r="K9" s="6">
        <f t="shared" si="5"/>
        <v>177024.24778635957</v>
      </c>
      <c r="L9" s="6">
        <f t="shared" si="0"/>
        <v>145934.57172784844</v>
      </c>
      <c r="M9" s="6">
        <f t="shared" si="6"/>
        <v>24454.232251592766</v>
      </c>
      <c r="N9" s="6">
        <f t="shared" si="7"/>
        <v>60244.957532812485</v>
      </c>
      <c r="O9" s="6">
        <f t="shared" si="1"/>
        <v>2868807.501562499</v>
      </c>
      <c r="P9" s="6">
        <f>O9-(1-$C$5)*$C$4+SUM($M$6:$M9)</f>
        <v>1082481.0177547801</v>
      </c>
      <c r="Q9" s="6">
        <f>$C$4*(1-$C$5)-SUM($M$6:$M9)</f>
        <v>1786326.4838077188</v>
      </c>
      <c r="R9" s="6">
        <f t="shared" si="8"/>
        <v>29155.281474301359</v>
      </c>
      <c r="S9" s="6">
        <f t="shared" si="9"/>
        <v>79827.686999999976</v>
      </c>
      <c r="T9" s="6">
        <f t="shared" si="10"/>
        <v>97196.560786359594</v>
      </c>
      <c r="U9" s="6">
        <f t="shared" si="11"/>
        <v>0</v>
      </c>
      <c r="V9" s="6">
        <f t="shared" si="16"/>
        <v>1393535.1486005504</v>
      </c>
      <c r="W9" s="20">
        <f t="shared" si="12"/>
        <v>1082481.0177547801</v>
      </c>
      <c r="X9" s="20">
        <f t="shared" si="13"/>
        <v>939040.6426766552</v>
      </c>
      <c r="Y9" s="6">
        <f t="shared" si="14"/>
        <v>0</v>
      </c>
      <c r="Z9" s="6">
        <f t="shared" si="15"/>
        <v>0</v>
      </c>
      <c r="AA9" s="6">
        <f>U9+SUMIF($T$6:$T9,"&lt;=0",$T$6:$T9)</f>
        <v>0</v>
      </c>
      <c r="AB9" s="27">
        <f t="shared" si="2"/>
        <v>1393535.1486005504</v>
      </c>
      <c r="AC9" s="28">
        <f t="shared" si="3"/>
        <v>1344326.3233218356</v>
      </c>
      <c r="AD9" s="12">
        <f>V9-SUMIF($T$6:$T9,"&gt;=0",$T$6:$T9)</f>
        <v>328058.83519143099</v>
      </c>
    </row>
    <row r="10" spans="2:30" x14ac:dyDescent="0.2">
      <c r="B10" s="37" t="s">
        <v>33</v>
      </c>
      <c r="C10" s="39">
        <v>0.02</v>
      </c>
      <c r="I10" s="34">
        <v>5</v>
      </c>
      <c r="J10" s="6">
        <f t="shared" si="4"/>
        <v>208288.10277430934</v>
      </c>
      <c r="K10" s="6">
        <f t="shared" si="5"/>
        <v>179541.46875571826</v>
      </c>
      <c r="L10" s="6">
        <f t="shared" si="0"/>
        <v>145934.57172784844</v>
      </c>
      <c r="M10" s="6">
        <f t="shared" si="6"/>
        <v>26156.929983718928</v>
      </c>
      <c r="N10" s="6">
        <f t="shared" si="7"/>
        <v>62353.531046460921</v>
      </c>
      <c r="O10" s="6">
        <f t="shared" si="1"/>
        <v>2969215.7641171864</v>
      </c>
      <c r="P10" s="6">
        <f>O10-(1-$C$5)*$C$4+SUM($M$6:$M10)</f>
        <v>1209046.2102931866</v>
      </c>
      <c r="Q10" s="6">
        <f>$C$4*(1-$C$5)-SUM($M$6:$M10)</f>
        <v>1760169.5538239998</v>
      </c>
      <c r="R10" s="6">
        <f t="shared" si="8"/>
        <v>28746.634018591081</v>
      </c>
      <c r="S10" s="6">
        <f t="shared" si="9"/>
        <v>82621.656044999982</v>
      </c>
      <c r="T10" s="6">
        <f t="shared" si="10"/>
        <v>96919.812710718281</v>
      </c>
      <c r="U10" s="6">
        <f t="shared" si="11"/>
        <v>0</v>
      </c>
      <c r="V10" s="6">
        <f t="shared" si="16"/>
        <v>1609691.3582161702</v>
      </c>
      <c r="W10" s="20">
        <f t="shared" si="12"/>
        <v>1209046.2102931866</v>
      </c>
      <c r="X10" s="20">
        <f t="shared" si="13"/>
        <v>1060585.4220873273</v>
      </c>
      <c r="Y10" s="6">
        <f t="shared" si="14"/>
        <v>0</v>
      </c>
      <c r="Z10" s="6">
        <f t="shared" si="15"/>
        <v>0</v>
      </c>
      <c r="AA10" s="6">
        <f>U10+SUMIF($T$6:$T10,"&lt;=0",$T$6:$T10)</f>
        <v>0</v>
      </c>
      <c r="AB10" s="27">
        <f t="shared" si="2"/>
        <v>1609691.3582161702</v>
      </c>
      <c r="AC10" s="28">
        <f t="shared" si="3"/>
        <v>1542597.0734017203</v>
      </c>
      <c r="AD10" s="12">
        <f>V10-SUMIF($T$6:$T10,"&gt;=0",$T$6:$T10)</f>
        <v>447295.23209633259</v>
      </c>
    </row>
    <row r="11" spans="2:30" x14ac:dyDescent="0.2">
      <c r="B11" s="37" t="s">
        <v>34</v>
      </c>
      <c r="C11" s="39">
        <v>0.05</v>
      </c>
      <c r="I11" s="34">
        <v>6</v>
      </c>
      <c r="J11" s="6">
        <f t="shared" si="4"/>
        <v>210470.47636093548</v>
      </c>
      <c r="K11" s="6">
        <f t="shared" si="5"/>
        <v>182160.94307718112</v>
      </c>
      <c r="L11" s="6">
        <f t="shared" si="0"/>
        <v>145934.57172784844</v>
      </c>
      <c r="M11" s="6">
        <f t="shared" si="6"/>
        <v>27978.183045538521</v>
      </c>
      <c r="N11" s="6">
        <f t="shared" si="7"/>
        <v>64535.904633087055</v>
      </c>
      <c r="O11" s="6">
        <f t="shared" si="1"/>
        <v>3073138.315861288</v>
      </c>
      <c r="P11" s="6">
        <f>O11-(1-$C$5)*$C$4+SUM($M$6:$M11)</f>
        <v>1340946.9450828265</v>
      </c>
      <c r="Q11" s="6">
        <f>$C$4*(1-$C$5)-SUM($M$6:$M11)</f>
        <v>1732191.3707784615</v>
      </c>
      <c r="R11" s="6">
        <f t="shared" si="8"/>
        <v>28309.533283754379</v>
      </c>
      <c r="S11" s="6">
        <f t="shared" si="9"/>
        <v>85513.414006574967</v>
      </c>
      <c r="T11" s="6">
        <f t="shared" si="10"/>
        <v>96647.52907060615</v>
      </c>
      <c r="U11" s="6">
        <f t="shared" si="11"/>
        <v>0</v>
      </c>
      <c r="V11" s="6">
        <f t="shared" si="16"/>
        <v>1842845.9982697186</v>
      </c>
      <c r="W11" s="20">
        <f t="shared" si="12"/>
        <v>1340946.9450828265</v>
      </c>
      <c r="X11" s="20">
        <f t="shared" si="13"/>
        <v>1176319.2819105689</v>
      </c>
      <c r="Y11" s="6">
        <f t="shared" si="14"/>
        <v>73138.315861287992</v>
      </c>
      <c r="Z11" s="6">
        <f t="shared" si="15"/>
        <v>73138.315861287992</v>
      </c>
      <c r="AA11" s="6">
        <f>U11+SUMIF($T$6:$T11,"&lt;=0",$T$6:$T11)</f>
        <v>0</v>
      </c>
      <c r="AB11" s="27">
        <f t="shared" si="2"/>
        <v>1842845.9982697186</v>
      </c>
      <c r="AC11" s="28">
        <f t="shared" si="3"/>
        <v>1755275.6468078273</v>
      </c>
      <c r="AD11" s="12">
        <f>V11-SUMIF($T$6:$T11,"&gt;=0",$T$6:$T11)</f>
        <v>583802.34307927475</v>
      </c>
    </row>
    <row r="12" spans="2:30" x14ac:dyDescent="0.2">
      <c r="B12" s="37" t="s">
        <v>35</v>
      </c>
      <c r="C12" s="39">
        <v>1.1000000000000001E-2</v>
      </c>
      <c r="I12" s="34">
        <v>7</v>
      </c>
      <c r="J12" s="6">
        <f t="shared" si="4"/>
        <v>212729.23302309352</v>
      </c>
      <c r="K12" s="6">
        <f t="shared" si="5"/>
        <v>184887.23489641654</v>
      </c>
      <c r="L12" s="6">
        <f t="shared" si="0"/>
        <v>145934.57172784844</v>
      </c>
      <c r="M12" s="6">
        <f t="shared" si="6"/>
        <v>29926.246200027712</v>
      </c>
      <c r="N12" s="6">
        <f t="shared" si="7"/>
        <v>66794.661295245081</v>
      </c>
      <c r="O12" s="6">
        <f t="shared" si="1"/>
        <v>3180698.1569164325</v>
      </c>
      <c r="P12" s="6">
        <f>O12-(1-$C$5)*$C$4+SUM($M$6:$M12)</f>
        <v>1478433.032337999</v>
      </c>
      <c r="Q12" s="6">
        <f>$C$4*(1-$C$5)-SUM($M$6:$M12)</f>
        <v>1702265.1245784336</v>
      </c>
      <c r="R12" s="6">
        <f t="shared" si="8"/>
        <v>27841.998126676972</v>
      </c>
      <c r="S12" s="6">
        <f t="shared" si="9"/>
        <v>88506.383496805094</v>
      </c>
      <c r="T12" s="6">
        <f t="shared" si="10"/>
        <v>96380.851399611449</v>
      </c>
      <c r="U12" s="6">
        <f t="shared" si="11"/>
        <v>0</v>
      </c>
      <c r="V12" s="6">
        <f t="shared" si="16"/>
        <v>2094364.9976428766</v>
      </c>
      <c r="W12" s="20">
        <f t="shared" si="12"/>
        <v>1478433.032337999</v>
      </c>
      <c r="X12" s="20">
        <f t="shared" si="13"/>
        <v>1292293.4009547124</v>
      </c>
      <c r="Y12" s="6">
        <f t="shared" si="14"/>
        <v>180698.15691643255</v>
      </c>
      <c r="Z12" s="6">
        <f t="shared" si="15"/>
        <v>180698.15691643255</v>
      </c>
      <c r="AA12" s="6">
        <f>U12+SUMIF($T$6:$T12,"&lt;=0",$T$6:$T12)</f>
        <v>0</v>
      </c>
      <c r="AB12" s="27">
        <f t="shared" si="2"/>
        <v>2094364.9976428766</v>
      </c>
      <c r="AC12" s="28">
        <f t="shared" si="3"/>
        <v>1983523.9239849534</v>
      </c>
      <c r="AD12" s="12">
        <f>V12-SUMIF($T$6:$T12,"&gt;=0",$T$6:$T12)</f>
        <v>738940.49105282128</v>
      </c>
    </row>
    <row r="13" spans="2:30" x14ac:dyDescent="0.2">
      <c r="B13" s="37" t="s">
        <v>40</v>
      </c>
      <c r="C13" s="39">
        <v>0.01</v>
      </c>
      <c r="I13" s="34">
        <v>8</v>
      </c>
      <c r="J13" s="6">
        <f t="shared" si="4"/>
        <v>215067.0461684271</v>
      </c>
      <c r="K13" s="6">
        <f t="shared" si="5"/>
        <v>187725.13670708961</v>
      </c>
      <c r="L13" s="6">
        <f t="shared" si="0"/>
        <v>145934.57172784844</v>
      </c>
      <c r="M13" s="6">
        <f t="shared" si="6"/>
        <v>32009.94897227555</v>
      </c>
      <c r="N13" s="6">
        <f t="shared" si="7"/>
        <v>69132.474440578648</v>
      </c>
      <c r="O13" s="6">
        <f t="shared" si="1"/>
        <v>3292022.5924085071</v>
      </c>
      <c r="P13" s="6">
        <f>O13-(1-$C$5)*$C$4+SUM($M$6:$M13)</f>
        <v>1621767.416802349</v>
      </c>
      <c r="Q13" s="6">
        <f>$C$4*(1-$C$5)-SUM($M$6:$M13)</f>
        <v>1670255.1756061581</v>
      </c>
      <c r="R13" s="6">
        <f t="shared" si="8"/>
        <v>27341.909461337491</v>
      </c>
      <c r="S13" s="6">
        <f t="shared" si="9"/>
        <v>91604.106919193262</v>
      </c>
      <c r="T13" s="6">
        <f t="shared" si="10"/>
        <v>96121.029787896347</v>
      </c>
      <c r="U13" s="6">
        <f t="shared" si="11"/>
        <v>0</v>
      </c>
      <c r="V13" s="6">
        <f t="shared" si="16"/>
        <v>2365724.9096252345</v>
      </c>
      <c r="W13" s="20">
        <f t="shared" si="12"/>
        <v>1621767.416802349</v>
      </c>
      <c r="X13" s="20">
        <f t="shared" si="13"/>
        <v>1413362.8983206477</v>
      </c>
      <c r="Y13" s="6">
        <f t="shared" si="14"/>
        <v>292022.59240850713</v>
      </c>
      <c r="Z13" s="6">
        <f t="shared" si="15"/>
        <v>292022.59240850713</v>
      </c>
      <c r="AA13" s="6">
        <f>U13+SUMIF($T$6:$T13,"&lt;=0",$T$6:$T13)</f>
        <v>0</v>
      </c>
      <c r="AB13" s="27">
        <f t="shared" si="2"/>
        <v>2365724.9096252345</v>
      </c>
      <c r="AC13" s="28">
        <f t="shared" si="3"/>
        <v>2228598.0036381423</v>
      </c>
      <c r="AD13" s="12">
        <f>V13-SUMIF($T$6:$T13,"&gt;=0",$T$6:$T13)</f>
        <v>914179.37324728281</v>
      </c>
    </row>
    <row r="14" spans="2:30" x14ac:dyDescent="0.2">
      <c r="B14" s="37" t="s">
        <v>41</v>
      </c>
      <c r="C14" s="38">
        <v>0</v>
      </c>
      <c r="I14" s="34">
        <v>9</v>
      </c>
      <c r="J14" s="6">
        <f t="shared" si="4"/>
        <v>217486.68277384734</v>
      </c>
      <c r="K14" s="6">
        <f t="shared" si="5"/>
        <v>190679.68211971986</v>
      </c>
      <c r="L14" s="6">
        <f t="shared" si="0"/>
        <v>145934.57172784844</v>
      </c>
      <c r="M14" s="6">
        <f t="shared" si="6"/>
        <v>34238.735668983958</v>
      </c>
      <c r="N14" s="6">
        <f t="shared" si="7"/>
        <v>71552.111045998899</v>
      </c>
      <c r="O14" s="6">
        <f t="shared" si="1"/>
        <v>3407243.3831428047</v>
      </c>
      <c r="P14" s="6">
        <f>O14-(1-$C$5)*$C$4+SUM($M$6:$M14)</f>
        <v>1771226.9432056304</v>
      </c>
      <c r="Q14" s="6">
        <f>$C$4*(1-$C$5)-SUM($M$6:$M14)</f>
        <v>1636016.4399371743</v>
      </c>
      <c r="R14" s="6">
        <f t="shared" si="8"/>
        <v>26807.000654127474</v>
      </c>
      <c r="S14" s="6">
        <f t="shared" si="9"/>
        <v>94810.250661365004</v>
      </c>
      <c r="T14" s="6">
        <f t="shared" si="10"/>
        <v>95869.431458354855</v>
      </c>
      <c r="U14" s="6">
        <f t="shared" si="11"/>
        <v>0</v>
      </c>
      <c r="V14" s="6">
        <f t="shared" si="16"/>
        <v>2658521.8883702769</v>
      </c>
      <c r="W14" s="20">
        <f t="shared" si="12"/>
        <v>1771226.9432056304</v>
      </c>
      <c r="X14" s="20">
        <f t="shared" si="13"/>
        <v>1539778.2665770694</v>
      </c>
      <c r="Y14" s="6">
        <f t="shared" si="14"/>
        <v>407243.38314280473</v>
      </c>
      <c r="Z14" s="6">
        <f t="shared" si="15"/>
        <v>407243.38314280473</v>
      </c>
      <c r="AA14" s="6">
        <f>U14+SUMIF($T$6:$T14,"&lt;=0",$T$6:$T14)</f>
        <v>0</v>
      </c>
      <c r="AB14" s="27">
        <f t="shared" si="2"/>
        <v>2658521.8883702769</v>
      </c>
      <c r="AC14" s="28">
        <f t="shared" si="3"/>
        <v>2491855.8502901816</v>
      </c>
      <c r="AD14" s="12">
        <f>V14-SUMIF($T$6:$T14,"&gt;=0",$T$6:$T14)</f>
        <v>1111106.9205339702</v>
      </c>
    </row>
    <row r="15" spans="2:30" x14ac:dyDescent="0.2">
      <c r="B15" s="40"/>
      <c r="C15" s="41"/>
      <c r="I15" s="35">
        <v>10</v>
      </c>
      <c r="J15" s="7">
        <f t="shared" si="4"/>
        <v>219991.00666045729</v>
      </c>
      <c r="K15" s="7">
        <f t="shared" si="5"/>
        <v>193756.15941003995</v>
      </c>
      <c r="L15" s="7">
        <f t="shared" si="0"/>
        <v>145934.57172784844</v>
      </c>
      <c r="M15" s="7">
        <f t="shared" si="6"/>
        <v>36622.708184442861</v>
      </c>
      <c r="N15" s="7">
        <f t="shared" si="7"/>
        <v>74056.434932608856</v>
      </c>
      <c r="O15" s="7">
        <f t="shared" si="1"/>
        <v>3526496.9015528024</v>
      </c>
      <c r="P15" s="7">
        <f>O15-(1-$C$5)*$C$4+SUM($M$6:$M15)</f>
        <v>1927103.169800071</v>
      </c>
      <c r="Q15" s="7">
        <f>$C$4*(1-$C$5)-SUM($M$6:$M15)</f>
        <v>1599393.7317527314</v>
      </c>
      <c r="R15" s="7">
        <f t="shared" si="8"/>
        <v>26234.847250417337</v>
      </c>
      <c r="S15" s="7">
        <f t="shared" si="9"/>
        <v>98128.609434512764</v>
      </c>
      <c r="T15" s="7">
        <f t="shared" si="10"/>
        <v>95627.549975527189</v>
      </c>
      <c r="U15" s="7">
        <f t="shared" si="11"/>
        <v>0</v>
      </c>
      <c r="V15" s="7">
        <f t="shared" si="16"/>
        <v>2974481.3934134683</v>
      </c>
      <c r="W15" s="21">
        <f>P15+U15</f>
        <v>1927103.169800071</v>
      </c>
      <c r="X15" s="21">
        <f t="shared" si="13"/>
        <v>1671803.7894895105</v>
      </c>
      <c r="Y15" s="7">
        <f>SUM(Z15:AA15)</f>
        <v>526496.90155280242</v>
      </c>
      <c r="Z15" s="7">
        <f t="shared" si="15"/>
        <v>526496.90155280242</v>
      </c>
      <c r="AA15" s="7">
        <f>U15+SUMIF($T$6:$T15,"&lt;=0",$T$6:$T15)</f>
        <v>0</v>
      </c>
      <c r="AB15" s="29">
        <f t="shared" si="2"/>
        <v>2974481.3934134683</v>
      </c>
      <c r="AC15" s="30">
        <f t="shared" si="3"/>
        <v>2774765.5620732233</v>
      </c>
      <c r="AD15" s="13">
        <f>V15-SUMIF($T$6:$T15,"&gt;=0",$T$6:$T15)</f>
        <v>1331438.8756016344</v>
      </c>
    </row>
    <row r="16" spans="2:30" x14ac:dyDescent="0.2">
      <c r="B16" s="37" t="s">
        <v>44</v>
      </c>
      <c r="C16" s="42">
        <v>0.24</v>
      </c>
      <c r="I16" s="34">
        <v>11</v>
      </c>
      <c r="J16" s="6">
        <f t="shared" si="4"/>
        <v>222582.9818830986</v>
      </c>
      <c r="K16" s="6">
        <f t="shared" si="5"/>
        <v>196960.12589729429</v>
      </c>
      <c r="L16" s="6">
        <f t="shared" si="0"/>
        <v>145934.57172784844</v>
      </c>
      <c r="M16" s="6">
        <f t="shared" si="6"/>
        <v>39172.671786997082</v>
      </c>
      <c r="N16" s="6">
        <f t="shared" si="7"/>
        <v>76648.410155250167</v>
      </c>
      <c r="O16" s="6">
        <f t="shared" si="1"/>
        <v>3649924.2931071506</v>
      </c>
      <c r="P16" s="6">
        <f>O16-(1-$C$5)*$C$4+SUM($M$6:$M16)</f>
        <v>2089703.2331414162</v>
      </c>
      <c r="Q16" s="6">
        <f>$C$4*(1-$C$5)-SUM($M$6:$M16)</f>
        <v>1560221.0599657344</v>
      </c>
      <c r="R16" s="6">
        <f t="shared" si="8"/>
        <v>25622.855985804323</v>
      </c>
      <c r="S16" s="6">
        <f t="shared" si="9"/>
        <v>101563.11076472071</v>
      </c>
      <c r="T16" s="6">
        <f t="shared" si="10"/>
        <v>95397.015132573579</v>
      </c>
      <c r="U16" s="6">
        <f t="shared" si="11"/>
        <v>0</v>
      </c>
      <c r="V16" s="6">
        <f t="shared" si="16"/>
        <v>3315468.6812297255</v>
      </c>
      <c r="W16" s="20">
        <f t="shared" si="12"/>
        <v>2089703.2331414162</v>
      </c>
      <c r="X16" s="20">
        <f t="shared" si="13"/>
        <v>1809718.3745199861</v>
      </c>
      <c r="Y16" s="6">
        <f t="shared" si="14"/>
        <v>649924.29310715059</v>
      </c>
      <c r="Z16" s="6">
        <f t="shared" si="15"/>
        <v>649924.29310715059</v>
      </c>
      <c r="AA16" s="6">
        <f>U16+SUMIF($T$6:$T16,"&lt;=0",$T$6:$T16)</f>
        <v>0</v>
      </c>
      <c r="AB16" s="27">
        <f t="shared" si="2"/>
        <v>3315468.6812297255</v>
      </c>
      <c r="AC16" s="28">
        <f t="shared" si="3"/>
        <v>3078914.3089869278</v>
      </c>
      <c r="AD16" s="12">
        <f>V16-SUMIF($T$6:$T16,"&gt;=0",$T$6:$T16)</f>
        <v>1577029.1482853179</v>
      </c>
    </row>
    <row r="17" spans="2:30" x14ac:dyDescent="0.2">
      <c r="B17" s="37" t="s">
        <v>0</v>
      </c>
      <c r="C17" s="41" t="s">
        <v>20</v>
      </c>
      <c r="I17" s="34">
        <v>12</v>
      </c>
      <c r="J17" s="6">
        <f t="shared" si="4"/>
        <v>225265.67623853235</v>
      </c>
      <c r="K17" s="6">
        <f t="shared" si="5"/>
        <v>200297.42320629602</v>
      </c>
      <c r="L17" s="6">
        <f t="shared" si="0"/>
        <v>145934.57172784844</v>
      </c>
      <c r="M17" s="6">
        <f t="shared" si="6"/>
        <v>41900.18409353037</v>
      </c>
      <c r="N17" s="6">
        <f t="shared" si="7"/>
        <v>79331.10451068393</v>
      </c>
      <c r="O17" s="6">
        <f t="shared" si="1"/>
        <v>3777671.643365901</v>
      </c>
      <c r="P17" s="6">
        <f>O17-(1-$C$5)*$C$4+SUM($M$6:$M17)</f>
        <v>2259350.7674936969</v>
      </c>
      <c r="Q17" s="6">
        <f>$C$4*(1-$C$5)-SUM($M$6:$M17)</f>
        <v>1518320.8758722041</v>
      </c>
      <c r="R17" s="6">
        <f t="shared" si="8"/>
        <v>24968.253032236335</v>
      </c>
      <c r="S17" s="6">
        <f t="shared" si="9"/>
        <v>105117.81964148594</v>
      </c>
      <c r="T17" s="6">
        <f t="shared" si="10"/>
        <v>95179.603564810081</v>
      </c>
      <c r="U17" s="6">
        <f t="shared" si="11"/>
        <v>0</v>
      </c>
      <c r="V17" s="6">
        <f>(V16+IF(T17&gt;=0,T17,0))*(1+$G$6)</f>
        <v>3683500.1475780983</v>
      </c>
      <c r="W17" s="20">
        <f t="shared" si="12"/>
        <v>2259350.7674936969</v>
      </c>
      <c r="X17" s="20">
        <f t="shared" si="13"/>
        <v>1953816.4388205167</v>
      </c>
      <c r="Y17" s="6">
        <f t="shared" si="14"/>
        <v>777671.64336590096</v>
      </c>
      <c r="Z17" s="6">
        <f t="shared" si="15"/>
        <v>777671.64336590096</v>
      </c>
      <c r="AA17" s="6">
        <f>U17+SUMIF($T$6:$T17,"&lt;=0",$T$6:$T17)</f>
        <v>0</v>
      </c>
      <c r="AB17" s="27">
        <f t="shared" si="2"/>
        <v>3683500.1475780983</v>
      </c>
      <c r="AC17" s="28">
        <f t="shared" si="3"/>
        <v>3406017.9959177664</v>
      </c>
      <c r="AD17" s="12">
        <f>V17-SUMIF($T$6:$T17,"&gt;=0",$T$6:$T17)</f>
        <v>1849881.0110688808</v>
      </c>
    </row>
    <row r="18" spans="2:30" x14ac:dyDescent="0.2">
      <c r="B18" s="37" t="s">
        <v>43</v>
      </c>
      <c r="C18" s="42">
        <v>0.15</v>
      </c>
      <c r="I18" s="34">
        <v>13</v>
      </c>
      <c r="J18" s="6">
        <f t="shared" si="4"/>
        <v>228042.26489640627</v>
      </c>
      <c r="K18" s="6">
        <f t="shared" si="5"/>
        <v>203774.19347066866</v>
      </c>
      <c r="L18" s="6">
        <f t="shared" si="0"/>
        <v>145934.57172784844</v>
      </c>
      <c r="M18" s="6">
        <f t="shared" si="6"/>
        <v>44817.607453941768</v>
      </c>
      <c r="N18" s="6">
        <f t="shared" si="7"/>
        <v>82107.693168557831</v>
      </c>
      <c r="O18" s="6">
        <f t="shared" si="1"/>
        <v>3909890.1508837063</v>
      </c>
      <c r="P18" s="6">
        <f>O18-(1-$C$5)*$C$4+SUM($M$6:$M18)</f>
        <v>2436386.882465444</v>
      </c>
      <c r="Q18" s="6">
        <f>$C$4*(1-$C$5)-SUM($M$6:$M18)</f>
        <v>1473503.2684182622</v>
      </c>
      <c r="R18" s="6">
        <f t="shared" si="8"/>
        <v>24268.071425737598</v>
      </c>
      <c r="S18" s="6">
        <f t="shared" si="9"/>
        <v>108796.94332893794</v>
      </c>
      <c r="T18" s="6">
        <f t="shared" si="10"/>
        <v>94977.250141730721</v>
      </c>
      <c r="U18" s="6">
        <f t="shared" si="11"/>
        <v>0</v>
      </c>
      <c r="V18" s="6">
        <f t="shared" si="16"/>
        <v>4080755.5895374157</v>
      </c>
      <c r="W18" s="20">
        <f t="shared" si="12"/>
        <v>2436386.882465444</v>
      </c>
      <c r="X18" s="20">
        <f t="shared" si="13"/>
        <v>2104408.8522887025</v>
      </c>
      <c r="Y18" s="6">
        <f t="shared" si="14"/>
        <v>909890.15088370629</v>
      </c>
      <c r="Z18" s="6">
        <f t="shared" si="15"/>
        <v>909890.15088370629</v>
      </c>
      <c r="AA18" s="6">
        <f>U18+SUMIF($T$6:$T18,"&lt;=0",$T$6:$T18)</f>
        <v>0</v>
      </c>
      <c r="AB18" s="27">
        <f t="shared" si="2"/>
        <v>4080755.5895374157</v>
      </c>
      <c r="AC18" s="28">
        <f t="shared" si="3"/>
        <v>3757931.7091044458</v>
      </c>
      <c r="AD18" s="12">
        <f>V18-SUMIF($T$6:$T18,"&gt;=0",$T$6:$T18)</f>
        <v>2152159.2028864673</v>
      </c>
    </row>
    <row r="19" spans="2:30" x14ac:dyDescent="0.2">
      <c r="B19" s="37" t="s">
        <v>42</v>
      </c>
      <c r="C19" s="49">
        <v>500000</v>
      </c>
      <c r="I19" s="34">
        <v>14</v>
      </c>
      <c r="J19" s="6">
        <f t="shared" si="4"/>
        <v>230916.03415730581</v>
      </c>
      <c r="K19" s="6">
        <f t="shared" si="5"/>
        <v>207396.896538553</v>
      </c>
      <c r="L19" s="6">
        <f t="shared" si="0"/>
        <v>145934.57172784844</v>
      </c>
      <c r="M19" s="6">
        <f t="shared" si="6"/>
        <v>47938.164983045019</v>
      </c>
      <c r="N19" s="6">
        <f t="shared" si="7"/>
        <v>84981.462429457373</v>
      </c>
      <c r="O19" s="6">
        <f t="shared" si="1"/>
        <v>4046736.3061646367</v>
      </c>
      <c r="P19" s="6">
        <f>O19-(1-$C$5)*$C$4+SUM($M$6:$M19)</f>
        <v>2621171.2027294198</v>
      </c>
      <c r="Q19" s="6">
        <f>$C$4*(1-$C$5)-SUM($M$6:$M19)</f>
        <v>1425565.1034352172</v>
      </c>
      <c r="R19" s="6">
        <f t="shared" si="8"/>
        <v>23519.137618752819</v>
      </c>
      <c r="S19" s="6">
        <f t="shared" si="9"/>
        <v>112604.83634545075</v>
      </c>
      <c r="T19" s="6">
        <f t="shared" si="10"/>
        <v>94792.060193102254</v>
      </c>
      <c r="U19" s="6">
        <f t="shared" si="11"/>
        <v>0</v>
      </c>
      <c r="V19" s="6">
        <f t="shared" si="16"/>
        <v>4509591.4617089601</v>
      </c>
      <c r="W19" s="20">
        <f t="shared" si="12"/>
        <v>2621171.2027294198</v>
      </c>
      <c r="X19" s="20">
        <f t="shared" si="13"/>
        <v>2261823.9414964924</v>
      </c>
      <c r="Y19" s="6">
        <f t="shared" si="14"/>
        <v>1046736.3061646367</v>
      </c>
      <c r="Z19" s="6">
        <f t="shared" si="15"/>
        <v>1046736.3061646367</v>
      </c>
      <c r="AA19" s="6">
        <f>U19+SUMIF($T$6:$T19,"&lt;=0",$T$6:$T19)</f>
        <v>0</v>
      </c>
      <c r="AB19" s="27">
        <f t="shared" si="2"/>
        <v>4509591.4617089601</v>
      </c>
      <c r="AC19" s="28">
        <f t="shared" si="3"/>
        <v>4136661.0094792238</v>
      </c>
      <c r="AD19" s="12">
        <f>V19-SUMIF($T$6:$T19,"&gt;=0",$T$6:$T19)</f>
        <v>2486203.0148649095</v>
      </c>
    </row>
    <row r="20" spans="2:30" x14ac:dyDescent="0.2">
      <c r="B20" s="40"/>
      <c r="C20" s="41"/>
      <c r="I20" s="34">
        <v>15</v>
      </c>
      <c r="J20" s="6">
        <f t="shared" si="4"/>
        <v>233890.38534233678</v>
      </c>
      <c r="K20" s="6">
        <f t="shared" si="5"/>
        <v>211172.32824617796</v>
      </c>
      <c r="L20" s="6">
        <f t="shared" si="0"/>
        <v>145934.57172784844</v>
      </c>
      <c r="M20" s="6">
        <f t="shared" si="6"/>
        <v>51276.000493853324</v>
      </c>
      <c r="N20" s="6">
        <f t="shared" si="7"/>
        <v>87955.813614488361</v>
      </c>
      <c r="O20" s="6">
        <f t="shared" si="1"/>
        <v>4188372.0768803982</v>
      </c>
      <c r="P20" s="6">
        <f>O20-(1-$C$5)*$C$4+SUM($M$6:$M20)</f>
        <v>2814082.9739390342</v>
      </c>
      <c r="Q20" s="6">
        <f>$C$4*(1-$C$5)-SUM($M$6:$M20)</f>
        <v>1374289.1029413638</v>
      </c>
      <c r="R20" s="6">
        <f t="shared" si="8"/>
        <v>22718.057096158827</v>
      </c>
      <c r="S20" s="6">
        <f t="shared" si="9"/>
        <v>116546.00561754154</v>
      </c>
      <c r="T20" s="6">
        <f t="shared" si="10"/>
        <v>94626.322628636422</v>
      </c>
      <c r="U20" s="6">
        <f t="shared" si="11"/>
        <v>0</v>
      </c>
      <c r="V20" s="6">
        <f t="shared" si="16"/>
        <v>4972555.2070846055</v>
      </c>
      <c r="W20" s="20">
        <f t="shared" si="12"/>
        <v>2814082.9739390342</v>
      </c>
      <c r="X20" s="20">
        <f t="shared" si="13"/>
        <v>2426408.5585629544</v>
      </c>
      <c r="Y20" s="6">
        <f t="shared" si="14"/>
        <v>1188372.0768803982</v>
      </c>
      <c r="Z20" s="6">
        <f t="shared" si="15"/>
        <v>1188372.0768803982</v>
      </c>
      <c r="AA20" s="6">
        <f>U20+SUMIF($T$6:$T20,"&lt;=0",$T$6:$T20)</f>
        <v>0</v>
      </c>
      <c r="AB20" s="27">
        <f t="shared" si="2"/>
        <v>4972555.2070846055</v>
      </c>
      <c r="AC20" s="28">
        <f t="shared" si="3"/>
        <v>4544374.1414428176</v>
      </c>
      <c r="AD20" s="12">
        <f>V20-SUMIF($T$6:$T20,"&gt;=0",$T$6:$T20)</f>
        <v>2854540.4376119184</v>
      </c>
    </row>
    <row r="21" spans="2:30" ht="17" thickBot="1" x14ac:dyDescent="0.25">
      <c r="B21" s="43" t="s">
        <v>45</v>
      </c>
      <c r="C21" s="48">
        <f>PMT(C6/12,C7*12,(1-C5)*-C4)</f>
        <v>12161.214310654037</v>
      </c>
      <c r="I21" s="34">
        <v>16</v>
      </c>
      <c r="J21" s="6">
        <f t="shared" si="4"/>
        <v>236968.83881884388</v>
      </c>
      <c r="K21" s="6">
        <f t="shared" si="5"/>
        <v>215107.63982909513</v>
      </c>
      <c r="L21" s="6">
        <f t="shared" si="0"/>
        <v>145934.57172784844</v>
      </c>
      <c r="M21" s="6">
        <f t="shared" si="6"/>
        <v>54846.242603895342</v>
      </c>
      <c r="N21" s="6">
        <f t="shared" si="7"/>
        <v>91034.267090995447</v>
      </c>
      <c r="O21" s="6">
        <f t="shared" si="1"/>
        <v>4334965.0995712113</v>
      </c>
      <c r="P21" s="6">
        <f>O21-(1-$C$5)*$C$4+SUM($M$6:$M21)</f>
        <v>3015522.2392337429</v>
      </c>
      <c r="Q21" s="6">
        <f>$C$4*(1-$C$5)-SUM($M$6:$M21)</f>
        <v>1319442.8603374683</v>
      </c>
      <c r="R21" s="6">
        <f t="shared" si="8"/>
        <v>21861.198989748744</v>
      </c>
      <c r="S21" s="6">
        <f t="shared" si="9"/>
        <v>120625.11581415548</v>
      </c>
      <c r="T21" s="6">
        <f t="shared" si="10"/>
        <v>94482.524014939656</v>
      </c>
      <c r="U21" s="6">
        <f t="shared" si="11"/>
        <v>0</v>
      </c>
      <c r="V21" s="6">
        <f t="shared" si="16"/>
        <v>5472400.7495875088</v>
      </c>
      <c r="W21" s="20">
        <f t="shared" si="12"/>
        <v>3015522.2392337429</v>
      </c>
      <c r="X21" s="20">
        <f t="shared" si="13"/>
        <v>2598529.219319501</v>
      </c>
      <c r="Y21" s="6">
        <f t="shared" si="14"/>
        <v>1334965.0995712113</v>
      </c>
      <c r="Z21" s="6">
        <f t="shared" si="15"/>
        <v>1334965.0995712113</v>
      </c>
      <c r="AA21" s="6">
        <f>U21+SUMIF($T$6:$T21,"&lt;=0",$T$6:$T21)</f>
        <v>0</v>
      </c>
      <c r="AB21" s="27">
        <f t="shared" si="2"/>
        <v>5472400.7495875088</v>
      </c>
      <c r="AC21" s="28">
        <f t="shared" si="3"/>
        <v>4983415.2311725263</v>
      </c>
      <c r="AD21" s="12">
        <f>V21-SUMIF($T$6:$T21,"&gt;=0",$T$6:$T21)</f>
        <v>3259903.4560998823</v>
      </c>
    </row>
    <row r="22" spans="2:30" x14ac:dyDescent="0.2">
      <c r="I22" s="34">
        <v>17</v>
      </c>
      <c r="J22" s="6">
        <f t="shared" si="4"/>
        <v>240155.03816702875</v>
      </c>
      <c r="K22" s="6">
        <f t="shared" si="5"/>
        <v>219210.35854557424</v>
      </c>
      <c r="L22" s="6">
        <f t="shared" si="0"/>
        <v>145934.57172784844</v>
      </c>
      <c r="M22" s="6">
        <f t="shared" si="6"/>
        <v>58665.073305121346</v>
      </c>
      <c r="N22" s="6">
        <f t="shared" si="7"/>
        <v>94220.466439180294</v>
      </c>
      <c r="O22" s="6">
        <f t="shared" si="1"/>
        <v>4486688.8780562039</v>
      </c>
      <c r="P22" s="6">
        <f>O22-(1-$C$5)*$C$4+SUM($M$6:$M22)</f>
        <v>3225911.0910238568</v>
      </c>
      <c r="Q22" s="6">
        <f>$C$4*(1-$C$5)-SUM($M$6:$M22)</f>
        <v>1260777.7870323472</v>
      </c>
      <c r="R22" s="6">
        <f t="shared" si="8"/>
        <v>20944.679621454499</v>
      </c>
      <c r="S22" s="6">
        <f t="shared" si="9"/>
        <v>124846.99486765089</v>
      </c>
      <c r="T22" s="6">
        <f t="shared" si="10"/>
        <v>94363.363677923349</v>
      </c>
      <c r="U22" s="6">
        <f t="shared" si="11"/>
        <v>0</v>
      </c>
      <c r="V22" s="6">
        <f t="shared" si="16"/>
        <v>6012105.2423266675</v>
      </c>
      <c r="W22" s="20">
        <f t="shared" si="12"/>
        <v>3225911.0910238568</v>
      </c>
      <c r="X22" s="20">
        <f t="shared" si="13"/>
        <v>2778573.3154126159</v>
      </c>
      <c r="Y22" s="6">
        <f t="shared" si="14"/>
        <v>1486688.8780562039</v>
      </c>
      <c r="Z22" s="6">
        <f t="shared" si="15"/>
        <v>1486688.8780562039</v>
      </c>
      <c r="AA22" s="6">
        <f>U22+SUMIF($T$6:$T22,"&lt;=0",$T$6:$T22)</f>
        <v>0</v>
      </c>
      <c r="AB22" s="27">
        <f t="shared" si="2"/>
        <v>6012105.2423266675</v>
      </c>
      <c r="AC22" s="28">
        <f t="shared" si="3"/>
        <v>5456318.5545525001</v>
      </c>
      <c r="AD22" s="12">
        <f>V22-SUMIF($T$6:$T22,"&gt;=0",$T$6:$T22)</f>
        <v>3705244.5851611174</v>
      </c>
    </row>
    <row r="23" spans="2:30" x14ac:dyDescent="0.2">
      <c r="I23" s="34">
        <v>18</v>
      </c>
      <c r="J23" s="6">
        <f t="shared" si="4"/>
        <v>243452.75449240004</v>
      </c>
      <c r="K23" s="6">
        <f t="shared" si="5"/>
        <v>223488.4095916822</v>
      </c>
      <c r="L23" s="6">
        <f t="shared" si="0"/>
        <v>145934.57172784844</v>
      </c>
      <c r="M23" s="6">
        <f t="shared" si="6"/>
        <v>62749.801308190807</v>
      </c>
      <c r="N23" s="6">
        <f t="shared" si="7"/>
        <v>97518.182764551588</v>
      </c>
      <c r="O23" s="6">
        <f t="shared" si="1"/>
        <v>4643722.9887881707</v>
      </c>
      <c r="P23" s="6">
        <f>O23-(1-$C$5)*$C$4+SUM($M$6:$M23)</f>
        <v>3445695.0030640145</v>
      </c>
      <c r="Q23" s="6">
        <f>$C$4*(1-$C$5)-SUM($M$6:$M23)</f>
        <v>1198027.9857241563</v>
      </c>
      <c r="R23" s="6">
        <f t="shared" si="8"/>
        <v>19964.344900717831</v>
      </c>
      <c r="S23" s="6">
        <f t="shared" si="9"/>
        <v>129216.63968801867</v>
      </c>
      <c r="T23" s="6">
        <f t="shared" si="10"/>
        <v>94271.769903663531</v>
      </c>
      <c r="U23" s="6">
        <f t="shared" si="11"/>
        <v>0</v>
      </c>
      <c r="V23" s="6">
        <f t="shared" si="16"/>
        <v>6594887.1732087582</v>
      </c>
      <c r="W23" s="20">
        <f t="shared" si="12"/>
        <v>3445695.0030640145</v>
      </c>
      <c r="X23" s="20">
        <f t="shared" si="13"/>
        <v>2966950.4053063802</v>
      </c>
      <c r="Y23" s="6">
        <f t="shared" si="14"/>
        <v>1643722.9887881707</v>
      </c>
      <c r="Z23" s="6">
        <f t="shared" si="15"/>
        <v>1643722.9887881707</v>
      </c>
      <c r="AA23" s="6">
        <f>U23+SUMIF($T$6:$T23,"&lt;=0",$T$6:$T23)</f>
        <v>0</v>
      </c>
      <c r="AB23" s="27">
        <f t="shared" si="2"/>
        <v>6594887.1732087582</v>
      </c>
      <c r="AC23" s="28">
        <f t="shared" si="3"/>
        <v>5965823.9612878263</v>
      </c>
      <c r="AD23" s="12">
        <f>V23-SUMIF($T$6:$T23,"&gt;=0",$T$6:$T23)</f>
        <v>4193754.7461395445</v>
      </c>
    </row>
    <row r="24" spans="2:30" x14ac:dyDescent="0.2">
      <c r="B24" s="17" t="s">
        <v>29</v>
      </c>
      <c r="C24" s="16"/>
      <c r="D24" s="16"/>
      <c r="E24" s="16"/>
      <c r="F24" s="16"/>
      <c r="G24" s="16"/>
      <c r="I24" s="34">
        <v>19</v>
      </c>
      <c r="J24" s="6">
        <f t="shared" si="4"/>
        <v>246865.89088915932</v>
      </c>
      <c r="K24" s="6">
        <f t="shared" si="5"/>
        <v>227950.13939293273</v>
      </c>
      <c r="L24" s="6">
        <f t="shared" si="0"/>
        <v>145934.57172784844</v>
      </c>
      <c r="M24" s="6">
        <f t="shared" si="6"/>
        <v>67118.940493571048</v>
      </c>
      <c r="N24" s="6">
        <f t="shared" si="7"/>
        <v>100931.31916131088</v>
      </c>
      <c r="O24" s="6">
        <f t="shared" si="1"/>
        <v>4806253.2933957558</v>
      </c>
      <c r="P24" s="6">
        <f>O24-(1-$C$5)*$C$4+SUM($M$6:$M24)</f>
        <v>3675344.2481651707</v>
      </c>
      <c r="Q24" s="6">
        <f>$C$4*(1-$C$5)-SUM($M$6:$M24)</f>
        <v>1130909.0452305852</v>
      </c>
      <c r="R24" s="6">
        <f t="shared" si="8"/>
        <v>18915.751496226574</v>
      </c>
      <c r="S24" s="6">
        <f t="shared" si="9"/>
        <v>133739.22207709932</v>
      </c>
      <c r="T24" s="6">
        <f t="shared" si="10"/>
        <v>94210.917315833416</v>
      </c>
      <c r="U24" s="6">
        <f t="shared" si="11"/>
        <v>0</v>
      </c>
      <c r="V24" s="6">
        <f t="shared" si="16"/>
        <v>7224225.9377665594</v>
      </c>
      <c r="W24" s="20">
        <f t="shared" si="12"/>
        <v>3675344.2481651707</v>
      </c>
      <c r="X24" s="20">
        <f t="shared" si="13"/>
        <v>3164093.5894860192</v>
      </c>
      <c r="Y24" s="6">
        <f t="shared" si="14"/>
        <v>1806253.2933957558</v>
      </c>
      <c r="Z24" s="6">
        <f t="shared" si="15"/>
        <v>1806253.2933957558</v>
      </c>
      <c r="AA24" s="6">
        <f>U24+SUMIF($T$6:$T24,"&lt;=0",$T$6:$T24)</f>
        <v>0</v>
      </c>
      <c r="AB24" s="27">
        <f t="shared" si="2"/>
        <v>7224225.9377665594</v>
      </c>
      <c r="AC24" s="28">
        <f t="shared" si="3"/>
        <v>6514893.5487593329</v>
      </c>
      <c r="AD24" s="12">
        <f>V24-SUMIF($T$6:$T24,"&gt;=0",$T$6:$T24)</f>
        <v>4728882.5933815129</v>
      </c>
    </row>
    <row r="25" spans="2:30" ht="17" thickBot="1" x14ac:dyDescent="0.25">
      <c r="B25" s="46" t="s">
        <v>31</v>
      </c>
      <c r="C25" s="46"/>
      <c r="D25" s="46"/>
      <c r="I25" s="35">
        <v>20</v>
      </c>
      <c r="J25" s="7">
        <f t="shared" si="4"/>
        <v>250398.48705980519</v>
      </c>
      <c r="K25" s="7">
        <f t="shared" si="5"/>
        <v>232604.34036312741</v>
      </c>
      <c r="L25" s="7">
        <f t="shared" si="0"/>
        <v>145934.57172784844</v>
      </c>
      <c r="M25" s="7">
        <f t="shared" si="6"/>
        <v>71792.293825024375</v>
      </c>
      <c r="N25" s="7">
        <f t="shared" si="7"/>
        <v>104463.91533195674</v>
      </c>
      <c r="O25" s="7">
        <f t="shared" si="1"/>
        <v>4974472.1586646065</v>
      </c>
      <c r="P25" s="7">
        <f>O25-(1-$C$5)*$C$4+SUM($M$6:$M25)</f>
        <v>3915355.4072590456</v>
      </c>
      <c r="Q25" s="7">
        <f>$C$4*(1-$C$5)-SUM($M$6:$M25)</f>
        <v>1059116.7514055609</v>
      </c>
      <c r="R25" s="7">
        <f t="shared" si="8"/>
        <v>17794.146696677773</v>
      </c>
      <c r="S25" s="7">
        <f t="shared" si="9"/>
        <v>138420.09484979778</v>
      </c>
      <c r="T25" s="7">
        <f t="shared" si="10"/>
        <v>94184.245513329632</v>
      </c>
      <c r="U25" s="7">
        <f t="shared" si="11"/>
        <v>0</v>
      </c>
      <c r="V25" s="7">
        <f t="shared" si="16"/>
        <v>7903882.99794228</v>
      </c>
      <c r="W25" s="21">
        <f t="shared" si="12"/>
        <v>3915355.4072590456</v>
      </c>
      <c r="X25" s="21">
        <f t="shared" si="13"/>
        <v>3370460.9755261242</v>
      </c>
      <c r="Y25" s="7">
        <f t="shared" si="14"/>
        <v>1974472.1586646065</v>
      </c>
      <c r="Z25" s="7">
        <f t="shared" si="15"/>
        <v>1974472.1586646065</v>
      </c>
      <c r="AA25" s="7">
        <f>U25+SUMIF($T$6:$T25,"&lt;=0",$T$6:$T25)</f>
        <v>0</v>
      </c>
      <c r="AB25" s="29">
        <f t="shared" si="2"/>
        <v>7903882.99794228</v>
      </c>
      <c r="AC25" s="30">
        <f t="shared" si="3"/>
        <v>7106729.6867356943</v>
      </c>
      <c r="AD25" s="13">
        <f>V25-SUMIF($T$6:$T25,"&gt;=0",$T$6:$T25)</f>
        <v>5314355.4080439033</v>
      </c>
    </row>
    <row r="26" spans="2:30" ht="17" thickTop="1" x14ac:dyDescent="0.2">
      <c r="B26" s="1" t="s">
        <v>30</v>
      </c>
      <c r="C26" s="1" t="s">
        <v>7</v>
      </c>
      <c r="D26" s="1" t="s">
        <v>8</v>
      </c>
      <c r="I26" s="34">
        <v>21</v>
      </c>
      <c r="J26" s="6">
        <f t="shared" si="4"/>
        <v>254054.72409642366</v>
      </c>
      <c r="K26" s="6">
        <f t="shared" si="5"/>
        <v>237460.27722713631</v>
      </c>
      <c r="L26" s="6">
        <f t="shared" si="0"/>
        <v>145934.57172784844</v>
      </c>
      <c r="M26" s="6">
        <f t="shared" si="6"/>
        <v>76791.043105817764</v>
      </c>
      <c r="N26" s="6">
        <f t="shared" si="7"/>
        <v>108120.15236857522</v>
      </c>
      <c r="O26" s="6">
        <f t="shared" si="1"/>
        <v>5148578.6842178674</v>
      </c>
      <c r="P26" s="6">
        <f>O26-(1-$C$5)*$C$4+SUM($M$6:$M26)</f>
        <v>4166252.9759181244</v>
      </c>
      <c r="Q26" s="6">
        <f>$C$4*(1-$C$5)-SUM($M$6:$M26)</f>
        <v>982325.70829974301</v>
      </c>
      <c r="R26" s="6">
        <f t="shared" si="8"/>
        <v>16594.44686928736</v>
      </c>
      <c r="S26" s="6">
        <f t="shared" si="9"/>
        <v>143264.79816954068</v>
      </c>
      <c r="T26" s="6">
        <f t="shared" si="10"/>
        <v>94195.479057595629</v>
      </c>
      <c r="U26" s="6">
        <f t="shared" si="11"/>
        <v>0</v>
      </c>
      <c r="V26" s="6">
        <f t="shared" si="16"/>
        <v>8637924.7551598661</v>
      </c>
      <c r="W26" s="20">
        <f t="shared" si="12"/>
        <v>4166252.9759181244</v>
      </c>
      <c r="X26" s="20">
        <f t="shared" si="13"/>
        <v>3586537.239074551</v>
      </c>
      <c r="Y26" s="6">
        <f t="shared" si="14"/>
        <v>2148578.6842178674</v>
      </c>
      <c r="Z26" s="6">
        <f t="shared" si="15"/>
        <v>2148578.6842178674</v>
      </c>
      <c r="AA26" s="6">
        <f>U26+SUMIF($T$6:$T26,"&lt;=0",$T$6:$T26)</f>
        <v>0</v>
      </c>
      <c r="AB26" s="27">
        <f t="shared" si="2"/>
        <v>8637924.7551598661</v>
      </c>
      <c r="AC26" s="28">
        <f t="shared" si="3"/>
        <v>7744794.5022292817</v>
      </c>
      <c r="AD26" s="12">
        <f>V26-SUMIF($T$6:$T26,"&gt;=0",$T$6:$T26)</f>
        <v>5954201.6862038933</v>
      </c>
    </row>
    <row r="27" spans="2:30" x14ac:dyDescent="0.2">
      <c r="B27" s="1">
        <v>1</v>
      </c>
      <c r="C27" s="8">
        <f>IFERROR(PPMT($C$6/12,B27,$C$7*12,(1-$C$5)*-$C$4),0)</f>
        <v>1614.339310654035</v>
      </c>
      <c r="D27" s="8">
        <f>IFERROR(IPMT($C$6/12,B27,$C$7*12,(1-$C$5)*-$C$4),0)</f>
        <v>10546.875000000002</v>
      </c>
      <c r="I27" s="34">
        <v>22</v>
      </c>
      <c r="J27" s="6">
        <f t="shared" si="4"/>
        <v>257838.92942932379</v>
      </c>
      <c r="K27" s="6">
        <f t="shared" si="5"/>
        <v>242527.71501091358</v>
      </c>
      <c r="L27" s="6">
        <f t="shared" si="0"/>
        <v>145934.57172784844</v>
      </c>
      <c r="M27" s="6">
        <f t="shared" si="6"/>
        <v>82137.844984472598</v>
      </c>
      <c r="N27" s="6">
        <f t="shared" si="7"/>
        <v>111904.35770147535</v>
      </c>
      <c r="O27" s="6">
        <f t="shared" si="1"/>
        <v>5328778.9381654924</v>
      </c>
      <c r="P27" s="6">
        <f>O27-(1-$C$5)*$C$4+SUM($M$6:$M27)</f>
        <v>4428591.0748502221</v>
      </c>
      <c r="Q27" s="6">
        <f>$C$4*(1-$C$5)-SUM($M$6:$M27)</f>
        <v>900187.8633152704</v>
      </c>
      <c r="R27" s="6">
        <f t="shared" si="8"/>
        <v>15311.2144184102</v>
      </c>
      <c r="S27" s="6">
        <f t="shared" si="9"/>
        <v>148279.06610547457</v>
      </c>
      <c r="T27" s="6">
        <f t="shared" si="10"/>
        <v>94248.648905439011</v>
      </c>
      <c r="U27" s="6">
        <f t="shared" si="11"/>
        <v>0</v>
      </c>
      <c r="V27" s="6">
        <f t="shared" si="16"/>
        <v>9430747.2763905302</v>
      </c>
      <c r="W27" s="20">
        <f t="shared" si="12"/>
        <v>4428591.0748502221</v>
      </c>
      <c r="X27" s="20">
        <f t="shared" si="13"/>
        <v>3812835.2872171234</v>
      </c>
      <c r="Y27" s="6">
        <f t="shared" si="14"/>
        <v>2328778.9381654924</v>
      </c>
      <c r="Z27" s="6">
        <f t="shared" si="15"/>
        <v>2328778.9381654924</v>
      </c>
      <c r="AA27" s="6">
        <f>U27+SUMIF($T$6:$T27,"&lt;=0",$T$6:$T27)</f>
        <v>0</v>
      </c>
      <c r="AB27" s="27">
        <f t="shared" si="2"/>
        <v>9430747.2763905302</v>
      </c>
      <c r="AC27" s="28">
        <f t="shared" si="3"/>
        <v>8432830.9426111616</v>
      </c>
      <c r="AD27" s="12">
        <f>V27-SUMIF($T$6:$T27,"&gt;=0",$T$6:$T27)</f>
        <v>6652775.558529119</v>
      </c>
    </row>
    <row r="28" spans="2:30" x14ac:dyDescent="0.2">
      <c r="B28" s="1">
        <v>2</v>
      </c>
      <c r="C28" s="8">
        <f t="shared" ref="C28:C91" si="17">IFERROR(PPMT($C$6/12,B28,$C$7*12,(1-$C$5)*-$C$4),0)</f>
        <v>1623.4199692764639</v>
      </c>
      <c r="D28" s="8">
        <f t="shared" ref="D28:D91" si="18">IFERROR(IPMT($C$6/12,B28,$C$7*12,(1-$C$5)*-$C$4),0)</f>
        <v>10537.794341377572</v>
      </c>
      <c r="I28" s="34">
        <v>23</v>
      </c>
      <c r="J28" s="6">
        <f t="shared" si="4"/>
        <v>261755.58194887542</v>
      </c>
      <c r="K28" s="6">
        <f t="shared" si="5"/>
        <v>247816.94880903893</v>
      </c>
      <c r="L28" s="6">
        <f t="shared" si="0"/>
        <v>145934.57172784844</v>
      </c>
      <c r="M28" s="6">
        <f t="shared" si="6"/>
        <v>87856.933645196434</v>
      </c>
      <c r="N28" s="6">
        <f t="shared" si="7"/>
        <v>115821.01022102698</v>
      </c>
      <c r="O28" s="6">
        <f t="shared" si="1"/>
        <v>5515286.2010012846</v>
      </c>
      <c r="P28" s="6">
        <f>O28-(1-$C$5)*$C$4+SUM($M$6:$M28)</f>
        <v>4702955.2713312106</v>
      </c>
      <c r="Q28" s="6">
        <f>$C$4*(1-$C$5)-SUM($M$6:$M28)</f>
        <v>812330.92967007402</v>
      </c>
      <c r="R28" s="6">
        <f t="shared" si="8"/>
        <v>13938.63313983648</v>
      </c>
      <c r="S28" s="6">
        <f t="shared" si="9"/>
        <v>153468.83341916619</v>
      </c>
      <c r="T28" s="6">
        <f t="shared" si="10"/>
        <v>94348.11538987275</v>
      </c>
      <c r="U28" s="6">
        <f t="shared" si="11"/>
        <v>0</v>
      </c>
      <c r="V28" s="6">
        <f t="shared" si="16"/>
        <v>10287103.023122836</v>
      </c>
      <c r="W28" s="20">
        <f t="shared" si="12"/>
        <v>4702955.2713312106</v>
      </c>
      <c r="X28" s="20">
        <f t="shared" si="13"/>
        <v>4049898.0311309532</v>
      </c>
      <c r="Y28" s="6">
        <f t="shared" si="14"/>
        <v>2515286.2010012846</v>
      </c>
      <c r="Z28" s="6">
        <f t="shared" si="15"/>
        <v>2515286.2010012846</v>
      </c>
      <c r="AA28" s="6">
        <f>U28+SUMIF($T$6:$T28,"&lt;=0",$T$6:$T28)</f>
        <v>0</v>
      </c>
      <c r="AB28" s="27">
        <f t="shared" si="2"/>
        <v>10287103.023122836</v>
      </c>
      <c r="AC28" s="28">
        <f t="shared" si="3"/>
        <v>9174885.5446421038</v>
      </c>
      <c r="AD28" s="12">
        <f>V28-SUMIF($T$6:$T28,"&gt;=0",$T$6:$T28)</f>
        <v>7414783.1898715515</v>
      </c>
    </row>
    <row r="29" spans="2:30" x14ac:dyDescent="0.2">
      <c r="B29" s="1">
        <v>3</v>
      </c>
      <c r="C29" s="8">
        <f t="shared" si="17"/>
        <v>1632.5517066036443</v>
      </c>
      <c r="D29" s="8">
        <f t="shared" si="18"/>
        <v>10528.662604050392</v>
      </c>
      <c r="I29" s="34">
        <v>24</v>
      </c>
      <c r="J29" s="6">
        <f t="shared" si="4"/>
        <v>265809.31730661134</v>
      </c>
      <c r="K29" s="6">
        <f t="shared" si="5"/>
        <v>253338.83544755276</v>
      </c>
      <c r="L29" s="6">
        <f t="shared" si="0"/>
        <v>145934.57172784844</v>
      </c>
      <c r="M29" s="6">
        <f t="shared" si="6"/>
        <v>93974.230648437719</v>
      </c>
      <c r="N29" s="6">
        <f t="shared" si="7"/>
        <v>119874.7455787629</v>
      </c>
      <c r="O29" s="6">
        <f t="shared" si="1"/>
        <v>5708321.2180363284</v>
      </c>
      <c r="P29" s="6">
        <f>O29-(1-$C$5)*$C$4+SUM($M$6:$M29)</f>
        <v>4989964.5190146919</v>
      </c>
      <c r="Q29" s="6">
        <f>$C$4*(1-$C$5)-SUM($M$6:$M29)</f>
        <v>718356.69902163628</v>
      </c>
      <c r="R29" s="6">
        <f t="shared" si="8"/>
        <v>12470.481859058573</v>
      </c>
      <c r="S29" s="6">
        <f t="shared" si="9"/>
        <v>158840.24258883699</v>
      </c>
      <c r="T29" s="6">
        <f t="shared" si="10"/>
        <v>94498.592858715769</v>
      </c>
      <c r="U29" s="6">
        <f t="shared" si="11"/>
        <v>0</v>
      </c>
      <c r="V29" s="6">
        <f t="shared" si="16"/>
        <v>11212129.745260077</v>
      </c>
      <c r="W29" s="20">
        <f t="shared" si="12"/>
        <v>4989964.5190146919</v>
      </c>
      <c r="X29" s="20">
        <f t="shared" si="13"/>
        <v>4298300.275407427</v>
      </c>
      <c r="Y29" s="6">
        <f t="shared" si="14"/>
        <v>2708321.2180363284</v>
      </c>
      <c r="Z29" s="6">
        <f t="shared" si="15"/>
        <v>2708321.2180363284</v>
      </c>
      <c r="AA29" s="6">
        <f>U29+SUMIF($T$6:$T29,"&lt;=0",$T$6:$T29)</f>
        <v>0</v>
      </c>
      <c r="AB29" s="27">
        <f t="shared" si="2"/>
        <v>11212129.745260077</v>
      </c>
      <c r="AC29" s="28">
        <f t="shared" si="3"/>
        <v>9975333.0473875646</v>
      </c>
      <c r="AD29" s="12">
        <f>V29-SUMIF($T$6:$T29,"&gt;=0",$T$6:$T29)</f>
        <v>8245311.3191500772</v>
      </c>
    </row>
    <row r="30" spans="2:30" x14ac:dyDescent="0.2">
      <c r="B30" s="1">
        <v>4</v>
      </c>
      <c r="C30" s="8">
        <f t="shared" si="17"/>
        <v>1641.7348099532899</v>
      </c>
      <c r="D30" s="8">
        <f t="shared" si="18"/>
        <v>10519.479500700747</v>
      </c>
      <c r="I30" s="34">
        <v>25</v>
      </c>
      <c r="J30" s="6">
        <f t="shared" si="4"/>
        <v>270004.93340186804</v>
      </c>
      <c r="K30" s="6">
        <f t="shared" si="5"/>
        <v>259104.82716784318</v>
      </c>
      <c r="L30" s="6">
        <f t="shared" si="0"/>
        <v>145934.57172784844</v>
      </c>
      <c r="M30" s="6">
        <f t="shared" si="6"/>
        <v>100517.46241941157</v>
      </c>
      <c r="N30" s="6">
        <f t="shared" si="7"/>
        <v>124070.36167401959</v>
      </c>
      <c r="O30" s="6">
        <f t="shared" si="1"/>
        <v>5908112.460667599</v>
      </c>
      <c r="P30" s="6">
        <f>O30-(1-$C$5)*$C$4+SUM($M$6:$M30)</f>
        <v>5290273.2240653746</v>
      </c>
      <c r="Q30" s="6">
        <f>$C$4*(1-$C$5)-SUM($M$6:$M30)</f>
        <v>617839.23660222464</v>
      </c>
      <c r="R30" s="6">
        <f t="shared" si="8"/>
        <v>10900.106234024846</v>
      </c>
      <c r="S30" s="6">
        <f t="shared" si="9"/>
        <v>164399.65107944625</v>
      </c>
      <c r="T30" s="6">
        <f t="shared" si="10"/>
        <v>94705.176088396925</v>
      </c>
      <c r="U30" s="6">
        <f t="shared" si="11"/>
        <v>0</v>
      </c>
      <c r="V30" s="6">
        <f t="shared" si="16"/>
        <v>12211381.715056352</v>
      </c>
      <c r="W30" s="20">
        <f t="shared" si="12"/>
        <v>5290273.2240653746</v>
      </c>
      <c r="X30" s="20">
        <f t="shared" si="13"/>
        <v>4558650.731931855</v>
      </c>
      <c r="Y30" s="6">
        <f t="shared" si="14"/>
        <v>2908112.460667599</v>
      </c>
      <c r="Z30" s="6">
        <f t="shared" si="15"/>
        <v>2908112.460667599</v>
      </c>
      <c r="AA30" s="6">
        <f>U30+SUMIF($T$6:$T30,"&lt;=0",$T$6:$T30)</f>
        <v>0</v>
      </c>
      <c r="AB30" s="27">
        <f t="shared" si="2"/>
        <v>12211381.715056352</v>
      </c>
      <c r="AC30" s="28">
        <f t="shared" si="3"/>
        <v>10838902.998127658</v>
      </c>
      <c r="AD30" s="12">
        <f>V30-SUMIF($T$6:$T30,"&gt;=0",$T$6:$T30)</f>
        <v>9149858.1128579564</v>
      </c>
    </row>
    <row r="31" spans="2:30" x14ac:dyDescent="0.2">
      <c r="B31" s="1">
        <v>5</v>
      </c>
      <c r="C31" s="8">
        <f t="shared" si="17"/>
        <v>1650.9695682592769</v>
      </c>
      <c r="D31" s="8">
        <f t="shared" si="18"/>
        <v>10510.24474239476</v>
      </c>
      <c r="I31" s="34">
        <v>26</v>
      </c>
      <c r="J31" s="6">
        <f t="shared" si="4"/>
        <v>274347.39606045873</v>
      </c>
      <c r="K31" s="6">
        <f t="shared" si="5"/>
        <v>265127.00746588135</v>
      </c>
      <c r="L31" s="6">
        <f t="shared" si="0"/>
        <v>145934.57172784844</v>
      </c>
      <c r="M31" s="6">
        <f t="shared" si="6"/>
        <v>107516.28591710946</v>
      </c>
      <c r="N31" s="6">
        <f t="shared" si="7"/>
        <v>128412.82433261028</v>
      </c>
      <c r="O31" s="6">
        <f t="shared" si="1"/>
        <v>6114896.3967909655</v>
      </c>
      <c r="P31" s="6">
        <f>O31-(1-$C$5)*$C$4+SUM($M$6:$M31)</f>
        <v>5604573.4461058509</v>
      </c>
      <c r="Q31" s="6">
        <f>$C$4*(1-$C$5)-SUM($M$6:$M31)</f>
        <v>510322.95068511507</v>
      </c>
      <c r="R31" s="6">
        <f t="shared" si="8"/>
        <v>9220.3885945773545</v>
      </c>
      <c r="S31" s="6">
        <f t="shared" si="9"/>
        <v>170153.63886722687</v>
      </c>
      <c r="T31" s="6">
        <f t="shared" si="10"/>
        <v>94973.368598654488</v>
      </c>
      <c r="U31" s="6">
        <f t="shared" si="11"/>
        <v>0</v>
      </c>
      <c r="V31" s="6">
        <f t="shared" si="16"/>
        <v>13290863.490347408</v>
      </c>
      <c r="W31" s="20">
        <f t="shared" si="12"/>
        <v>5604573.4461058509</v>
      </c>
      <c r="X31" s="20">
        <f t="shared" si="13"/>
        <v>4831594.1667476576</v>
      </c>
      <c r="Y31" s="6">
        <f t="shared" si="14"/>
        <v>3114896.3967909655</v>
      </c>
      <c r="Z31" s="6">
        <f t="shared" si="15"/>
        <v>3114896.3967909655</v>
      </c>
      <c r="AA31" s="6">
        <f>U31+SUMIF($T$6:$T31,"&lt;=0",$T$6:$T31)</f>
        <v>0</v>
      </c>
      <c r="AB31" s="27">
        <f t="shared" si="2"/>
        <v>13290863.490347408</v>
      </c>
      <c r="AC31" s="28">
        <f t="shared" si="3"/>
        <v>11770708.512414854</v>
      </c>
      <c r="AD31" s="12">
        <f>V31-SUMIF($T$6:$T31,"&gt;=0",$T$6:$T31)</f>
        <v>10134366.519550357</v>
      </c>
    </row>
    <row r="32" spans="2:30" x14ac:dyDescent="0.2">
      <c r="B32" s="1">
        <v>6</v>
      </c>
      <c r="C32" s="8">
        <f t="shared" si="17"/>
        <v>1660.2562720807352</v>
      </c>
      <c r="D32" s="8">
        <f t="shared" si="18"/>
        <v>10500.958038573302</v>
      </c>
      <c r="I32" s="34">
        <v>27</v>
      </c>
      <c r="J32" s="6">
        <f t="shared" si="4"/>
        <v>278841.84491210012</v>
      </c>
      <c r="K32" s="6">
        <f t="shared" si="5"/>
        <v>271418.12923022825</v>
      </c>
      <c r="L32" s="6">
        <f t="shared" si="0"/>
        <v>145934.57172784844</v>
      </c>
      <c r="M32" s="6">
        <f t="shared" si="6"/>
        <v>115002.42305338233</v>
      </c>
      <c r="N32" s="6">
        <f t="shared" si="7"/>
        <v>132907.27318425165</v>
      </c>
      <c r="O32" s="6">
        <f t="shared" si="1"/>
        <v>6328917.7706786497</v>
      </c>
      <c r="P32" s="6">
        <f>O32-(1-$C$5)*$C$4+SUM($M$6:$M32)</f>
        <v>5933597.243046917</v>
      </c>
      <c r="Q32" s="6">
        <f>$C$4*(1-$C$5)-SUM($M$6:$M32)</f>
        <v>395320.52763173264</v>
      </c>
      <c r="R32" s="6">
        <f t="shared" si="8"/>
        <v>7423.7156818718659</v>
      </c>
      <c r="S32" s="6">
        <f t="shared" si="9"/>
        <v>176109.01622757979</v>
      </c>
      <c r="T32" s="6">
        <f t="shared" si="10"/>
        <v>95309.113002648461</v>
      </c>
      <c r="U32" s="6">
        <f t="shared" si="11"/>
        <v>0</v>
      </c>
      <c r="V32" s="6">
        <f t="shared" si="16"/>
        <v>14457066.411618061</v>
      </c>
      <c r="W32" s="20">
        <f t="shared" si="12"/>
        <v>5933597.243046917</v>
      </c>
      <c r="X32" s="20">
        <f t="shared" si="13"/>
        <v>5117813.6889111875</v>
      </c>
      <c r="Y32" s="6">
        <f t="shared" si="14"/>
        <v>3328917.7706786497</v>
      </c>
      <c r="Z32" s="6">
        <f t="shared" si="15"/>
        <v>3328917.7706786497</v>
      </c>
      <c r="AA32" s="6">
        <f>U32+SUMIF($T$6:$T32,"&lt;=0",$T$6:$T32)</f>
        <v>0</v>
      </c>
      <c r="AB32" s="27">
        <f t="shared" si="2"/>
        <v>14457066.411618061</v>
      </c>
      <c r="AC32" s="28">
        <f t="shared" si="3"/>
        <v>12776277.362445308</v>
      </c>
      <c r="AD32" s="12">
        <f>V32-SUMIF($T$6:$T32,"&gt;=0",$T$6:$T32)</f>
        <v>11205260.327818362</v>
      </c>
    </row>
    <row r="33" spans="2:41" x14ac:dyDescent="0.2">
      <c r="B33" s="1">
        <v>7</v>
      </c>
      <c r="C33" s="8">
        <f t="shared" si="17"/>
        <v>1669.5952136111894</v>
      </c>
      <c r="D33" s="8">
        <f t="shared" si="18"/>
        <v>10491.619097042847</v>
      </c>
      <c r="I33" s="34">
        <v>28</v>
      </c>
      <c r="J33" s="6">
        <f t="shared" si="4"/>
        <v>283493.59947354888</v>
      </c>
      <c r="K33" s="6">
        <f t="shared" si="5"/>
        <v>277991.65533198864</v>
      </c>
      <c r="L33" s="6">
        <f t="shared" si="0"/>
        <v>145934.57172784844</v>
      </c>
      <c r="M33" s="6">
        <f t="shared" si="6"/>
        <v>123009.80447134742</v>
      </c>
      <c r="N33" s="6">
        <f t="shared" si="7"/>
        <v>137559.02774570044</v>
      </c>
      <c r="O33" s="6">
        <f t="shared" si="1"/>
        <v>6550429.8926524017</v>
      </c>
      <c r="P33" s="6">
        <f>O33-(1-$C$5)*$C$4+SUM($M$6:$M33)</f>
        <v>6278119.1694920165</v>
      </c>
      <c r="Q33" s="6">
        <f>$C$4*(1-$C$5)-SUM($M$6:$M33)</f>
        <v>272310.72316038515</v>
      </c>
      <c r="R33" s="6">
        <f t="shared" si="8"/>
        <v>5501.9441415602432</v>
      </c>
      <c r="S33" s="6">
        <f t="shared" si="9"/>
        <v>182272.83179554509</v>
      </c>
      <c r="T33" s="6">
        <f t="shared" si="10"/>
        <v>95718.823536443553</v>
      </c>
      <c r="U33" s="6">
        <f t="shared" si="11"/>
        <v>0</v>
      </c>
      <c r="V33" s="6">
        <f t="shared" si="16"/>
        <v>15717008.053966867</v>
      </c>
      <c r="W33" s="20">
        <f t="shared" si="12"/>
        <v>6278119.1694920165</v>
      </c>
      <c r="X33" s="20">
        <f t="shared" si="13"/>
        <v>5418033.190961536</v>
      </c>
      <c r="Y33" s="6">
        <f t="shared" si="14"/>
        <v>3550429.8926524017</v>
      </c>
      <c r="Z33" s="6">
        <f t="shared" si="15"/>
        <v>3550429.8926524017</v>
      </c>
      <c r="AA33" s="6">
        <f>U33+SUMIF($T$6:$T33,"&lt;=0",$T$6:$T33)</f>
        <v>0</v>
      </c>
      <c r="AB33" s="27">
        <f t="shared" si="2"/>
        <v>15717008.053966867</v>
      </c>
      <c r="AC33" s="28">
        <f t="shared" si="3"/>
        <v>13861585.581972258</v>
      </c>
      <c r="AD33" s="12">
        <f>V33-SUMIF($T$6:$T33,"&gt;=0",$T$6:$T33)</f>
        <v>12369483.146630723</v>
      </c>
    </row>
    <row r="34" spans="2:41" x14ac:dyDescent="0.2">
      <c r="B34" s="1">
        <v>8</v>
      </c>
      <c r="C34" s="8">
        <f t="shared" si="17"/>
        <v>1678.9866866877526</v>
      </c>
      <c r="D34" s="8">
        <f t="shared" si="18"/>
        <v>10482.227623966284</v>
      </c>
      <c r="I34" s="34">
        <v>29</v>
      </c>
      <c r="J34" s="6">
        <f t="shared" si="4"/>
        <v>288308.16544464836</v>
      </c>
      <c r="K34" s="6">
        <f t="shared" si="5"/>
        <v>284861.8018303141</v>
      </c>
      <c r="L34" s="6">
        <f t="shared" si="0"/>
        <v>145934.57172784844</v>
      </c>
      <c r="M34" s="6">
        <f t="shared" si="6"/>
        <v>131574.72333478893</v>
      </c>
      <c r="N34" s="6">
        <f t="shared" si="7"/>
        <v>142373.59371679992</v>
      </c>
      <c r="O34" s="6">
        <f t="shared" si="1"/>
        <v>6779694.9388952339</v>
      </c>
      <c r="P34" s="6">
        <f>O34-(1-$C$5)*$C$4+SUM($M$6:$M34)</f>
        <v>6638958.939069638</v>
      </c>
      <c r="Q34" s="6">
        <f>$C$4*(1-$C$5)-SUM($M$6:$M34)</f>
        <v>140735.99982559634</v>
      </c>
      <c r="R34" s="6">
        <f t="shared" si="8"/>
        <v>3446.3636143342824</v>
      </c>
      <c r="S34" s="6">
        <f t="shared" si="9"/>
        <v>188652.38090838917</v>
      </c>
      <c r="T34" s="6">
        <f t="shared" si="10"/>
        <v>96209.420921924931</v>
      </c>
      <c r="U34" s="6">
        <f t="shared" si="11"/>
        <v>0</v>
      </c>
      <c r="V34" s="6">
        <f t="shared" si="16"/>
        <v>17078274.872879896</v>
      </c>
      <c r="W34" s="20">
        <f t="shared" si="12"/>
        <v>6638958.939069638</v>
      </c>
      <c r="X34" s="20">
        <f t="shared" si="13"/>
        <v>5733019.9512905916</v>
      </c>
      <c r="Y34" s="6">
        <f t="shared" si="14"/>
        <v>3779694.9388952339</v>
      </c>
      <c r="Z34" s="6">
        <f t="shared" si="15"/>
        <v>3779694.9388952339</v>
      </c>
      <c r="AA34" s="6">
        <f>U34+SUMIF($T$6:$T34,"&lt;=0",$T$6:$T34)</f>
        <v>0</v>
      </c>
      <c r="AB34" s="27">
        <f t="shared" si="2"/>
        <v>17078274.872879896</v>
      </c>
      <c r="AC34" s="28">
        <f t="shared" si="3"/>
        <v>15033093.791186621</v>
      </c>
      <c r="AD34" s="12">
        <f>V34-SUMIF($T$6:$T34,"&gt;=0",$T$6:$T34)</f>
        <v>13634540.544621829</v>
      </c>
    </row>
    <row r="35" spans="2:41" x14ac:dyDescent="0.2">
      <c r="B35" s="1">
        <v>9</v>
      </c>
      <c r="C35" s="8">
        <f t="shared" si="17"/>
        <v>1688.4309868003711</v>
      </c>
      <c r="D35" s="8">
        <f t="shared" si="18"/>
        <v>10472.783323853664</v>
      </c>
      <c r="I35" s="35">
        <v>30</v>
      </c>
      <c r="J35" s="7">
        <f t="shared" si="4"/>
        <v>293291.24122473638</v>
      </c>
      <c r="K35" s="7">
        <f t="shared" si="5"/>
        <v>292043.58396819601</v>
      </c>
      <c r="L35" s="7">
        <f t="shared" si="0"/>
        <v>145934.57172784844</v>
      </c>
      <c r="M35" s="7">
        <f t="shared" si="6"/>
        <v>140735.99982559675</v>
      </c>
      <c r="N35" s="7">
        <f t="shared" si="7"/>
        <v>147356.66949688795</v>
      </c>
      <c r="O35" s="7">
        <f t="shared" si="1"/>
        <v>7016984.2617565682</v>
      </c>
      <c r="P35" s="7">
        <f>O35-(1-$C$5)*$C$4+SUM($M$6:$M35)</f>
        <v>7016984.2617565691</v>
      </c>
      <c r="Q35" s="7">
        <f>$C$4*(1-$C$5)-SUM($M$6:$M35)</f>
        <v>0</v>
      </c>
      <c r="R35" s="7">
        <f t="shared" si="8"/>
        <v>1247.6572565404047</v>
      </c>
      <c r="S35" s="7">
        <f t="shared" si="9"/>
        <v>195255.21424018274</v>
      </c>
      <c r="T35" s="7">
        <f t="shared" si="10"/>
        <v>96788.369728013262</v>
      </c>
      <c r="U35" s="7">
        <f t="shared" si="11"/>
        <v>0</v>
      </c>
      <c r="V35" s="7">
        <f t="shared" si="16"/>
        <v>18549068.302016545</v>
      </c>
      <c r="W35" s="21">
        <f t="shared" si="12"/>
        <v>7016984.2617565691</v>
      </c>
      <c r="X35" s="21">
        <f t="shared" si="13"/>
        <v>6063587.4094052548</v>
      </c>
      <c r="Y35" s="7">
        <f t="shared" si="14"/>
        <v>4016984.2617565682</v>
      </c>
      <c r="Z35" s="7">
        <f t="shared" si="15"/>
        <v>4016984.2617565682</v>
      </c>
      <c r="AA35" s="7">
        <f>U35+SUMIF($T$6:$T35,"&lt;=0",$T$6:$T35)</f>
        <v>0</v>
      </c>
      <c r="AB35" s="29">
        <f t="shared" si="2"/>
        <v>18549068.302016545</v>
      </c>
      <c r="AC35" s="30">
        <f t="shared" si="3"/>
        <v>16297786.461411975</v>
      </c>
      <c r="AD35" s="13">
        <f>V35-SUMIF($T$6:$T35,"&gt;=0",$T$6:$T35)</f>
        <v>15008545.604030464</v>
      </c>
    </row>
    <row r="36" spans="2:41" x14ac:dyDescent="0.2">
      <c r="B36" s="1">
        <v>10</v>
      </c>
      <c r="C36" s="8">
        <f t="shared" si="17"/>
        <v>1697.9284111011232</v>
      </c>
      <c r="D36" s="8">
        <f t="shared" si="18"/>
        <v>10463.285899552913</v>
      </c>
      <c r="I36" s="34">
        <v>31</v>
      </c>
      <c r="J36" s="6">
        <f t="shared" ref="J36:J45" si="19">SUM(L36,N36)</f>
        <v>298448.7246571274</v>
      </c>
      <c r="K36" s="6">
        <f t="shared" ref="K36:K45" si="20">J36-R36</f>
        <v>263424.42744244379</v>
      </c>
      <c r="L36" s="6">
        <f t="shared" si="0"/>
        <v>145934.57172784844</v>
      </c>
      <c r="M36" s="6">
        <f t="shared" ref="M36:M45" si="21">SUMIFS($C$27:$C$386,$B$27:$B$386,"&gt;" &amp; (I36-1)*12,$B$27:$B$386,"&lt;=" &amp; (I36)*12)</f>
        <v>0</v>
      </c>
      <c r="N36" s="6">
        <f t="shared" ref="N36:N45" si="22">SUM($C$12:$C$13)*O36+$C$14</f>
        <v>152514.15292927899</v>
      </c>
      <c r="O36" s="6">
        <f t="shared" ref="O36:O45" si="23">$C$4*(1+$C$8)^I36</f>
        <v>7262578.7109180475</v>
      </c>
      <c r="P36" s="6">
        <f>O36-(1-$C$5)*$C$4+SUM($M$6:$M36)</f>
        <v>7262578.7109180484</v>
      </c>
      <c r="Q36" s="6">
        <f>$C$4*(1-$C$5)-SUM($M$6:$M36)</f>
        <v>0</v>
      </c>
      <c r="R36" s="6">
        <f t="shared" ref="R36:R45" si="24">(L36-M36)*$C$16</f>
        <v>35024.297214683625</v>
      </c>
      <c r="S36" s="6">
        <f t="shared" ref="S36:S45" si="25">$G$4*12*(1+$G$5)^(I36-1)</f>
        <v>202089.14673858916</v>
      </c>
      <c r="T36" s="6">
        <f t="shared" ref="T36:T45" si="26">K36-S36</f>
        <v>61335.280703854631</v>
      </c>
      <c r="U36" s="6">
        <f t="shared" ref="U36:U45" si="27">(U35+IF(T36&lt;=0,-T36,0))*(1+$G$6)</f>
        <v>0</v>
      </c>
      <c r="V36" s="6">
        <f t="shared" ref="V36:V45" si="28">(V35+IF(T36&gt;=0,T36,0))*(1+$G$6)</f>
        <v>20099235.869338032</v>
      </c>
      <c r="W36" s="20">
        <f t="shared" ref="W36:W45" si="29">P36+U36</f>
        <v>7262578.7109180484</v>
      </c>
      <c r="X36" s="20">
        <f t="shared" ref="X36:X45" si="30">W36-Y36*$C$18-$C$11*O36</f>
        <v>6260062.9687344385</v>
      </c>
      <c r="Y36" s="6">
        <f t="shared" ref="Y36:Y45" si="31">SUM(Z36:AA36)</f>
        <v>4262578.7109180475</v>
      </c>
      <c r="Z36" s="6">
        <f t="shared" ref="Z36:Z45" si="32">MAX(O36-$C$4-$C$19, 0)</f>
        <v>4262578.7109180475</v>
      </c>
      <c r="AA36" s="6">
        <f>U36+SUMIF($T$6:$T36,"&lt;=0",$T$6:$T36)</f>
        <v>0</v>
      </c>
      <c r="AB36" s="27">
        <f t="shared" ref="AB36:AB45" si="33">V36</f>
        <v>20099235.869338032</v>
      </c>
      <c r="AC36" s="28">
        <f t="shared" si="3"/>
        <v>17624629.185740817</v>
      </c>
      <c r="AD36" s="12">
        <f>V36-SUMIF($T$6:$T36,"&gt;=0",$T$6:$T36)</f>
        <v>16497377.890648095</v>
      </c>
    </row>
    <row r="37" spans="2:41" x14ac:dyDescent="0.2">
      <c r="B37" s="1">
        <v>11</v>
      </c>
      <c r="C37" s="8">
        <f t="shared" si="17"/>
        <v>1707.4792584135671</v>
      </c>
      <c r="D37" s="8">
        <f t="shared" si="18"/>
        <v>10453.73505224047</v>
      </c>
      <c r="I37" s="34">
        <v>32</v>
      </c>
      <c r="J37" s="6">
        <f t="shared" si="19"/>
        <v>303786.72000965214</v>
      </c>
      <c r="K37" s="6">
        <f t="shared" si="20"/>
        <v>268762.42279496853</v>
      </c>
      <c r="L37" s="6">
        <f t="shared" si="0"/>
        <v>145934.57172784844</v>
      </c>
      <c r="M37" s="6">
        <f t="shared" si="21"/>
        <v>0</v>
      </c>
      <c r="N37" s="6">
        <f t="shared" si="22"/>
        <v>157852.1482818037</v>
      </c>
      <c r="O37" s="6">
        <f t="shared" si="23"/>
        <v>7516768.9658001764</v>
      </c>
      <c r="P37" s="6">
        <f>O37-(1-$C$5)*$C$4+SUM($M$6:$M37)</f>
        <v>7516768.9658001773</v>
      </c>
      <c r="Q37" s="6">
        <f>$C$4*(1-$C$5)-SUM($M$6:$M37)</f>
        <v>0</v>
      </c>
      <c r="R37" s="6">
        <f t="shared" si="24"/>
        <v>35024.297214683625</v>
      </c>
      <c r="S37" s="6">
        <f t="shared" si="25"/>
        <v>209162.26687443975</v>
      </c>
      <c r="T37" s="6">
        <f t="shared" si="26"/>
        <v>59600.155920528778</v>
      </c>
      <c r="U37" s="6">
        <f t="shared" si="27"/>
        <v>0</v>
      </c>
      <c r="V37" s="6">
        <f t="shared" si="28"/>
        <v>21771542.907279246</v>
      </c>
      <c r="W37" s="20">
        <f t="shared" si="29"/>
        <v>7516768.9658001773</v>
      </c>
      <c r="X37" s="20">
        <f t="shared" si="30"/>
        <v>6463415.172640142</v>
      </c>
      <c r="Y37" s="6">
        <f t="shared" si="31"/>
        <v>4516768.9658001764</v>
      </c>
      <c r="Z37" s="6">
        <f t="shared" si="32"/>
        <v>4516768.9658001764</v>
      </c>
      <c r="AA37" s="6">
        <f>U37+SUMIF($T$6:$T37,"&lt;=0",$T$6:$T37)</f>
        <v>0</v>
      </c>
      <c r="AB37" s="27">
        <f t="shared" si="33"/>
        <v>21771542.907279246</v>
      </c>
      <c r="AC37" s="28">
        <f t="shared" si="3"/>
        <v>19055030.191378929</v>
      </c>
      <c r="AD37" s="12">
        <f>V37-SUMIF($T$6:$T37,"&gt;=0",$T$6:$T37)</f>
        <v>18110084.772668779</v>
      </c>
    </row>
    <row r="38" spans="2:41" x14ac:dyDescent="0.2">
      <c r="B38" s="1">
        <v>12</v>
      </c>
      <c r="C38" s="8">
        <f t="shared" si="17"/>
        <v>1717.0838292421433</v>
      </c>
      <c r="D38" s="8">
        <f t="shared" si="18"/>
        <v>10444.130481411892</v>
      </c>
      <c r="I38" s="34">
        <v>33</v>
      </c>
      <c r="J38" s="6">
        <f t="shared" si="19"/>
        <v>309311.5451995153</v>
      </c>
      <c r="K38" s="6">
        <f t="shared" si="20"/>
        <v>274287.24798483169</v>
      </c>
      <c r="L38" s="6">
        <f t="shared" si="0"/>
        <v>145934.57172784844</v>
      </c>
      <c r="M38" s="6">
        <f t="shared" si="21"/>
        <v>0</v>
      </c>
      <c r="N38" s="6">
        <f t="shared" si="22"/>
        <v>163376.97347166686</v>
      </c>
      <c r="O38" s="6">
        <f t="shared" si="23"/>
        <v>7779855.8796031829</v>
      </c>
      <c r="P38" s="6">
        <f>O38-(1-$C$5)*$C$4+SUM($M$6:$M38)</f>
        <v>7779855.8796031829</v>
      </c>
      <c r="Q38" s="6">
        <f>$C$4*(1-$C$5)-SUM($M$6:$M38)</f>
        <v>0</v>
      </c>
      <c r="R38" s="6">
        <f t="shared" si="24"/>
        <v>35024.297214683625</v>
      </c>
      <c r="S38" s="6">
        <f t="shared" si="25"/>
        <v>216482.94621504509</v>
      </c>
      <c r="T38" s="6">
        <f t="shared" si="26"/>
        <v>57804.301769786602</v>
      </c>
      <c r="U38" s="6">
        <f t="shared" si="27"/>
        <v>0</v>
      </c>
      <c r="V38" s="6">
        <f t="shared" si="28"/>
        <v>23575694.985772956</v>
      </c>
      <c r="W38" s="20">
        <f t="shared" si="29"/>
        <v>7779855.8796031829</v>
      </c>
      <c r="X38" s="20">
        <f t="shared" si="30"/>
        <v>6673884.7036825465</v>
      </c>
      <c r="Y38" s="6">
        <f t="shared" si="31"/>
        <v>4779855.8796031829</v>
      </c>
      <c r="Z38" s="6">
        <f t="shared" si="32"/>
        <v>4779855.8796031829</v>
      </c>
      <c r="AA38" s="6">
        <f>U38+SUMIF($T$6:$T38,"&lt;=0",$T$6:$T38)</f>
        <v>0</v>
      </c>
      <c r="AB38" s="27">
        <f t="shared" si="33"/>
        <v>23575694.985772956</v>
      </c>
      <c r="AC38" s="28">
        <f t="shared" si="3"/>
        <v>20597230.10336405</v>
      </c>
      <c r="AD38" s="12">
        <f>V38-SUMIF($T$6:$T38,"&gt;=0",$T$6:$T38)</f>
        <v>19856432.549392704</v>
      </c>
    </row>
    <row r="39" spans="2:41" x14ac:dyDescent="0.2">
      <c r="B39" s="1">
        <v>13</v>
      </c>
      <c r="C39" s="8">
        <f t="shared" si="17"/>
        <v>1726.7424257816301</v>
      </c>
      <c r="D39" s="8">
        <f t="shared" si="18"/>
        <v>10434.471884872406</v>
      </c>
      <c r="I39" s="34">
        <v>34</v>
      </c>
      <c r="J39" s="6">
        <f t="shared" si="19"/>
        <v>315029.7392710236</v>
      </c>
      <c r="K39" s="6">
        <f t="shared" si="20"/>
        <v>280005.44205633999</v>
      </c>
      <c r="L39" s="6">
        <f t="shared" si="0"/>
        <v>145934.57172784844</v>
      </c>
      <c r="M39" s="6">
        <f t="shared" si="21"/>
        <v>0</v>
      </c>
      <c r="N39" s="6">
        <f t="shared" si="22"/>
        <v>169095.16754317516</v>
      </c>
      <c r="O39" s="6">
        <f t="shared" si="23"/>
        <v>8052150.8353892937</v>
      </c>
      <c r="P39" s="6">
        <f>O39-(1-$C$5)*$C$4+SUM($M$6:$M39)</f>
        <v>8052150.8353892937</v>
      </c>
      <c r="Q39" s="6">
        <f>$C$4*(1-$C$5)-SUM($M$6:$M39)</f>
        <v>0</v>
      </c>
      <c r="R39" s="6">
        <f t="shared" si="24"/>
        <v>35024.297214683625</v>
      </c>
      <c r="S39" s="6">
        <f t="shared" si="25"/>
        <v>224059.84933257164</v>
      </c>
      <c r="T39" s="6">
        <f t="shared" si="26"/>
        <v>55945.59272376835</v>
      </c>
      <c r="U39" s="6">
        <f t="shared" si="27"/>
        <v>0</v>
      </c>
      <c r="V39" s="6">
        <f t="shared" si="28"/>
        <v>25522171.824776463</v>
      </c>
      <c r="W39" s="20">
        <f t="shared" si="29"/>
        <v>8052150.8353892937</v>
      </c>
      <c r="X39" s="20">
        <f t="shared" si="30"/>
        <v>6891720.6683114348</v>
      </c>
      <c r="Y39" s="6">
        <f t="shared" si="31"/>
        <v>5052150.8353892937</v>
      </c>
      <c r="Z39" s="6">
        <f t="shared" si="32"/>
        <v>5052150.8353892937</v>
      </c>
      <c r="AA39" s="6">
        <f>U39+SUMIF($T$6:$T39,"&lt;=0",$T$6:$T39)</f>
        <v>0</v>
      </c>
      <c r="AB39" s="27">
        <f t="shared" si="33"/>
        <v>25522171.824776463</v>
      </c>
      <c r="AC39" s="28">
        <f t="shared" si="3"/>
        <v>22260127.255425598</v>
      </c>
      <c r="AD39" s="12">
        <f>V39-SUMIF($T$6:$T39,"&gt;=0",$T$6:$T39)</f>
        <v>21746963.795672443</v>
      </c>
    </row>
    <row r="40" spans="2:41" x14ac:dyDescent="0.2">
      <c r="B40" s="1">
        <v>14</v>
      </c>
      <c r="C40" s="8">
        <f t="shared" si="17"/>
        <v>1736.4553519266517</v>
      </c>
      <c r="D40" s="8">
        <f t="shared" si="18"/>
        <v>10424.758958727385</v>
      </c>
      <c r="I40" s="34">
        <v>35</v>
      </c>
      <c r="J40" s="6">
        <f t="shared" si="19"/>
        <v>320948.07013503474</v>
      </c>
      <c r="K40" s="6">
        <f t="shared" si="20"/>
        <v>285923.77292035113</v>
      </c>
      <c r="L40" s="6">
        <f t="shared" si="0"/>
        <v>145934.57172784844</v>
      </c>
      <c r="M40" s="6">
        <f t="shared" si="21"/>
        <v>0</v>
      </c>
      <c r="N40" s="6">
        <f t="shared" si="22"/>
        <v>175013.4984071863</v>
      </c>
      <c r="O40" s="6">
        <f t="shared" si="23"/>
        <v>8333976.1146279182</v>
      </c>
      <c r="P40" s="6">
        <f>O40-(1-$C$5)*$C$4+SUM($M$6:$M40)</f>
        <v>8333976.1146279182</v>
      </c>
      <c r="Q40" s="6">
        <f>$C$4*(1-$C$5)-SUM($M$6:$M40)</f>
        <v>0</v>
      </c>
      <c r="R40" s="6">
        <f t="shared" si="24"/>
        <v>35024.297214683625</v>
      </c>
      <c r="S40" s="6">
        <f t="shared" si="25"/>
        <v>231901.94405921164</v>
      </c>
      <c r="T40" s="6">
        <f t="shared" si="26"/>
        <v>54021.828861139482</v>
      </c>
      <c r="U40" s="6">
        <f t="shared" si="27"/>
        <v>0</v>
      </c>
      <c r="V40" s="6">
        <f t="shared" si="28"/>
        <v>27622289.145928614</v>
      </c>
      <c r="W40" s="20">
        <f t="shared" si="29"/>
        <v>8333976.1146279182</v>
      </c>
      <c r="X40" s="20">
        <f t="shared" si="30"/>
        <v>7117180.8917023344</v>
      </c>
      <c r="Y40" s="6">
        <f t="shared" si="31"/>
        <v>5333976.1146279182</v>
      </c>
      <c r="Z40" s="6">
        <f t="shared" si="32"/>
        <v>5333976.1146279182</v>
      </c>
      <c r="AA40" s="6">
        <f>U40+SUMIF($T$6:$T40,"&lt;=0",$T$6:$T40)</f>
        <v>0</v>
      </c>
      <c r="AB40" s="27">
        <f t="shared" si="33"/>
        <v>27622289.145928614</v>
      </c>
      <c r="AC40" s="28">
        <f t="shared" si="3"/>
        <v>24053330.252734095</v>
      </c>
      <c r="AD40" s="12">
        <f>V40-SUMIF($T$6:$T40,"&gt;=0",$T$6:$T40)</f>
        <v>23793059.287963454</v>
      </c>
    </row>
    <row r="41" spans="2:41" x14ac:dyDescent="0.2">
      <c r="B41" s="1">
        <v>15</v>
      </c>
      <c r="C41" s="8">
        <f t="shared" si="17"/>
        <v>1746.2229132812392</v>
      </c>
      <c r="D41" s="8">
        <f t="shared" si="18"/>
        <v>10414.991397372796</v>
      </c>
      <c r="I41" s="34">
        <v>36</v>
      </c>
      <c r="J41" s="6">
        <f t="shared" si="19"/>
        <v>327073.54257928621</v>
      </c>
      <c r="K41" s="6">
        <f t="shared" si="20"/>
        <v>292049.2453646026</v>
      </c>
      <c r="L41" s="6">
        <f t="shared" si="0"/>
        <v>145934.57172784844</v>
      </c>
      <c r="M41" s="6">
        <f t="shared" si="21"/>
        <v>0</v>
      </c>
      <c r="N41" s="6">
        <f t="shared" si="22"/>
        <v>181138.97085143777</v>
      </c>
      <c r="O41" s="6">
        <f t="shared" si="23"/>
        <v>8625665.278639894</v>
      </c>
      <c r="P41" s="6">
        <f>O41-(1-$C$5)*$C$4+SUM($M$6:$M41)</f>
        <v>8625665.278639894</v>
      </c>
      <c r="Q41" s="6">
        <f>$C$4*(1-$C$5)-SUM($M$6:$M41)</f>
        <v>0</v>
      </c>
      <c r="R41" s="6">
        <f t="shared" si="24"/>
        <v>35024.297214683625</v>
      </c>
      <c r="S41" s="6">
        <f t="shared" si="25"/>
        <v>240018.51210128402</v>
      </c>
      <c r="T41" s="6">
        <f t="shared" si="26"/>
        <v>52030.733263318572</v>
      </c>
      <c r="U41" s="6">
        <f t="shared" si="27"/>
        <v>0</v>
      </c>
      <c r="V41" s="6">
        <f t="shared" si="28"/>
        <v>29888265.469527289</v>
      </c>
      <c r="W41" s="20">
        <f t="shared" si="29"/>
        <v>8625665.278639894</v>
      </c>
      <c r="X41" s="20">
        <f t="shared" si="30"/>
        <v>7350532.2229119157</v>
      </c>
      <c r="Y41" s="6">
        <f t="shared" si="31"/>
        <v>5625665.278639894</v>
      </c>
      <c r="Z41" s="6">
        <f t="shared" si="32"/>
        <v>5625665.278639894</v>
      </c>
      <c r="AA41" s="6">
        <f>U41+SUMIF($T$6:$T41,"&lt;=0",$T$6:$T41)</f>
        <v>0</v>
      </c>
      <c r="AB41" s="27">
        <f t="shared" si="33"/>
        <v>29888265.469527289</v>
      </c>
      <c r="AC41" s="28">
        <f t="shared" si="3"/>
        <v>25987214.737782467</v>
      </c>
      <c r="AD41" s="12">
        <f>V41-SUMIF($T$6:$T41,"&gt;=0",$T$6:$T41)</f>
        <v>26007004.878298812</v>
      </c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2:41" x14ac:dyDescent="0.2">
      <c r="B42" s="1">
        <v>16</v>
      </c>
      <c r="C42" s="8">
        <f t="shared" si="17"/>
        <v>1756.0454171684462</v>
      </c>
      <c r="D42" s="8">
        <f t="shared" si="18"/>
        <v>10405.16889348559</v>
      </c>
      <c r="I42" s="34">
        <v>37</v>
      </c>
      <c r="J42" s="6">
        <f t="shared" si="19"/>
        <v>333413.40655908652</v>
      </c>
      <c r="K42" s="6">
        <f t="shared" si="20"/>
        <v>298389.10934440291</v>
      </c>
      <c r="L42" s="6">
        <f t="shared" si="0"/>
        <v>145934.57172784844</v>
      </c>
      <c r="M42" s="6">
        <f t="shared" si="21"/>
        <v>0</v>
      </c>
      <c r="N42" s="6">
        <f t="shared" si="22"/>
        <v>187478.83483123811</v>
      </c>
      <c r="O42" s="6">
        <f t="shared" si="23"/>
        <v>8927563.5633922908</v>
      </c>
      <c r="P42" s="6">
        <f>O42-(1-$C$5)*$C$4+SUM($M$6:$M42)</f>
        <v>8927563.5633922908</v>
      </c>
      <c r="Q42" s="6">
        <f>$C$4*(1-$C$5)-SUM($M$6:$M42)</f>
        <v>0</v>
      </c>
      <c r="R42" s="6">
        <f t="shared" si="24"/>
        <v>35024.297214683625</v>
      </c>
      <c r="S42" s="6">
        <f t="shared" si="25"/>
        <v>248419.16002482898</v>
      </c>
      <c r="T42" s="6">
        <f t="shared" si="26"/>
        <v>49969.949319573934</v>
      </c>
      <c r="U42" s="6">
        <f t="shared" si="27"/>
        <v>0</v>
      </c>
      <c r="V42" s="6">
        <f t="shared" si="28"/>
        <v>32333294.252354614</v>
      </c>
      <c r="W42" s="20">
        <f t="shared" si="29"/>
        <v>8927563.5633922908</v>
      </c>
      <c r="X42" s="20">
        <f t="shared" si="30"/>
        <v>7592050.8507138323</v>
      </c>
      <c r="Y42" s="6">
        <f t="shared" si="31"/>
        <v>5927563.5633922908</v>
      </c>
      <c r="Z42" s="6">
        <f t="shared" si="32"/>
        <v>5927563.5633922908</v>
      </c>
      <c r="AA42" s="6">
        <f>U42+SUMIF($T$6:$T42,"&lt;=0",$T$6:$T42)</f>
        <v>0</v>
      </c>
      <c r="AB42" s="27">
        <f t="shared" si="33"/>
        <v>32333294.252354614</v>
      </c>
      <c r="AC42" s="28">
        <f t="shared" si="3"/>
        <v>28072984.69558363</v>
      </c>
      <c r="AD42" s="12">
        <f>V42-SUMIF($T$6:$T42,"&gt;=0",$T$6:$T42)</f>
        <v>28402063.711806562</v>
      </c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2:41" x14ac:dyDescent="0.2">
      <c r="B43" s="1">
        <v>17</v>
      </c>
      <c r="C43" s="8">
        <f t="shared" si="17"/>
        <v>1765.9231726400189</v>
      </c>
      <c r="D43" s="8">
        <f t="shared" si="18"/>
        <v>10395.291138014018</v>
      </c>
      <c r="I43" s="34">
        <v>38</v>
      </c>
      <c r="J43" s="6">
        <f t="shared" si="19"/>
        <v>339975.16577817989</v>
      </c>
      <c r="K43" s="6">
        <f t="shared" si="20"/>
        <v>304950.86856349627</v>
      </c>
      <c r="L43" s="6">
        <f t="shared" si="0"/>
        <v>145934.57172784844</v>
      </c>
      <c r="M43" s="6">
        <f t="shared" si="21"/>
        <v>0</v>
      </c>
      <c r="N43" s="6">
        <f t="shared" si="22"/>
        <v>194040.59405033142</v>
      </c>
      <c r="O43" s="6">
        <f t="shared" si="23"/>
        <v>9240028.2881110199</v>
      </c>
      <c r="P43" s="6">
        <f>O43-(1-$C$5)*$C$4+SUM($M$6:$M43)</f>
        <v>9240028.2881110199</v>
      </c>
      <c r="Q43" s="6">
        <f>$C$4*(1-$C$5)-SUM($M$6:$M43)</f>
        <v>0</v>
      </c>
      <c r="R43" s="6">
        <f t="shared" si="24"/>
        <v>35024.297214683625</v>
      </c>
      <c r="S43" s="6">
        <f t="shared" si="25"/>
        <v>257113.83062569794</v>
      </c>
      <c r="T43" s="6">
        <f t="shared" si="26"/>
        <v>47837.037937798334</v>
      </c>
      <c r="U43" s="6">
        <f t="shared" si="27"/>
        <v>0</v>
      </c>
      <c r="V43" s="6">
        <f t="shared" si="28"/>
        <v>34971621.793515809</v>
      </c>
      <c r="W43" s="20">
        <f t="shared" si="29"/>
        <v>9240028.2881110199</v>
      </c>
      <c r="X43" s="20">
        <f t="shared" si="30"/>
        <v>7842022.6304888157</v>
      </c>
      <c r="Y43" s="6">
        <f t="shared" si="31"/>
        <v>6240028.2881110199</v>
      </c>
      <c r="Z43" s="6">
        <f t="shared" si="32"/>
        <v>6240028.2881110199</v>
      </c>
      <c r="AA43" s="6">
        <f>U43+SUMIF($T$6:$T43,"&lt;=0",$T$6:$T43)</f>
        <v>0</v>
      </c>
      <c r="AB43" s="27">
        <f t="shared" si="33"/>
        <v>34971621.793515809</v>
      </c>
      <c r="AC43" s="28">
        <f t="shared" si="3"/>
        <v>30322738.661261316</v>
      </c>
      <c r="AD43" s="12">
        <f>V43-SUMIF($T$6:$T43,"&gt;=0",$T$6:$T43)</f>
        <v>30992554.215029959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2:41" x14ac:dyDescent="0.2">
      <c r="B44" s="1">
        <v>18</v>
      </c>
      <c r="C44" s="8">
        <f t="shared" si="17"/>
        <v>1775.8564904861191</v>
      </c>
      <c r="D44" s="8">
        <f t="shared" si="18"/>
        <v>10385.357820167916</v>
      </c>
      <c r="I44" s="34">
        <v>39</v>
      </c>
      <c r="J44" s="6">
        <f t="shared" si="19"/>
        <v>346766.58656994143</v>
      </c>
      <c r="K44" s="6">
        <f t="shared" si="20"/>
        <v>311742.28935525782</v>
      </c>
      <c r="L44" s="6">
        <f t="shared" si="0"/>
        <v>145934.57172784844</v>
      </c>
      <c r="M44" s="6">
        <f t="shared" si="21"/>
        <v>0</v>
      </c>
      <c r="N44" s="6">
        <f t="shared" si="22"/>
        <v>200832.01484209299</v>
      </c>
      <c r="O44" s="6">
        <f t="shared" si="23"/>
        <v>9563429.2781949043</v>
      </c>
      <c r="P44" s="6">
        <f>O44-(1-$C$5)*$C$4+SUM($M$6:$M44)</f>
        <v>9563429.2781949043</v>
      </c>
      <c r="Q44" s="6">
        <f>$C$4*(1-$C$5)-SUM($M$6:$M44)</f>
        <v>0</v>
      </c>
      <c r="R44" s="6">
        <f t="shared" si="24"/>
        <v>35024.297214683625</v>
      </c>
      <c r="S44" s="6">
        <f t="shared" si="25"/>
        <v>266112.81469759741</v>
      </c>
      <c r="T44" s="6">
        <f t="shared" si="26"/>
        <v>45629.474657660408</v>
      </c>
      <c r="U44" s="6">
        <f t="shared" si="27"/>
        <v>0</v>
      </c>
      <c r="V44" s="6">
        <f t="shared" si="28"/>
        <v>37818631.369627349</v>
      </c>
      <c r="W44" s="20">
        <f t="shared" si="29"/>
        <v>9563429.2781949043</v>
      </c>
      <c r="X44" s="20">
        <f t="shared" si="30"/>
        <v>8100743.4225559235</v>
      </c>
      <c r="Y44" s="6">
        <f t="shared" si="31"/>
        <v>6563429.2781949043</v>
      </c>
      <c r="Z44" s="6">
        <f t="shared" si="32"/>
        <v>6563429.2781949043</v>
      </c>
      <c r="AA44" s="6">
        <f>U44+SUMIF($T$6:$T44,"&lt;=0",$T$6:$T44)</f>
        <v>0</v>
      </c>
      <c r="AB44" s="27">
        <f t="shared" si="33"/>
        <v>37818631.369627349</v>
      </c>
      <c r="AC44" s="28">
        <f t="shared" si="3"/>
        <v>32749541.222154774</v>
      </c>
      <c r="AD44" s="12">
        <f>V44-SUMIF($T$6:$T44,"&gt;=0",$T$6:$T44)</f>
        <v>33793934.31648384</v>
      </c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2:41" ht="17" thickBot="1" x14ac:dyDescent="0.25">
      <c r="B45" s="1">
        <v>19</v>
      </c>
      <c r="C45" s="8">
        <f t="shared" si="17"/>
        <v>1785.8456832451036</v>
      </c>
      <c r="D45" s="8">
        <f t="shared" si="18"/>
        <v>10375.368627408934</v>
      </c>
      <c r="I45" s="36">
        <v>40</v>
      </c>
      <c r="J45" s="9">
        <f t="shared" si="19"/>
        <v>353795.70708941465</v>
      </c>
      <c r="K45" s="9">
        <f t="shared" si="20"/>
        <v>318771.40987473103</v>
      </c>
      <c r="L45" s="9">
        <f t="shared" si="0"/>
        <v>145934.57172784844</v>
      </c>
      <c r="M45" s="9">
        <f t="shared" si="21"/>
        <v>0</v>
      </c>
      <c r="N45" s="9">
        <f t="shared" si="22"/>
        <v>207861.13536156621</v>
      </c>
      <c r="O45" s="9">
        <f t="shared" si="23"/>
        <v>9898149.3029317241</v>
      </c>
      <c r="P45" s="9">
        <f>O45-(1-$C$5)*$C$4+SUM($M$6:$M45)</f>
        <v>9898149.3029317241</v>
      </c>
      <c r="Q45" s="9">
        <f>$C$4*(1-$C$5)-SUM($M$6:$M45)</f>
        <v>0</v>
      </c>
      <c r="R45" s="9">
        <f t="shared" si="24"/>
        <v>35024.297214683625</v>
      </c>
      <c r="S45" s="9">
        <f t="shared" si="25"/>
        <v>275426.76321201323</v>
      </c>
      <c r="T45" s="9">
        <f t="shared" si="26"/>
        <v>43344.646662717802</v>
      </c>
      <c r="U45" s="9">
        <f t="shared" si="27"/>
        <v>0</v>
      </c>
      <c r="V45" s="9">
        <f t="shared" si="28"/>
        <v>40890934.097593278</v>
      </c>
      <c r="W45" s="22">
        <f t="shared" si="29"/>
        <v>9898149.3029317241</v>
      </c>
      <c r="X45" s="22">
        <f t="shared" si="30"/>
        <v>8368519.4423453789</v>
      </c>
      <c r="Y45" s="9">
        <f t="shared" si="31"/>
        <v>6898149.3029317241</v>
      </c>
      <c r="Z45" s="9">
        <f t="shared" si="32"/>
        <v>6898149.3029317241</v>
      </c>
      <c r="AA45" s="9">
        <f>U45+SUMIF($T$6:$T45,"&lt;=0",$T$6:$T45)</f>
        <v>0</v>
      </c>
      <c r="AB45" s="31">
        <f t="shared" si="33"/>
        <v>40890934.097593278</v>
      </c>
      <c r="AC45" s="32">
        <f t="shared" si="3"/>
        <v>35367500.237925217</v>
      </c>
      <c r="AD45" s="14">
        <f>V45-SUMIF($T$6:$T45,"&gt;=0",$T$6:$T45)</f>
        <v>36822892.397787049</v>
      </c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2:41" x14ac:dyDescent="0.2">
      <c r="B46" s="1">
        <v>20</v>
      </c>
      <c r="C46" s="8">
        <f t="shared" si="17"/>
        <v>1795.8910652133573</v>
      </c>
      <c r="D46" s="8">
        <f t="shared" si="18"/>
        <v>10365.323245440681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2:41" x14ac:dyDescent="0.2">
      <c r="B47" s="1">
        <v>21</v>
      </c>
      <c r="C47" s="8">
        <f t="shared" si="17"/>
        <v>1805.9929524551824</v>
      </c>
      <c r="D47" s="8">
        <f t="shared" si="18"/>
        <v>10355.221358198854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2:41" x14ac:dyDescent="0.2">
      <c r="B48" s="1">
        <v>22</v>
      </c>
      <c r="C48" s="8">
        <f t="shared" si="17"/>
        <v>1816.1516628127429</v>
      </c>
      <c r="D48" s="8">
        <f t="shared" si="18"/>
        <v>10345.062647841294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2:41" x14ac:dyDescent="0.2">
      <c r="B49" s="1">
        <v>23</v>
      </c>
      <c r="C49" s="8">
        <f t="shared" si="17"/>
        <v>1826.3675159160641</v>
      </c>
      <c r="D49" s="8">
        <f t="shared" si="18"/>
        <v>10334.846794737974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2:41" x14ac:dyDescent="0.2">
      <c r="B50" s="1">
        <v>24</v>
      </c>
      <c r="C50" s="8">
        <f t="shared" si="17"/>
        <v>1836.640833193092</v>
      </c>
      <c r="D50" s="8">
        <f t="shared" si="18"/>
        <v>10324.573477460945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2:41" x14ac:dyDescent="0.2">
      <c r="B51" s="1">
        <v>25</v>
      </c>
      <c r="C51" s="8">
        <f t="shared" si="17"/>
        <v>1846.9719378798036</v>
      </c>
      <c r="D51" s="8">
        <f t="shared" si="18"/>
        <v>10314.242372774233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2:41" x14ac:dyDescent="0.2">
      <c r="B52" s="1">
        <v>26</v>
      </c>
      <c r="C52" s="8">
        <f t="shared" si="17"/>
        <v>1857.3611550303774</v>
      </c>
      <c r="D52" s="8">
        <f t="shared" si="18"/>
        <v>10303.853155623659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2:41" x14ac:dyDescent="0.2">
      <c r="B53" s="1">
        <v>27</v>
      </c>
      <c r="C53" s="8">
        <f t="shared" si="17"/>
        <v>1867.8088115274229</v>
      </c>
      <c r="D53" s="8">
        <f t="shared" si="18"/>
        <v>10293.405499126615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2:41" x14ac:dyDescent="0.2">
      <c r="B54" s="1">
        <v>28</v>
      </c>
      <c r="C54" s="8">
        <f t="shared" si="17"/>
        <v>1878.3152360922645</v>
      </c>
      <c r="D54" s="8">
        <f t="shared" si="18"/>
        <v>10282.899074561772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2:41" x14ac:dyDescent="0.2">
      <c r="B55" s="1">
        <v>29</v>
      </c>
      <c r="C55" s="8">
        <f t="shared" si="17"/>
        <v>1888.880759295284</v>
      </c>
      <c r="D55" s="8">
        <f t="shared" si="18"/>
        <v>10272.333551358754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2:41" x14ac:dyDescent="0.2">
      <c r="B56" s="1">
        <v>30</v>
      </c>
      <c r="C56" s="8">
        <f t="shared" si="17"/>
        <v>1899.5057135663199</v>
      </c>
      <c r="D56" s="8">
        <f t="shared" si="18"/>
        <v>10261.708597087718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2:41" x14ac:dyDescent="0.2">
      <c r="B57" s="1">
        <v>31</v>
      </c>
      <c r="C57" s="8">
        <f t="shared" si="17"/>
        <v>1910.1904332051304</v>
      </c>
      <c r="D57" s="8">
        <f t="shared" si="18"/>
        <v>10251.023877448906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2:41" x14ac:dyDescent="0.2">
      <c r="B58" s="1">
        <v>32</v>
      </c>
      <c r="C58" s="8">
        <f t="shared" si="17"/>
        <v>1920.9352543919094</v>
      </c>
      <c r="D58" s="8">
        <f t="shared" si="18"/>
        <v>10240.279056262127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2:41" x14ac:dyDescent="0.2">
      <c r="B59" s="1">
        <v>33</v>
      </c>
      <c r="C59" s="8">
        <f t="shared" si="17"/>
        <v>1931.7405151978637</v>
      </c>
      <c r="D59" s="8">
        <f t="shared" si="18"/>
        <v>10229.473795456173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2:41" x14ac:dyDescent="0.2">
      <c r="B60" s="1">
        <v>34</v>
      </c>
      <c r="C60" s="8">
        <f t="shared" si="17"/>
        <v>1942.6065555958517</v>
      </c>
      <c r="D60" s="8">
        <f t="shared" si="18"/>
        <v>10218.607755058185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2:41" x14ac:dyDescent="0.2">
      <c r="B61" s="1">
        <v>35</v>
      </c>
      <c r="C61" s="8">
        <f t="shared" si="17"/>
        <v>1953.5337174710785</v>
      </c>
      <c r="D61" s="8">
        <f t="shared" si="18"/>
        <v>10207.680593182959</v>
      </c>
    </row>
    <row r="62" spans="2:41" x14ac:dyDescent="0.2">
      <c r="B62" s="1">
        <v>36</v>
      </c>
      <c r="C62" s="8">
        <f t="shared" si="17"/>
        <v>1964.5223446318532</v>
      </c>
      <c r="D62" s="8">
        <f t="shared" si="18"/>
        <v>10196.691966022185</v>
      </c>
    </row>
    <row r="63" spans="2:41" x14ac:dyDescent="0.2">
      <c r="B63" s="1">
        <v>37</v>
      </c>
      <c r="C63" s="8">
        <f t="shared" si="17"/>
        <v>1975.5727828204069</v>
      </c>
      <c r="D63" s="8">
        <f t="shared" si="18"/>
        <v>10185.64152783363</v>
      </c>
    </row>
    <row r="64" spans="2:41" x14ac:dyDescent="0.2">
      <c r="B64" s="1">
        <v>38</v>
      </c>
      <c r="C64" s="8">
        <f t="shared" si="17"/>
        <v>1986.685379723772</v>
      </c>
      <c r="D64" s="8">
        <f t="shared" si="18"/>
        <v>10174.528930930266</v>
      </c>
    </row>
    <row r="65" spans="2:4" x14ac:dyDescent="0.2">
      <c r="B65" s="1">
        <v>39</v>
      </c>
      <c r="C65" s="8">
        <f t="shared" si="17"/>
        <v>1997.8604849847186</v>
      </c>
      <c r="D65" s="8">
        <f t="shared" si="18"/>
        <v>10163.353825669317</v>
      </c>
    </row>
    <row r="66" spans="2:4" x14ac:dyDescent="0.2">
      <c r="B66" s="1">
        <v>40</v>
      </c>
      <c r="C66" s="8">
        <f t="shared" si="17"/>
        <v>2009.0984502127576</v>
      </c>
      <c r="D66" s="8">
        <f t="shared" si="18"/>
        <v>10152.115860441279</v>
      </c>
    </row>
    <row r="67" spans="2:4" x14ac:dyDescent="0.2">
      <c r="B67" s="1">
        <v>41</v>
      </c>
      <c r="C67" s="8">
        <f t="shared" si="17"/>
        <v>2020.3996289952042</v>
      </c>
      <c r="D67" s="8">
        <f t="shared" si="18"/>
        <v>10140.814681658832</v>
      </c>
    </row>
    <row r="68" spans="2:4" x14ac:dyDescent="0.2">
      <c r="B68" s="1">
        <v>42</v>
      </c>
      <c r="C68" s="8">
        <f t="shared" si="17"/>
        <v>2031.7643769083022</v>
      </c>
      <c r="D68" s="8">
        <f t="shared" si="18"/>
        <v>10129.449933745735</v>
      </c>
    </row>
    <row r="69" spans="2:4" x14ac:dyDescent="0.2">
      <c r="B69" s="1">
        <v>43</v>
      </c>
      <c r="C69" s="8">
        <f t="shared" si="17"/>
        <v>2043.1930515284116</v>
      </c>
      <c r="D69" s="8">
        <f t="shared" si="18"/>
        <v>10118.021259125624</v>
      </c>
    </row>
    <row r="70" spans="2:4" x14ac:dyDescent="0.2">
      <c r="B70" s="1">
        <v>44</v>
      </c>
      <c r="C70" s="8">
        <f t="shared" si="17"/>
        <v>2054.6860124432587</v>
      </c>
      <c r="D70" s="8">
        <f t="shared" si="18"/>
        <v>10106.528298210778</v>
      </c>
    </row>
    <row r="71" spans="2:4" x14ac:dyDescent="0.2">
      <c r="B71" s="1">
        <v>45</v>
      </c>
      <c r="C71" s="8">
        <f t="shared" si="17"/>
        <v>2066.243621263252</v>
      </c>
      <c r="D71" s="8">
        <f t="shared" si="18"/>
        <v>10094.970689390784</v>
      </c>
    </row>
    <row r="72" spans="2:4" x14ac:dyDescent="0.2">
      <c r="B72" s="1">
        <v>46</v>
      </c>
      <c r="C72" s="8">
        <f t="shared" si="17"/>
        <v>2077.8662416328575</v>
      </c>
      <c r="D72" s="8">
        <f t="shared" si="18"/>
        <v>10083.34806902118</v>
      </c>
    </row>
    <row r="73" spans="2:4" x14ac:dyDescent="0.2">
      <c r="B73" s="1">
        <v>47</v>
      </c>
      <c r="C73" s="8">
        <f t="shared" si="17"/>
        <v>2089.5542392420425</v>
      </c>
      <c r="D73" s="8">
        <f t="shared" si="18"/>
        <v>10071.660071411994</v>
      </c>
    </row>
    <row r="74" spans="2:4" x14ac:dyDescent="0.2">
      <c r="B74" s="1">
        <v>48</v>
      </c>
      <c r="C74" s="8">
        <f t="shared" si="17"/>
        <v>2101.3079818377792</v>
      </c>
      <c r="D74" s="8">
        <f t="shared" si="18"/>
        <v>10059.906328816258</v>
      </c>
    </row>
    <row r="75" spans="2:4" x14ac:dyDescent="0.2">
      <c r="B75" s="1">
        <v>49</v>
      </c>
      <c r="C75" s="8">
        <f t="shared" si="17"/>
        <v>2113.1278392356171</v>
      </c>
      <c r="D75" s="8">
        <f t="shared" si="18"/>
        <v>10048.086471418421</v>
      </c>
    </row>
    <row r="76" spans="2:4" x14ac:dyDescent="0.2">
      <c r="B76" s="1">
        <v>50</v>
      </c>
      <c r="C76" s="8">
        <f t="shared" si="17"/>
        <v>2125.0141833313173</v>
      </c>
      <c r="D76" s="8">
        <f t="shared" si="18"/>
        <v>10036.20012732272</v>
      </c>
    </row>
    <row r="77" spans="2:4" x14ac:dyDescent="0.2">
      <c r="B77" s="1">
        <v>51</v>
      </c>
      <c r="C77" s="8">
        <f t="shared" si="17"/>
        <v>2136.9673881125559</v>
      </c>
      <c r="D77" s="8">
        <f t="shared" si="18"/>
        <v>10024.246922541481</v>
      </c>
    </row>
    <row r="78" spans="2:4" x14ac:dyDescent="0.2">
      <c r="B78" s="1">
        <v>52</v>
      </c>
      <c r="C78" s="8">
        <f t="shared" si="17"/>
        <v>2148.9878296706888</v>
      </c>
      <c r="D78" s="8">
        <f t="shared" si="18"/>
        <v>10012.226480983349</v>
      </c>
    </row>
    <row r="79" spans="2:4" x14ac:dyDescent="0.2">
      <c r="B79" s="1">
        <v>53</v>
      </c>
      <c r="C79" s="8">
        <f t="shared" si="17"/>
        <v>2161.0758862125867</v>
      </c>
      <c r="D79" s="8">
        <f t="shared" si="18"/>
        <v>10000.138424441449</v>
      </c>
    </row>
    <row r="80" spans="2:4" x14ac:dyDescent="0.2">
      <c r="B80" s="1">
        <v>54</v>
      </c>
      <c r="C80" s="8">
        <f t="shared" si="17"/>
        <v>2173.2319380725326</v>
      </c>
      <c r="D80" s="8">
        <f t="shared" si="18"/>
        <v>9987.982372581504</v>
      </c>
    </row>
    <row r="81" spans="2:4" x14ac:dyDescent="0.2">
      <c r="B81" s="1">
        <v>55</v>
      </c>
      <c r="C81" s="8">
        <f t="shared" si="17"/>
        <v>2185.4563677241904</v>
      </c>
      <c r="D81" s="8">
        <f t="shared" si="18"/>
        <v>9975.7579429298457</v>
      </c>
    </row>
    <row r="82" spans="2:4" x14ac:dyDescent="0.2">
      <c r="B82" s="1">
        <v>56</v>
      </c>
      <c r="C82" s="8">
        <f t="shared" si="17"/>
        <v>2197.7495597926386</v>
      </c>
      <c r="D82" s="8">
        <f t="shared" si="18"/>
        <v>9963.464750861398</v>
      </c>
    </row>
    <row r="83" spans="2:4" x14ac:dyDescent="0.2">
      <c r="B83" s="1">
        <v>57</v>
      </c>
      <c r="C83" s="8">
        <f t="shared" si="17"/>
        <v>2210.1119010664725</v>
      </c>
      <c r="D83" s="8">
        <f t="shared" si="18"/>
        <v>9951.1024095875637</v>
      </c>
    </row>
    <row r="84" spans="2:4" x14ac:dyDescent="0.2">
      <c r="B84" s="1">
        <v>58</v>
      </c>
      <c r="C84" s="8">
        <f t="shared" si="17"/>
        <v>2222.5437805099714</v>
      </c>
      <c r="D84" s="8">
        <f t="shared" si="18"/>
        <v>9938.670530144067</v>
      </c>
    </row>
    <row r="85" spans="2:4" x14ac:dyDescent="0.2">
      <c r="B85" s="1">
        <v>59</v>
      </c>
      <c r="C85" s="8">
        <f t="shared" si="17"/>
        <v>2235.0455892753403</v>
      </c>
      <c r="D85" s="8">
        <f t="shared" si="18"/>
        <v>9926.1687213786972</v>
      </c>
    </row>
    <row r="86" spans="2:4" x14ac:dyDescent="0.2">
      <c r="B86" s="1">
        <v>60</v>
      </c>
      <c r="C86" s="8">
        <f t="shared" si="17"/>
        <v>2247.6177207150135</v>
      </c>
      <c r="D86" s="8">
        <f t="shared" si="18"/>
        <v>9913.596589939023</v>
      </c>
    </row>
    <row r="87" spans="2:4" x14ac:dyDescent="0.2">
      <c r="B87" s="1">
        <v>61</v>
      </c>
      <c r="C87" s="8">
        <f t="shared" si="17"/>
        <v>2260.2605703940358</v>
      </c>
      <c r="D87" s="8">
        <f t="shared" si="18"/>
        <v>9900.9537402599999</v>
      </c>
    </row>
    <row r="88" spans="2:4" x14ac:dyDescent="0.2">
      <c r="B88" s="1">
        <v>62</v>
      </c>
      <c r="C88" s="8">
        <f t="shared" si="17"/>
        <v>2272.974536102502</v>
      </c>
      <c r="D88" s="8">
        <f t="shared" si="18"/>
        <v>9888.2397745515354</v>
      </c>
    </row>
    <row r="89" spans="2:4" x14ac:dyDescent="0.2">
      <c r="B89" s="1">
        <v>63</v>
      </c>
      <c r="C89" s="8">
        <f t="shared" si="17"/>
        <v>2285.7600178680786</v>
      </c>
      <c r="D89" s="8">
        <f t="shared" si="18"/>
        <v>9875.4542927859584</v>
      </c>
    </row>
    <row r="90" spans="2:4" x14ac:dyDescent="0.2">
      <c r="B90" s="1">
        <v>64</v>
      </c>
      <c r="C90" s="8">
        <f t="shared" si="17"/>
        <v>2298.6174179685868</v>
      </c>
      <c r="D90" s="8">
        <f t="shared" si="18"/>
        <v>9862.5968926854512</v>
      </c>
    </row>
    <row r="91" spans="2:4" x14ac:dyDescent="0.2">
      <c r="B91" s="1">
        <v>65</v>
      </c>
      <c r="C91" s="8">
        <f t="shared" si="17"/>
        <v>2311.54714094466</v>
      </c>
      <c r="D91" s="8">
        <f t="shared" si="18"/>
        <v>9849.667169709377</v>
      </c>
    </row>
    <row r="92" spans="2:4" x14ac:dyDescent="0.2">
      <c r="B92" s="1">
        <v>66</v>
      </c>
      <c r="C92" s="8">
        <f t="shared" ref="C92:C155" si="34">IFERROR(PPMT($C$6/12,B92,$C$7*12,(1-$C$5)*-$C$4),0)</f>
        <v>2324.5495936124735</v>
      </c>
      <c r="D92" s="8">
        <f t="shared" ref="D92:D155" si="35">IFERROR(IPMT($C$6/12,B92,$C$7*12,(1-$C$5)*-$C$4),0)</f>
        <v>9836.6647170415617</v>
      </c>
    </row>
    <row r="93" spans="2:4" x14ac:dyDescent="0.2">
      <c r="B93" s="1">
        <v>67</v>
      </c>
      <c r="C93" s="8">
        <f t="shared" si="34"/>
        <v>2337.6251850765434</v>
      </c>
      <c r="D93" s="8">
        <f t="shared" si="35"/>
        <v>9823.589125577495</v>
      </c>
    </row>
    <row r="94" spans="2:4" x14ac:dyDescent="0.2">
      <c r="B94" s="1">
        <v>68</v>
      </c>
      <c r="C94" s="8">
        <f t="shared" si="34"/>
        <v>2350.7743267425994</v>
      </c>
      <c r="D94" s="8">
        <f t="shared" si="35"/>
        <v>9810.4399839114376</v>
      </c>
    </row>
    <row r="95" spans="2:4" x14ac:dyDescent="0.2">
      <c r="B95" s="1">
        <v>69</v>
      </c>
      <c r="C95" s="8">
        <f t="shared" si="34"/>
        <v>2363.9974323305264</v>
      </c>
      <c r="D95" s="8">
        <f t="shared" si="35"/>
        <v>9797.216878323512</v>
      </c>
    </row>
    <row r="96" spans="2:4" x14ac:dyDescent="0.2">
      <c r="B96" s="1">
        <v>70</v>
      </c>
      <c r="C96" s="8">
        <f t="shared" si="34"/>
        <v>2377.294917887386</v>
      </c>
      <c r="D96" s="8">
        <f t="shared" si="35"/>
        <v>9783.9193927666511</v>
      </c>
    </row>
    <row r="97" spans="2:4" x14ac:dyDescent="0.2">
      <c r="B97" s="1">
        <v>71</v>
      </c>
      <c r="C97" s="8">
        <f t="shared" si="34"/>
        <v>2390.6672018005024</v>
      </c>
      <c r="D97" s="8">
        <f t="shared" si="35"/>
        <v>9770.5471088535342</v>
      </c>
    </row>
    <row r="98" spans="2:4" x14ac:dyDescent="0.2">
      <c r="B98" s="1">
        <v>72</v>
      </c>
      <c r="C98" s="8">
        <f t="shared" si="34"/>
        <v>2404.1147048106304</v>
      </c>
      <c r="D98" s="8">
        <f t="shared" si="35"/>
        <v>9757.0996058434066</v>
      </c>
    </row>
    <row r="99" spans="2:4" x14ac:dyDescent="0.2">
      <c r="B99" s="1">
        <v>73</v>
      </c>
      <c r="C99" s="8">
        <f t="shared" si="34"/>
        <v>2417.6378500251899</v>
      </c>
      <c r="D99" s="8">
        <f t="shared" si="35"/>
        <v>9743.5764606288467</v>
      </c>
    </row>
    <row r="100" spans="2:4" x14ac:dyDescent="0.2">
      <c r="B100" s="1">
        <v>74</v>
      </c>
      <c r="C100" s="8">
        <f t="shared" si="34"/>
        <v>2431.2370629315815</v>
      </c>
      <c r="D100" s="8">
        <f t="shared" si="35"/>
        <v>9729.9772477224542</v>
      </c>
    </row>
    <row r="101" spans="2:4" x14ac:dyDescent="0.2">
      <c r="B101" s="1">
        <v>75</v>
      </c>
      <c r="C101" s="8">
        <f t="shared" si="34"/>
        <v>2444.9127714105716</v>
      </c>
      <c r="D101" s="8">
        <f t="shared" si="35"/>
        <v>9716.3015392434645</v>
      </c>
    </row>
    <row r="102" spans="2:4" x14ac:dyDescent="0.2">
      <c r="B102" s="1">
        <v>76</v>
      </c>
      <c r="C102" s="8">
        <f t="shared" si="34"/>
        <v>2458.6654057497562</v>
      </c>
      <c r="D102" s="8">
        <f t="shared" si="35"/>
        <v>9702.5489049042808</v>
      </c>
    </row>
    <row r="103" spans="2:4" x14ac:dyDescent="0.2">
      <c r="B103" s="1">
        <v>77</v>
      </c>
      <c r="C103" s="8">
        <f t="shared" si="34"/>
        <v>2472.4953986570986</v>
      </c>
      <c r="D103" s="8">
        <f t="shared" si="35"/>
        <v>9688.7189119969389</v>
      </c>
    </row>
    <row r="104" spans="2:4" x14ac:dyDescent="0.2">
      <c r="B104" s="1">
        <v>78</v>
      </c>
      <c r="C104" s="8">
        <f t="shared" si="34"/>
        <v>2486.4031852745447</v>
      </c>
      <c r="D104" s="8">
        <f t="shared" si="35"/>
        <v>9674.8111253794923</v>
      </c>
    </row>
    <row r="105" spans="2:4" x14ac:dyDescent="0.2">
      <c r="B105" s="1">
        <v>79</v>
      </c>
      <c r="C105" s="8">
        <f t="shared" si="34"/>
        <v>2500.3892031917135</v>
      </c>
      <c r="D105" s="8">
        <f t="shared" si="35"/>
        <v>9660.8251074623222</v>
      </c>
    </row>
    <row r="106" spans="2:4" x14ac:dyDescent="0.2">
      <c r="B106" s="1">
        <v>80</v>
      </c>
      <c r="C106" s="8">
        <f t="shared" si="34"/>
        <v>2514.4538924596673</v>
      </c>
      <c r="D106" s="8">
        <f t="shared" si="35"/>
        <v>9646.7604181943698</v>
      </c>
    </row>
    <row r="107" spans="2:4" x14ac:dyDescent="0.2">
      <c r="B107" s="1">
        <v>81</v>
      </c>
      <c r="C107" s="8">
        <f t="shared" si="34"/>
        <v>2528.597695604753</v>
      </c>
      <c r="D107" s="8">
        <f t="shared" si="35"/>
        <v>9632.6166150492827</v>
      </c>
    </row>
    <row r="108" spans="2:4" x14ac:dyDescent="0.2">
      <c r="B108" s="1">
        <v>82</v>
      </c>
      <c r="C108" s="8">
        <f t="shared" si="34"/>
        <v>2542.8210576425299</v>
      </c>
      <c r="D108" s="8">
        <f t="shared" si="35"/>
        <v>9618.3932530115071</v>
      </c>
    </row>
    <row r="109" spans="2:4" x14ac:dyDescent="0.2">
      <c r="B109" s="1">
        <v>83</v>
      </c>
      <c r="C109" s="8">
        <f t="shared" si="34"/>
        <v>2557.1244260917692</v>
      </c>
      <c r="D109" s="8">
        <f t="shared" si="35"/>
        <v>9604.0898845622669</v>
      </c>
    </row>
    <row r="110" spans="2:4" x14ac:dyDescent="0.2">
      <c r="B110" s="1">
        <v>84</v>
      </c>
      <c r="C110" s="8">
        <f t="shared" si="34"/>
        <v>2571.5082509885351</v>
      </c>
      <c r="D110" s="8">
        <f t="shared" si="35"/>
        <v>9589.706059665501</v>
      </c>
    </row>
    <row r="111" spans="2:4" x14ac:dyDescent="0.2">
      <c r="B111" s="1">
        <v>85</v>
      </c>
      <c r="C111" s="8">
        <f t="shared" si="34"/>
        <v>2585.9729849003456</v>
      </c>
      <c r="D111" s="8">
        <f t="shared" si="35"/>
        <v>9575.2413257536919</v>
      </c>
    </row>
    <row r="112" spans="2:4" x14ac:dyDescent="0.2">
      <c r="B112" s="1">
        <v>86</v>
      </c>
      <c r="C112" s="8">
        <f t="shared" si="34"/>
        <v>2600.51908294041</v>
      </c>
      <c r="D112" s="8">
        <f t="shared" si="35"/>
        <v>9560.6952277136279</v>
      </c>
    </row>
    <row r="113" spans="2:4" x14ac:dyDescent="0.2">
      <c r="B113" s="1">
        <v>87</v>
      </c>
      <c r="C113" s="8">
        <f t="shared" si="34"/>
        <v>2615.1470027819496</v>
      </c>
      <c r="D113" s="8">
        <f t="shared" si="35"/>
        <v>9546.0673078720865</v>
      </c>
    </row>
    <row r="114" spans="2:4" x14ac:dyDescent="0.2">
      <c r="B114" s="1">
        <v>88</v>
      </c>
      <c r="C114" s="8">
        <f t="shared" si="34"/>
        <v>2629.8572046725981</v>
      </c>
      <c r="D114" s="8">
        <f t="shared" si="35"/>
        <v>9531.3571059814385</v>
      </c>
    </row>
    <row r="115" spans="2:4" x14ac:dyDescent="0.2">
      <c r="B115" s="1">
        <v>89</v>
      </c>
      <c r="C115" s="8">
        <f t="shared" si="34"/>
        <v>2644.6501514488814</v>
      </c>
      <c r="D115" s="8">
        <f t="shared" si="35"/>
        <v>9516.5641592051561</v>
      </c>
    </row>
    <row r="116" spans="2:4" x14ac:dyDescent="0.2">
      <c r="B116" s="1">
        <v>90</v>
      </c>
      <c r="C116" s="8">
        <f t="shared" si="34"/>
        <v>2659.5263085507822</v>
      </c>
      <c r="D116" s="8">
        <f t="shared" si="35"/>
        <v>9501.6880021032539</v>
      </c>
    </row>
    <row r="117" spans="2:4" x14ac:dyDescent="0.2">
      <c r="B117" s="1">
        <v>91</v>
      </c>
      <c r="C117" s="8">
        <f t="shared" si="34"/>
        <v>2674.4861440363802</v>
      </c>
      <c r="D117" s="8">
        <f t="shared" si="35"/>
        <v>9486.728166617655</v>
      </c>
    </row>
    <row r="118" spans="2:4" x14ac:dyDescent="0.2">
      <c r="B118" s="1">
        <v>92</v>
      </c>
      <c r="C118" s="8">
        <f t="shared" si="34"/>
        <v>2689.5301285965847</v>
      </c>
      <c r="D118" s="8">
        <f t="shared" si="35"/>
        <v>9471.6841820574518</v>
      </c>
    </row>
    <row r="119" spans="2:4" x14ac:dyDescent="0.2">
      <c r="B119" s="1">
        <v>93</v>
      </c>
      <c r="C119" s="8">
        <f t="shared" si="34"/>
        <v>2704.6587355699403</v>
      </c>
      <c r="D119" s="8">
        <f t="shared" si="35"/>
        <v>9456.5555750840977</v>
      </c>
    </row>
    <row r="120" spans="2:4" x14ac:dyDescent="0.2">
      <c r="B120" s="1">
        <v>94</v>
      </c>
      <c r="C120" s="8">
        <f t="shared" si="34"/>
        <v>2719.8724409575216</v>
      </c>
      <c r="D120" s="8">
        <f t="shared" si="35"/>
        <v>9441.3418696965146</v>
      </c>
    </row>
    <row r="121" spans="2:4" x14ac:dyDescent="0.2">
      <c r="B121" s="1">
        <v>95</v>
      </c>
      <c r="C121" s="8">
        <f t="shared" si="34"/>
        <v>2735.1717234379075</v>
      </c>
      <c r="D121" s="8">
        <f t="shared" si="35"/>
        <v>9426.0425872161304</v>
      </c>
    </row>
    <row r="122" spans="2:4" x14ac:dyDescent="0.2">
      <c r="B122" s="1">
        <v>96</v>
      </c>
      <c r="C122" s="8">
        <f t="shared" si="34"/>
        <v>2750.5570643822457</v>
      </c>
      <c r="D122" s="8">
        <f t="shared" si="35"/>
        <v>9410.6572462717904</v>
      </c>
    </row>
    <row r="123" spans="2:4" x14ac:dyDescent="0.2">
      <c r="B123" s="1">
        <v>97</v>
      </c>
      <c r="C123" s="8">
        <f t="shared" si="34"/>
        <v>2766.0289478693953</v>
      </c>
      <c r="D123" s="8">
        <f t="shared" si="35"/>
        <v>9395.1853627846413</v>
      </c>
    </row>
    <row r="124" spans="2:4" x14ac:dyDescent="0.2">
      <c r="B124" s="1">
        <v>98</v>
      </c>
      <c r="C124" s="8">
        <f t="shared" si="34"/>
        <v>2781.5878607011609</v>
      </c>
      <c r="D124" s="8">
        <f t="shared" si="35"/>
        <v>9379.626449952877</v>
      </c>
    </row>
    <row r="125" spans="2:4" x14ac:dyDescent="0.2">
      <c r="B125" s="1">
        <v>99</v>
      </c>
      <c r="C125" s="8">
        <f t="shared" si="34"/>
        <v>2797.2342924176046</v>
      </c>
      <c r="D125" s="8">
        <f t="shared" si="35"/>
        <v>9363.9800182364324</v>
      </c>
    </row>
    <row r="126" spans="2:4" x14ac:dyDescent="0.2">
      <c r="B126" s="1">
        <v>100</v>
      </c>
      <c r="C126" s="8">
        <f t="shared" si="34"/>
        <v>2812.9687353124546</v>
      </c>
      <c r="D126" s="8">
        <f t="shared" si="35"/>
        <v>9348.2455753415834</v>
      </c>
    </row>
    <row r="127" spans="2:4" x14ac:dyDescent="0.2">
      <c r="B127" s="1">
        <v>101</v>
      </c>
      <c r="C127" s="8">
        <f t="shared" si="34"/>
        <v>2828.7916844485871</v>
      </c>
      <c r="D127" s="8">
        <f t="shared" si="35"/>
        <v>9332.422626205449</v>
      </c>
    </row>
    <row r="128" spans="2:4" x14ac:dyDescent="0.2">
      <c r="B128" s="1">
        <v>102</v>
      </c>
      <c r="C128" s="8">
        <f t="shared" si="34"/>
        <v>2844.70363767361</v>
      </c>
      <c r="D128" s="8">
        <f t="shared" si="35"/>
        <v>9316.5106729804265</v>
      </c>
    </row>
    <row r="129" spans="2:4" x14ac:dyDescent="0.2">
      <c r="B129" s="1">
        <v>103</v>
      </c>
      <c r="C129" s="8">
        <f t="shared" si="34"/>
        <v>2860.7050956355242</v>
      </c>
      <c r="D129" s="8">
        <f t="shared" si="35"/>
        <v>9300.5092150185119</v>
      </c>
    </row>
    <row r="130" spans="2:4" x14ac:dyDescent="0.2">
      <c r="B130" s="1">
        <v>104</v>
      </c>
      <c r="C130" s="8">
        <f t="shared" si="34"/>
        <v>2876.7965617984742</v>
      </c>
      <c r="D130" s="8">
        <f t="shared" si="35"/>
        <v>9284.4177488555633</v>
      </c>
    </row>
    <row r="131" spans="2:4" x14ac:dyDescent="0.2">
      <c r="B131" s="1">
        <v>105</v>
      </c>
      <c r="C131" s="8">
        <f t="shared" si="34"/>
        <v>2892.9785424585903</v>
      </c>
      <c r="D131" s="8">
        <f t="shared" si="35"/>
        <v>9268.2357681954472</v>
      </c>
    </row>
    <row r="132" spans="2:4" x14ac:dyDescent="0.2">
      <c r="B132" s="1">
        <v>106</v>
      </c>
      <c r="C132" s="8">
        <f t="shared" si="34"/>
        <v>2909.2515467599196</v>
      </c>
      <c r="D132" s="8">
        <f t="shared" si="35"/>
        <v>9251.9627638941165</v>
      </c>
    </row>
    <row r="133" spans="2:4" x14ac:dyDescent="0.2">
      <c r="B133" s="1">
        <v>107</v>
      </c>
      <c r="C133" s="8">
        <f t="shared" si="34"/>
        <v>2925.6160867104445</v>
      </c>
      <c r="D133" s="8">
        <f t="shared" si="35"/>
        <v>9235.5982239435925</v>
      </c>
    </row>
    <row r="134" spans="2:4" x14ac:dyDescent="0.2">
      <c r="B134" s="1">
        <v>108</v>
      </c>
      <c r="C134" s="8">
        <f t="shared" si="34"/>
        <v>2942.0726771981904</v>
      </c>
      <c r="D134" s="8">
        <f t="shared" si="35"/>
        <v>9219.1416334558453</v>
      </c>
    </row>
    <row r="135" spans="2:4" x14ac:dyDescent="0.2">
      <c r="B135" s="1">
        <v>109</v>
      </c>
      <c r="C135" s="8">
        <f t="shared" si="34"/>
        <v>2958.6218360074304</v>
      </c>
      <c r="D135" s="8">
        <f t="shared" si="35"/>
        <v>9202.5924746466062</v>
      </c>
    </row>
    <row r="136" spans="2:4" x14ac:dyDescent="0.2">
      <c r="B136" s="1">
        <v>110</v>
      </c>
      <c r="C136" s="8">
        <f t="shared" si="34"/>
        <v>2975.2640838349716</v>
      </c>
      <c r="D136" s="8">
        <f t="shared" si="35"/>
        <v>9185.9502268190645</v>
      </c>
    </row>
    <row r="137" spans="2:4" x14ac:dyDescent="0.2">
      <c r="B137" s="1">
        <v>111</v>
      </c>
      <c r="C137" s="8">
        <f t="shared" si="34"/>
        <v>2991.9999443065444</v>
      </c>
      <c r="D137" s="8">
        <f t="shared" si="35"/>
        <v>9169.2143663474926</v>
      </c>
    </row>
    <row r="138" spans="2:4" x14ac:dyDescent="0.2">
      <c r="B138" s="1">
        <v>112</v>
      </c>
      <c r="C138" s="8">
        <f t="shared" si="34"/>
        <v>3008.829943993268</v>
      </c>
      <c r="D138" s="8">
        <f t="shared" si="35"/>
        <v>9152.3843666607681</v>
      </c>
    </row>
    <row r="139" spans="2:4" x14ac:dyDescent="0.2">
      <c r="B139" s="1">
        <v>113</v>
      </c>
      <c r="C139" s="8">
        <f t="shared" si="34"/>
        <v>3025.7546124282308</v>
      </c>
      <c r="D139" s="8">
        <f t="shared" si="35"/>
        <v>9135.4596982258063</v>
      </c>
    </row>
    <row r="140" spans="2:4" x14ac:dyDescent="0.2">
      <c r="B140" s="1">
        <v>114</v>
      </c>
      <c r="C140" s="8">
        <f t="shared" si="34"/>
        <v>3042.774482123139</v>
      </c>
      <c r="D140" s="8">
        <f t="shared" si="35"/>
        <v>9118.439828530898</v>
      </c>
    </row>
    <row r="141" spans="2:4" x14ac:dyDescent="0.2">
      <c r="B141" s="1">
        <v>115</v>
      </c>
      <c r="C141" s="8">
        <f t="shared" si="34"/>
        <v>3059.8900885850821</v>
      </c>
      <c r="D141" s="8">
        <f t="shared" si="35"/>
        <v>9101.3242220689554</v>
      </c>
    </row>
    <row r="142" spans="2:4" x14ac:dyDescent="0.2">
      <c r="B142" s="1">
        <v>116</v>
      </c>
      <c r="C142" s="8">
        <f t="shared" si="34"/>
        <v>3077.1019703333727</v>
      </c>
      <c r="D142" s="8">
        <f t="shared" si="35"/>
        <v>9084.1123403206639</v>
      </c>
    </row>
    <row r="143" spans="2:4" x14ac:dyDescent="0.2">
      <c r="B143" s="1">
        <v>117</v>
      </c>
      <c r="C143" s="8">
        <f t="shared" si="34"/>
        <v>3094.4106689164978</v>
      </c>
      <c r="D143" s="8">
        <f t="shared" si="35"/>
        <v>9066.803641737537</v>
      </c>
    </row>
    <row r="144" spans="2:4" x14ac:dyDescent="0.2">
      <c r="B144" s="1">
        <v>118</v>
      </c>
      <c r="C144" s="8">
        <f t="shared" si="34"/>
        <v>3111.8167289291532</v>
      </c>
      <c r="D144" s="8">
        <f t="shared" si="35"/>
        <v>9049.3975817248829</v>
      </c>
    </row>
    <row r="145" spans="2:4" x14ac:dyDescent="0.2">
      <c r="B145" s="1">
        <v>119</v>
      </c>
      <c r="C145" s="8">
        <f t="shared" si="34"/>
        <v>3129.3206980293799</v>
      </c>
      <c r="D145" s="8">
        <f t="shared" si="35"/>
        <v>9031.8936126246572</v>
      </c>
    </row>
    <row r="146" spans="2:4" x14ac:dyDescent="0.2">
      <c r="B146" s="1">
        <v>120</v>
      </c>
      <c r="C146" s="8">
        <f t="shared" si="34"/>
        <v>3146.9231269557949</v>
      </c>
      <c r="D146" s="8">
        <f t="shared" si="35"/>
        <v>9014.2911836982421</v>
      </c>
    </row>
    <row r="147" spans="2:4" x14ac:dyDescent="0.2">
      <c r="B147" s="1">
        <v>121</v>
      </c>
      <c r="C147" s="8">
        <f t="shared" si="34"/>
        <v>3164.6245695449215</v>
      </c>
      <c r="D147" s="8">
        <f t="shared" si="35"/>
        <v>8996.5897411091155</v>
      </c>
    </row>
    <row r="148" spans="2:4" x14ac:dyDescent="0.2">
      <c r="B148" s="1">
        <v>122</v>
      </c>
      <c r="C148" s="8">
        <f t="shared" si="34"/>
        <v>3182.4255827486118</v>
      </c>
      <c r="D148" s="8">
        <f t="shared" si="35"/>
        <v>8978.7887279054248</v>
      </c>
    </row>
    <row r="149" spans="2:4" x14ac:dyDescent="0.2">
      <c r="B149" s="1">
        <v>123</v>
      </c>
      <c r="C149" s="8">
        <f t="shared" si="34"/>
        <v>3200.3267266515727</v>
      </c>
      <c r="D149" s="8">
        <f t="shared" si="35"/>
        <v>8960.8875840024648</v>
      </c>
    </row>
    <row r="150" spans="2:4" x14ac:dyDescent="0.2">
      <c r="B150" s="1">
        <v>124</v>
      </c>
      <c r="C150" s="8">
        <f t="shared" si="34"/>
        <v>3218.3285644889875</v>
      </c>
      <c r="D150" s="8">
        <f t="shared" si="35"/>
        <v>8942.8857461650477</v>
      </c>
    </row>
    <row r="151" spans="2:4" x14ac:dyDescent="0.2">
      <c r="B151" s="1">
        <v>125</v>
      </c>
      <c r="C151" s="8">
        <f t="shared" si="34"/>
        <v>3236.4316626642385</v>
      </c>
      <c r="D151" s="8">
        <f t="shared" si="35"/>
        <v>8924.7826479897994</v>
      </c>
    </row>
    <row r="152" spans="2:4" x14ac:dyDescent="0.2">
      <c r="B152" s="1">
        <v>126</v>
      </c>
      <c r="C152" s="8">
        <f t="shared" si="34"/>
        <v>3254.636590766725</v>
      </c>
      <c r="D152" s="8">
        <f t="shared" si="35"/>
        <v>8906.5777198873129</v>
      </c>
    </row>
    <row r="153" spans="2:4" x14ac:dyDescent="0.2">
      <c r="B153" s="1">
        <v>127</v>
      </c>
      <c r="C153" s="8">
        <f t="shared" si="34"/>
        <v>3272.9439215897874</v>
      </c>
      <c r="D153" s="8">
        <f t="shared" si="35"/>
        <v>8888.2703890642497</v>
      </c>
    </row>
    <row r="154" spans="2:4" x14ac:dyDescent="0.2">
      <c r="B154" s="1">
        <v>128</v>
      </c>
      <c r="C154" s="8">
        <f t="shared" si="34"/>
        <v>3291.3542311487295</v>
      </c>
      <c r="D154" s="8">
        <f t="shared" si="35"/>
        <v>8869.8600795053062</v>
      </c>
    </row>
    <row r="155" spans="2:4" x14ac:dyDescent="0.2">
      <c r="B155" s="1">
        <v>129</v>
      </c>
      <c r="C155" s="8">
        <f t="shared" si="34"/>
        <v>3309.8680986989416</v>
      </c>
      <c r="D155" s="8">
        <f t="shared" si="35"/>
        <v>8851.346211955095</v>
      </c>
    </row>
    <row r="156" spans="2:4" x14ac:dyDescent="0.2">
      <c r="B156" s="1">
        <v>130</v>
      </c>
      <c r="C156" s="8">
        <f t="shared" ref="C156:C219" si="36">IFERROR(PPMT($C$6/12,B156,$C$7*12,(1-$C$5)*-$C$4),0)</f>
        <v>3328.4861067541233</v>
      </c>
      <c r="D156" s="8">
        <f t="shared" ref="D156:D219" si="37">IFERROR(IPMT($C$6/12,B156,$C$7*12,(1-$C$5)*-$C$4),0)</f>
        <v>8832.7282038999128</v>
      </c>
    </row>
    <row r="157" spans="2:4" x14ac:dyDescent="0.2">
      <c r="B157" s="1">
        <v>131</v>
      </c>
      <c r="C157" s="8">
        <f t="shared" si="36"/>
        <v>3347.2088411046152</v>
      </c>
      <c r="D157" s="8">
        <f t="shared" si="37"/>
        <v>8814.00546954942</v>
      </c>
    </row>
    <row r="158" spans="2:4" x14ac:dyDescent="0.2">
      <c r="B158" s="1">
        <v>132</v>
      </c>
      <c r="C158" s="8">
        <f t="shared" si="36"/>
        <v>3366.0368908358291</v>
      </c>
      <c r="D158" s="8">
        <f t="shared" si="37"/>
        <v>8795.1774198182065</v>
      </c>
    </row>
    <row r="159" spans="2:4" x14ac:dyDescent="0.2">
      <c r="B159" s="1">
        <v>133</v>
      </c>
      <c r="C159" s="8">
        <f t="shared" si="36"/>
        <v>3384.9708483467807</v>
      </c>
      <c r="D159" s="8">
        <f t="shared" si="37"/>
        <v>8776.2434623072568</v>
      </c>
    </row>
    <row r="160" spans="2:4" x14ac:dyDescent="0.2">
      <c r="B160" s="1">
        <v>134</v>
      </c>
      <c r="C160" s="8">
        <f t="shared" si="36"/>
        <v>3404.0113093687314</v>
      </c>
      <c r="D160" s="8">
        <f t="shared" si="37"/>
        <v>8757.2030012853065</v>
      </c>
    </row>
    <row r="161" spans="2:4" x14ac:dyDescent="0.2">
      <c r="B161" s="1">
        <v>135</v>
      </c>
      <c r="C161" s="8">
        <f t="shared" si="36"/>
        <v>3423.15887298393</v>
      </c>
      <c r="D161" s="8">
        <f t="shared" si="37"/>
        <v>8738.0554376701075</v>
      </c>
    </row>
    <row r="162" spans="2:4" x14ac:dyDescent="0.2">
      <c r="B162" s="1">
        <v>136</v>
      </c>
      <c r="C162" s="8">
        <f t="shared" si="36"/>
        <v>3442.4141416444645</v>
      </c>
      <c r="D162" s="8">
        <f t="shared" si="37"/>
        <v>8718.8001690095716</v>
      </c>
    </row>
    <row r="163" spans="2:4" x14ac:dyDescent="0.2">
      <c r="B163" s="1">
        <v>137</v>
      </c>
      <c r="C163" s="8">
        <f t="shared" si="36"/>
        <v>3461.7777211912148</v>
      </c>
      <c r="D163" s="8">
        <f t="shared" si="37"/>
        <v>8699.4365894628227</v>
      </c>
    </row>
    <row r="164" spans="2:4" x14ac:dyDescent="0.2">
      <c r="B164" s="1">
        <v>138</v>
      </c>
      <c r="C164" s="8">
        <f t="shared" si="36"/>
        <v>3481.2502208729152</v>
      </c>
      <c r="D164" s="8">
        <f t="shared" si="37"/>
        <v>8679.9640897811205</v>
      </c>
    </row>
    <row r="165" spans="2:4" x14ac:dyDescent="0.2">
      <c r="B165" s="1">
        <v>139</v>
      </c>
      <c r="C165" s="8">
        <f t="shared" si="36"/>
        <v>3500.8322533653245</v>
      </c>
      <c r="D165" s="8">
        <f t="shared" si="37"/>
        <v>8660.3820572887125</v>
      </c>
    </row>
    <row r="166" spans="2:4" x14ac:dyDescent="0.2">
      <c r="B166" s="1">
        <v>140</v>
      </c>
      <c r="C166" s="8">
        <f t="shared" si="36"/>
        <v>3520.5244347905054</v>
      </c>
      <c r="D166" s="8">
        <f t="shared" si="37"/>
        <v>8640.6898758635325</v>
      </c>
    </row>
    <row r="167" spans="2:4" x14ac:dyDescent="0.2">
      <c r="B167" s="1">
        <v>141</v>
      </c>
      <c r="C167" s="8">
        <f t="shared" si="36"/>
        <v>3540.3273847362025</v>
      </c>
      <c r="D167" s="8">
        <f t="shared" si="37"/>
        <v>8620.8869259178337</v>
      </c>
    </row>
    <row r="168" spans="2:4" x14ac:dyDescent="0.2">
      <c r="B168" s="1">
        <v>142</v>
      </c>
      <c r="C168" s="8">
        <f t="shared" si="36"/>
        <v>3560.2417262753434</v>
      </c>
      <c r="D168" s="8">
        <f t="shared" si="37"/>
        <v>8600.9725843786928</v>
      </c>
    </row>
    <row r="169" spans="2:4" x14ac:dyDescent="0.2">
      <c r="B169" s="1">
        <v>143</v>
      </c>
      <c r="C169" s="8">
        <f t="shared" si="36"/>
        <v>3580.2680859856423</v>
      </c>
      <c r="D169" s="8">
        <f t="shared" si="37"/>
        <v>8580.9462246683943</v>
      </c>
    </row>
    <row r="170" spans="2:4" x14ac:dyDescent="0.2">
      <c r="B170" s="1">
        <v>144</v>
      </c>
      <c r="C170" s="8">
        <f t="shared" si="36"/>
        <v>3600.4070939693111</v>
      </c>
      <c r="D170" s="8">
        <f t="shared" si="37"/>
        <v>8560.8072166847251</v>
      </c>
    </row>
    <row r="171" spans="2:4" x14ac:dyDescent="0.2">
      <c r="B171" s="1">
        <v>145</v>
      </c>
      <c r="C171" s="8">
        <f t="shared" si="36"/>
        <v>3620.6593838728886</v>
      </c>
      <c r="D171" s="8">
        <f t="shared" si="37"/>
        <v>8540.5549267811493</v>
      </c>
    </row>
    <row r="172" spans="2:4" x14ac:dyDescent="0.2">
      <c r="B172" s="1">
        <v>146</v>
      </c>
      <c r="C172" s="8">
        <f t="shared" si="36"/>
        <v>3641.0255929071732</v>
      </c>
      <c r="D172" s="8">
        <f t="shared" si="37"/>
        <v>8520.1887177468616</v>
      </c>
    </row>
    <row r="173" spans="2:4" x14ac:dyDescent="0.2">
      <c r="B173" s="1">
        <v>147</v>
      </c>
      <c r="C173" s="8">
        <f t="shared" si="36"/>
        <v>3661.5063618672766</v>
      </c>
      <c r="D173" s="8">
        <f t="shared" si="37"/>
        <v>8499.7079487867613</v>
      </c>
    </row>
    <row r="174" spans="2:4" x14ac:dyDescent="0.2">
      <c r="B174" s="1">
        <v>148</v>
      </c>
      <c r="C174" s="8">
        <f t="shared" si="36"/>
        <v>3682.1023351527792</v>
      </c>
      <c r="D174" s="8">
        <f t="shared" si="37"/>
        <v>8479.1119755012569</v>
      </c>
    </row>
    <row r="175" spans="2:4" x14ac:dyDescent="0.2">
      <c r="B175" s="1">
        <v>149</v>
      </c>
      <c r="C175" s="8">
        <f t="shared" si="36"/>
        <v>3702.8141607880139</v>
      </c>
      <c r="D175" s="8">
        <f t="shared" si="37"/>
        <v>8458.4001498660236</v>
      </c>
    </row>
    <row r="176" spans="2:4" x14ac:dyDescent="0.2">
      <c r="B176" s="1">
        <v>150</v>
      </c>
      <c r="C176" s="8">
        <f t="shared" si="36"/>
        <v>3723.6424904424462</v>
      </c>
      <c r="D176" s="8">
        <f t="shared" si="37"/>
        <v>8437.5718202115913</v>
      </c>
    </row>
    <row r="177" spans="2:4" x14ac:dyDescent="0.2">
      <c r="B177" s="1">
        <v>151</v>
      </c>
      <c r="C177" s="8">
        <f t="shared" si="36"/>
        <v>3744.5879794511852</v>
      </c>
      <c r="D177" s="8">
        <f t="shared" si="37"/>
        <v>8416.6263312028514</v>
      </c>
    </row>
    <row r="178" spans="2:4" x14ac:dyDescent="0.2">
      <c r="B178" s="1">
        <v>152</v>
      </c>
      <c r="C178" s="8">
        <f t="shared" si="36"/>
        <v>3765.6512868355985</v>
      </c>
      <c r="D178" s="8">
        <f t="shared" si="37"/>
        <v>8395.5630238184385</v>
      </c>
    </row>
    <row r="179" spans="2:4" x14ac:dyDescent="0.2">
      <c r="B179" s="1">
        <v>153</v>
      </c>
      <c r="C179" s="8">
        <f t="shared" si="36"/>
        <v>3786.8330753240493</v>
      </c>
      <c r="D179" s="8">
        <f t="shared" si="37"/>
        <v>8374.3812353299872</v>
      </c>
    </row>
    <row r="180" spans="2:4" x14ac:dyDescent="0.2">
      <c r="B180" s="1">
        <v>154</v>
      </c>
      <c r="C180" s="8">
        <f t="shared" si="36"/>
        <v>3808.1340113727465</v>
      </c>
      <c r="D180" s="8">
        <f t="shared" si="37"/>
        <v>8353.0802992812896</v>
      </c>
    </row>
    <row r="181" spans="2:4" x14ac:dyDescent="0.2">
      <c r="B181" s="1">
        <v>155</v>
      </c>
      <c r="C181" s="8">
        <f t="shared" si="36"/>
        <v>3829.5547651867187</v>
      </c>
      <c r="D181" s="8">
        <f t="shared" si="37"/>
        <v>8331.6595454673188</v>
      </c>
    </row>
    <row r="182" spans="2:4" x14ac:dyDescent="0.2">
      <c r="B182" s="1">
        <v>156</v>
      </c>
      <c r="C182" s="8">
        <f t="shared" si="36"/>
        <v>3851.0960107408932</v>
      </c>
      <c r="D182" s="8">
        <f t="shared" si="37"/>
        <v>8310.1182999131433</v>
      </c>
    </row>
    <row r="183" spans="2:4" x14ac:dyDescent="0.2">
      <c r="B183" s="1">
        <v>157</v>
      </c>
      <c r="C183" s="8">
        <f t="shared" si="36"/>
        <v>3872.7584258013108</v>
      </c>
      <c r="D183" s="8">
        <f t="shared" si="37"/>
        <v>8288.4558848527267</v>
      </c>
    </row>
    <row r="184" spans="2:4" x14ac:dyDescent="0.2">
      <c r="B184" s="1">
        <v>158</v>
      </c>
      <c r="C184" s="8">
        <f t="shared" si="36"/>
        <v>3894.5426919464435</v>
      </c>
      <c r="D184" s="8">
        <f t="shared" si="37"/>
        <v>8266.6716187075945</v>
      </c>
    </row>
    <row r="185" spans="2:4" x14ac:dyDescent="0.2">
      <c r="B185" s="1">
        <v>159</v>
      </c>
      <c r="C185" s="8">
        <f t="shared" si="36"/>
        <v>3916.4494945886422</v>
      </c>
      <c r="D185" s="8">
        <f t="shared" si="37"/>
        <v>8244.7648160653953</v>
      </c>
    </row>
    <row r="186" spans="2:4" x14ac:dyDescent="0.2">
      <c r="B186" s="1">
        <v>160</v>
      </c>
      <c r="C186" s="8">
        <f t="shared" si="36"/>
        <v>3938.4795229957031</v>
      </c>
      <c r="D186" s="8">
        <f t="shared" si="37"/>
        <v>8222.7347876583353</v>
      </c>
    </row>
    <row r="187" spans="2:4" x14ac:dyDescent="0.2">
      <c r="B187" s="1">
        <v>161</v>
      </c>
      <c r="C187" s="8">
        <f t="shared" si="36"/>
        <v>3960.6334703125535</v>
      </c>
      <c r="D187" s="8">
        <f t="shared" si="37"/>
        <v>8200.5808403414831</v>
      </c>
    </row>
    <row r="188" spans="2:4" x14ac:dyDescent="0.2">
      <c r="B188" s="1">
        <v>162</v>
      </c>
      <c r="C188" s="8">
        <f t="shared" si="36"/>
        <v>3982.9120335830626</v>
      </c>
      <c r="D188" s="8">
        <f t="shared" si="37"/>
        <v>8178.3022770709731</v>
      </c>
    </row>
    <row r="189" spans="2:4" x14ac:dyDescent="0.2">
      <c r="B189" s="1">
        <v>163</v>
      </c>
      <c r="C189" s="8">
        <f t="shared" si="36"/>
        <v>4005.3159137719672</v>
      </c>
      <c r="D189" s="8">
        <f t="shared" si="37"/>
        <v>8155.8983968820712</v>
      </c>
    </row>
    <row r="190" spans="2:4" x14ac:dyDescent="0.2">
      <c r="B190" s="1">
        <v>164</v>
      </c>
      <c r="C190" s="8">
        <f t="shared" si="36"/>
        <v>4027.8458157869345</v>
      </c>
      <c r="D190" s="8">
        <f t="shared" si="37"/>
        <v>8133.3684948671025</v>
      </c>
    </row>
    <row r="191" spans="2:4" x14ac:dyDescent="0.2">
      <c r="B191" s="1">
        <v>165</v>
      </c>
      <c r="C191" s="8">
        <f t="shared" si="36"/>
        <v>4050.5024485007357</v>
      </c>
      <c r="D191" s="8">
        <f t="shared" si="37"/>
        <v>8110.7118621533027</v>
      </c>
    </row>
    <row r="192" spans="2:4" x14ac:dyDescent="0.2">
      <c r="B192" s="1">
        <v>166</v>
      </c>
      <c r="C192" s="8">
        <f t="shared" si="36"/>
        <v>4073.2865247735522</v>
      </c>
      <c r="D192" s="8">
        <f t="shared" si="37"/>
        <v>8087.9277858804853</v>
      </c>
    </row>
    <row r="193" spans="2:4" x14ac:dyDescent="0.2">
      <c r="B193" s="1">
        <v>167</v>
      </c>
      <c r="C193" s="8">
        <f t="shared" si="36"/>
        <v>4096.1987614754034</v>
      </c>
      <c r="D193" s="8">
        <f t="shared" si="37"/>
        <v>8065.0155491786327</v>
      </c>
    </row>
    <row r="194" spans="2:4" x14ac:dyDescent="0.2">
      <c r="B194" s="1">
        <v>168</v>
      </c>
      <c r="C194" s="8">
        <f t="shared" si="36"/>
        <v>4119.2398795087029</v>
      </c>
      <c r="D194" s="8">
        <f t="shared" si="37"/>
        <v>8041.9744311453342</v>
      </c>
    </row>
    <row r="195" spans="2:4" x14ac:dyDescent="0.2">
      <c r="B195" s="1">
        <v>169</v>
      </c>
      <c r="C195" s="8">
        <f t="shared" si="36"/>
        <v>4142.4106038309392</v>
      </c>
      <c r="D195" s="8">
        <f t="shared" si="37"/>
        <v>8018.8037068230988</v>
      </c>
    </row>
    <row r="196" spans="2:4" x14ac:dyDescent="0.2">
      <c r="B196" s="1">
        <v>170</v>
      </c>
      <c r="C196" s="8">
        <f t="shared" si="36"/>
        <v>4165.7116634774875</v>
      </c>
      <c r="D196" s="8">
        <f t="shared" si="37"/>
        <v>7995.5026471765495</v>
      </c>
    </row>
    <row r="197" spans="2:4" x14ac:dyDescent="0.2">
      <c r="B197" s="1">
        <v>171</v>
      </c>
      <c r="C197" s="8">
        <f t="shared" si="36"/>
        <v>4189.1437915845481</v>
      </c>
      <c r="D197" s="8">
        <f t="shared" si="37"/>
        <v>7972.070519069488</v>
      </c>
    </row>
    <row r="198" spans="2:4" x14ac:dyDescent="0.2">
      <c r="B198" s="1">
        <v>172</v>
      </c>
      <c r="C198" s="8">
        <f t="shared" si="36"/>
        <v>4212.7077254122123</v>
      </c>
      <c r="D198" s="8">
        <f t="shared" si="37"/>
        <v>7948.5065852418247</v>
      </c>
    </row>
    <row r="199" spans="2:4" x14ac:dyDescent="0.2">
      <c r="B199" s="1">
        <v>173</v>
      </c>
      <c r="C199" s="8">
        <f t="shared" si="36"/>
        <v>4236.4042063676561</v>
      </c>
      <c r="D199" s="8">
        <f t="shared" si="37"/>
        <v>7924.8101042863809</v>
      </c>
    </row>
    <row r="200" spans="2:4" x14ac:dyDescent="0.2">
      <c r="B200" s="1">
        <v>174</v>
      </c>
      <c r="C200" s="8">
        <f t="shared" si="36"/>
        <v>4260.2339800284744</v>
      </c>
      <c r="D200" s="8">
        <f t="shared" si="37"/>
        <v>7900.9803306255626</v>
      </c>
    </row>
    <row r="201" spans="2:4" x14ac:dyDescent="0.2">
      <c r="B201" s="1">
        <v>175</v>
      </c>
      <c r="C201" s="8">
        <f t="shared" si="36"/>
        <v>4284.1977961661341</v>
      </c>
      <c r="D201" s="8">
        <f t="shared" si="37"/>
        <v>7877.0165144879029</v>
      </c>
    </row>
    <row r="202" spans="2:4" x14ac:dyDescent="0.2">
      <c r="B202" s="1">
        <v>176</v>
      </c>
      <c r="C202" s="8">
        <f t="shared" si="36"/>
        <v>4308.2964087695682</v>
      </c>
      <c r="D202" s="8">
        <f t="shared" si="37"/>
        <v>7852.917901884467</v>
      </c>
    </row>
    <row r="203" spans="2:4" x14ac:dyDescent="0.2">
      <c r="B203" s="1">
        <v>177</v>
      </c>
      <c r="C203" s="8">
        <f t="shared" si="36"/>
        <v>4332.5305760688971</v>
      </c>
      <c r="D203" s="8">
        <f t="shared" si="37"/>
        <v>7828.6837345851391</v>
      </c>
    </row>
    <row r="204" spans="2:4" x14ac:dyDescent="0.2">
      <c r="B204" s="1">
        <v>178</v>
      </c>
      <c r="C204" s="8">
        <f t="shared" si="36"/>
        <v>4356.9010605592848</v>
      </c>
      <c r="D204" s="8">
        <f t="shared" si="37"/>
        <v>7804.3132500947522</v>
      </c>
    </row>
    <row r="205" spans="2:4" x14ac:dyDescent="0.2">
      <c r="B205" s="1">
        <v>179</v>
      </c>
      <c r="C205" s="8">
        <f t="shared" si="36"/>
        <v>4381.4086290249306</v>
      </c>
      <c r="D205" s="8">
        <f t="shared" si="37"/>
        <v>7779.8056816291064</v>
      </c>
    </row>
    <row r="206" spans="2:4" x14ac:dyDescent="0.2">
      <c r="B206" s="1">
        <v>180</v>
      </c>
      <c r="C206" s="8">
        <f t="shared" si="36"/>
        <v>4406.0540525631959</v>
      </c>
      <c r="D206" s="8">
        <f t="shared" si="37"/>
        <v>7755.1602580908411</v>
      </c>
    </row>
    <row r="207" spans="2:4" x14ac:dyDescent="0.2">
      <c r="B207" s="1">
        <v>181</v>
      </c>
      <c r="C207" s="8">
        <f t="shared" si="36"/>
        <v>4430.8381066088641</v>
      </c>
      <c r="D207" s="8">
        <f t="shared" si="37"/>
        <v>7730.3762040451738</v>
      </c>
    </row>
    <row r="208" spans="2:4" x14ac:dyDescent="0.2">
      <c r="B208" s="1">
        <v>182</v>
      </c>
      <c r="C208" s="8">
        <f t="shared" si="36"/>
        <v>4455.7615709585398</v>
      </c>
      <c r="D208" s="8">
        <f t="shared" si="37"/>
        <v>7705.4527396954973</v>
      </c>
    </row>
    <row r="209" spans="2:4" x14ac:dyDescent="0.2">
      <c r="B209" s="1">
        <v>183</v>
      </c>
      <c r="C209" s="8">
        <f t="shared" si="36"/>
        <v>4480.8252297951813</v>
      </c>
      <c r="D209" s="8">
        <f t="shared" si="37"/>
        <v>7680.3890808588558</v>
      </c>
    </row>
    <row r="210" spans="2:4" x14ac:dyDescent="0.2">
      <c r="B210" s="1">
        <v>184</v>
      </c>
      <c r="C210" s="8">
        <f t="shared" si="36"/>
        <v>4506.0298717127789</v>
      </c>
      <c r="D210" s="8">
        <f t="shared" si="37"/>
        <v>7655.184438941259</v>
      </c>
    </row>
    <row r="211" spans="2:4" x14ac:dyDescent="0.2">
      <c r="B211" s="1">
        <v>185</v>
      </c>
      <c r="C211" s="8">
        <f t="shared" si="36"/>
        <v>4531.3762897411634</v>
      </c>
      <c r="D211" s="8">
        <f t="shared" si="37"/>
        <v>7629.8380209128745</v>
      </c>
    </row>
    <row r="212" spans="2:4" x14ac:dyDescent="0.2">
      <c r="B212" s="1">
        <v>186</v>
      </c>
      <c r="C212" s="8">
        <f t="shared" si="36"/>
        <v>4556.8652813709568</v>
      </c>
      <c r="D212" s="8">
        <f t="shared" si="37"/>
        <v>7604.3490292830802</v>
      </c>
    </row>
    <row r="213" spans="2:4" x14ac:dyDescent="0.2">
      <c r="B213" s="1">
        <v>187</v>
      </c>
      <c r="C213" s="8">
        <f t="shared" si="36"/>
        <v>4582.4976485786683</v>
      </c>
      <c r="D213" s="8">
        <f t="shared" si="37"/>
        <v>7578.7166620753678</v>
      </c>
    </row>
    <row r="214" spans="2:4" x14ac:dyDescent="0.2">
      <c r="B214" s="1">
        <v>188</v>
      </c>
      <c r="C214" s="8">
        <f t="shared" si="36"/>
        <v>4608.2741978519243</v>
      </c>
      <c r="D214" s="8">
        <f t="shared" si="37"/>
        <v>7552.9401128021127</v>
      </c>
    </row>
    <row r="215" spans="2:4" x14ac:dyDescent="0.2">
      <c r="B215" s="1">
        <v>189</v>
      </c>
      <c r="C215" s="8">
        <f t="shared" si="36"/>
        <v>4634.195740214841</v>
      </c>
      <c r="D215" s="8">
        <f t="shared" si="37"/>
        <v>7527.0185704391979</v>
      </c>
    </row>
    <row r="216" spans="2:4" x14ac:dyDescent="0.2">
      <c r="B216" s="1">
        <v>190</v>
      </c>
      <c r="C216" s="8">
        <f t="shared" si="36"/>
        <v>4660.2630912535487</v>
      </c>
      <c r="D216" s="8">
        <f t="shared" si="37"/>
        <v>7500.9512194004874</v>
      </c>
    </row>
    <row r="217" spans="2:4" x14ac:dyDescent="0.2">
      <c r="B217" s="1">
        <v>191</v>
      </c>
      <c r="C217" s="8">
        <f t="shared" si="36"/>
        <v>4686.4770711418514</v>
      </c>
      <c r="D217" s="8">
        <f t="shared" si="37"/>
        <v>7474.7372395121856</v>
      </c>
    </row>
    <row r="218" spans="2:4" x14ac:dyDescent="0.2">
      <c r="B218" s="1">
        <v>192</v>
      </c>
      <c r="C218" s="8">
        <f t="shared" si="36"/>
        <v>4712.8385046670237</v>
      </c>
      <c r="D218" s="8">
        <f t="shared" si="37"/>
        <v>7448.3758059870133</v>
      </c>
    </row>
    <row r="219" spans="2:4" x14ac:dyDescent="0.2">
      <c r="B219" s="1">
        <v>193</v>
      </c>
      <c r="C219" s="8">
        <f t="shared" si="36"/>
        <v>4739.3482212557756</v>
      </c>
      <c r="D219" s="8">
        <f t="shared" si="37"/>
        <v>7421.8660893982615</v>
      </c>
    </row>
    <row r="220" spans="2:4" x14ac:dyDescent="0.2">
      <c r="B220" s="1">
        <v>194</v>
      </c>
      <c r="C220" s="8">
        <f t="shared" ref="C220:C283" si="38">IFERROR(PPMT($C$6/12,B220,$C$7*12,(1-$C$5)*-$C$4),0)</f>
        <v>4766.0070550003393</v>
      </c>
      <c r="D220" s="8">
        <f t="shared" ref="D220:D283" si="39">IFERROR(IPMT($C$6/12,B220,$C$7*12,(1-$C$5)*-$C$4),0)</f>
        <v>7395.2072556536987</v>
      </c>
    </row>
    <row r="221" spans="2:4" x14ac:dyDescent="0.2">
      <c r="B221" s="1">
        <v>195</v>
      </c>
      <c r="C221" s="8">
        <f t="shared" si="38"/>
        <v>4792.8158446847165</v>
      </c>
      <c r="D221" s="8">
        <f t="shared" si="39"/>
        <v>7368.3984659693206</v>
      </c>
    </row>
    <row r="222" spans="2:4" x14ac:dyDescent="0.2">
      <c r="B222" s="1">
        <v>196</v>
      </c>
      <c r="C222" s="8">
        <f t="shared" si="38"/>
        <v>4819.7754338110672</v>
      </c>
      <c r="D222" s="8">
        <f t="shared" si="39"/>
        <v>7341.4388768429699</v>
      </c>
    </row>
    <row r="223" spans="2:4" x14ac:dyDescent="0.2">
      <c r="B223" s="1">
        <v>197</v>
      </c>
      <c r="C223" s="8">
        <f t="shared" si="38"/>
        <v>4846.8866706262552</v>
      </c>
      <c r="D223" s="8">
        <f t="shared" si="39"/>
        <v>7314.3276400277809</v>
      </c>
    </row>
    <row r="224" spans="2:4" x14ac:dyDescent="0.2">
      <c r="B224" s="1">
        <v>198</v>
      </c>
      <c r="C224" s="8">
        <f t="shared" si="38"/>
        <v>4874.1504081485273</v>
      </c>
      <c r="D224" s="8">
        <f t="shared" si="39"/>
        <v>7287.0639025055098</v>
      </c>
    </row>
    <row r="225" spans="2:4" x14ac:dyDescent="0.2">
      <c r="B225" s="1">
        <v>199</v>
      </c>
      <c r="C225" s="8">
        <f t="shared" si="38"/>
        <v>4901.5675041943632</v>
      </c>
      <c r="D225" s="8">
        <f t="shared" si="39"/>
        <v>7259.6468064596729</v>
      </c>
    </row>
    <row r="226" spans="2:4" x14ac:dyDescent="0.2">
      <c r="B226" s="1">
        <v>200</v>
      </c>
      <c r="C226" s="8">
        <f t="shared" si="38"/>
        <v>4929.1388214054559</v>
      </c>
      <c r="D226" s="8">
        <f t="shared" si="39"/>
        <v>7232.0754892485784</v>
      </c>
    </row>
    <row r="227" spans="2:4" x14ac:dyDescent="0.2">
      <c r="B227" s="1">
        <v>201</v>
      </c>
      <c r="C227" s="8">
        <f t="shared" si="38"/>
        <v>4956.8652272758618</v>
      </c>
      <c r="D227" s="8">
        <f t="shared" si="39"/>
        <v>7204.3490833781734</v>
      </c>
    </row>
    <row r="228" spans="2:4" x14ac:dyDescent="0.2">
      <c r="B228" s="1">
        <v>202</v>
      </c>
      <c r="C228" s="8">
        <f t="shared" si="38"/>
        <v>4984.7475941792891</v>
      </c>
      <c r="D228" s="8">
        <f t="shared" si="39"/>
        <v>7176.4667164747489</v>
      </c>
    </row>
    <row r="229" spans="2:4" x14ac:dyDescent="0.2">
      <c r="B229" s="1">
        <v>203</v>
      </c>
      <c r="C229" s="8">
        <f t="shared" si="38"/>
        <v>5012.7867993965474</v>
      </c>
      <c r="D229" s="8">
        <f t="shared" si="39"/>
        <v>7148.4275112574896</v>
      </c>
    </row>
    <row r="230" spans="2:4" x14ac:dyDescent="0.2">
      <c r="B230" s="1">
        <v>204</v>
      </c>
      <c r="C230" s="8">
        <f t="shared" si="38"/>
        <v>5040.9837251431527</v>
      </c>
      <c r="D230" s="8">
        <f t="shared" si="39"/>
        <v>7120.2305855108834</v>
      </c>
    </row>
    <row r="231" spans="2:4" x14ac:dyDescent="0.2">
      <c r="B231" s="1">
        <v>205</v>
      </c>
      <c r="C231" s="8">
        <f t="shared" si="38"/>
        <v>5069.3392585970832</v>
      </c>
      <c r="D231" s="8">
        <f t="shared" si="39"/>
        <v>7091.875052056952</v>
      </c>
    </row>
    <row r="232" spans="2:4" x14ac:dyDescent="0.2">
      <c r="B232" s="1">
        <v>206</v>
      </c>
      <c r="C232" s="8">
        <f t="shared" si="38"/>
        <v>5097.854291926692</v>
      </c>
      <c r="D232" s="8">
        <f t="shared" si="39"/>
        <v>7063.3600187273441</v>
      </c>
    </row>
    <row r="233" spans="2:4" x14ac:dyDescent="0.2">
      <c r="B233" s="1">
        <v>207</v>
      </c>
      <c r="C233" s="8">
        <f t="shared" si="38"/>
        <v>5126.5297223187799</v>
      </c>
      <c r="D233" s="8">
        <f t="shared" si="39"/>
        <v>7034.6845883352571</v>
      </c>
    </row>
    <row r="234" spans="2:4" x14ac:dyDescent="0.2">
      <c r="B234" s="1">
        <v>208</v>
      </c>
      <c r="C234" s="8">
        <f t="shared" si="38"/>
        <v>5155.3664520068223</v>
      </c>
      <c r="D234" s="8">
        <f t="shared" si="39"/>
        <v>7005.8478586472138</v>
      </c>
    </row>
    <row r="235" spans="2:4" x14ac:dyDescent="0.2">
      <c r="B235" s="1">
        <v>209</v>
      </c>
      <c r="C235" s="8">
        <f t="shared" si="38"/>
        <v>5184.3653882993603</v>
      </c>
      <c r="D235" s="8">
        <f t="shared" si="39"/>
        <v>6976.8489223546767</v>
      </c>
    </row>
    <row r="236" spans="2:4" x14ac:dyDescent="0.2">
      <c r="B236" s="1">
        <v>210</v>
      </c>
      <c r="C236" s="8">
        <f t="shared" si="38"/>
        <v>5213.5274436085447</v>
      </c>
      <c r="D236" s="8">
        <f t="shared" si="39"/>
        <v>6947.6868670454915</v>
      </c>
    </row>
    <row r="237" spans="2:4" x14ac:dyDescent="0.2">
      <c r="B237" s="1">
        <v>211</v>
      </c>
      <c r="C237" s="8">
        <f t="shared" si="38"/>
        <v>5242.8535354788428</v>
      </c>
      <c r="D237" s="8">
        <f t="shared" si="39"/>
        <v>6918.3607751751924</v>
      </c>
    </row>
    <row r="238" spans="2:4" x14ac:dyDescent="0.2">
      <c r="B238" s="1">
        <v>212</v>
      </c>
      <c r="C238" s="8">
        <f t="shared" si="38"/>
        <v>5272.3445866159109</v>
      </c>
      <c r="D238" s="8">
        <f t="shared" si="39"/>
        <v>6888.8697240381262</v>
      </c>
    </row>
    <row r="239" spans="2:4" x14ac:dyDescent="0.2">
      <c r="B239" s="1">
        <v>213</v>
      </c>
      <c r="C239" s="8">
        <f t="shared" si="38"/>
        <v>5302.0015249156259</v>
      </c>
      <c r="D239" s="8">
        <f t="shared" si="39"/>
        <v>6859.2127857384121</v>
      </c>
    </row>
    <row r="240" spans="2:4" x14ac:dyDescent="0.2">
      <c r="B240" s="1">
        <v>214</v>
      </c>
      <c r="C240" s="8">
        <f t="shared" si="38"/>
        <v>5331.8252834932755</v>
      </c>
      <c r="D240" s="8">
        <f t="shared" si="39"/>
        <v>6829.3890271607606</v>
      </c>
    </row>
    <row r="241" spans="2:4" x14ac:dyDescent="0.2">
      <c r="B241" s="1">
        <v>215</v>
      </c>
      <c r="C241" s="8">
        <f t="shared" si="38"/>
        <v>5361.8168007129261</v>
      </c>
      <c r="D241" s="8">
        <f t="shared" si="39"/>
        <v>6799.3975099411109</v>
      </c>
    </row>
    <row r="242" spans="2:4" x14ac:dyDescent="0.2">
      <c r="B242" s="1">
        <v>216</v>
      </c>
      <c r="C242" s="8">
        <f t="shared" si="38"/>
        <v>5391.9770202169366</v>
      </c>
      <c r="D242" s="8">
        <f t="shared" si="39"/>
        <v>6769.2372904370995</v>
      </c>
    </row>
    <row r="243" spans="2:4" x14ac:dyDescent="0.2">
      <c r="B243" s="1">
        <v>217</v>
      </c>
      <c r="C243" s="8">
        <f t="shared" si="38"/>
        <v>5422.3068909556559</v>
      </c>
      <c r="D243" s="8">
        <f t="shared" si="39"/>
        <v>6738.9074196983811</v>
      </c>
    </row>
    <row r="244" spans="2:4" x14ac:dyDescent="0.2">
      <c r="B244" s="1">
        <v>218</v>
      </c>
      <c r="C244" s="8">
        <f t="shared" si="38"/>
        <v>5452.8073672172823</v>
      </c>
      <c r="D244" s="8">
        <f t="shared" si="39"/>
        <v>6708.4069434367557</v>
      </c>
    </row>
    <row r="245" spans="2:4" x14ac:dyDescent="0.2">
      <c r="B245" s="1">
        <v>219</v>
      </c>
      <c r="C245" s="8">
        <f t="shared" si="38"/>
        <v>5483.4794086578795</v>
      </c>
      <c r="D245" s="8">
        <f t="shared" si="39"/>
        <v>6677.7349019961566</v>
      </c>
    </row>
    <row r="246" spans="2:4" x14ac:dyDescent="0.2">
      <c r="B246" s="1">
        <v>220</v>
      </c>
      <c r="C246" s="8">
        <f t="shared" si="38"/>
        <v>5514.3239803315801</v>
      </c>
      <c r="D246" s="8">
        <f t="shared" si="39"/>
        <v>6646.8903303224561</v>
      </c>
    </row>
    <row r="247" spans="2:4" x14ac:dyDescent="0.2">
      <c r="B247" s="1">
        <v>221</v>
      </c>
      <c r="C247" s="8">
        <f t="shared" si="38"/>
        <v>5545.3420527209446</v>
      </c>
      <c r="D247" s="8">
        <f t="shared" si="39"/>
        <v>6615.8722579330906</v>
      </c>
    </row>
    <row r="248" spans="2:4" x14ac:dyDescent="0.2">
      <c r="B248" s="1">
        <v>222</v>
      </c>
      <c r="C248" s="8">
        <f t="shared" si="38"/>
        <v>5576.5346017675001</v>
      </c>
      <c r="D248" s="8">
        <f t="shared" si="39"/>
        <v>6584.6797088865369</v>
      </c>
    </row>
    <row r="249" spans="2:4" x14ac:dyDescent="0.2">
      <c r="B249" s="1">
        <v>223</v>
      </c>
      <c r="C249" s="8">
        <f t="shared" si="38"/>
        <v>5607.9026089024428</v>
      </c>
      <c r="D249" s="8">
        <f t="shared" si="39"/>
        <v>6553.3117017515942</v>
      </c>
    </row>
    <row r="250" spans="2:4" x14ac:dyDescent="0.2">
      <c r="B250" s="1">
        <v>224</v>
      </c>
      <c r="C250" s="8">
        <f t="shared" si="38"/>
        <v>5639.4470610775188</v>
      </c>
      <c r="D250" s="8">
        <f t="shared" si="39"/>
        <v>6521.7672495765182</v>
      </c>
    </row>
    <row r="251" spans="2:4" x14ac:dyDescent="0.2">
      <c r="B251" s="1">
        <v>225</v>
      </c>
      <c r="C251" s="8">
        <f t="shared" si="38"/>
        <v>5671.16895079608</v>
      </c>
      <c r="D251" s="8">
        <f t="shared" si="39"/>
        <v>6490.0453598579579</v>
      </c>
    </row>
    <row r="252" spans="2:4" x14ac:dyDescent="0.2">
      <c r="B252" s="1">
        <v>226</v>
      </c>
      <c r="C252" s="8">
        <f t="shared" si="38"/>
        <v>5703.0692761443079</v>
      </c>
      <c r="D252" s="8">
        <f t="shared" si="39"/>
        <v>6458.1450345097282</v>
      </c>
    </row>
    <row r="253" spans="2:4" x14ac:dyDescent="0.2">
      <c r="B253" s="1">
        <v>227</v>
      </c>
      <c r="C253" s="8">
        <f t="shared" si="38"/>
        <v>5735.14904082262</v>
      </c>
      <c r="D253" s="8">
        <f t="shared" si="39"/>
        <v>6426.0652698314179</v>
      </c>
    </row>
    <row r="254" spans="2:4" x14ac:dyDescent="0.2">
      <c r="B254" s="1">
        <v>228</v>
      </c>
      <c r="C254" s="8">
        <f t="shared" si="38"/>
        <v>5767.4092541772461</v>
      </c>
      <c r="D254" s="8">
        <f t="shared" si="39"/>
        <v>6393.8050564767891</v>
      </c>
    </row>
    <row r="255" spans="2:4" x14ac:dyDescent="0.2">
      <c r="B255" s="1">
        <v>229</v>
      </c>
      <c r="C255" s="8">
        <f t="shared" si="38"/>
        <v>5799.8509312319929</v>
      </c>
      <c r="D255" s="8">
        <f t="shared" si="39"/>
        <v>6361.3633794220423</v>
      </c>
    </row>
    <row r="256" spans="2:4" x14ac:dyDescent="0.2">
      <c r="B256" s="1">
        <v>230</v>
      </c>
      <c r="C256" s="8">
        <f t="shared" si="38"/>
        <v>5832.4750927201731</v>
      </c>
      <c r="D256" s="8">
        <f t="shared" si="39"/>
        <v>6328.739217933864</v>
      </c>
    </row>
    <row r="257" spans="2:4" x14ac:dyDescent="0.2">
      <c r="B257" s="1">
        <v>231</v>
      </c>
      <c r="C257" s="8">
        <f t="shared" si="38"/>
        <v>5865.2827651167245</v>
      </c>
      <c r="D257" s="8">
        <f t="shared" si="39"/>
        <v>6295.9315455373116</v>
      </c>
    </row>
    <row r="258" spans="2:4" x14ac:dyDescent="0.2">
      <c r="B258" s="1">
        <v>232</v>
      </c>
      <c r="C258" s="8">
        <f t="shared" si="38"/>
        <v>5898.2749806705069</v>
      </c>
      <c r="D258" s="8">
        <f t="shared" si="39"/>
        <v>6262.9393299835301</v>
      </c>
    </row>
    <row r="259" spans="2:4" x14ac:dyDescent="0.2">
      <c r="B259" s="1">
        <v>233</v>
      </c>
      <c r="C259" s="8">
        <f t="shared" si="38"/>
        <v>5931.4527774367771</v>
      </c>
      <c r="D259" s="8">
        <f t="shared" si="39"/>
        <v>6229.7615332172581</v>
      </c>
    </row>
    <row r="260" spans="2:4" x14ac:dyDescent="0.2">
      <c r="B260" s="1">
        <v>234</v>
      </c>
      <c r="C260" s="8">
        <f t="shared" si="38"/>
        <v>5964.8171993098586</v>
      </c>
      <c r="D260" s="8">
        <f t="shared" si="39"/>
        <v>6196.3971113441776</v>
      </c>
    </row>
    <row r="261" spans="2:4" x14ac:dyDescent="0.2">
      <c r="B261" s="1">
        <v>235</v>
      </c>
      <c r="C261" s="8">
        <f t="shared" si="38"/>
        <v>5998.3692960559783</v>
      </c>
      <c r="D261" s="8">
        <f t="shared" si="39"/>
        <v>6162.8450145980605</v>
      </c>
    </row>
    <row r="262" spans="2:4" x14ac:dyDescent="0.2">
      <c r="B262" s="1">
        <v>236</v>
      </c>
      <c r="C262" s="8">
        <f t="shared" si="38"/>
        <v>6032.1101233462932</v>
      </c>
      <c r="D262" s="8">
        <f t="shared" si="39"/>
        <v>6129.1041873077447</v>
      </c>
    </row>
    <row r="263" spans="2:4" x14ac:dyDescent="0.2">
      <c r="B263" s="1">
        <v>237</v>
      </c>
      <c r="C263" s="8">
        <f t="shared" si="38"/>
        <v>6066.0407427901146</v>
      </c>
      <c r="D263" s="8">
        <f t="shared" si="39"/>
        <v>6095.1735678639225</v>
      </c>
    </row>
    <row r="264" spans="2:4" x14ac:dyDescent="0.2">
      <c r="B264" s="1">
        <v>238</v>
      </c>
      <c r="C264" s="8">
        <f t="shared" si="38"/>
        <v>6100.1622219683086</v>
      </c>
      <c r="D264" s="8">
        <f t="shared" si="39"/>
        <v>6061.0520886857266</v>
      </c>
    </row>
    <row r="265" spans="2:4" x14ac:dyDescent="0.2">
      <c r="B265" s="1">
        <v>239</v>
      </c>
      <c r="C265" s="8">
        <f t="shared" si="38"/>
        <v>6134.4756344668813</v>
      </c>
      <c r="D265" s="8">
        <f t="shared" si="39"/>
        <v>6026.7386761871567</v>
      </c>
    </row>
    <row r="266" spans="2:4" x14ac:dyDescent="0.2">
      <c r="B266" s="1">
        <v>240</v>
      </c>
      <c r="C266" s="8">
        <f t="shared" si="38"/>
        <v>6168.982059910757</v>
      </c>
      <c r="D266" s="8">
        <f t="shared" si="39"/>
        <v>5992.2322507432791</v>
      </c>
    </row>
    <row r="267" spans="2:4" x14ac:dyDescent="0.2">
      <c r="B267" s="1">
        <v>241</v>
      </c>
      <c r="C267" s="8">
        <f t="shared" si="38"/>
        <v>6203.6825839977564</v>
      </c>
      <c r="D267" s="8">
        <f t="shared" si="39"/>
        <v>5957.5317266562806</v>
      </c>
    </row>
    <row r="268" spans="2:4" x14ac:dyDescent="0.2">
      <c r="B268" s="1">
        <v>242</v>
      </c>
      <c r="C268" s="8">
        <f t="shared" si="38"/>
        <v>6238.5782985327423</v>
      </c>
      <c r="D268" s="8">
        <f t="shared" si="39"/>
        <v>5922.6360121212938</v>
      </c>
    </row>
    <row r="269" spans="2:4" x14ac:dyDescent="0.2">
      <c r="B269" s="1">
        <v>243</v>
      </c>
      <c r="C269" s="8">
        <f t="shared" si="38"/>
        <v>6273.6703014619898</v>
      </c>
      <c r="D269" s="8">
        <f t="shared" si="39"/>
        <v>5887.5440091920464</v>
      </c>
    </row>
    <row r="270" spans="2:4" x14ac:dyDescent="0.2">
      <c r="B270" s="1">
        <v>244</v>
      </c>
      <c r="C270" s="8">
        <f t="shared" si="38"/>
        <v>6308.9596969077138</v>
      </c>
      <c r="D270" s="8">
        <f t="shared" si="39"/>
        <v>5852.2546137463241</v>
      </c>
    </row>
    <row r="271" spans="2:4" x14ac:dyDescent="0.2">
      <c r="B271" s="1">
        <v>245</v>
      </c>
      <c r="C271" s="8">
        <f t="shared" si="38"/>
        <v>6344.4475952028188</v>
      </c>
      <c r="D271" s="8">
        <f t="shared" si="39"/>
        <v>5816.7667154512174</v>
      </c>
    </row>
    <row r="272" spans="2:4" x14ac:dyDescent="0.2">
      <c r="B272" s="1">
        <v>246</v>
      </c>
      <c r="C272" s="8">
        <f t="shared" si="38"/>
        <v>6380.1351129258346</v>
      </c>
      <c r="D272" s="8">
        <f t="shared" si="39"/>
        <v>5781.0791977282006</v>
      </c>
    </row>
    <row r="273" spans="2:4" x14ac:dyDescent="0.2">
      <c r="B273" s="1">
        <v>247</v>
      </c>
      <c r="C273" s="8">
        <f t="shared" si="38"/>
        <v>6416.0233729360443</v>
      </c>
      <c r="D273" s="8">
        <f t="shared" si="39"/>
        <v>5745.1909377179936</v>
      </c>
    </row>
    <row r="274" spans="2:4" x14ac:dyDescent="0.2">
      <c r="B274" s="1">
        <v>248</v>
      </c>
      <c r="C274" s="8">
        <f t="shared" si="38"/>
        <v>6452.1135044088096</v>
      </c>
      <c r="D274" s="8">
        <f t="shared" si="39"/>
        <v>5709.1008062452283</v>
      </c>
    </row>
    <row r="275" spans="2:4" x14ac:dyDescent="0.2">
      <c r="B275" s="1">
        <v>249</v>
      </c>
      <c r="C275" s="8">
        <f t="shared" si="38"/>
        <v>6488.4066428711076</v>
      </c>
      <c r="D275" s="8">
        <f t="shared" si="39"/>
        <v>5672.8076677829285</v>
      </c>
    </row>
    <row r="276" spans="2:4" x14ac:dyDescent="0.2">
      <c r="B276" s="1">
        <v>250</v>
      </c>
      <c r="C276" s="8">
        <f t="shared" si="38"/>
        <v>6524.9039302372585</v>
      </c>
      <c r="D276" s="8">
        <f t="shared" si="39"/>
        <v>5636.3103804167795</v>
      </c>
    </row>
    <row r="277" spans="2:4" x14ac:dyDescent="0.2">
      <c r="B277" s="1">
        <v>251</v>
      </c>
      <c r="C277" s="8">
        <f t="shared" si="38"/>
        <v>6561.6065148448415</v>
      </c>
      <c r="D277" s="8">
        <f t="shared" si="39"/>
        <v>5599.6077958091946</v>
      </c>
    </row>
    <row r="278" spans="2:4" x14ac:dyDescent="0.2">
      <c r="B278" s="1">
        <v>252</v>
      </c>
      <c r="C278" s="8">
        <f t="shared" si="38"/>
        <v>6598.5155514908447</v>
      </c>
      <c r="D278" s="8">
        <f t="shared" si="39"/>
        <v>5562.6987591631914</v>
      </c>
    </row>
    <row r="279" spans="2:4" x14ac:dyDescent="0.2">
      <c r="B279" s="1">
        <v>253</v>
      </c>
      <c r="C279" s="8">
        <f t="shared" si="38"/>
        <v>6635.6322014679799</v>
      </c>
      <c r="D279" s="8">
        <f t="shared" si="39"/>
        <v>5525.5821091860571</v>
      </c>
    </row>
    <row r="280" spans="2:4" x14ac:dyDescent="0.2">
      <c r="B280" s="1">
        <v>254</v>
      </c>
      <c r="C280" s="8">
        <f t="shared" si="38"/>
        <v>6672.9576326012384</v>
      </c>
      <c r="D280" s="8">
        <f t="shared" si="39"/>
        <v>5488.2566780527986</v>
      </c>
    </row>
    <row r="281" spans="2:4" x14ac:dyDescent="0.2">
      <c r="B281" s="1">
        <v>255</v>
      </c>
      <c r="C281" s="8">
        <f t="shared" si="38"/>
        <v>6710.4930192846205</v>
      </c>
      <c r="D281" s="8">
        <f t="shared" si="39"/>
        <v>5450.7212913694166</v>
      </c>
    </row>
    <row r="282" spans="2:4" x14ac:dyDescent="0.2">
      <c r="B282" s="1">
        <v>256</v>
      </c>
      <c r="C282" s="8">
        <f t="shared" si="38"/>
        <v>6748.2395425180957</v>
      </c>
      <c r="D282" s="8">
        <f t="shared" si="39"/>
        <v>5412.9747681359413</v>
      </c>
    </row>
    <row r="283" spans="2:4" x14ac:dyDescent="0.2">
      <c r="B283" s="1">
        <v>257</v>
      </c>
      <c r="C283" s="8">
        <f t="shared" si="38"/>
        <v>6786.1983899447605</v>
      </c>
      <c r="D283" s="8">
        <f t="shared" si="39"/>
        <v>5375.0159207092765</v>
      </c>
    </row>
    <row r="284" spans="2:4" x14ac:dyDescent="0.2">
      <c r="B284" s="1">
        <v>258</v>
      </c>
      <c r="C284" s="8">
        <f t="shared" ref="C284:C347" si="40">IFERROR(PPMT($C$6/12,B284,$C$7*12,(1-$C$5)*-$C$4),0)</f>
        <v>6824.3707558881997</v>
      </c>
      <c r="D284" s="8">
        <f t="shared" ref="D284:D347" si="41">IFERROR(IPMT($C$6/12,B284,$C$7*12,(1-$C$5)*-$C$4),0)</f>
        <v>5336.8435547658364</v>
      </c>
    </row>
    <row r="285" spans="2:4" x14ac:dyDescent="0.2">
      <c r="B285" s="1">
        <v>259</v>
      </c>
      <c r="C285" s="8">
        <f t="shared" si="40"/>
        <v>6862.757841390071</v>
      </c>
      <c r="D285" s="8">
        <f t="shared" si="41"/>
        <v>5298.456469263966</v>
      </c>
    </row>
    <row r="286" spans="2:4" x14ac:dyDescent="0.2">
      <c r="B286" s="1">
        <v>260</v>
      </c>
      <c r="C286" s="8">
        <f t="shared" si="40"/>
        <v>6901.3608542478905</v>
      </c>
      <c r="D286" s="8">
        <f t="shared" si="41"/>
        <v>5259.8534564061474</v>
      </c>
    </row>
    <row r="287" spans="2:4" x14ac:dyDescent="0.2">
      <c r="B287" s="1">
        <v>261</v>
      </c>
      <c r="C287" s="8">
        <f t="shared" si="40"/>
        <v>6940.1810090530344</v>
      </c>
      <c r="D287" s="8">
        <f t="shared" si="41"/>
        <v>5221.0333016010027</v>
      </c>
    </row>
    <row r="288" spans="2:4" x14ac:dyDescent="0.2">
      <c r="B288" s="1">
        <v>262</v>
      </c>
      <c r="C288" s="8">
        <f t="shared" si="40"/>
        <v>6979.2195272289573</v>
      </c>
      <c r="D288" s="8">
        <f t="shared" si="41"/>
        <v>5181.9947834250788</v>
      </c>
    </row>
    <row r="289" spans="2:4" x14ac:dyDescent="0.2">
      <c r="B289" s="1">
        <v>263</v>
      </c>
      <c r="C289" s="8">
        <f t="shared" si="40"/>
        <v>7018.4776370696209</v>
      </c>
      <c r="D289" s="8">
        <f t="shared" si="41"/>
        <v>5142.7366735844153</v>
      </c>
    </row>
    <row r="290" spans="2:4" x14ac:dyDescent="0.2">
      <c r="B290" s="1">
        <v>264</v>
      </c>
      <c r="C290" s="8">
        <f t="shared" si="40"/>
        <v>7057.9565737781368</v>
      </c>
      <c r="D290" s="8">
        <f t="shared" si="41"/>
        <v>5103.2577368759003</v>
      </c>
    </row>
    <row r="291" spans="2:4" x14ac:dyDescent="0.2">
      <c r="B291" s="1">
        <v>265</v>
      </c>
      <c r="C291" s="8">
        <f t="shared" si="40"/>
        <v>7097.6575795056378</v>
      </c>
      <c r="D291" s="8">
        <f t="shared" si="41"/>
        <v>5063.5567311483983</v>
      </c>
    </row>
    <row r="292" spans="2:4" x14ac:dyDescent="0.2">
      <c r="B292" s="1">
        <v>266</v>
      </c>
      <c r="C292" s="8">
        <f t="shared" si="40"/>
        <v>7137.5819033903572</v>
      </c>
      <c r="D292" s="8">
        <f t="shared" si="41"/>
        <v>5023.632407263678</v>
      </c>
    </row>
    <row r="293" spans="2:4" x14ac:dyDescent="0.2">
      <c r="B293" s="1">
        <v>267</v>
      </c>
      <c r="C293" s="8">
        <f t="shared" si="40"/>
        <v>7177.7308015969293</v>
      </c>
      <c r="D293" s="8">
        <f t="shared" si="41"/>
        <v>4983.4835090571069</v>
      </c>
    </row>
    <row r="294" spans="2:4" x14ac:dyDescent="0.2">
      <c r="B294" s="1">
        <v>268</v>
      </c>
      <c r="C294" s="8">
        <f t="shared" si="40"/>
        <v>7218.1055373559111</v>
      </c>
      <c r="D294" s="8">
        <f t="shared" si="41"/>
        <v>4943.108773298125</v>
      </c>
    </row>
    <row r="295" spans="2:4" x14ac:dyDescent="0.2">
      <c r="B295" s="1">
        <v>269</v>
      </c>
      <c r="C295" s="8">
        <f t="shared" si="40"/>
        <v>7258.707381003539</v>
      </c>
      <c r="D295" s="8">
        <f t="shared" si="41"/>
        <v>4902.506929650498</v>
      </c>
    </row>
    <row r="296" spans="2:4" x14ac:dyDescent="0.2">
      <c r="B296" s="1">
        <v>270</v>
      </c>
      <c r="C296" s="8">
        <f t="shared" si="40"/>
        <v>7299.5376100216827</v>
      </c>
      <c r="D296" s="8">
        <f t="shared" si="41"/>
        <v>4861.6767006323535</v>
      </c>
    </row>
    <row r="297" spans="2:4" x14ac:dyDescent="0.2">
      <c r="B297" s="1">
        <v>271</v>
      </c>
      <c r="C297" s="8">
        <f t="shared" si="40"/>
        <v>7340.5975090780557</v>
      </c>
      <c r="D297" s="8">
        <f t="shared" si="41"/>
        <v>4820.6168015759813</v>
      </c>
    </row>
    <row r="298" spans="2:4" x14ac:dyDescent="0.2">
      <c r="B298" s="1">
        <v>272</v>
      </c>
      <c r="C298" s="8">
        <f t="shared" si="40"/>
        <v>7381.8883700666192</v>
      </c>
      <c r="D298" s="8">
        <f t="shared" si="41"/>
        <v>4779.3259405874169</v>
      </c>
    </row>
    <row r="299" spans="2:4" x14ac:dyDescent="0.2">
      <c r="B299" s="1">
        <v>273</v>
      </c>
      <c r="C299" s="8">
        <f t="shared" si="40"/>
        <v>7423.4114921482442</v>
      </c>
      <c r="D299" s="8">
        <f t="shared" si="41"/>
        <v>4737.8028185057919</v>
      </c>
    </row>
    <row r="300" spans="2:4" x14ac:dyDescent="0.2">
      <c r="B300" s="1">
        <v>274</v>
      </c>
      <c r="C300" s="8">
        <f t="shared" si="40"/>
        <v>7465.1681817915796</v>
      </c>
      <c r="D300" s="8">
        <f t="shared" si="41"/>
        <v>4696.0461288624592</v>
      </c>
    </row>
    <row r="301" spans="2:4" x14ac:dyDescent="0.2">
      <c r="B301" s="1">
        <v>275</v>
      </c>
      <c r="C301" s="8">
        <f t="shared" si="40"/>
        <v>7507.1597528141565</v>
      </c>
      <c r="D301" s="8">
        <f t="shared" si="41"/>
        <v>4654.0545578398815</v>
      </c>
    </row>
    <row r="302" spans="2:4" x14ac:dyDescent="0.2">
      <c r="B302" s="1">
        <v>276</v>
      </c>
      <c r="C302" s="8">
        <f t="shared" si="40"/>
        <v>7549.3875264237358</v>
      </c>
      <c r="D302" s="8">
        <f t="shared" si="41"/>
        <v>4611.8267842303003</v>
      </c>
    </row>
    <row r="303" spans="2:4" x14ac:dyDescent="0.2">
      <c r="B303" s="1">
        <v>277</v>
      </c>
      <c r="C303" s="8">
        <f t="shared" si="40"/>
        <v>7591.8528312598683</v>
      </c>
      <c r="D303" s="8">
        <f t="shared" si="41"/>
        <v>4569.3614793941679</v>
      </c>
    </row>
    <row r="304" spans="2:4" x14ac:dyDescent="0.2">
      <c r="B304" s="1">
        <v>278</v>
      </c>
      <c r="C304" s="8">
        <f t="shared" si="40"/>
        <v>7634.5570034357061</v>
      </c>
      <c r="D304" s="8">
        <f t="shared" si="41"/>
        <v>4526.657307218331</v>
      </c>
    </row>
    <row r="305" spans="2:4" x14ac:dyDescent="0.2">
      <c r="B305" s="1">
        <v>279</v>
      </c>
      <c r="C305" s="8">
        <f t="shared" si="40"/>
        <v>7677.501386580032</v>
      </c>
      <c r="D305" s="8">
        <f t="shared" si="41"/>
        <v>4483.7129240740051</v>
      </c>
    </row>
    <row r="306" spans="2:4" x14ac:dyDescent="0.2">
      <c r="B306" s="1">
        <v>280</v>
      </c>
      <c r="C306" s="8">
        <f t="shared" si="40"/>
        <v>7720.6873318795433</v>
      </c>
      <c r="D306" s="8">
        <f t="shared" si="41"/>
        <v>4440.5269787744928</v>
      </c>
    </row>
    <row r="307" spans="2:4" x14ac:dyDescent="0.2">
      <c r="B307" s="1">
        <v>281</v>
      </c>
      <c r="C307" s="8">
        <f t="shared" si="40"/>
        <v>7764.1161981213672</v>
      </c>
      <c r="D307" s="8">
        <f t="shared" si="41"/>
        <v>4397.0981125326698</v>
      </c>
    </row>
    <row r="308" spans="2:4" x14ac:dyDescent="0.2">
      <c r="B308" s="1">
        <v>282</v>
      </c>
      <c r="C308" s="8">
        <f t="shared" si="40"/>
        <v>7807.7893517357998</v>
      </c>
      <c r="D308" s="8">
        <f t="shared" si="41"/>
        <v>4353.4249589182373</v>
      </c>
    </row>
    <row r="309" spans="2:4" x14ac:dyDescent="0.2">
      <c r="B309" s="1">
        <v>283</v>
      </c>
      <c r="C309" s="8">
        <f t="shared" si="40"/>
        <v>7851.708166839313</v>
      </c>
      <c r="D309" s="8">
        <f t="shared" si="41"/>
        <v>4309.5061438147231</v>
      </c>
    </row>
    <row r="310" spans="2:4" x14ac:dyDescent="0.2">
      <c r="B310" s="1">
        <v>284</v>
      </c>
      <c r="C310" s="8">
        <f t="shared" si="40"/>
        <v>7895.8740252777843</v>
      </c>
      <c r="D310" s="8">
        <f t="shared" si="41"/>
        <v>4265.3402853762518</v>
      </c>
    </row>
    <row r="311" spans="2:4" x14ac:dyDescent="0.2">
      <c r="B311" s="1">
        <v>285</v>
      </c>
      <c r="C311" s="8">
        <f t="shared" si="40"/>
        <v>7940.2883166699721</v>
      </c>
      <c r="D311" s="8">
        <f t="shared" si="41"/>
        <v>4220.9259939840649</v>
      </c>
    </row>
    <row r="312" spans="2:4" x14ac:dyDescent="0.2">
      <c r="B312" s="1">
        <v>286</v>
      </c>
      <c r="C312" s="8">
        <f t="shared" si="40"/>
        <v>7984.9524384512397</v>
      </c>
      <c r="D312" s="8">
        <f t="shared" si="41"/>
        <v>4176.2618722027955</v>
      </c>
    </row>
    <row r="313" spans="2:4" x14ac:dyDescent="0.2">
      <c r="B313" s="1">
        <v>287</v>
      </c>
      <c r="C313" s="8">
        <f t="shared" si="40"/>
        <v>8029.8677959175293</v>
      </c>
      <c r="D313" s="8">
        <f t="shared" si="41"/>
        <v>4131.3465147365077</v>
      </c>
    </row>
    <row r="314" spans="2:4" x14ac:dyDescent="0.2">
      <c r="B314" s="1">
        <v>288</v>
      </c>
      <c r="C314" s="8">
        <f t="shared" si="40"/>
        <v>8075.0358022695646</v>
      </c>
      <c r="D314" s="8">
        <f t="shared" si="41"/>
        <v>4086.1785083844725</v>
      </c>
    </row>
    <row r="315" spans="2:4" x14ac:dyDescent="0.2">
      <c r="B315" s="1">
        <v>289</v>
      </c>
      <c r="C315" s="8">
        <f t="shared" si="40"/>
        <v>8120.457878657332</v>
      </c>
      <c r="D315" s="8">
        <f t="shared" si="41"/>
        <v>4040.7564319967059</v>
      </c>
    </row>
    <row r="316" spans="2:4" x14ac:dyDescent="0.2">
      <c r="B316" s="1">
        <v>290</v>
      </c>
      <c r="C316" s="8">
        <f t="shared" si="40"/>
        <v>8166.1354542247791</v>
      </c>
      <c r="D316" s="8">
        <f t="shared" si="41"/>
        <v>3995.0788564292579</v>
      </c>
    </row>
    <row r="317" spans="2:4" x14ac:dyDescent="0.2">
      <c r="B317" s="1">
        <v>291</v>
      </c>
      <c r="C317" s="8">
        <f t="shared" si="40"/>
        <v>8212.0699661547933</v>
      </c>
      <c r="D317" s="8">
        <f t="shared" si="41"/>
        <v>3949.1443444992437</v>
      </c>
    </row>
    <row r="318" spans="2:4" x14ac:dyDescent="0.2">
      <c r="B318" s="1">
        <v>292</v>
      </c>
      <c r="C318" s="8">
        <f t="shared" si="40"/>
        <v>8258.2628597144139</v>
      </c>
      <c r="D318" s="8">
        <f t="shared" si="41"/>
        <v>3902.9514509396226</v>
      </c>
    </row>
    <row r="319" spans="2:4" x14ac:dyDescent="0.2">
      <c r="B319" s="1">
        <v>293</v>
      </c>
      <c r="C319" s="8">
        <f t="shared" si="40"/>
        <v>8304.715588300307</v>
      </c>
      <c r="D319" s="8">
        <f t="shared" si="41"/>
        <v>3856.4987223537296</v>
      </c>
    </row>
    <row r="320" spans="2:4" x14ac:dyDescent="0.2">
      <c r="B320" s="1">
        <v>294</v>
      </c>
      <c r="C320" s="8">
        <f t="shared" si="40"/>
        <v>8351.4296134844972</v>
      </c>
      <c r="D320" s="8">
        <f t="shared" si="41"/>
        <v>3809.7846971695399</v>
      </c>
    </row>
    <row r="321" spans="2:4" x14ac:dyDescent="0.2">
      <c r="B321" s="1">
        <v>295</v>
      </c>
      <c r="C321" s="8">
        <f t="shared" si="40"/>
        <v>8398.4064050603465</v>
      </c>
      <c r="D321" s="8">
        <f t="shared" si="41"/>
        <v>3762.8079055936901</v>
      </c>
    </row>
    <row r="322" spans="2:4" x14ac:dyDescent="0.2">
      <c r="B322" s="1">
        <v>296</v>
      </c>
      <c r="C322" s="8">
        <f t="shared" si="40"/>
        <v>8445.6474410888113</v>
      </c>
      <c r="D322" s="8">
        <f t="shared" si="41"/>
        <v>3715.5668695652248</v>
      </c>
    </row>
    <row r="323" spans="2:4" x14ac:dyDescent="0.2">
      <c r="B323" s="1">
        <v>297</v>
      </c>
      <c r="C323" s="8">
        <f t="shared" si="40"/>
        <v>8493.1542079449355</v>
      </c>
      <c r="D323" s="8">
        <f t="shared" si="41"/>
        <v>3668.0601027091006</v>
      </c>
    </row>
    <row r="324" spans="2:4" x14ac:dyDescent="0.2">
      <c r="B324" s="1">
        <v>298</v>
      </c>
      <c r="C324" s="8">
        <f t="shared" si="40"/>
        <v>8540.9282003646258</v>
      </c>
      <c r="D324" s="8">
        <f t="shared" si="41"/>
        <v>3620.2861102894112</v>
      </c>
    </row>
    <row r="325" spans="2:4" x14ac:dyDescent="0.2">
      <c r="B325" s="1">
        <v>299</v>
      </c>
      <c r="C325" s="8">
        <f t="shared" si="40"/>
        <v>8588.9709214916784</v>
      </c>
      <c r="D325" s="8">
        <f t="shared" si="41"/>
        <v>3572.2433891623591</v>
      </c>
    </row>
    <row r="326" spans="2:4" x14ac:dyDescent="0.2">
      <c r="B326" s="1">
        <v>300</v>
      </c>
      <c r="C326" s="8">
        <f t="shared" si="40"/>
        <v>8637.2838829250686</v>
      </c>
      <c r="D326" s="8">
        <f t="shared" si="41"/>
        <v>3523.930427728968</v>
      </c>
    </row>
    <row r="327" spans="2:4" x14ac:dyDescent="0.2">
      <c r="B327" s="1">
        <v>301</v>
      </c>
      <c r="C327" s="8">
        <f t="shared" si="40"/>
        <v>8685.8686047665215</v>
      </c>
      <c r="D327" s="8">
        <f t="shared" si="41"/>
        <v>3475.3457058875151</v>
      </c>
    </row>
    <row r="328" spans="2:4" x14ac:dyDescent="0.2">
      <c r="B328" s="1">
        <v>302</v>
      </c>
      <c r="C328" s="8">
        <f t="shared" si="40"/>
        <v>8734.7266156683345</v>
      </c>
      <c r="D328" s="8">
        <f t="shared" si="41"/>
        <v>3426.4876949857035</v>
      </c>
    </row>
    <row r="329" spans="2:4" x14ac:dyDescent="0.2">
      <c r="B329" s="1">
        <v>303</v>
      </c>
      <c r="C329" s="8">
        <f t="shared" si="40"/>
        <v>8783.8594528814683</v>
      </c>
      <c r="D329" s="8">
        <f t="shared" si="41"/>
        <v>3377.3548577725696</v>
      </c>
    </row>
    <row r="330" spans="2:4" x14ac:dyDescent="0.2">
      <c r="B330" s="1">
        <v>304</v>
      </c>
      <c r="C330" s="8">
        <f t="shared" si="40"/>
        <v>8833.2686623039262</v>
      </c>
      <c r="D330" s="8">
        <f t="shared" si="41"/>
        <v>3327.9456483501108</v>
      </c>
    </row>
    <row r="331" spans="2:4" x14ac:dyDescent="0.2">
      <c r="B331" s="1">
        <v>305</v>
      </c>
      <c r="C331" s="8">
        <f t="shared" si="40"/>
        <v>8882.955798529385</v>
      </c>
      <c r="D331" s="8">
        <f t="shared" si="41"/>
        <v>3278.2585121246507</v>
      </c>
    </row>
    <row r="332" spans="2:4" x14ac:dyDescent="0.2">
      <c r="B332" s="1">
        <v>306</v>
      </c>
      <c r="C332" s="8">
        <f t="shared" si="40"/>
        <v>8932.9224248961127</v>
      </c>
      <c r="D332" s="8">
        <f t="shared" si="41"/>
        <v>3228.2918857579234</v>
      </c>
    </row>
    <row r="333" spans="2:4" x14ac:dyDescent="0.2">
      <c r="B333" s="1">
        <v>307</v>
      </c>
      <c r="C333" s="8">
        <f t="shared" si="40"/>
        <v>8983.1701135361545</v>
      </c>
      <c r="D333" s="8">
        <f t="shared" si="41"/>
        <v>3178.044197117883</v>
      </c>
    </row>
    <row r="334" spans="2:4" x14ac:dyDescent="0.2">
      <c r="B334" s="1">
        <v>308</v>
      </c>
      <c r="C334" s="8">
        <f t="shared" si="40"/>
        <v>9033.7004454247945</v>
      </c>
      <c r="D334" s="8">
        <f t="shared" si="41"/>
        <v>3127.5138652292421</v>
      </c>
    </row>
    <row r="335" spans="2:4" x14ac:dyDescent="0.2">
      <c r="B335" s="1">
        <v>309</v>
      </c>
      <c r="C335" s="8">
        <f t="shared" si="40"/>
        <v>9084.5150104303102</v>
      </c>
      <c r="D335" s="8">
        <f t="shared" si="41"/>
        <v>3076.6993002237273</v>
      </c>
    </row>
    <row r="336" spans="2:4" x14ac:dyDescent="0.2">
      <c r="B336" s="1">
        <v>310</v>
      </c>
      <c r="C336" s="8">
        <f t="shared" si="40"/>
        <v>9135.6154073639791</v>
      </c>
      <c r="D336" s="8">
        <f t="shared" si="41"/>
        <v>3025.598903290057</v>
      </c>
    </row>
    <row r="337" spans="2:4" x14ac:dyDescent="0.2">
      <c r="B337" s="1">
        <v>311</v>
      </c>
      <c r="C337" s="8">
        <f t="shared" si="40"/>
        <v>9187.0032440304021</v>
      </c>
      <c r="D337" s="8">
        <f t="shared" si="41"/>
        <v>2974.2110666236354</v>
      </c>
    </row>
    <row r="338" spans="2:4" x14ac:dyDescent="0.2">
      <c r="B338" s="1">
        <v>312</v>
      </c>
      <c r="C338" s="8">
        <f t="shared" si="40"/>
        <v>9238.6801372780737</v>
      </c>
      <c r="D338" s="8">
        <f t="shared" si="41"/>
        <v>2922.5341733759633</v>
      </c>
    </row>
    <row r="339" spans="2:4" x14ac:dyDescent="0.2">
      <c r="B339" s="1">
        <v>313</v>
      </c>
      <c r="C339" s="8">
        <f t="shared" si="40"/>
        <v>9290.6477130502608</v>
      </c>
      <c r="D339" s="8">
        <f t="shared" si="41"/>
        <v>2870.5665976037744</v>
      </c>
    </row>
    <row r="340" spans="2:4" x14ac:dyDescent="0.2">
      <c r="B340" s="1">
        <v>314</v>
      </c>
      <c r="C340" s="8">
        <f t="shared" si="40"/>
        <v>9342.9076064361707</v>
      </c>
      <c r="D340" s="8">
        <f t="shared" si="41"/>
        <v>2818.3067042178664</v>
      </c>
    </row>
    <row r="341" spans="2:4" x14ac:dyDescent="0.2">
      <c r="B341" s="1">
        <v>315</v>
      </c>
      <c r="C341" s="8">
        <f t="shared" si="40"/>
        <v>9395.4614617223742</v>
      </c>
      <c r="D341" s="8">
        <f t="shared" si="41"/>
        <v>2765.7528489316633</v>
      </c>
    </row>
    <row r="342" spans="2:4" x14ac:dyDescent="0.2">
      <c r="B342" s="1">
        <v>316</v>
      </c>
      <c r="C342" s="8">
        <f t="shared" si="40"/>
        <v>9448.3109324445613</v>
      </c>
      <c r="D342" s="8">
        <f t="shared" si="41"/>
        <v>2712.9033782094748</v>
      </c>
    </row>
    <row r="343" spans="2:4" x14ac:dyDescent="0.2">
      <c r="B343" s="1">
        <v>317</v>
      </c>
      <c r="C343" s="8">
        <f t="shared" si="40"/>
        <v>9501.4576814395641</v>
      </c>
      <c r="D343" s="8">
        <f t="shared" si="41"/>
        <v>2659.7566292144743</v>
      </c>
    </row>
    <row r="344" spans="2:4" x14ac:dyDescent="0.2">
      <c r="B344" s="1">
        <v>318</v>
      </c>
      <c r="C344" s="8">
        <f t="shared" si="40"/>
        <v>9554.9033808976601</v>
      </c>
      <c r="D344" s="8">
        <f t="shared" si="41"/>
        <v>2606.3109297563774</v>
      </c>
    </row>
    <row r="345" spans="2:4" x14ac:dyDescent="0.2">
      <c r="B345" s="1">
        <v>319</v>
      </c>
      <c r="C345" s="8">
        <f t="shared" si="40"/>
        <v>9608.6497124152083</v>
      </c>
      <c r="D345" s="8">
        <f t="shared" si="41"/>
        <v>2552.5645982388269</v>
      </c>
    </row>
    <row r="346" spans="2:4" x14ac:dyDescent="0.2">
      <c r="B346" s="1">
        <v>320</v>
      </c>
      <c r="C346" s="8">
        <f t="shared" si="40"/>
        <v>9662.6983670475456</v>
      </c>
      <c r="D346" s="8">
        <f t="shared" si="41"/>
        <v>2498.5159436064919</v>
      </c>
    </row>
    <row r="347" spans="2:4" x14ac:dyDescent="0.2">
      <c r="B347" s="1">
        <v>321</v>
      </c>
      <c r="C347" s="8">
        <f t="shared" si="40"/>
        <v>9717.0510453621864</v>
      </c>
      <c r="D347" s="8">
        <f t="shared" si="41"/>
        <v>2444.1632652918497</v>
      </c>
    </row>
    <row r="348" spans="2:4" x14ac:dyDescent="0.2">
      <c r="B348" s="1">
        <v>322</v>
      </c>
      <c r="C348" s="8">
        <f t="shared" ref="C348:C386" si="42">IFERROR(PPMT($C$6/12,B348,$C$7*12,(1-$C$5)*-$C$4),0)</f>
        <v>9771.7094574923503</v>
      </c>
      <c r="D348" s="8">
        <f t="shared" ref="D348:D386" si="43">IFERROR(IPMT($C$6/12,B348,$C$7*12,(1-$C$5)*-$C$4),0)</f>
        <v>2389.5048531616872</v>
      </c>
    </row>
    <row r="349" spans="2:4" x14ac:dyDescent="0.2">
      <c r="B349" s="1">
        <v>323</v>
      </c>
      <c r="C349" s="8">
        <f t="shared" si="42"/>
        <v>9826.6753231907442</v>
      </c>
      <c r="D349" s="8">
        <f t="shared" si="43"/>
        <v>2334.5389874632929</v>
      </c>
    </row>
    <row r="350" spans="2:4" x14ac:dyDescent="0.2">
      <c r="B350" s="1">
        <v>324</v>
      </c>
      <c r="C350" s="8">
        <f t="shared" si="42"/>
        <v>9881.9503718836913</v>
      </c>
      <c r="D350" s="8">
        <f t="shared" si="43"/>
        <v>2279.2639387703448</v>
      </c>
    </row>
    <row r="351" spans="2:4" x14ac:dyDescent="0.2">
      <c r="B351" s="1">
        <v>325</v>
      </c>
      <c r="C351" s="8">
        <f t="shared" si="42"/>
        <v>9937.5363427255379</v>
      </c>
      <c r="D351" s="8">
        <f t="shared" si="43"/>
        <v>2223.6779679284987</v>
      </c>
    </row>
    <row r="352" spans="2:4" x14ac:dyDescent="0.2">
      <c r="B352" s="1">
        <v>326</v>
      </c>
      <c r="C352" s="8">
        <f t="shared" si="42"/>
        <v>9993.4349846533696</v>
      </c>
      <c r="D352" s="8">
        <f t="shared" si="43"/>
        <v>2167.7793260006674</v>
      </c>
    </row>
    <row r="353" spans="2:4" x14ac:dyDescent="0.2">
      <c r="B353" s="1">
        <v>327</v>
      </c>
      <c r="C353" s="8">
        <f t="shared" si="42"/>
        <v>10049.648056442044</v>
      </c>
      <c r="D353" s="8">
        <f t="shared" si="43"/>
        <v>2111.5662542119926</v>
      </c>
    </row>
    <row r="354" spans="2:4" x14ac:dyDescent="0.2">
      <c r="B354" s="1">
        <v>328</v>
      </c>
      <c r="C354" s="8">
        <f t="shared" si="42"/>
        <v>10106.177326759529</v>
      </c>
      <c r="D354" s="8">
        <f t="shared" si="43"/>
        <v>2055.0369838945057</v>
      </c>
    </row>
    <row r="355" spans="2:4" x14ac:dyDescent="0.2">
      <c r="B355" s="1">
        <v>329</v>
      </c>
      <c r="C355" s="8">
        <f t="shared" si="42"/>
        <v>10163.024574222552</v>
      </c>
      <c r="D355" s="8">
        <f t="shared" si="43"/>
        <v>1998.1897364314834</v>
      </c>
    </row>
    <row r="356" spans="2:4" x14ac:dyDescent="0.2">
      <c r="B356" s="1">
        <v>330</v>
      </c>
      <c r="C356" s="8">
        <f t="shared" si="42"/>
        <v>10220.191587452555</v>
      </c>
      <c r="D356" s="8">
        <f t="shared" si="43"/>
        <v>1941.0227232014815</v>
      </c>
    </row>
    <row r="357" spans="2:4" x14ac:dyDescent="0.2">
      <c r="B357" s="1">
        <v>331</v>
      </c>
      <c r="C357" s="8">
        <f t="shared" si="42"/>
        <v>10277.680165131977</v>
      </c>
      <c r="D357" s="8">
        <f t="shared" si="43"/>
        <v>1883.534145522061</v>
      </c>
    </row>
    <row r="358" spans="2:4" x14ac:dyDescent="0.2">
      <c r="B358" s="1">
        <v>332</v>
      </c>
      <c r="C358" s="8">
        <f t="shared" si="42"/>
        <v>10335.492116060843</v>
      </c>
      <c r="D358" s="8">
        <f t="shared" si="43"/>
        <v>1825.7221945931938</v>
      </c>
    </row>
    <row r="359" spans="2:4" x14ac:dyDescent="0.2">
      <c r="B359" s="1">
        <v>333</v>
      </c>
      <c r="C359" s="8">
        <f t="shared" si="42"/>
        <v>10393.629259213685</v>
      </c>
      <c r="D359" s="8">
        <f t="shared" si="43"/>
        <v>1767.5850514403514</v>
      </c>
    </row>
    <row r="360" spans="2:4" x14ac:dyDescent="0.2">
      <c r="B360" s="1">
        <v>334</v>
      </c>
      <c r="C360" s="8">
        <f t="shared" si="42"/>
        <v>10452.093423796761</v>
      </c>
      <c r="D360" s="8">
        <f t="shared" si="43"/>
        <v>1709.1208868572744</v>
      </c>
    </row>
    <row r="361" spans="2:4" x14ac:dyDescent="0.2">
      <c r="B361" s="1">
        <v>335</v>
      </c>
      <c r="C361" s="8">
        <f t="shared" si="42"/>
        <v>10510.886449305619</v>
      </c>
      <c r="D361" s="8">
        <f t="shared" si="43"/>
        <v>1650.3278613484176</v>
      </c>
    </row>
    <row r="362" spans="2:4" x14ac:dyDescent="0.2">
      <c r="B362" s="1">
        <v>336</v>
      </c>
      <c r="C362" s="8">
        <f t="shared" si="42"/>
        <v>10570.010185582963</v>
      </c>
      <c r="D362" s="8">
        <f t="shared" si="43"/>
        <v>1591.2041250710738</v>
      </c>
    </row>
    <row r="363" spans="2:4" x14ac:dyDescent="0.2">
      <c r="B363" s="1">
        <v>337</v>
      </c>
      <c r="C363" s="8">
        <f t="shared" si="42"/>
        <v>10629.466492876867</v>
      </c>
      <c r="D363" s="8">
        <f t="shared" si="43"/>
        <v>1531.7478177771693</v>
      </c>
    </row>
    <row r="364" spans="2:4" x14ac:dyDescent="0.2">
      <c r="B364" s="1">
        <v>338</v>
      </c>
      <c r="C364" s="8">
        <f t="shared" si="42"/>
        <v>10689.2572418993</v>
      </c>
      <c r="D364" s="8">
        <f t="shared" si="43"/>
        <v>1471.9570687547371</v>
      </c>
    </row>
    <row r="365" spans="2:4" x14ac:dyDescent="0.2">
      <c r="B365" s="1">
        <v>339</v>
      </c>
      <c r="C365" s="8">
        <f t="shared" si="42"/>
        <v>10749.384313884982</v>
      </c>
      <c r="D365" s="8">
        <f t="shared" si="43"/>
        <v>1411.8299967690534</v>
      </c>
    </row>
    <row r="366" spans="2:4" x14ac:dyDescent="0.2">
      <c r="B366" s="1">
        <v>340</v>
      </c>
      <c r="C366" s="8">
        <f t="shared" si="42"/>
        <v>10809.849600650587</v>
      </c>
      <c r="D366" s="8">
        <f t="shared" si="43"/>
        <v>1351.3647100034507</v>
      </c>
    </row>
    <row r="367" spans="2:4" x14ac:dyDescent="0.2">
      <c r="B367" s="1">
        <v>341</v>
      </c>
      <c r="C367" s="8">
        <f t="shared" si="42"/>
        <v>10870.655004654247</v>
      </c>
      <c r="D367" s="8">
        <f t="shared" si="43"/>
        <v>1290.5593059997909</v>
      </c>
    </row>
    <row r="368" spans="2:4" x14ac:dyDescent="0.2">
      <c r="B368" s="1">
        <v>342</v>
      </c>
      <c r="C368" s="8">
        <f t="shared" si="42"/>
        <v>10931.802439055426</v>
      </c>
      <c r="D368" s="8">
        <f t="shared" si="43"/>
        <v>1229.4118715986108</v>
      </c>
    </row>
    <row r="369" spans="2:4" x14ac:dyDescent="0.2">
      <c r="B369" s="1">
        <v>343</v>
      </c>
      <c r="C369" s="8">
        <f t="shared" si="42"/>
        <v>10993.293827775113</v>
      </c>
      <c r="D369" s="8">
        <f t="shared" si="43"/>
        <v>1167.9204828789238</v>
      </c>
    </row>
    <row r="370" spans="2:4" x14ac:dyDescent="0.2">
      <c r="B370" s="1">
        <v>344</v>
      </c>
      <c r="C370" s="8">
        <f t="shared" si="42"/>
        <v>11055.131105556347</v>
      </c>
      <c r="D370" s="8">
        <f t="shared" si="43"/>
        <v>1106.083205097689</v>
      </c>
    </row>
    <row r="371" spans="2:4" x14ac:dyDescent="0.2">
      <c r="B371" s="1">
        <v>345</v>
      </c>
      <c r="C371" s="8">
        <f t="shared" si="42"/>
        <v>11117.316218025102</v>
      </c>
      <c r="D371" s="8">
        <f t="shared" si="43"/>
        <v>1043.8980926289344</v>
      </c>
    </row>
    <row r="372" spans="2:4" x14ac:dyDescent="0.2">
      <c r="B372" s="1">
        <v>346</v>
      </c>
      <c r="C372" s="8">
        <f t="shared" si="42"/>
        <v>11179.851121751493</v>
      </c>
      <c r="D372" s="8">
        <f t="shared" si="43"/>
        <v>981.36318890254324</v>
      </c>
    </row>
    <row r="373" spans="2:4" x14ac:dyDescent="0.2">
      <c r="B373" s="1">
        <v>347</v>
      </c>
      <c r="C373" s="8">
        <f t="shared" si="42"/>
        <v>11242.737784311346</v>
      </c>
      <c r="D373" s="8">
        <f t="shared" si="43"/>
        <v>918.47652634269116</v>
      </c>
    </row>
    <row r="374" spans="2:4" x14ac:dyDescent="0.2">
      <c r="B374" s="1">
        <v>348</v>
      </c>
      <c r="C374" s="8">
        <f t="shared" si="42"/>
        <v>11305.978184348098</v>
      </c>
      <c r="D374" s="8">
        <f t="shared" si="43"/>
        <v>855.23612630593982</v>
      </c>
    </row>
    <row r="375" spans="2:4" x14ac:dyDescent="0.2">
      <c r="B375" s="1">
        <v>349</v>
      </c>
      <c r="C375" s="8">
        <f t="shared" si="42"/>
        <v>11369.574311635055</v>
      </c>
      <c r="D375" s="8">
        <f t="shared" si="43"/>
        <v>791.63999901898183</v>
      </c>
    </row>
    <row r="376" spans="2:4" x14ac:dyDescent="0.2">
      <c r="B376" s="1">
        <v>350</v>
      </c>
      <c r="C376" s="8">
        <f t="shared" si="42"/>
        <v>11433.528167138003</v>
      </c>
      <c r="D376" s="8">
        <f t="shared" si="43"/>
        <v>727.68614351603458</v>
      </c>
    </row>
    <row r="377" spans="2:4" x14ac:dyDescent="0.2">
      <c r="B377" s="1">
        <v>351</v>
      </c>
      <c r="C377" s="8">
        <f t="shared" si="42"/>
        <v>11497.841763078153</v>
      </c>
      <c r="D377" s="8">
        <f t="shared" si="43"/>
        <v>663.37254757588335</v>
      </c>
    </row>
    <row r="378" spans="2:4" x14ac:dyDescent="0.2">
      <c r="B378" s="1">
        <v>352</v>
      </c>
      <c r="C378" s="8">
        <f t="shared" si="42"/>
        <v>11562.517122995467</v>
      </c>
      <c r="D378" s="8">
        <f t="shared" si="43"/>
        <v>598.69718765856874</v>
      </c>
    </row>
    <row r="379" spans="2:4" x14ac:dyDescent="0.2">
      <c r="B379" s="1">
        <v>353</v>
      </c>
      <c r="C379" s="8">
        <f t="shared" si="42"/>
        <v>11627.556281812318</v>
      </c>
      <c r="D379" s="8">
        <f t="shared" si="43"/>
        <v>533.65802884171933</v>
      </c>
    </row>
    <row r="380" spans="2:4" x14ac:dyDescent="0.2">
      <c r="B380" s="1">
        <v>354</v>
      </c>
      <c r="C380" s="8">
        <f t="shared" si="42"/>
        <v>11692.961285897512</v>
      </c>
      <c r="D380" s="8">
        <f t="shared" si="43"/>
        <v>468.25302475652495</v>
      </c>
    </row>
    <row r="381" spans="2:4" x14ac:dyDescent="0.2">
      <c r="B381" s="1">
        <v>355</v>
      </c>
      <c r="C381" s="8">
        <f t="shared" si="42"/>
        <v>11758.734193130686</v>
      </c>
      <c r="D381" s="8">
        <f t="shared" si="43"/>
        <v>402.48011752335151</v>
      </c>
    </row>
    <row r="382" spans="2:4" x14ac:dyDescent="0.2">
      <c r="B382" s="1">
        <v>356</v>
      </c>
      <c r="C382" s="8">
        <f t="shared" si="42"/>
        <v>11824.877072967045</v>
      </c>
      <c r="D382" s="8">
        <f t="shared" si="43"/>
        <v>336.33723768699127</v>
      </c>
    </row>
    <row r="383" spans="2:4" x14ac:dyDescent="0.2">
      <c r="B383" s="1">
        <v>357</v>
      </c>
      <c r="C383" s="8">
        <f t="shared" si="42"/>
        <v>11891.392006502485</v>
      </c>
      <c r="D383" s="8">
        <f t="shared" si="43"/>
        <v>269.82230415155169</v>
      </c>
    </row>
    <row r="384" spans="2:4" x14ac:dyDescent="0.2">
      <c r="B384" s="1">
        <v>358</v>
      </c>
      <c r="C384" s="8">
        <f t="shared" si="42"/>
        <v>11958.281086539062</v>
      </c>
      <c r="D384" s="8">
        <f t="shared" si="43"/>
        <v>202.93322411497522</v>
      </c>
    </row>
    <row r="385" spans="2:4" x14ac:dyDescent="0.2">
      <c r="B385" s="1">
        <v>359</v>
      </c>
      <c r="C385" s="8">
        <f t="shared" si="42"/>
        <v>12025.546417650843</v>
      </c>
      <c r="D385" s="8">
        <f t="shared" si="43"/>
        <v>135.66789300319294</v>
      </c>
    </row>
    <row r="386" spans="2:4" x14ac:dyDescent="0.2">
      <c r="B386" s="1">
        <v>360</v>
      </c>
      <c r="C386" s="8">
        <f t="shared" si="42"/>
        <v>12093.190116250131</v>
      </c>
      <c r="D386" s="8">
        <f t="shared" si="43"/>
        <v>68.024194403906989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Zebang Li</dc:creator>
  <cp:lastModifiedBy>Zebang Li</cp:lastModifiedBy>
  <dcterms:created xsi:type="dcterms:W3CDTF">2025-06-26T05:16:42Z</dcterms:created>
  <dcterms:modified xsi:type="dcterms:W3CDTF">2025-07-09T04:11:19Z</dcterms:modified>
</cp:coreProperties>
</file>