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b\Documents\node\stocksimple\"/>
    </mc:Choice>
  </mc:AlternateContent>
  <bookViews>
    <workbookView xWindow="0" yWindow="0" windowWidth="12204" windowHeight="5688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2" l="1"/>
  <c r="M21" i="2"/>
  <c r="M20" i="2"/>
  <c r="M18" i="2"/>
  <c r="M17" i="2"/>
  <c r="M16" i="2"/>
  <c r="M15" i="2"/>
  <c r="M14" i="2"/>
  <c r="M13" i="2"/>
  <c r="M11" i="2"/>
  <c r="M10" i="2"/>
  <c r="M9" i="2"/>
  <c r="J9" i="2"/>
  <c r="I9" i="2"/>
  <c r="M8" i="2"/>
  <c r="J8" i="2"/>
  <c r="I8" i="2"/>
  <c r="M7" i="2"/>
  <c r="J7" i="2"/>
  <c r="I7" i="2"/>
  <c r="G7" i="2"/>
  <c r="F7" i="2"/>
  <c r="M6" i="2"/>
  <c r="J6" i="2"/>
  <c r="I6" i="2"/>
  <c r="G6" i="2"/>
  <c r="M5" i="2"/>
  <c r="I5" i="2"/>
  <c r="G5" i="2"/>
  <c r="M4" i="2"/>
  <c r="J4" i="2"/>
  <c r="I4" i="2"/>
  <c r="M3" i="2"/>
  <c r="I3" i="2"/>
  <c r="M2" i="2"/>
  <c r="J2" i="2"/>
  <c r="I2" i="2"/>
  <c r="H20" i="1"/>
  <c r="D20" i="1"/>
  <c r="C20" i="1"/>
  <c r="B20" i="1"/>
  <c r="H19" i="1"/>
  <c r="D19" i="1"/>
  <c r="C19" i="1"/>
  <c r="B19" i="1"/>
  <c r="H17" i="1"/>
  <c r="D17" i="1"/>
  <c r="C17" i="1"/>
  <c r="B17" i="1"/>
  <c r="H16" i="1"/>
  <c r="D16" i="1"/>
  <c r="C16" i="1"/>
  <c r="B16" i="1"/>
  <c r="H15" i="1"/>
  <c r="D15" i="1"/>
  <c r="C15" i="1"/>
  <c r="B15" i="1"/>
  <c r="H14" i="1"/>
  <c r="D14" i="1"/>
  <c r="C14" i="1"/>
  <c r="B14" i="1"/>
  <c r="H13" i="1"/>
  <c r="D13" i="1"/>
  <c r="C13" i="1"/>
  <c r="B13" i="1"/>
  <c r="H12" i="1"/>
  <c r="D12" i="1"/>
  <c r="C12" i="1"/>
  <c r="B12" i="1"/>
  <c r="H10" i="1"/>
  <c r="D10" i="1"/>
  <c r="C10" i="1"/>
  <c r="B10" i="1"/>
  <c r="H9" i="1"/>
  <c r="D9" i="1"/>
  <c r="H8" i="1"/>
  <c r="D8" i="1"/>
  <c r="B8" i="1"/>
  <c r="H7" i="1"/>
  <c r="D7" i="1"/>
  <c r="H5" i="1"/>
  <c r="D5" i="1"/>
  <c r="C5" i="1"/>
  <c r="B5" i="1"/>
  <c r="H4" i="1"/>
  <c r="D4" i="1"/>
  <c r="C4" i="1"/>
  <c r="H3" i="1"/>
  <c r="D3" i="1"/>
  <c r="C3" i="1"/>
</calcChain>
</file>

<file path=xl/sharedStrings.xml><?xml version="1.0" encoding="utf-8"?>
<sst xmlns="http://schemas.openxmlformats.org/spreadsheetml/2006/main" count="58" uniqueCount="32">
  <si>
    <t>RE</t>
  </si>
  <si>
    <t>Income</t>
  </si>
  <si>
    <t>Price</t>
  </si>
  <si>
    <t>Expenses</t>
  </si>
  <si>
    <t>Dividend</t>
  </si>
  <si>
    <t>Cap Rate</t>
  </si>
  <si>
    <t>Net Income</t>
  </si>
  <si>
    <t>ROI</t>
  </si>
  <si>
    <t>interest</t>
  </si>
  <si>
    <t>principle</t>
  </si>
  <si>
    <t>Down Payment</t>
  </si>
  <si>
    <t>Total Costs</t>
  </si>
  <si>
    <t>Total Income</t>
  </si>
  <si>
    <t>Total Investment</t>
  </si>
  <si>
    <t>CMG</t>
  </si>
  <si>
    <t># Shares</t>
  </si>
  <si>
    <t>Price/Share</t>
  </si>
  <si>
    <t>Shift</t>
  </si>
  <si>
    <t>Cash Return</t>
  </si>
  <si>
    <t>LVS</t>
  </si>
  <si>
    <t>Appreciation</t>
  </si>
  <si>
    <t>Selected Row</t>
  </si>
  <si>
    <t>DD</t>
  </si>
  <si>
    <t>ROI w/o financing</t>
  </si>
  <si>
    <t>SEM</t>
  </si>
  <si>
    <t>Monthly Cash Flow</t>
  </si>
  <si>
    <t>K</t>
  </si>
  <si>
    <t>CVA</t>
  </si>
  <si>
    <t>Value</t>
  </si>
  <si>
    <t>Purchase Price/Share</t>
  </si>
  <si>
    <t>% Down</t>
  </si>
  <si>
    <t>Value in 30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</si>
</sst>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164" fontId="0" fillId="0" borderId="0" xfId="1" applyNumberFormat="1" applyFont="1"/>
    <xf numFmtId="44" fontId="0" fillId="0" borderId="0" xfId="1" applyNumberFormat="1" applyFont="1"/>
    <xf numFmtId="164" fontId="0" fillId="0" borderId="0" xfId="0" applyNumberFormat="1"/>
    <xf numFmtId="44" fontId="0" fillId="0" borderId="0" xfId="0" applyNumberFormat="1"/>
    <xf numFmtId="10" fontId="0" fillId="0" borderId="0" xfId="2" applyNumberFormat="1" applyFont="1"/>
    <xf numFmtId="44" fontId="0" fillId="0" borderId="0" xfId="1" applyFont="1"/>
    <xf numFmtId="165" fontId="0" fillId="0" borderId="0" xfId="3" applyNumberFormat="1" applyFont="1"/>
    <xf numFmtId="0" fontId="2" fillId="0" borderId="0" xfId="0" applyFont="1"/>
    <xf numFmtId="6" fontId="0" fillId="0" borderId="0" xfId="0" applyNumberForma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9" sqref="B19"/>
    </sheetView>
  </sheetViews>
  <sheetFormatPr defaultRowHeight="14.4" x14ac:dyDescent="0.3"/>
  <cols>
    <col min="1" max="1" width="16" customWidth="1"/>
    <col min="2" max="2" width="13.44140625" customWidth="1"/>
    <col min="3" max="3" width="18.21875" bestFit="1" customWidth="1"/>
    <col min="4" max="4" width="18.77734375" bestFit="1" customWidth="1"/>
    <col min="5" max="5" width="17.77734375" bestFit="1" customWidth="1"/>
    <col min="6" max="6" width="9.21875" bestFit="1" customWidth="1"/>
    <col min="8" max="8" width="17.6640625" customWidth="1"/>
  </cols>
  <sheetData>
    <row r="1" spans="1:8" x14ac:dyDescent="0.3">
      <c r="B1" t="s">
        <v>0</v>
      </c>
      <c r="C1" t="s">
        <v>14</v>
      </c>
      <c r="D1" t="s">
        <v>19</v>
      </c>
    </row>
    <row r="2" spans="1:8" x14ac:dyDescent="0.3">
      <c r="A2" t="s">
        <v>17</v>
      </c>
      <c r="C2">
        <v>1000</v>
      </c>
      <c r="D2">
        <v>10000</v>
      </c>
      <c r="E2">
        <v>100000</v>
      </c>
      <c r="H2">
        <v>10000</v>
      </c>
    </row>
    <row r="3" spans="1:8" x14ac:dyDescent="0.3">
      <c r="A3" t="s">
        <v>15</v>
      </c>
      <c r="B3">
        <v>1</v>
      </c>
      <c r="C3">
        <f>29060000/C2</f>
        <v>29060</v>
      </c>
      <c r="D3">
        <f>E3/D2</f>
        <v>80999</v>
      </c>
      <c r="E3">
        <v>809990000</v>
      </c>
      <c r="H3">
        <f>I3/H2</f>
        <v>0</v>
      </c>
    </row>
    <row r="4" spans="1:8" x14ac:dyDescent="0.3">
      <c r="A4" t="s">
        <v>16</v>
      </c>
      <c r="B4">
        <v>150000</v>
      </c>
      <c r="C4">
        <f>397</f>
        <v>397</v>
      </c>
      <c r="D4">
        <f>E4</f>
        <v>60.59</v>
      </c>
      <c r="E4">
        <v>60.59</v>
      </c>
      <c r="H4">
        <f>I4</f>
        <v>0</v>
      </c>
    </row>
    <row r="5" spans="1:8" x14ac:dyDescent="0.3">
      <c r="A5" t="s">
        <v>2</v>
      </c>
      <c r="B5" s="2">
        <f>B4*B3</f>
        <v>150000</v>
      </c>
      <c r="C5" s="2">
        <f>C3*C4</f>
        <v>11536820</v>
      </c>
      <c r="D5" s="2">
        <f>D3*D4</f>
        <v>4907729.41</v>
      </c>
      <c r="H5" s="2">
        <f>H3*H4</f>
        <v>0</v>
      </c>
    </row>
    <row r="6" spans="1:8" x14ac:dyDescent="0.3">
      <c r="A6" t="s">
        <v>10</v>
      </c>
      <c r="B6" s="1">
        <v>0.2</v>
      </c>
      <c r="C6" s="1">
        <v>0.99999899999999997</v>
      </c>
      <c r="D6" s="1">
        <v>0.2</v>
      </c>
      <c r="H6" s="1">
        <v>0.2</v>
      </c>
    </row>
    <row r="7" spans="1:8" x14ac:dyDescent="0.3">
      <c r="A7" t="s">
        <v>1</v>
      </c>
      <c r="B7" s="2">
        <v>15000</v>
      </c>
      <c r="C7" s="2">
        <v>475602</v>
      </c>
      <c r="D7" s="2">
        <f>11200000000/D2</f>
        <v>1120000</v>
      </c>
      <c r="E7">
        <v>11200000000</v>
      </c>
      <c r="H7" s="2">
        <f>11200000000/H2</f>
        <v>1120000</v>
      </c>
    </row>
    <row r="8" spans="1:8" x14ac:dyDescent="0.3">
      <c r="A8" t="s">
        <v>3</v>
      </c>
      <c r="B8" s="2">
        <f>-0.02*B5-0.2*B7</f>
        <v>-6000</v>
      </c>
      <c r="C8" s="2">
        <v>0</v>
      </c>
      <c r="D8" s="2">
        <f>-1*((D7-(1630000000/D2)))</f>
        <v>-957000</v>
      </c>
      <c r="E8">
        <v>-9570000000</v>
      </c>
      <c r="H8" s="2">
        <f>-1*((H7-(1630000000/H2)))</f>
        <v>-957000</v>
      </c>
    </row>
    <row r="9" spans="1:8" x14ac:dyDescent="0.3">
      <c r="A9" t="s">
        <v>4</v>
      </c>
      <c r="B9" s="2">
        <v>0</v>
      </c>
      <c r="C9" s="2">
        <v>0</v>
      </c>
      <c r="D9" s="2">
        <f>0.0475*D5</f>
        <v>233117.14697500001</v>
      </c>
      <c r="E9">
        <v>4.7500000000000001E-2</v>
      </c>
      <c r="H9" s="2">
        <f>0.0475*H5</f>
        <v>0</v>
      </c>
    </row>
    <row r="10" spans="1:8" x14ac:dyDescent="0.3">
      <c r="A10" t="s">
        <v>5</v>
      </c>
      <c r="B10" s="1">
        <f>B7/B5</f>
        <v>0.1</v>
      </c>
      <c r="C10" s="1">
        <f>C7/C5</f>
        <v>4.1224704901350634E-2</v>
      </c>
      <c r="D10" s="1">
        <f>D7/D5</f>
        <v>0.22821144085855377</v>
      </c>
      <c r="H10" s="1" t="e">
        <f>H7/H5</f>
        <v>#DIV/0!</v>
      </c>
    </row>
    <row r="12" spans="1:8" x14ac:dyDescent="0.3">
      <c r="A12" t="s">
        <v>8</v>
      </c>
      <c r="B12" s="2">
        <f>CUMIPMT(0.04/12, 12*30, B5*(1-B6), 1, 12,0)</f>
        <v>-4761.5365348001469</v>
      </c>
      <c r="C12" s="2">
        <f>CUMIPMT(0.04/12, 12*30, C5*(1-C6), 1, 12,0)</f>
        <v>-0.45777491605827247</v>
      </c>
      <c r="D12" s="2">
        <f>CUMIPMT(0.04/12, 12*30, D5*(1-D6), 1, 12,0)</f>
        <v>-155788.88592418784</v>
      </c>
      <c r="F12" s="4"/>
      <c r="H12" s="2" t="e">
        <f>CUMIPMT(0.04/12, 12*30, H5*(1-H6), 1, 12,0)</f>
        <v>#NUM!</v>
      </c>
    </row>
    <row r="13" spans="1:8" x14ac:dyDescent="0.3">
      <c r="A13" t="s">
        <v>9</v>
      </c>
      <c r="B13" s="2">
        <f>CUMPRINC(0.04/12, 12*30, B5*(1-B6), 1, 12,0)</f>
        <v>-2113.2437199024685</v>
      </c>
      <c r="C13" s="2">
        <f>CUMPRINC(0.04/12, 12*30, C5*(1-C6), 1, 12,0)</f>
        <v>-0.2031676034445522</v>
      </c>
      <c r="D13" s="2">
        <f>CUMPRINC(0.04/12, 12*30, D5*(1-D6), 1, 12,0)</f>
        <v>-69141.522364420991</v>
      </c>
      <c r="F13" s="5"/>
      <c r="H13" s="2" t="e">
        <f>CUMPRINC(0.04/12, 12*30, H5*(1-H6), 1, 12,0)</f>
        <v>#NUM!</v>
      </c>
    </row>
    <row r="14" spans="1:8" x14ac:dyDescent="0.3">
      <c r="A14" t="s">
        <v>11</v>
      </c>
      <c r="B14" s="4">
        <f>B13+B12+B8</f>
        <v>-12874.780254702615</v>
      </c>
      <c r="C14" s="4">
        <f>C13+C12+C8</f>
        <v>-0.66094251950282468</v>
      </c>
      <c r="D14" s="4">
        <f>D13+D12+D8</f>
        <v>-1181930.4082886088</v>
      </c>
      <c r="H14" s="4" t="e">
        <f>H13+H12+H8</f>
        <v>#NUM!</v>
      </c>
    </row>
    <row r="15" spans="1:8" x14ac:dyDescent="0.3">
      <c r="A15" t="s">
        <v>12</v>
      </c>
      <c r="B15" s="4">
        <f>B7+B9</f>
        <v>15000</v>
      </c>
      <c r="C15" s="4">
        <f>C7+C9</f>
        <v>475602</v>
      </c>
      <c r="D15" s="4">
        <f>D7+D9</f>
        <v>1353117.1469749999</v>
      </c>
      <c r="H15" s="4">
        <f>H7+H9</f>
        <v>1120000</v>
      </c>
    </row>
    <row r="16" spans="1:8" x14ac:dyDescent="0.3">
      <c r="A16" t="s">
        <v>13</v>
      </c>
      <c r="B16" s="4">
        <f>B5*B6-B8-B12-B13</f>
        <v>42874.780254702622</v>
      </c>
      <c r="C16" s="4">
        <f>C5*C6-C8-C12-C13</f>
        <v>11536809.124122521</v>
      </c>
      <c r="D16" s="4">
        <f>D5*D6-D8-D12-D13</f>
        <v>2163476.290288609</v>
      </c>
      <c r="H16" s="4" t="e">
        <f>H5*H6-H8-H12-H13</f>
        <v>#NUM!</v>
      </c>
    </row>
    <row r="17" spans="1:8" x14ac:dyDescent="0.3">
      <c r="A17" t="s">
        <v>6</v>
      </c>
      <c r="B17" s="2">
        <f>(B7+B9)+B14</f>
        <v>2125.2197452973851</v>
      </c>
      <c r="C17" s="2">
        <f>(C7+C9)+C14</f>
        <v>475601.33905748051</v>
      </c>
      <c r="D17" s="2">
        <f>(D7+D9)+D14</f>
        <v>171186.73868639115</v>
      </c>
      <c r="H17" s="2" t="e">
        <f>(H7+H9)+H14</f>
        <v>#NUM!</v>
      </c>
    </row>
    <row r="18" spans="1:8" x14ac:dyDescent="0.3">
      <c r="A18" t="s">
        <v>20</v>
      </c>
      <c r="B18">
        <v>10</v>
      </c>
    </row>
    <row r="19" spans="1:8" x14ac:dyDescent="0.3">
      <c r="A19" t="s">
        <v>7</v>
      </c>
      <c r="B19" s="1">
        <f>(B17+B18)/B16</f>
        <v>4.9801298866439983E-2</v>
      </c>
      <c r="C19" s="1">
        <f>(C17)/C16</f>
        <v>4.1224686474446139E-2</v>
      </c>
      <c r="D19" s="1">
        <f>(D17)/D16</f>
        <v>7.9125775241823765E-2</v>
      </c>
      <c r="H19" s="1" t="e">
        <f>(H17)/H16</f>
        <v>#NUM!</v>
      </c>
    </row>
    <row r="20" spans="1:8" x14ac:dyDescent="0.3">
      <c r="A20" t="s">
        <v>18</v>
      </c>
      <c r="B20" s="5">
        <f>B17</f>
        <v>2125.2197452973851</v>
      </c>
      <c r="C20" s="4">
        <f>C9</f>
        <v>0</v>
      </c>
      <c r="D20" s="4">
        <f>D9</f>
        <v>233117.14697500001</v>
      </c>
      <c r="H20" s="4">
        <f>H9</f>
        <v>0</v>
      </c>
    </row>
    <row r="22" spans="1:8" x14ac:dyDescent="0.3">
      <c r="D2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Normal="100" workbookViewId="0">
      <selection activeCell="J2" sqref="J2"/>
    </sheetView>
  </sheetViews>
  <sheetFormatPr defaultRowHeight="14.4" x14ac:dyDescent="0.3"/>
  <cols>
    <col min="2" max="2" width="8.5546875" style="8" bestFit="1" customWidth="1"/>
    <col min="3" max="3" width="12" style="8" bestFit="1" customWidth="1"/>
    <col min="4" max="4" width="12.109375" style="7" bestFit="1" customWidth="1"/>
    <col min="5" max="5" width="7.6640625" style="1" bestFit="1" customWidth="1"/>
    <col min="6" max="6" width="18.109375" style="2" bestFit="1" customWidth="1"/>
    <col min="7" max="7" width="16.109375" style="2" bestFit="1" customWidth="1"/>
    <col min="8" max="8" width="9.88671875" style="6" customWidth="1"/>
    <col min="9" max="9" width="15.6640625" style="1" bestFit="1" customWidth="1"/>
    <col min="10" max="10" width="12.109375" bestFit="1" customWidth="1"/>
    <col min="11" max="11" width="2.88671875" customWidth="1"/>
    <col min="12" max="12" width="18.33203125" customWidth="1"/>
    <col min="13" max="13" width="18.21875" bestFit="1" customWidth="1"/>
  </cols>
  <sheetData>
    <row r="1" spans="1:13" x14ac:dyDescent="0.3">
      <c r="B1" s="8" t="s">
        <v>17</v>
      </c>
      <c r="C1" s="8" t="s">
        <v>15</v>
      </c>
      <c r="D1" s="7" t="s">
        <v>16</v>
      </c>
      <c r="E1" s="1" t="s">
        <v>30</v>
      </c>
      <c r="F1" s="2" t="s">
        <v>1</v>
      </c>
      <c r="G1" s="2" t="s">
        <v>3</v>
      </c>
      <c r="H1" s="6" t="s">
        <v>4</v>
      </c>
      <c r="I1" s="1" t="s">
        <v>23</v>
      </c>
      <c r="J1" t="s">
        <v>2</v>
      </c>
      <c r="L1" s="9" t="s">
        <v>21</v>
      </c>
      <c r="M1" s="9">
        <v>5</v>
      </c>
    </row>
    <row r="2" spans="1:13" x14ac:dyDescent="0.3">
      <c r="A2" t="s">
        <v>0</v>
      </c>
      <c r="B2" s="8">
        <v>1</v>
      </c>
      <c r="C2" s="8">
        <v>1</v>
      </c>
      <c r="D2" s="7">
        <v>150000</v>
      </c>
      <c r="E2" s="1">
        <v>0.2</v>
      </c>
      <c r="F2" s="2">
        <v>15000</v>
      </c>
      <c r="G2" s="2">
        <v>-6000</v>
      </c>
      <c r="H2" s="6">
        <v>0</v>
      </c>
      <c r="I2" s="1">
        <f t="shared" ref="I2:I9" si="0">((F2+(H2*(D2*C2)))+G2)/(D2*C2+-1*G2)</f>
        <v>5.7692307692307696E-2</v>
      </c>
      <c r="J2" s="5">
        <f>D2</f>
        <v>150000</v>
      </c>
      <c r="L2" t="s">
        <v>17</v>
      </c>
      <c r="M2" s="8">
        <f>INDEX(A1:H23, M1, 2)</f>
        <v>100000</v>
      </c>
    </row>
    <row r="3" spans="1:13" x14ac:dyDescent="0.3">
      <c r="A3" t="s">
        <v>19</v>
      </c>
      <c r="B3" s="8">
        <v>100000</v>
      </c>
      <c r="C3" s="8">
        <v>809990000</v>
      </c>
      <c r="D3" s="7">
        <v>60</v>
      </c>
      <c r="E3" s="1">
        <v>0.99</v>
      </c>
      <c r="F3" s="2">
        <v>11200000000</v>
      </c>
      <c r="G3" s="2">
        <v>-9570000000</v>
      </c>
      <c r="H3" s="6">
        <v>4.7500000000000001E-2</v>
      </c>
      <c r="I3" s="1">
        <f t="shared" si="0"/>
        <v>6.7706930104144109E-2</v>
      </c>
      <c r="J3" s="5">
        <v>60</v>
      </c>
      <c r="L3" t="s">
        <v>15</v>
      </c>
      <c r="M3">
        <f>INDEX(A1:H23, M1, 3)/M2</f>
        <v>8742.9</v>
      </c>
    </row>
    <row r="4" spans="1:13" x14ac:dyDescent="0.3">
      <c r="A4" t="s">
        <v>14</v>
      </c>
      <c r="I4" s="1" t="e">
        <f t="shared" si="0"/>
        <v>#DIV/0!</v>
      </c>
      <c r="J4" s="5">
        <f t="shared" ref="J4:J9" si="1">D4</f>
        <v>0</v>
      </c>
      <c r="L4" t="s">
        <v>16</v>
      </c>
      <c r="M4" s="7">
        <f>INDEX(A1:H23, M1, 4)</f>
        <v>68.64</v>
      </c>
    </row>
    <row r="5" spans="1:13" x14ac:dyDescent="0.3">
      <c r="A5" t="s">
        <v>22</v>
      </c>
      <c r="B5" s="8">
        <v>100000</v>
      </c>
      <c r="C5" s="8">
        <v>874290000</v>
      </c>
      <c r="D5" s="7">
        <v>68.64</v>
      </c>
      <c r="E5" s="1">
        <v>0.99</v>
      </c>
      <c r="F5" s="2">
        <v>24840000000</v>
      </c>
      <c r="G5" s="2">
        <f>(F5-2020000000)*-1</f>
        <v>-22820000000</v>
      </c>
      <c r="H5" s="6">
        <v>2.2100000000000002E-2</v>
      </c>
      <c r="I5" s="1">
        <f t="shared" si="0"/>
        <v>4.0398380315946766E-2</v>
      </c>
      <c r="J5" s="5">
        <v>68</v>
      </c>
      <c r="L5" t="s">
        <v>28</v>
      </c>
      <c r="M5" s="4">
        <f>M4*M3</f>
        <v>600112.65599999996</v>
      </c>
    </row>
    <row r="6" spans="1:13" x14ac:dyDescent="0.3">
      <c r="A6" t="s">
        <v>24</v>
      </c>
      <c r="B6" s="8">
        <v>10000</v>
      </c>
      <c r="C6" s="8">
        <v>130630000</v>
      </c>
      <c r="D6" s="7">
        <v>12.85</v>
      </c>
      <c r="E6" s="1">
        <v>0.99</v>
      </c>
      <c r="F6" s="2">
        <v>4280000000</v>
      </c>
      <c r="G6" s="2">
        <f>(F6-120800000)*-1</f>
        <v>-4159200000</v>
      </c>
      <c r="H6" s="6">
        <v>3.1099999999999999E-2</v>
      </c>
      <c r="I6" s="1">
        <f t="shared" si="0"/>
        <v>2.963521419172703E-2</v>
      </c>
      <c r="J6" s="5">
        <f t="shared" si="1"/>
        <v>12.85</v>
      </c>
      <c r="L6" t="s">
        <v>29</v>
      </c>
      <c r="M6" s="7">
        <f>INDEX(J1:J23, M1, 1)</f>
        <v>68</v>
      </c>
    </row>
    <row r="7" spans="1:13" x14ac:dyDescent="0.3">
      <c r="B7" s="8">
        <v>1</v>
      </c>
      <c r="C7" s="8">
        <v>1</v>
      </c>
      <c r="D7" s="7">
        <v>210000</v>
      </c>
      <c r="E7" s="1">
        <v>0.99</v>
      </c>
      <c r="F7" s="2">
        <f>1500*12</f>
        <v>18000</v>
      </c>
      <c r="G7" s="2">
        <f>-12*(278+150+150+30+75)</f>
        <v>-8196</v>
      </c>
      <c r="H7" s="6">
        <v>0</v>
      </c>
      <c r="I7" s="1">
        <f t="shared" si="0"/>
        <v>4.4932079414838039E-2</v>
      </c>
      <c r="J7" s="5">
        <f t="shared" si="1"/>
        <v>210000</v>
      </c>
      <c r="L7" t="s">
        <v>2</v>
      </c>
      <c r="M7" s="2">
        <f>M3*M6</f>
        <v>594517.19999999995</v>
      </c>
    </row>
    <row r="8" spans="1:13" x14ac:dyDescent="0.3">
      <c r="A8" t="s">
        <v>26</v>
      </c>
      <c r="B8" s="8">
        <v>100000</v>
      </c>
      <c r="C8" s="8">
        <v>352680000</v>
      </c>
      <c r="D8" s="7">
        <v>73.39</v>
      </c>
      <c r="E8" s="1">
        <v>0.99</v>
      </c>
      <c r="F8" s="2">
        <v>706000000</v>
      </c>
      <c r="G8" s="2">
        <v>0</v>
      </c>
      <c r="H8" s="6">
        <v>2.8299999999999999E-2</v>
      </c>
      <c r="I8" s="1">
        <f t="shared" si="0"/>
        <v>5.5576395642372482E-2</v>
      </c>
      <c r="J8" s="5">
        <f t="shared" si="1"/>
        <v>73.39</v>
      </c>
      <c r="L8" t="s">
        <v>10</v>
      </c>
      <c r="M8" s="1">
        <f>INDEX(A1:H23, M1, 5)</f>
        <v>0.99</v>
      </c>
    </row>
    <row r="9" spans="1:13" x14ac:dyDescent="0.3">
      <c r="A9" t="s">
        <v>27</v>
      </c>
      <c r="B9" s="8">
        <v>10000</v>
      </c>
      <c r="C9" s="8">
        <v>130860000</v>
      </c>
      <c r="D9" s="7">
        <v>14.9</v>
      </c>
      <c r="E9" s="1">
        <v>0.2</v>
      </c>
      <c r="F9" s="2">
        <v>65000000</v>
      </c>
      <c r="G9" s="2">
        <v>0</v>
      </c>
      <c r="H9" s="6">
        <v>6.7100000000000007E-2</v>
      </c>
      <c r="I9" s="1">
        <f t="shared" si="0"/>
        <v>0.10043651312381592</v>
      </c>
      <c r="J9" s="5">
        <f t="shared" si="1"/>
        <v>14.9</v>
      </c>
      <c r="L9" t="s">
        <v>1</v>
      </c>
      <c r="M9" s="2">
        <f>INDEX(A1:H23, M1, 6)/M2</f>
        <v>248400</v>
      </c>
    </row>
    <row r="10" spans="1:13" x14ac:dyDescent="0.3">
      <c r="A10" s="2"/>
      <c r="L10" t="s">
        <v>3</v>
      </c>
      <c r="M10" s="2">
        <f>INDEX(A1:H23, M1, 7)/M2</f>
        <v>-228200</v>
      </c>
    </row>
    <row r="11" spans="1:13" x14ac:dyDescent="0.3">
      <c r="A11" s="1"/>
      <c r="L11" t="s">
        <v>4</v>
      </c>
      <c r="M11" s="3">
        <f>INDEX(A1:H23, M1, 8)*M5</f>
        <v>13262.4896976</v>
      </c>
    </row>
    <row r="12" spans="1:13" x14ac:dyDescent="0.3">
      <c r="A12" s="2"/>
    </row>
    <row r="13" spans="1:13" x14ac:dyDescent="0.3">
      <c r="A13" s="2"/>
      <c r="L13" t="s">
        <v>8</v>
      </c>
      <c r="M13" s="2">
        <f>CUMIPMT(0.04/12, 12*30, M7*(1-M8), 1, 12,0)</f>
        <v>-235.90128069725742</v>
      </c>
    </row>
    <row r="14" spans="1:13" x14ac:dyDescent="0.3">
      <c r="A14" s="2"/>
      <c r="L14" t="s">
        <v>9</v>
      </c>
      <c r="M14" s="2">
        <f>CUMPRINC(0.04/12, 12*30, M7*(1-M8), 1, 12,0)</f>
        <v>-104.69664493950009</v>
      </c>
    </row>
    <row r="15" spans="1:13" x14ac:dyDescent="0.3">
      <c r="A15" s="1"/>
      <c r="L15" t="s">
        <v>11</v>
      </c>
      <c r="M15" s="4">
        <f>M14+M13+M10</f>
        <v>-228540.59792563677</v>
      </c>
    </row>
    <row r="16" spans="1:13" x14ac:dyDescent="0.3">
      <c r="L16" t="s">
        <v>12</v>
      </c>
      <c r="M16" s="4">
        <f>M9+M11</f>
        <v>261662.48969759999</v>
      </c>
    </row>
    <row r="17" spans="12:13" x14ac:dyDescent="0.3">
      <c r="L17" t="s">
        <v>13</v>
      </c>
      <c r="M17" s="4">
        <f>M7*M8</f>
        <v>588572.02799999993</v>
      </c>
    </row>
    <row r="18" spans="12:13" x14ac:dyDescent="0.3">
      <c r="L18" t="s">
        <v>6</v>
      </c>
      <c r="M18" s="2">
        <f>(M9+M11)+M15</f>
        <v>33121.891771963215</v>
      </c>
    </row>
    <row r="19" spans="12:13" x14ac:dyDescent="0.3">
      <c r="L19" t="s">
        <v>20</v>
      </c>
      <c r="M19">
        <v>0</v>
      </c>
    </row>
    <row r="20" spans="12:13" x14ac:dyDescent="0.3">
      <c r="L20" t="s">
        <v>7</v>
      </c>
      <c r="M20" s="6">
        <f>(M18)/M17</f>
        <v>5.6275001522775765E-2</v>
      </c>
    </row>
    <row r="21" spans="12:13" x14ac:dyDescent="0.3">
      <c r="L21" t="s">
        <v>25</v>
      </c>
      <c r="M21" s="5">
        <f>M18/12</f>
        <v>2760.1576476636014</v>
      </c>
    </row>
    <row r="22" spans="12:13" x14ac:dyDescent="0.3">
      <c r="L22" t="s">
        <v>31</v>
      </c>
      <c r="M22" s="10">
        <f>FV(M20, 30, 0, -1*M17)</f>
        <v>3041652.9994160407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Fross</dc:creator>
  <cp:lastModifiedBy>Zeb Fross</cp:lastModifiedBy>
  <dcterms:created xsi:type="dcterms:W3CDTF">2016-11-14T02:34:23Z</dcterms:created>
  <dcterms:modified xsi:type="dcterms:W3CDTF">2016-11-26T18:15:48Z</dcterms:modified>
</cp:coreProperties>
</file>