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95" tabRatio="693" activeTab="4"/>
  </bookViews>
  <sheets>
    <sheet name="01 Prod Physique Boites" sheetId="1" r:id="rId1"/>
    <sheet name="02 Prod Valorisée Boites" sheetId="13" r:id="rId2"/>
    <sheet name="03 Prod Accessoires" sheetId="17" r:id="rId3"/>
    <sheet name="04 Ventes" sheetId="16" r:id="rId4"/>
    <sheet name="05 Activité Consolidée" sheetId="15" r:id="rId5"/>
    <sheet name="06 TRS" sheetId="14" r:id="rId6"/>
    <sheet name="07 Graphique" sheetId="19" r:id="rId7"/>
    <sheet name="REFERENCE PU" sheetId="2" state="hidden" r:id="rId8"/>
  </sheets>
  <definedNames>
    <definedName name="_xlnm.Print_Area" localSheetId="0">'01 Prod Physique Boites'!$A$1:$O$1390</definedName>
    <definedName name="_xlnm.Print_Area" localSheetId="1">'02 Prod Valorisée Boites'!$A$1:$J$1394</definedName>
    <definedName name="_xlnm.Print_Area" localSheetId="2">'03 Prod Accessoires'!$A$1:$Q$767</definedName>
    <definedName name="_xlnm.Print_Area" localSheetId="3">'04 Ventes'!$A$1:$I$1181</definedName>
    <definedName name="_xlnm.Print_Area" localSheetId="4">'05 Activité Consolidée'!$A$1:$J$191</definedName>
    <definedName name="_xlnm.Print_Area" localSheetId="5">'06 TRS'!$A$1:$T$278</definedName>
    <definedName name="_xlnm.Print_Area" localSheetId="6">'07 Graphique'!$A$1:$T$42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4" l="1"/>
  <c r="E15" i="14"/>
  <c r="I1294" i="1"/>
  <c r="H1294" i="1"/>
  <c r="I1298" i="1"/>
  <c r="H1298" i="1"/>
  <c r="L29" i="14" l="1"/>
  <c r="K29" i="14" s="1"/>
  <c r="G29" i="14"/>
  <c r="C29" i="14"/>
  <c r="L28" i="14"/>
  <c r="K28" i="14" s="1"/>
  <c r="G28" i="14"/>
  <c r="C28" i="14"/>
  <c r="L27" i="14"/>
  <c r="K27" i="14" s="1"/>
  <c r="G27" i="14"/>
  <c r="C27" i="14"/>
  <c r="L26" i="14"/>
  <c r="K26" i="14" s="1"/>
  <c r="G26" i="14"/>
  <c r="C26" i="14"/>
  <c r="L25" i="14"/>
  <c r="K25" i="14" s="1"/>
  <c r="G25" i="14"/>
  <c r="C25" i="14"/>
  <c r="L24" i="14"/>
  <c r="K24" i="14" s="1"/>
  <c r="G24" i="14"/>
  <c r="C24" i="14"/>
  <c r="L23" i="14"/>
  <c r="K23" i="14" s="1"/>
  <c r="G23" i="14"/>
  <c r="C23" i="14"/>
  <c r="G22" i="14"/>
  <c r="L22" i="14"/>
  <c r="K22" i="14" s="1"/>
  <c r="G21" i="14"/>
  <c r="L21" i="14"/>
  <c r="K21" i="14" s="1"/>
  <c r="L20" i="14"/>
  <c r="K20" i="14"/>
  <c r="M20" i="14" s="1"/>
  <c r="G20" i="14"/>
  <c r="C20" i="14"/>
  <c r="L19" i="14"/>
  <c r="K19" i="14" s="1"/>
  <c r="O19" i="14" s="1"/>
  <c r="G19" i="14"/>
  <c r="C19" i="14"/>
  <c r="L18" i="14"/>
  <c r="K18" i="14"/>
  <c r="M18" i="14" s="1"/>
  <c r="G18" i="14"/>
  <c r="C18" i="14"/>
  <c r="L17" i="14"/>
  <c r="K17" i="14" s="1"/>
  <c r="M17" i="14" s="1"/>
  <c r="G17" i="14"/>
  <c r="C17" i="14"/>
  <c r="L16" i="14"/>
  <c r="K16" i="14"/>
  <c r="M16" i="14" s="1"/>
  <c r="G16" i="14"/>
  <c r="C16" i="14"/>
  <c r="L15" i="14"/>
  <c r="K15" i="14" s="1"/>
  <c r="M15" i="14" s="1"/>
  <c r="G15" i="14"/>
  <c r="C15" i="14"/>
  <c r="L14" i="14"/>
  <c r="K14" i="14" s="1"/>
  <c r="O14" i="14" s="1"/>
  <c r="G14" i="14"/>
  <c r="C14" i="14"/>
  <c r="N19" i="14" l="1"/>
  <c r="R19" i="14" s="1"/>
  <c r="N14" i="14"/>
  <c r="R14" i="14" s="1"/>
  <c r="P14" i="14"/>
  <c r="M22" i="14"/>
  <c r="O22" i="14"/>
  <c r="O27" i="14"/>
  <c r="N27" i="14" s="1"/>
  <c r="M27" i="14"/>
  <c r="O24" i="14"/>
  <c r="N24" i="14" s="1"/>
  <c r="M24" i="14"/>
  <c r="Q19" i="14"/>
  <c r="P19" i="14"/>
  <c r="O23" i="14"/>
  <c r="N23" i="14" s="1"/>
  <c r="M23" i="14"/>
  <c r="O26" i="14"/>
  <c r="N26" i="14" s="1"/>
  <c r="M26" i="14"/>
  <c r="O28" i="14"/>
  <c r="N28" i="14" s="1"/>
  <c r="M28" i="14"/>
  <c r="M21" i="14"/>
  <c r="O21" i="14"/>
  <c r="O25" i="14"/>
  <c r="N25" i="14" s="1"/>
  <c r="M25" i="14"/>
  <c r="O29" i="14"/>
  <c r="N29" i="14" s="1"/>
  <c r="M29" i="14"/>
  <c r="O15" i="14"/>
  <c r="N15" i="14" s="1"/>
  <c r="O16" i="14"/>
  <c r="N16" i="14" s="1"/>
  <c r="O17" i="14"/>
  <c r="N17" i="14" s="1"/>
  <c r="O20" i="14"/>
  <c r="N20" i="14" s="1"/>
  <c r="O18" i="14"/>
  <c r="N18" i="14" s="1"/>
  <c r="M14" i="14"/>
  <c r="M19" i="14"/>
  <c r="C21" i="14"/>
  <c r="C22" i="14"/>
  <c r="J184" i="15"/>
  <c r="J182" i="15"/>
  <c r="J181" i="15"/>
  <c r="C189" i="15"/>
  <c r="E188" i="15"/>
  <c r="E185" i="15"/>
  <c r="J186" i="15"/>
  <c r="C186" i="15"/>
  <c r="E182" i="15"/>
  <c r="C183" i="15"/>
  <c r="I1177" i="16"/>
  <c r="I1176" i="16"/>
  <c r="H1176" i="16"/>
  <c r="F1176" i="16"/>
  <c r="E1175" i="16"/>
  <c r="I1174" i="16"/>
  <c r="H1174" i="16"/>
  <c r="F1174" i="16"/>
  <c r="H1173" i="16"/>
  <c r="F1173" i="16"/>
  <c r="I1173" i="16" s="1"/>
  <c r="I1172" i="16"/>
  <c r="H1172" i="16"/>
  <c r="F1172" i="16"/>
  <c r="I1171" i="16"/>
  <c r="H1171" i="16"/>
  <c r="F1171" i="16"/>
  <c r="I1170" i="16"/>
  <c r="H1170" i="16"/>
  <c r="F1170" i="16"/>
  <c r="H1169" i="16"/>
  <c r="F1169" i="16"/>
  <c r="I1169" i="16" s="1"/>
  <c r="H1168" i="16"/>
  <c r="F1168" i="16"/>
  <c r="I1168" i="16" s="1"/>
  <c r="I1167" i="16"/>
  <c r="H1167" i="16"/>
  <c r="F1167" i="16"/>
  <c r="I1166" i="16"/>
  <c r="H1166" i="16"/>
  <c r="F1166" i="16"/>
  <c r="H1165" i="16"/>
  <c r="F1165" i="16"/>
  <c r="I1165" i="16" s="1"/>
  <c r="H1164" i="16"/>
  <c r="F1164" i="16"/>
  <c r="I1164" i="16" s="1"/>
  <c r="I1163" i="16"/>
  <c r="H1163" i="16"/>
  <c r="F1163" i="16"/>
  <c r="I1162" i="16"/>
  <c r="H1162" i="16"/>
  <c r="F1162" i="16"/>
  <c r="H1161" i="16"/>
  <c r="F1161" i="16"/>
  <c r="I1161" i="16" s="1"/>
  <c r="H1160" i="16"/>
  <c r="F1160" i="16"/>
  <c r="I1160" i="16" s="1"/>
  <c r="I1159" i="16"/>
  <c r="H1159" i="16"/>
  <c r="F1159" i="16"/>
  <c r="I1158" i="16"/>
  <c r="H1158" i="16"/>
  <c r="F1158" i="16"/>
  <c r="H1157" i="16"/>
  <c r="F1157" i="16"/>
  <c r="I1157" i="16" s="1"/>
  <c r="H1156" i="16"/>
  <c r="F1156" i="16"/>
  <c r="I1156" i="16" s="1"/>
  <c r="I1155" i="16"/>
  <c r="H1155" i="16"/>
  <c r="F1155" i="16"/>
  <c r="H1154" i="16"/>
  <c r="F1154" i="16"/>
  <c r="I1154" i="16" s="1"/>
  <c r="H1153" i="16"/>
  <c r="F1153" i="16"/>
  <c r="I1153" i="16" s="1"/>
  <c r="H1152" i="16"/>
  <c r="F1152" i="16"/>
  <c r="I1152" i="16" s="1"/>
  <c r="I1151" i="16"/>
  <c r="H1151" i="16"/>
  <c r="F1151" i="16"/>
  <c r="H1150" i="16"/>
  <c r="F1150" i="16"/>
  <c r="I1150" i="16" s="1"/>
  <c r="H1149" i="16"/>
  <c r="F1149" i="16"/>
  <c r="F1148" i="16"/>
  <c r="E1148" i="16"/>
  <c r="H1147" i="16"/>
  <c r="F1147" i="16"/>
  <c r="I1147" i="16" s="1"/>
  <c r="I1146" i="16"/>
  <c r="H1146" i="16"/>
  <c r="F1146" i="16"/>
  <c r="I1145" i="16"/>
  <c r="H1145" i="16"/>
  <c r="F1145" i="16"/>
  <c r="H1144" i="16"/>
  <c r="F1144" i="16"/>
  <c r="I1144" i="16" s="1"/>
  <c r="H1143" i="16"/>
  <c r="F1143" i="16"/>
  <c r="I1143" i="16" s="1"/>
  <c r="I1142" i="16"/>
  <c r="H1142" i="16"/>
  <c r="F1142" i="16"/>
  <c r="I1141" i="16"/>
  <c r="H1141" i="16"/>
  <c r="F1141" i="16"/>
  <c r="H1140" i="16"/>
  <c r="F1140" i="16"/>
  <c r="I1140" i="16" s="1"/>
  <c r="H1139" i="16"/>
  <c r="F1139" i="16"/>
  <c r="I1139" i="16" s="1"/>
  <c r="I1138" i="16"/>
  <c r="H1138" i="16"/>
  <c r="F1138" i="16"/>
  <c r="I1137" i="16"/>
  <c r="H1137" i="16"/>
  <c r="F1137" i="16"/>
  <c r="H1136" i="16"/>
  <c r="F1136" i="16"/>
  <c r="I1136" i="16" s="1"/>
  <c r="H1135" i="16"/>
  <c r="F1135" i="16"/>
  <c r="I1135" i="16" s="1"/>
  <c r="I1134" i="16"/>
  <c r="H1134" i="16"/>
  <c r="F1134" i="16"/>
  <c r="I1133" i="16"/>
  <c r="H1133" i="16"/>
  <c r="F1133" i="16"/>
  <c r="H1132" i="16"/>
  <c r="F1132" i="16"/>
  <c r="I1132" i="16" s="1"/>
  <c r="H1131" i="16"/>
  <c r="F1131" i="16"/>
  <c r="I1131" i="16" s="1"/>
  <c r="I1130" i="16"/>
  <c r="H1130" i="16"/>
  <c r="F1130" i="16"/>
  <c r="I1129" i="16"/>
  <c r="H1129" i="16"/>
  <c r="F1129" i="16"/>
  <c r="H1128" i="16"/>
  <c r="F1128" i="16"/>
  <c r="I1128" i="16" s="1"/>
  <c r="H1127" i="16"/>
  <c r="F1127" i="16"/>
  <c r="I1127" i="16" s="1"/>
  <c r="I1126" i="16"/>
  <c r="H1126" i="16"/>
  <c r="F1126" i="16"/>
  <c r="I1125" i="16"/>
  <c r="H1125" i="16"/>
  <c r="F1125" i="16"/>
  <c r="H1124" i="16"/>
  <c r="F1124" i="16"/>
  <c r="I1124" i="16" s="1"/>
  <c r="H1123" i="16"/>
  <c r="F1123" i="16"/>
  <c r="I1123" i="16" s="1"/>
  <c r="I1122" i="16"/>
  <c r="H1122" i="16"/>
  <c r="F1122" i="16"/>
  <c r="I1121" i="16"/>
  <c r="H1121" i="16"/>
  <c r="F1121" i="16"/>
  <c r="H1120" i="16"/>
  <c r="F1120" i="16"/>
  <c r="I1120" i="16" s="1"/>
  <c r="H1119" i="16"/>
  <c r="H1148" i="16" s="1"/>
  <c r="F1119" i="16"/>
  <c r="I1119" i="16" s="1"/>
  <c r="E1116" i="16"/>
  <c r="I1115" i="16"/>
  <c r="H1115" i="16"/>
  <c r="F1115" i="16"/>
  <c r="I1114" i="16"/>
  <c r="H1114" i="16"/>
  <c r="F1114" i="16"/>
  <c r="H1113" i="16"/>
  <c r="H1116" i="16" s="1"/>
  <c r="F1113" i="16"/>
  <c r="I1113" i="16" s="1"/>
  <c r="H1112" i="16"/>
  <c r="F1112" i="16"/>
  <c r="I1112" i="16" s="1"/>
  <c r="I1116" i="16" s="1"/>
  <c r="E1111" i="16"/>
  <c r="I1110" i="16"/>
  <c r="H1110" i="16"/>
  <c r="F1110" i="16"/>
  <c r="I1109" i="16"/>
  <c r="H1109" i="16"/>
  <c r="F1109" i="16"/>
  <c r="H1108" i="16"/>
  <c r="F1108" i="16"/>
  <c r="I1108" i="16" s="1"/>
  <c r="H1107" i="16"/>
  <c r="F1107" i="16"/>
  <c r="I1107" i="16" s="1"/>
  <c r="I1106" i="16"/>
  <c r="H1106" i="16"/>
  <c r="F1106" i="16"/>
  <c r="I1105" i="16"/>
  <c r="H1105" i="16"/>
  <c r="H1111" i="16" s="1"/>
  <c r="F1105" i="16"/>
  <c r="F1111" i="16" s="1"/>
  <c r="E1104" i="16"/>
  <c r="H1103" i="16"/>
  <c r="F1103" i="16"/>
  <c r="I1103" i="16" s="1"/>
  <c r="H1102" i="16"/>
  <c r="F1102" i="16"/>
  <c r="I1102" i="16" s="1"/>
  <c r="I1101" i="16"/>
  <c r="H1101" i="16"/>
  <c r="F1101" i="16"/>
  <c r="I1100" i="16"/>
  <c r="H1100" i="16"/>
  <c r="F1100" i="16"/>
  <c r="H1099" i="16"/>
  <c r="F1099" i="16"/>
  <c r="I1099" i="16" s="1"/>
  <c r="H1098" i="16"/>
  <c r="F1098" i="16"/>
  <c r="I1098" i="16" s="1"/>
  <c r="I1097" i="16"/>
  <c r="H1097" i="16"/>
  <c r="F1097" i="16"/>
  <c r="H1096" i="16"/>
  <c r="F1096" i="16"/>
  <c r="I1096" i="16" s="1"/>
  <c r="H1095" i="16"/>
  <c r="F1095" i="16"/>
  <c r="I1095" i="16" s="1"/>
  <c r="H1094" i="16"/>
  <c r="F1094" i="16"/>
  <c r="I1094" i="16" s="1"/>
  <c r="I1093" i="16"/>
  <c r="H1093" i="16"/>
  <c r="F1093" i="16"/>
  <c r="I1092" i="16"/>
  <c r="H1092" i="16"/>
  <c r="F1092" i="16"/>
  <c r="H1091" i="16"/>
  <c r="F1091" i="16"/>
  <c r="I1091" i="16" s="1"/>
  <c r="H1090" i="16"/>
  <c r="F1090" i="16"/>
  <c r="I1089" i="16"/>
  <c r="H1089" i="16"/>
  <c r="F1089" i="16"/>
  <c r="E765" i="17"/>
  <c r="E764" i="17"/>
  <c r="H763" i="17"/>
  <c r="H764" i="17" s="1"/>
  <c r="G763" i="17"/>
  <c r="G764" i="17" s="1"/>
  <c r="D763" i="17"/>
  <c r="D764" i="17" s="1"/>
  <c r="D765" i="17" s="1"/>
  <c r="P762" i="17"/>
  <c r="L762" i="17"/>
  <c r="K762" i="17"/>
  <c r="F762" i="17"/>
  <c r="I762" i="17" s="1"/>
  <c r="Q761" i="17"/>
  <c r="P761" i="17"/>
  <c r="L761" i="17"/>
  <c r="K761" i="17"/>
  <c r="J761" i="17" s="1"/>
  <c r="M761" i="17" s="1"/>
  <c r="F761" i="17"/>
  <c r="I761" i="17" s="1"/>
  <c r="P760" i="17"/>
  <c r="M760" i="17"/>
  <c r="L760" i="17"/>
  <c r="K760" i="17"/>
  <c r="Q760" i="17" s="1"/>
  <c r="J760" i="17"/>
  <c r="N760" i="17" s="1"/>
  <c r="I760" i="17"/>
  <c r="F760" i="17"/>
  <c r="P759" i="17"/>
  <c r="L759" i="17"/>
  <c r="K759" i="17"/>
  <c r="Q759" i="17" s="1"/>
  <c r="J759" i="17"/>
  <c r="M759" i="17" s="1"/>
  <c r="F759" i="17"/>
  <c r="I759" i="17" s="1"/>
  <c r="P758" i="17"/>
  <c r="L758" i="17"/>
  <c r="K758" i="17"/>
  <c r="F758" i="17"/>
  <c r="I758" i="17" s="1"/>
  <c r="Q757" i="17"/>
  <c r="P757" i="17"/>
  <c r="L757" i="17"/>
  <c r="K757" i="17"/>
  <c r="F757" i="17"/>
  <c r="I757" i="17" s="1"/>
  <c r="P756" i="17"/>
  <c r="M756" i="17"/>
  <c r="L756" i="17"/>
  <c r="K756" i="17"/>
  <c r="Q756" i="17" s="1"/>
  <c r="J756" i="17"/>
  <c r="N756" i="17" s="1"/>
  <c r="I756" i="17"/>
  <c r="F756" i="17"/>
  <c r="P755" i="17"/>
  <c r="L755" i="17"/>
  <c r="J755" i="17" s="1"/>
  <c r="M755" i="17" s="1"/>
  <c r="K755" i="17"/>
  <c r="Q755" i="17" s="1"/>
  <c r="F755" i="17"/>
  <c r="I755" i="17" s="1"/>
  <c r="P754" i="17"/>
  <c r="L754" i="17"/>
  <c r="K754" i="17"/>
  <c r="F754" i="17"/>
  <c r="I754" i="17" s="1"/>
  <c r="Q753" i="17"/>
  <c r="P753" i="17"/>
  <c r="L753" i="17"/>
  <c r="K753" i="17"/>
  <c r="F753" i="17"/>
  <c r="I753" i="17" s="1"/>
  <c r="P752" i="17"/>
  <c r="L752" i="17"/>
  <c r="K752" i="17"/>
  <c r="Q752" i="17" s="1"/>
  <c r="I752" i="17"/>
  <c r="F752" i="17"/>
  <c r="P751" i="17"/>
  <c r="L751" i="17"/>
  <c r="K751" i="17"/>
  <c r="Q751" i="17" s="1"/>
  <c r="F751" i="17"/>
  <c r="I751" i="17" s="1"/>
  <c r="P750" i="17"/>
  <c r="L750" i="17"/>
  <c r="K750" i="17"/>
  <c r="I750" i="17"/>
  <c r="F750" i="17"/>
  <c r="Q749" i="17"/>
  <c r="P749" i="17"/>
  <c r="L749" i="17"/>
  <c r="K749" i="17"/>
  <c r="F749" i="17"/>
  <c r="I749" i="17" s="1"/>
  <c r="P748" i="17"/>
  <c r="L748" i="17"/>
  <c r="K748" i="17"/>
  <c r="Q748" i="17" s="1"/>
  <c r="I748" i="17"/>
  <c r="F748" i="17"/>
  <c r="Q747" i="17"/>
  <c r="P747" i="17"/>
  <c r="N747" i="17"/>
  <c r="L747" i="17"/>
  <c r="K747" i="17"/>
  <c r="J747" i="17"/>
  <c r="M747" i="17" s="1"/>
  <c r="F747" i="17"/>
  <c r="I747" i="17" s="1"/>
  <c r="P746" i="17"/>
  <c r="L746" i="17"/>
  <c r="K746" i="17"/>
  <c r="I746" i="17"/>
  <c r="F746" i="17"/>
  <c r="P745" i="17"/>
  <c r="L745" i="17"/>
  <c r="K745" i="17"/>
  <c r="Q745" i="17" s="1"/>
  <c r="F745" i="17"/>
  <c r="I745" i="17" s="1"/>
  <c r="P744" i="17"/>
  <c r="L744" i="17"/>
  <c r="K744" i="17"/>
  <c r="Q744" i="17" s="1"/>
  <c r="I744" i="17"/>
  <c r="F744" i="17"/>
  <c r="Q743" i="17"/>
  <c r="P743" i="17"/>
  <c r="N743" i="17"/>
  <c r="L743" i="17"/>
  <c r="K743" i="17"/>
  <c r="J743" i="17"/>
  <c r="M743" i="17" s="1"/>
  <c r="F743" i="17"/>
  <c r="I743" i="17" s="1"/>
  <c r="P742" i="17"/>
  <c r="L742" i="17"/>
  <c r="K742" i="17"/>
  <c r="I742" i="17"/>
  <c r="F742" i="17"/>
  <c r="Q741" i="17"/>
  <c r="P741" i="17"/>
  <c r="L741" i="17"/>
  <c r="K741" i="17"/>
  <c r="F741" i="17"/>
  <c r="I741" i="17" s="1"/>
  <c r="P740" i="17"/>
  <c r="L740" i="17"/>
  <c r="K740" i="17"/>
  <c r="Q740" i="17" s="1"/>
  <c r="F740" i="17"/>
  <c r="I740" i="17" s="1"/>
  <c r="Q739" i="17"/>
  <c r="P739" i="17"/>
  <c r="L739" i="17"/>
  <c r="K739" i="17"/>
  <c r="J739" i="17"/>
  <c r="M739" i="17" s="1"/>
  <c r="F739" i="17"/>
  <c r="I739" i="17" s="1"/>
  <c r="P738" i="17"/>
  <c r="L738" i="17"/>
  <c r="K738" i="17"/>
  <c r="I738" i="17"/>
  <c r="F738" i="17"/>
  <c r="Q737" i="17"/>
  <c r="P737" i="17"/>
  <c r="L737" i="17"/>
  <c r="K737" i="17"/>
  <c r="F737" i="17"/>
  <c r="I737" i="17" s="1"/>
  <c r="P736" i="17"/>
  <c r="L736" i="17"/>
  <c r="K736" i="17"/>
  <c r="Q736" i="17" s="1"/>
  <c r="I736" i="17"/>
  <c r="F736" i="17"/>
  <c r="Q735" i="17"/>
  <c r="P735" i="17"/>
  <c r="L735" i="17"/>
  <c r="K735" i="17"/>
  <c r="J735" i="17"/>
  <c r="M735" i="17" s="1"/>
  <c r="F735" i="17"/>
  <c r="I735" i="17" s="1"/>
  <c r="P734" i="17"/>
  <c r="L734" i="17"/>
  <c r="K734" i="17"/>
  <c r="F734" i="17"/>
  <c r="I734" i="17" s="1"/>
  <c r="Q733" i="17"/>
  <c r="P733" i="17"/>
  <c r="L733" i="17"/>
  <c r="K733" i="17"/>
  <c r="F733" i="17"/>
  <c r="I733" i="17" s="1"/>
  <c r="P732" i="17"/>
  <c r="L732" i="17"/>
  <c r="K732" i="17"/>
  <c r="Q732" i="17" s="1"/>
  <c r="I732" i="17"/>
  <c r="F732" i="17"/>
  <c r="P731" i="17"/>
  <c r="L731" i="17"/>
  <c r="K731" i="17"/>
  <c r="Q731" i="17" s="1"/>
  <c r="F731" i="17"/>
  <c r="E730" i="17"/>
  <c r="D730" i="17"/>
  <c r="H729" i="17"/>
  <c r="H730" i="17" s="1"/>
  <c r="G729" i="17"/>
  <c r="G730" i="17" s="1"/>
  <c r="P728" i="17"/>
  <c r="L728" i="17"/>
  <c r="K728" i="17"/>
  <c r="I728" i="17"/>
  <c r="F728" i="17"/>
  <c r="Q727" i="17"/>
  <c r="P727" i="17"/>
  <c r="L727" i="17"/>
  <c r="K727" i="17"/>
  <c r="F727" i="17"/>
  <c r="I727" i="17" s="1"/>
  <c r="P726" i="17"/>
  <c r="L726" i="17"/>
  <c r="K726" i="17"/>
  <c r="Q726" i="17" s="1"/>
  <c r="I726" i="17"/>
  <c r="F726" i="17"/>
  <c r="P725" i="17"/>
  <c r="L725" i="17"/>
  <c r="K725" i="17"/>
  <c r="F725" i="17"/>
  <c r="I725" i="17" s="1"/>
  <c r="P724" i="17"/>
  <c r="L724" i="17"/>
  <c r="K724" i="17"/>
  <c r="I724" i="17"/>
  <c r="F724" i="17"/>
  <c r="Q723" i="17"/>
  <c r="P723" i="17"/>
  <c r="L723" i="17"/>
  <c r="K723" i="17"/>
  <c r="F723" i="17"/>
  <c r="P722" i="17"/>
  <c r="L722" i="17"/>
  <c r="K722" i="17"/>
  <c r="I722" i="17"/>
  <c r="F722" i="17"/>
  <c r="E721" i="17"/>
  <c r="H720" i="17"/>
  <c r="G720" i="17"/>
  <c r="D720" i="17"/>
  <c r="D721" i="17" s="1"/>
  <c r="P719" i="17"/>
  <c r="L719" i="17"/>
  <c r="K719" i="17"/>
  <c r="I719" i="17"/>
  <c r="F719" i="17"/>
  <c r="Q718" i="17"/>
  <c r="P718" i="17"/>
  <c r="L718" i="17"/>
  <c r="K718" i="17"/>
  <c r="F718" i="17"/>
  <c r="I718" i="17" s="1"/>
  <c r="P717" i="17"/>
  <c r="L717" i="17"/>
  <c r="K717" i="17"/>
  <c r="Q717" i="17" s="1"/>
  <c r="F717" i="17"/>
  <c r="I717" i="17" s="1"/>
  <c r="Q716" i="17"/>
  <c r="P716" i="17"/>
  <c r="N716" i="17"/>
  <c r="L716" i="17"/>
  <c r="K716" i="17"/>
  <c r="J716" i="17"/>
  <c r="M716" i="17" s="1"/>
  <c r="F716" i="17"/>
  <c r="I716" i="17" s="1"/>
  <c r="P715" i="17"/>
  <c r="P720" i="17" s="1"/>
  <c r="L715" i="17"/>
  <c r="K715" i="17"/>
  <c r="I715" i="17"/>
  <c r="F715" i="17"/>
  <c r="Q714" i="17"/>
  <c r="P714" i="17"/>
  <c r="L714" i="17"/>
  <c r="K714" i="17"/>
  <c r="F714" i="17"/>
  <c r="I714" i="17" s="1"/>
  <c r="P713" i="17"/>
  <c r="L713" i="17"/>
  <c r="K713" i="17"/>
  <c r="Q713" i="17" s="1"/>
  <c r="I713" i="17"/>
  <c r="F713" i="17"/>
  <c r="H712" i="17"/>
  <c r="G712" i="17"/>
  <c r="G721" i="17" s="1"/>
  <c r="D712" i="17"/>
  <c r="Q711" i="17"/>
  <c r="P711" i="17"/>
  <c r="L711" i="17"/>
  <c r="K711" i="17"/>
  <c r="J711" i="17"/>
  <c r="M711" i="17" s="1"/>
  <c r="F711" i="17"/>
  <c r="I711" i="17" s="1"/>
  <c r="P710" i="17"/>
  <c r="L710" i="17"/>
  <c r="K710" i="17"/>
  <c r="F710" i="17"/>
  <c r="I710" i="17" s="1"/>
  <c r="Q709" i="17"/>
  <c r="P709" i="17"/>
  <c r="L709" i="17"/>
  <c r="J709" i="17" s="1"/>
  <c r="M709" i="17" s="1"/>
  <c r="K709" i="17"/>
  <c r="F709" i="17"/>
  <c r="I709" i="17" s="1"/>
  <c r="P708" i="17"/>
  <c r="L708" i="17"/>
  <c r="K708" i="17"/>
  <c r="I708" i="17"/>
  <c r="F708" i="17"/>
  <c r="Q707" i="17"/>
  <c r="P707" i="17"/>
  <c r="L707" i="17"/>
  <c r="K707" i="17"/>
  <c r="F707" i="17"/>
  <c r="I707" i="17" s="1"/>
  <c r="J1388" i="13"/>
  <c r="I1388" i="13"/>
  <c r="G1388" i="13"/>
  <c r="F1388" i="13"/>
  <c r="G1387" i="13"/>
  <c r="F1387" i="13"/>
  <c r="G1386" i="13"/>
  <c r="F1386" i="13"/>
  <c r="G1384" i="13"/>
  <c r="J1384" i="13" s="1"/>
  <c r="F1384" i="13"/>
  <c r="I1384" i="13" s="1"/>
  <c r="G1383" i="13"/>
  <c r="J1383" i="13" s="1"/>
  <c r="F1383" i="13"/>
  <c r="I1383" i="13" s="1"/>
  <c r="G1382" i="13"/>
  <c r="J1382" i="13" s="1"/>
  <c r="F1382" i="13"/>
  <c r="I1382" i="13" s="1"/>
  <c r="G1380" i="13"/>
  <c r="J1380" i="13" s="1"/>
  <c r="F1380" i="13"/>
  <c r="I1380" i="13" s="1"/>
  <c r="G1379" i="13"/>
  <c r="J1379" i="13" s="1"/>
  <c r="F1379" i="13"/>
  <c r="I1379" i="13" s="1"/>
  <c r="G1378" i="13"/>
  <c r="J1378" i="13" s="1"/>
  <c r="F1378" i="13"/>
  <c r="I1378" i="13" s="1"/>
  <c r="G1377" i="13"/>
  <c r="J1377" i="13" s="1"/>
  <c r="J1381" i="13" s="1"/>
  <c r="F1377" i="13"/>
  <c r="I1377" i="13" s="1"/>
  <c r="I1381" i="13" s="1"/>
  <c r="G1375" i="13"/>
  <c r="J1375" i="13" s="1"/>
  <c r="F1375" i="13"/>
  <c r="I1375" i="13" s="1"/>
  <c r="G1374" i="13"/>
  <c r="J1374" i="13" s="1"/>
  <c r="F1374" i="13"/>
  <c r="I1374" i="13" s="1"/>
  <c r="G1372" i="13"/>
  <c r="J1372" i="13" s="1"/>
  <c r="F1372" i="13"/>
  <c r="I1372" i="13" s="1"/>
  <c r="G1371" i="13"/>
  <c r="J1371" i="13" s="1"/>
  <c r="F1371" i="13"/>
  <c r="I1371" i="13" s="1"/>
  <c r="G1370" i="13"/>
  <c r="J1370" i="13" s="1"/>
  <c r="F1370" i="13"/>
  <c r="I1370" i="13" s="1"/>
  <c r="G1369" i="13"/>
  <c r="J1369" i="13" s="1"/>
  <c r="J1373" i="13" s="1"/>
  <c r="F1369" i="13"/>
  <c r="I1369" i="13" s="1"/>
  <c r="I1373" i="13" s="1"/>
  <c r="G1367" i="13"/>
  <c r="J1367" i="13" s="1"/>
  <c r="F1367" i="13"/>
  <c r="I1367" i="13" s="1"/>
  <c r="G1366" i="13"/>
  <c r="J1366" i="13" s="1"/>
  <c r="F1366" i="13"/>
  <c r="I1366" i="13" s="1"/>
  <c r="G1365" i="13"/>
  <c r="J1365" i="13" s="1"/>
  <c r="J1368" i="13" s="1"/>
  <c r="F1365" i="13"/>
  <c r="I1365" i="13" s="1"/>
  <c r="I1368" i="13" s="1"/>
  <c r="G1362" i="13"/>
  <c r="J1362" i="13" s="1"/>
  <c r="F1362" i="13"/>
  <c r="I1362" i="13" s="1"/>
  <c r="G1359" i="13"/>
  <c r="J1359" i="13" s="1"/>
  <c r="F1359" i="13"/>
  <c r="I1359" i="13" s="1"/>
  <c r="F1358" i="13"/>
  <c r="I1358" i="13" s="1"/>
  <c r="F1357" i="13"/>
  <c r="I1357" i="13" s="1"/>
  <c r="G1356" i="13"/>
  <c r="J1356" i="13" s="1"/>
  <c r="F1356" i="13"/>
  <c r="I1356" i="13" s="1"/>
  <c r="G1355" i="13"/>
  <c r="J1355" i="13" s="1"/>
  <c r="F1355" i="13"/>
  <c r="I1355" i="13" s="1"/>
  <c r="G1354" i="13"/>
  <c r="J1354" i="13" s="1"/>
  <c r="F1354" i="13"/>
  <c r="I1354" i="13" s="1"/>
  <c r="F1352" i="13"/>
  <c r="I1352" i="13" s="1"/>
  <c r="G1351" i="13"/>
  <c r="J1351" i="13" s="1"/>
  <c r="F1351" i="13"/>
  <c r="I1351" i="13" s="1"/>
  <c r="G1350" i="13"/>
  <c r="J1350" i="13" s="1"/>
  <c r="F1350" i="13"/>
  <c r="I1350" i="13" s="1"/>
  <c r="G1347" i="13"/>
  <c r="J1347" i="13" s="1"/>
  <c r="F1347" i="13"/>
  <c r="I1347" i="13" s="1"/>
  <c r="G1346" i="13"/>
  <c r="J1346" i="13" s="1"/>
  <c r="F1346" i="13"/>
  <c r="I1346" i="13" s="1"/>
  <c r="G1345" i="13"/>
  <c r="J1345" i="13" s="1"/>
  <c r="F1345" i="13"/>
  <c r="I1345" i="13" s="1"/>
  <c r="G1344" i="13"/>
  <c r="J1344" i="13" s="1"/>
  <c r="F1344" i="13"/>
  <c r="I1344" i="13" s="1"/>
  <c r="G1343" i="13"/>
  <c r="J1343" i="13" s="1"/>
  <c r="F1343" i="13"/>
  <c r="I1343" i="13" s="1"/>
  <c r="G1342" i="13"/>
  <c r="J1342" i="13" s="1"/>
  <c r="F1342" i="13"/>
  <c r="I1342" i="13" s="1"/>
  <c r="G1341" i="13"/>
  <c r="J1341" i="13" s="1"/>
  <c r="J1348" i="13" s="1"/>
  <c r="F1341" i="13"/>
  <c r="I1341" i="13" s="1"/>
  <c r="I1348" i="13" s="1"/>
  <c r="G1339" i="13"/>
  <c r="J1339" i="13" s="1"/>
  <c r="F1339" i="13"/>
  <c r="I1339" i="13" s="1"/>
  <c r="G1338" i="13"/>
  <c r="J1338" i="13" s="1"/>
  <c r="F1338" i="13"/>
  <c r="I1338" i="13" s="1"/>
  <c r="G1337" i="13"/>
  <c r="J1337" i="13" s="1"/>
  <c r="F1337" i="13"/>
  <c r="I1337" i="13" s="1"/>
  <c r="G1336" i="13"/>
  <c r="J1336" i="13" s="1"/>
  <c r="F1336" i="13"/>
  <c r="I1336" i="13" s="1"/>
  <c r="G1335" i="13"/>
  <c r="J1335" i="13" s="1"/>
  <c r="F1335" i="13"/>
  <c r="I1335" i="13" s="1"/>
  <c r="G1334" i="13"/>
  <c r="J1334" i="13" s="1"/>
  <c r="F1334" i="13"/>
  <c r="I1334" i="13" s="1"/>
  <c r="G1333" i="13"/>
  <c r="J1333" i="13" s="1"/>
  <c r="F1333" i="13"/>
  <c r="I1333" i="13" s="1"/>
  <c r="F1332" i="13"/>
  <c r="I1332" i="13" s="1"/>
  <c r="G1331" i="13"/>
  <c r="J1331" i="13" s="1"/>
  <c r="F1331" i="13"/>
  <c r="I1331" i="13" s="1"/>
  <c r="G1330" i="13"/>
  <c r="J1330" i="13" s="1"/>
  <c r="F1330" i="13"/>
  <c r="I1330" i="13" s="1"/>
  <c r="G1326" i="13"/>
  <c r="J1326" i="13" s="1"/>
  <c r="F1326" i="13"/>
  <c r="I1326" i="13" s="1"/>
  <c r="G1325" i="13"/>
  <c r="J1325" i="13" s="1"/>
  <c r="F1325" i="13"/>
  <c r="I1325" i="13" s="1"/>
  <c r="G1324" i="13"/>
  <c r="J1324" i="13" s="1"/>
  <c r="F1324" i="13"/>
  <c r="I1324" i="13" s="1"/>
  <c r="G1323" i="13"/>
  <c r="J1323" i="13" s="1"/>
  <c r="F1323" i="13"/>
  <c r="I1323" i="13" s="1"/>
  <c r="G1322" i="13"/>
  <c r="J1322" i="13" s="1"/>
  <c r="F1322" i="13"/>
  <c r="I1322" i="13" s="1"/>
  <c r="G1321" i="13"/>
  <c r="J1321" i="13" s="1"/>
  <c r="F1321" i="13"/>
  <c r="I1321" i="13" s="1"/>
  <c r="G1320" i="13"/>
  <c r="J1320" i="13" s="1"/>
  <c r="F1320" i="13"/>
  <c r="I1320" i="13" s="1"/>
  <c r="G1319" i="13"/>
  <c r="J1319" i="13" s="1"/>
  <c r="F1319" i="13"/>
  <c r="I1319" i="13" s="1"/>
  <c r="G1318" i="13"/>
  <c r="J1318" i="13" s="1"/>
  <c r="F1318" i="13"/>
  <c r="I1318" i="13" s="1"/>
  <c r="F1316" i="13"/>
  <c r="I1316" i="13" s="1"/>
  <c r="G1315" i="13"/>
  <c r="J1315" i="13" s="1"/>
  <c r="F1315" i="13"/>
  <c r="I1315" i="13" s="1"/>
  <c r="G1314" i="13"/>
  <c r="J1314" i="13" s="1"/>
  <c r="F1314" i="13"/>
  <c r="I1314" i="13" s="1"/>
  <c r="G1313" i="13"/>
  <c r="J1313" i="13" s="1"/>
  <c r="F1313" i="13"/>
  <c r="I1313" i="13" s="1"/>
  <c r="G1310" i="13"/>
  <c r="J1310" i="13" s="1"/>
  <c r="F1310" i="13"/>
  <c r="I1310" i="13" s="1"/>
  <c r="G1309" i="13"/>
  <c r="J1309" i="13" s="1"/>
  <c r="F1309" i="13"/>
  <c r="I1309" i="13" s="1"/>
  <c r="G1308" i="13"/>
  <c r="J1308" i="13" s="1"/>
  <c r="F1308" i="13"/>
  <c r="I1308" i="13" s="1"/>
  <c r="G1306" i="13"/>
  <c r="F1306" i="13"/>
  <c r="I1306" i="13" s="1"/>
  <c r="J1306" i="13" s="1"/>
  <c r="G1305" i="13"/>
  <c r="J1305" i="13" s="1"/>
  <c r="F1305" i="13"/>
  <c r="I1305" i="13" s="1"/>
  <c r="F1304" i="13"/>
  <c r="I1304" i="13" s="1"/>
  <c r="J1303" i="13"/>
  <c r="I1303" i="13"/>
  <c r="G1303" i="13"/>
  <c r="F1303" i="13"/>
  <c r="J1302" i="13"/>
  <c r="I1302" i="13"/>
  <c r="G1302" i="13"/>
  <c r="F1302" i="13"/>
  <c r="J1301" i="13"/>
  <c r="I1301" i="13"/>
  <c r="G1301" i="13"/>
  <c r="F1301" i="13"/>
  <c r="I1300" i="13"/>
  <c r="F1300" i="13"/>
  <c r="J1298" i="13"/>
  <c r="I1298" i="13"/>
  <c r="G1298" i="13"/>
  <c r="F1298" i="13"/>
  <c r="J1297" i="13"/>
  <c r="I1297" i="13"/>
  <c r="G1297" i="13"/>
  <c r="F1297" i="13"/>
  <c r="J1296" i="13"/>
  <c r="I1296" i="13"/>
  <c r="G1296" i="13"/>
  <c r="F1296" i="13"/>
  <c r="J1295" i="13"/>
  <c r="I1295" i="13"/>
  <c r="G1295" i="13"/>
  <c r="F1295" i="13"/>
  <c r="J1294" i="13"/>
  <c r="I1294" i="13"/>
  <c r="G1294" i="13"/>
  <c r="F1294" i="13"/>
  <c r="J1293" i="13"/>
  <c r="I1293" i="13"/>
  <c r="G1293" i="13"/>
  <c r="F1293" i="13"/>
  <c r="J1292" i="13"/>
  <c r="J1299" i="13" s="1"/>
  <c r="I1292" i="13"/>
  <c r="I1299" i="13" s="1"/>
  <c r="G1292" i="13"/>
  <c r="G1299" i="13" s="1"/>
  <c r="F1292" i="13"/>
  <c r="F1299" i="13" s="1"/>
  <c r="J1290" i="13"/>
  <c r="I1290" i="13"/>
  <c r="G1290" i="13"/>
  <c r="F1290" i="13"/>
  <c r="J1289" i="13"/>
  <c r="I1289" i="13"/>
  <c r="G1289" i="13"/>
  <c r="F1289" i="13"/>
  <c r="J1288" i="13"/>
  <c r="I1288" i="13"/>
  <c r="G1288" i="13"/>
  <c r="F1288" i="13"/>
  <c r="J1287" i="13"/>
  <c r="I1287" i="13"/>
  <c r="G1287" i="13"/>
  <c r="F1287" i="13"/>
  <c r="I1286" i="13"/>
  <c r="F1286" i="13"/>
  <c r="J1285" i="13"/>
  <c r="I1285" i="13"/>
  <c r="G1285" i="13"/>
  <c r="F1285" i="13"/>
  <c r="J1284" i="13"/>
  <c r="I1284" i="13"/>
  <c r="I1291" i="13" s="1"/>
  <c r="G1284" i="13"/>
  <c r="F1284" i="13"/>
  <c r="F1291" i="13" s="1"/>
  <c r="J1282" i="13"/>
  <c r="I1282" i="13"/>
  <c r="G1282" i="13"/>
  <c r="F1282" i="13"/>
  <c r="F1281" i="13"/>
  <c r="I1281" i="13" s="1"/>
  <c r="J1280" i="13"/>
  <c r="I1280" i="13"/>
  <c r="G1280" i="13"/>
  <c r="F1280" i="13"/>
  <c r="I1279" i="13"/>
  <c r="F1279" i="13"/>
  <c r="G1352" i="1"/>
  <c r="G1350" i="1"/>
  <c r="F1384" i="1"/>
  <c r="F1385" i="1" s="1"/>
  <c r="I1383" i="1"/>
  <c r="H1383" i="1"/>
  <c r="E1383" i="1"/>
  <c r="M1382" i="1"/>
  <c r="K1382" i="1" s="1"/>
  <c r="N1382" i="1" s="1"/>
  <c r="L1382" i="1"/>
  <c r="G1382" i="1"/>
  <c r="J1382" i="1" s="1"/>
  <c r="M1381" i="1"/>
  <c r="M1383" i="1" s="1"/>
  <c r="L1381" i="1"/>
  <c r="L1383" i="1" s="1"/>
  <c r="G1381" i="1"/>
  <c r="G1383" i="1" s="1"/>
  <c r="J1383" i="1" s="1"/>
  <c r="I1380" i="1"/>
  <c r="H1380" i="1"/>
  <c r="E1380" i="1"/>
  <c r="M1379" i="1"/>
  <c r="L1379" i="1"/>
  <c r="K1379" i="1" s="1"/>
  <c r="N1379" i="1" s="1"/>
  <c r="G1379" i="1"/>
  <c r="J1379" i="1" s="1"/>
  <c r="M1378" i="1"/>
  <c r="L1378" i="1"/>
  <c r="K1378" i="1" s="1"/>
  <c r="N1378" i="1" s="1"/>
  <c r="G1378" i="1"/>
  <c r="J1378" i="1" s="1"/>
  <c r="M1377" i="1"/>
  <c r="M1380" i="1" s="1"/>
  <c r="L1377" i="1"/>
  <c r="G1377" i="1"/>
  <c r="I1376" i="1"/>
  <c r="H1376" i="1"/>
  <c r="M1375" i="1"/>
  <c r="L1375" i="1"/>
  <c r="G1375" i="1"/>
  <c r="J1375" i="1" s="1"/>
  <c r="M1374" i="1"/>
  <c r="L1374" i="1"/>
  <c r="G1374" i="1"/>
  <c r="J1374" i="1" s="1"/>
  <c r="M1373" i="1"/>
  <c r="L1373" i="1"/>
  <c r="G1373" i="1"/>
  <c r="J1373" i="1" s="1"/>
  <c r="E1373" i="1"/>
  <c r="E1376" i="1" s="1"/>
  <c r="M1372" i="1"/>
  <c r="L1372" i="1"/>
  <c r="K1372" i="1" s="1"/>
  <c r="O1372" i="1" s="1"/>
  <c r="J1372" i="1"/>
  <c r="G1372" i="1"/>
  <c r="M1371" i="1"/>
  <c r="M1376" i="1" s="1"/>
  <c r="L1371" i="1"/>
  <c r="G1371" i="1"/>
  <c r="I1370" i="1"/>
  <c r="H1370" i="1"/>
  <c r="E1370" i="1"/>
  <c r="M1369" i="1"/>
  <c r="L1369" i="1"/>
  <c r="G1369" i="1"/>
  <c r="J1369" i="1" s="1"/>
  <c r="M1368" i="1"/>
  <c r="L1368" i="1"/>
  <c r="G1368" i="1"/>
  <c r="I1367" i="1"/>
  <c r="H1367" i="1"/>
  <c r="E1367" i="1"/>
  <c r="M1366" i="1"/>
  <c r="L1366" i="1"/>
  <c r="K1366" i="1" s="1"/>
  <c r="N1366" i="1" s="1"/>
  <c r="J1366" i="1"/>
  <c r="G1366" i="1"/>
  <c r="M1365" i="1"/>
  <c r="L1365" i="1"/>
  <c r="G1365" i="1"/>
  <c r="J1365" i="1" s="1"/>
  <c r="M1364" i="1"/>
  <c r="L1364" i="1"/>
  <c r="G1364" i="1"/>
  <c r="J1364" i="1" s="1"/>
  <c r="M1363" i="1"/>
  <c r="L1363" i="1"/>
  <c r="K1363" i="1"/>
  <c r="O1363" i="1" s="1"/>
  <c r="G1363" i="1"/>
  <c r="I1362" i="1"/>
  <c r="H1362" i="1"/>
  <c r="E1362" i="1"/>
  <c r="M1361" i="1"/>
  <c r="L1361" i="1"/>
  <c r="K1361" i="1" s="1"/>
  <c r="N1361" i="1" s="1"/>
  <c r="G1361" i="1"/>
  <c r="J1361" i="1" s="1"/>
  <c r="M1360" i="1"/>
  <c r="K1360" i="1" s="1"/>
  <c r="N1360" i="1" s="1"/>
  <c r="L1360" i="1"/>
  <c r="G1360" i="1"/>
  <c r="J1360" i="1" s="1"/>
  <c r="M1359" i="1"/>
  <c r="M1362" i="1" s="1"/>
  <c r="L1359" i="1"/>
  <c r="K1359" i="1" s="1"/>
  <c r="N1359" i="1" s="1"/>
  <c r="G1359" i="1"/>
  <c r="J1359" i="1" s="1"/>
  <c r="F1357" i="1"/>
  <c r="F1358" i="1" s="1"/>
  <c r="M1356" i="1"/>
  <c r="L1356" i="1"/>
  <c r="K1356" i="1" s="1"/>
  <c r="N1356" i="1" s="1"/>
  <c r="G1356" i="1"/>
  <c r="J1356" i="1" s="1"/>
  <c r="I1354" i="1"/>
  <c r="H1354" i="1"/>
  <c r="E1354" i="1"/>
  <c r="E1355" i="1" s="1"/>
  <c r="M1353" i="1"/>
  <c r="L1353" i="1"/>
  <c r="K1353" i="1" s="1"/>
  <c r="N1353" i="1" s="1"/>
  <c r="J1353" i="1"/>
  <c r="G1353" i="1"/>
  <c r="M1352" i="1"/>
  <c r="L1352" i="1"/>
  <c r="G1358" i="13" s="1"/>
  <c r="J1358" i="13" s="1"/>
  <c r="J1352" i="1"/>
  <c r="M1351" i="1"/>
  <c r="L1351" i="1"/>
  <c r="G1351" i="1"/>
  <c r="J1351" i="1" s="1"/>
  <c r="M1350" i="1"/>
  <c r="L1350" i="1"/>
  <c r="J1350" i="1"/>
  <c r="M1349" i="1"/>
  <c r="L1349" i="1"/>
  <c r="G1349" i="1"/>
  <c r="J1349" i="1" s="1"/>
  <c r="M1348" i="1"/>
  <c r="L1348" i="1"/>
  <c r="K1348" i="1" s="1"/>
  <c r="G1348" i="1"/>
  <c r="I1347" i="1"/>
  <c r="H1347" i="1"/>
  <c r="E1347" i="1"/>
  <c r="M1346" i="1"/>
  <c r="L1346" i="1"/>
  <c r="G1346" i="1"/>
  <c r="J1346" i="1" s="1"/>
  <c r="M1345" i="1"/>
  <c r="L1345" i="1"/>
  <c r="K1345" i="1" s="1"/>
  <c r="N1345" i="1" s="1"/>
  <c r="G1345" i="1"/>
  <c r="J1345" i="1" s="1"/>
  <c r="M1344" i="1"/>
  <c r="L1344" i="1"/>
  <c r="J1344" i="1"/>
  <c r="G1344" i="1"/>
  <c r="F1343" i="1"/>
  <c r="I1342" i="1"/>
  <c r="H1342" i="1"/>
  <c r="E1342" i="1"/>
  <c r="E1343" i="1" s="1"/>
  <c r="E1357" i="1" s="1"/>
  <c r="E1358" i="1" s="1"/>
  <c r="M1341" i="1"/>
  <c r="L1341" i="1"/>
  <c r="G1341" i="1"/>
  <c r="J1341" i="1" s="1"/>
  <c r="M1340" i="1"/>
  <c r="L1340" i="1"/>
  <c r="J1340" i="1"/>
  <c r="M1339" i="1"/>
  <c r="L1339" i="1"/>
  <c r="K1339" i="1" s="1"/>
  <c r="G1339" i="1"/>
  <c r="J1339" i="1" s="1"/>
  <c r="M1338" i="1"/>
  <c r="L1338" i="1"/>
  <c r="K1338" i="1" s="1"/>
  <c r="J1338" i="1"/>
  <c r="G1338" i="1"/>
  <c r="M1337" i="1"/>
  <c r="L1337" i="1"/>
  <c r="K1337" i="1"/>
  <c r="O1337" i="1" s="1"/>
  <c r="G1337" i="1"/>
  <c r="J1337" i="1" s="1"/>
  <c r="M1336" i="1"/>
  <c r="L1336" i="1"/>
  <c r="G1336" i="1"/>
  <c r="J1336" i="1" s="1"/>
  <c r="M1335" i="1"/>
  <c r="L1335" i="1"/>
  <c r="G1335" i="1"/>
  <c r="I1334" i="1"/>
  <c r="H1334" i="1"/>
  <c r="E1334" i="1"/>
  <c r="M1333" i="1"/>
  <c r="L1333" i="1"/>
  <c r="K1333" i="1" s="1"/>
  <c r="N1333" i="1" s="1"/>
  <c r="G1333" i="1"/>
  <c r="J1333" i="1" s="1"/>
  <c r="M1332" i="1"/>
  <c r="L1332" i="1"/>
  <c r="G1332" i="1"/>
  <c r="J1332" i="1" s="1"/>
  <c r="M1331" i="1"/>
  <c r="K1331" i="1" s="1"/>
  <c r="L1331" i="1"/>
  <c r="G1331" i="1"/>
  <c r="J1331" i="1" s="1"/>
  <c r="M1330" i="1"/>
  <c r="L1330" i="1"/>
  <c r="G1330" i="1"/>
  <c r="J1330" i="1" s="1"/>
  <c r="M1329" i="1"/>
  <c r="L1329" i="1"/>
  <c r="K1329" i="1" s="1"/>
  <c r="N1329" i="1" s="1"/>
  <c r="G1329" i="1"/>
  <c r="J1329" i="1" s="1"/>
  <c r="M1328" i="1"/>
  <c r="L1328" i="1"/>
  <c r="K1328" i="1" s="1"/>
  <c r="N1328" i="1" s="1"/>
  <c r="G1328" i="1"/>
  <c r="J1328" i="1" s="1"/>
  <c r="M1327" i="1"/>
  <c r="K1327" i="1" s="1"/>
  <c r="O1327" i="1" s="1"/>
  <c r="L1327" i="1"/>
  <c r="G1327" i="1"/>
  <c r="J1327" i="1" s="1"/>
  <c r="M1326" i="1"/>
  <c r="L1326" i="1"/>
  <c r="G1332" i="13" s="1"/>
  <c r="J1332" i="13" s="1"/>
  <c r="G1326" i="1"/>
  <c r="J1326" i="1" s="1"/>
  <c r="M1325" i="1"/>
  <c r="L1325" i="1"/>
  <c r="K1325" i="1" s="1"/>
  <c r="N1325" i="1" s="1"/>
  <c r="G1325" i="1"/>
  <c r="J1325" i="1" s="1"/>
  <c r="M1324" i="1"/>
  <c r="L1324" i="1"/>
  <c r="G1324" i="1"/>
  <c r="J1324" i="1" s="1"/>
  <c r="F1322" i="1"/>
  <c r="E1322" i="1"/>
  <c r="M1321" i="1"/>
  <c r="I1321" i="1"/>
  <c r="H1321" i="1"/>
  <c r="L1321" i="1" s="1"/>
  <c r="E1321" i="1"/>
  <c r="M1320" i="1"/>
  <c r="L1320" i="1"/>
  <c r="G1320" i="1"/>
  <c r="J1320" i="1" s="1"/>
  <c r="M1319" i="1"/>
  <c r="L1319" i="1"/>
  <c r="J1319" i="1"/>
  <c r="G1319" i="1"/>
  <c r="M1318" i="1"/>
  <c r="L1318" i="1"/>
  <c r="G1318" i="1"/>
  <c r="J1318" i="1" s="1"/>
  <c r="M1317" i="1"/>
  <c r="L1317" i="1"/>
  <c r="K1317" i="1"/>
  <c r="N1317" i="1" s="1"/>
  <c r="G1317" i="1"/>
  <c r="J1317" i="1" s="1"/>
  <c r="M1316" i="1"/>
  <c r="L1316" i="1"/>
  <c r="K1316" i="1"/>
  <c r="O1316" i="1" s="1"/>
  <c r="G1316" i="1"/>
  <c r="J1316" i="1" s="1"/>
  <c r="M1315" i="1"/>
  <c r="L1315" i="1"/>
  <c r="G1315" i="1"/>
  <c r="J1315" i="1" s="1"/>
  <c r="M1314" i="1"/>
  <c r="L1314" i="1"/>
  <c r="G1314" i="1"/>
  <c r="J1314" i="1" s="1"/>
  <c r="M1313" i="1"/>
  <c r="L1313" i="1"/>
  <c r="K1313" i="1"/>
  <c r="N1313" i="1" s="1"/>
  <c r="G1313" i="1"/>
  <c r="J1313" i="1" s="1"/>
  <c r="M1312" i="1"/>
  <c r="L1312" i="1"/>
  <c r="J1312" i="1"/>
  <c r="G1312" i="1"/>
  <c r="I1311" i="1"/>
  <c r="I1322" i="1" s="1"/>
  <c r="H1311" i="1"/>
  <c r="E1311" i="1"/>
  <c r="M1310" i="1"/>
  <c r="L1310" i="1"/>
  <c r="G1310" i="1"/>
  <c r="J1310" i="1" s="1"/>
  <c r="M1309" i="1"/>
  <c r="L1309" i="1"/>
  <c r="K1309" i="1"/>
  <c r="N1309" i="1" s="1"/>
  <c r="J1309" i="1"/>
  <c r="G1309" i="1"/>
  <c r="M1308" i="1"/>
  <c r="L1308" i="1"/>
  <c r="G1308" i="1"/>
  <c r="J1308" i="1" s="1"/>
  <c r="M1307" i="1"/>
  <c r="L1307" i="1"/>
  <c r="G1307" i="1"/>
  <c r="I1305" i="1"/>
  <c r="H1305" i="1"/>
  <c r="E1305" i="1"/>
  <c r="M1304" i="1"/>
  <c r="L1304" i="1"/>
  <c r="G1304" i="1"/>
  <c r="J1304" i="1" s="1"/>
  <c r="M1303" i="1"/>
  <c r="L1303" i="1"/>
  <c r="K1303" i="1" s="1"/>
  <c r="G1303" i="1"/>
  <c r="J1303" i="1" s="1"/>
  <c r="M1302" i="1"/>
  <c r="L1302" i="1"/>
  <c r="K1302" i="1"/>
  <c r="N1302" i="1" s="1"/>
  <c r="G1302" i="1"/>
  <c r="J1302" i="1" s="1"/>
  <c r="I1301" i="1"/>
  <c r="F1301" i="1"/>
  <c r="F1306" i="1" s="1"/>
  <c r="F1323" i="1" s="1"/>
  <c r="F1386" i="1" s="1"/>
  <c r="E1301" i="1"/>
  <c r="M1300" i="1"/>
  <c r="L1300" i="1"/>
  <c r="G1300" i="1"/>
  <c r="J1300" i="1" s="1"/>
  <c r="M1299" i="1"/>
  <c r="L1299" i="1"/>
  <c r="K1299" i="1"/>
  <c r="N1299" i="1" s="1"/>
  <c r="G1299" i="1"/>
  <c r="J1299" i="1" s="1"/>
  <c r="M1298" i="1"/>
  <c r="L1298" i="1"/>
  <c r="G1304" i="13" s="1"/>
  <c r="J1304" i="13" s="1"/>
  <c r="G1298" i="1"/>
  <c r="J1298" i="1" s="1"/>
  <c r="M1297" i="1"/>
  <c r="L1297" i="1"/>
  <c r="H1301" i="1"/>
  <c r="G1297" i="1"/>
  <c r="J1297" i="1" s="1"/>
  <c r="M1296" i="1"/>
  <c r="L1296" i="1"/>
  <c r="K1296" i="1" s="1"/>
  <c r="G1296" i="1"/>
  <c r="J1296" i="1" s="1"/>
  <c r="M1295" i="1"/>
  <c r="K1295" i="1" s="1"/>
  <c r="L1295" i="1"/>
  <c r="G1295" i="1"/>
  <c r="J1295" i="1" s="1"/>
  <c r="M1294" i="1"/>
  <c r="L1294" i="1"/>
  <c r="L1301" i="1" s="1"/>
  <c r="G1294" i="1"/>
  <c r="J1294" i="1" s="1"/>
  <c r="I1293" i="1"/>
  <c r="H1293" i="1"/>
  <c r="E1293" i="1"/>
  <c r="M1292" i="1"/>
  <c r="K1292" i="1" s="1"/>
  <c r="N1292" i="1" s="1"/>
  <c r="L1292" i="1"/>
  <c r="J1292" i="1"/>
  <c r="G1292" i="1"/>
  <c r="M1291" i="1"/>
  <c r="L1291" i="1"/>
  <c r="G1291" i="1"/>
  <c r="J1291" i="1" s="1"/>
  <c r="M1290" i="1"/>
  <c r="L1290" i="1"/>
  <c r="G1290" i="1"/>
  <c r="J1290" i="1" s="1"/>
  <c r="M1289" i="1"/>
  <c r="L1289" i="1"/>
  <c r="G1289" i="1"/>
  <c r="J1289" i="1" s="1"/>
  <c r="M1288" i="1"/>
  <c r="L1288" i="1"/>
  <c r="L1293" i="1" s="1"/>
  <c r="G1288" i="1"/>
  <c r="J1288" i="1" s="1"/>
  <c r="M1287" i="1"/>
  <c r="L1287" i="1"/>
  <c r="G1287" i="1"/>
  <c r="J1287" i="1" s="1"/>
  <c r="M1286" i="1"/>
  <c r="L1286" i="1"/>
  <c r="G1286" i="1"/>
  <c r="I1285" i="1"/>
  <c r="H1285" i="1"/>
  <c r="E1285" i="1"/>
  <c r="M1284" i="1"/>
  <c r="L1284" i="1"/>
  <c r="G1284" i="1"/>
  <c r="J1284" i="1" s="1"/>
  <c r="M1283" i="1"/>
  <c r="L1283" i="1"/>
  <c r="G1283" i="1"/>
  <c r="J1283" i="1" s="1"/>
  <c r="M1282" i="1"/>
  <c r="L1282" i="1"/>
  <c r="K1282" i="1" s="1"/>
  <c r="N1282" i="1" s="1"/>
  <c r="G1282" i="1"/>
  <c r="J1282" i="1" s="1"/>
  <c r="M1281" i="1"/>
  <c r="L1281" i="1"/>
  <c r="K1281" i="1"/>
  <c r="N1281" i="1" s="1"/>
  <c r="G1281" i="1"/>
  <c r="J1281" i="1" s="1"/>
  <c r="M1280" i="1"/>
  <c r="L1280" i="1"/>
  <c r="K1280" i="1" s="1"/>
  <c r="G1280" i="1"/>
  <c r="J1280" i="1" s="1"/>
  <c r="M1279" i="1"/>
  <c r="L1279" i="1"/>
  <c r="G1279" i="1"/>
  <c r="J1279" i="1" s="1"/>
  <c r="M1278" i="1"/>
  <c r="L1278" i="1"/>
  <c r="K1278" i="1" s="1"/>
  <c r="G1278" i="1"/>
  <c r="I1277" i="1"/>
  <c r="H1277" i="1"/>
  <c r="E1277" i="1"/>
  <c r="M1276" i="1"/>
  <c r="L1276" i="1"/>
  <c r="G1276" i="1"/>
  <c r="M1275" i="1"/>
  <c r="L1275" i="1"/>
  <c r="G1275" i="1"/>
  <c r="J1275" i="1" s="1"/>
  <c r="M1274" i="1"/>
  <c r="L1274" i="1"/>
  <c r="K1274" i="1"/>
  <c r="G1274" i="1"/>
  <c r="J1274" i="1" s="1"/>
  <c r="M1273" i="1"/>
  <c r="L1273" i="1"/>
  <c r="G1273" i="1"/>
  <c r="J1273" i="1" s="1"/>
  <c r="K712" i="17" l="1"/>
  <c r="G180" i="15" s="1"/>
  <c r="L712" i="17"/>
  <c r="J707" i="17"/>
  <c r="M707" i="17" s="1"/>
  <c r="K1310" i="1"/>
  <c r="G1316" i="13"/>
  <c r="J1316" i="13" s="1"/>
  <c r="J1317" i="13" s="1"/>
  <c r="I1317" i="13"/>
  <c r="I1328" i="13" s="1"/>
  <c r="J1291" i="13"/>
  <c r="G1291" i="13"/>
  <c r="G1286" i="13"/>
  <c r="J1286" i="13" s="1"/>
  <c r="Q14" i="14"/>
  <c r="S14" i="14" s="1"/>
  <c r="T14" i="14" s="1"/>
  <c r="K1273" i="1"/>
  <c r="G1279" i="13"/>
  <c r="J1279" i="13" s="1"/>
  <c r="K1275" i="1"/>
  <c r="N1275" i="1" s="1"/>
  <c r="O1275" i="1"/>
  <c r="I1283" i="13"/>
  <c r="F1283" i="13"/>
  <c r="G1281" i="13"/>
  <c r="J1281" i="13" s="1"/>
  <c r="G1300" i="13"/>
  <c r="J1300" i="13" s="1"/>
  <c r="I1307" i="13"/>
  <c r="K1351" i="1"/>
  <c r="K1346" i="1"/>
  <c r="N1346" i="1" s="1"/>
  <c r="G1357" i="13"/>
  <c r="J1357" i="13" s="1"/>
  <c r="G1347" i="1"/>
  <c r="J1347" i="1" s="1"/>
  <c r="G1352" i="13"/>
  <c r="J1352" i="13" s="1"/>
  <c r="R17" i="14"/>
  <c r="Q17" i="14"/>
  <c r="P17" i="14"/>
  <c r="R16" i="14"/>
  <c r="Q16" i="14"/>
  <c r="S16" i="14" s="1"/>
  <c r="P16" i="14"/>
  <c r="P26" i="14"/>
  <c r="R26" i="14"/>
  <c r="Q26" i="14"/>
  <c r="S26" i="14" s="1"/>
  <c r="S19" i="14"/>
  <c r="T19" i="14" s="1"/>
  <c r="P27" i="14"/>
  <c r="R27" i="14"/>
  <c r="Q27" i="14"/>
  <c r="S27" i="14" s="1"/>
  <c r="P29" i="14"/>
  <c r="R29" i="14"/>
  <c r="Q29" i="14"/>
  <c r="R18" i="14"/>
  <c r="Q18" i="14"/>
  <c r="P18" i="14"/>
  <c r="R15" i="14"/>
  <c r="Q15" i="14"/>
  <c r="P15" i="14"/>
  <c r="P25" i="14"/>
  <c r="R25" i="14"/>
  <c r="Q25" i="14"/>
  <c r="N22" i="14"/>
  <c r="R20" i="14"/>
  <c r="Q20" i="14"/>
  <c r="P20" i="14"/>
  <c r="N21" i="14"/>
  <c r="P28" i="14"/>
  <c r="R28" i="14"/>
  <c r="Q28" i="14"/>
  <c r="S28" i="14" s="1"/>
  <c r="P23" i="14"/>
  <c r="Q23" i="14"/>
  <c r="R23" i="14"/>
  <c r="P24" i="14"/>
  <c r="R24" i="14"/>
  <c r="Q24" i="14"/>
  <c r="N755" i="17"/>
  <c r="F763" i="17"/>
  <c r="I763" i="17" s="1"/>
  <c r="C190" i="15"/>
  <c r="F1175" i="16"/>
  <c r="H1175" i="16"/>
  <c r="I1111" i="16"/>
  <c r="F1104" i="16"/>
  <c r="E1118" i="16"/>
  <c r="E1178" i="16" s="1"/>
  <c r="H1104" i="16"/>
  <c r="H1118" i="16" s="1"/>
  <c r="I1148" i="16"/>
  <c r="F1116" i="16"/>
  <c r="F1118" i="16" s="1"/>
  <c r="I1149" i="16"/>
  <c r="I1175" i="16" s="1"/>
  <c r="J187" i="15" s="1"/>
  <c r="J189" i="15" s="1"/>
  <c r="I1090" i="16"/>
  <c r="I1104" i="16" s="1"/>
  <c r="J751" i="17"/>
  <c r="M751" i="17" s="1"/>
  <c r="P763" i="17"/>
  <c r="P764" i="17" s="1"/>
  <c r="J731" i="17"/>
  <c r="N731" i="17" s="1"/>
  <c r="L729" i="17"/>
  <c r="L730" i="17" s="1"/>
  <c r="J725" i="17"/>
  <c r="N725" i="17" s="1"/>
  <c r="M725" i="17"/>
  <c r="Q725" i="17"/>
  <c r="H721" i="17"/>
  <c r="H765" i="17" s="1"/>
  <c r="F720" i="17"/>
  <c r="I720" i="17" s="1"/>
  <c r="P712" i="17"/>
  <c r="P721" i="17" s="1"/>
  <c r="J710" i="17"/>
  <c r="M710" i="17" s="1"/>
  <c r="Q710" i="17"/>
  <c r="J714" i="17"/>
  <c r="M714" i="17" s="1"/>
  <c r="J715" i="17"/>
  <c r="M715" i="17" s="1"/>
  <c r="Q715" i="17"/>
  <c r="P729" i="17"/>
  <c r="P730" i="17" s="1"/>
  <c r="J724" i="17"/>
  <c r="M724" i="17" s="1"/>
  <c r="Q724" i="17"/>
  <c r="N741" i="17"/>
  <c r="J741" i="17"/>
  <c r="M741" i="17" s="1"/>
  <c r="J746" i="17"/>
  <c r="M746" i="17" s="1"/>
  <c r="Q746" i="17"/>
  <c r="N750" i="17"/>
  <c r="N753" i="17"/>
  <c r="J753" i="17"/>
  <c r="M753" i="17" s="1"/>
  <c r="J754" i="17"/>
  <c r="M754" i="17" s="1"/>
  <c r="Q754" i="17"/>
  <c r="N761" i="17"/>
  <c r="J762" i="17"/>
  <c r="M762" i="17" s="1"/>
  <c r="Q762" i="17"/>
  <c r="G765" i="17"/>
  <c r="J719" i="17"/>
  <c r="M719" i="17" s="1"/>
  <c r="Q719" i="17"/>
  <c r="J723" i="17"/>
  <c r="M723" i="17" s="1"/>
  <c r="J734" i="17"/>
  <c r="M734" i="17" s="1"/>
  <c r="Q734" i="17"/>
  <c r="J745" i="17"/>
  <c r="M745" i="17" s="1"/>
  <c r="J750" i="17"/>
  <c r="M750" i="17" s="1"/>
  <c r="Q750" i="17"/>
  <c r="N707" i="17"/>
  <c r="Q720" i="17"/>
  <c r="H181" i="15" s="1"/>
  <c r="N715" i="17"/>
  <c r="K720" i="17"/>
  <c r="G181" i="15" s="1"/>
  <c r="K729" i="17"/>
  <c r="K730" i="17" s="1"/>
  <c r="G184" i="15" s="1"/>
  <c r="G186" i="15" s="1"/>
  <c r="F729" i="17"/>
  <c r="I729" i="17" s="1"/>
  <c r="I723" i="17"/>
  <c r="N724" i="17"/>
  <c r="N732" i="17"/>
  <c r="N737" i="17"/>
  <c r="J737" i="17"/>
  <c r="M737" i="17" s="1"/>
  <c r="N739" i="17"/>
  <c r="J742" i="17"/>
  <c r="M742" i="17" s="1"/>
  <c r="Q742" i="17"/>
  <c r="N746" i="17"/>
  <c r="N754" i="17"/>
  <c r="N759" i="17"/>
  <c r="N762" i="17"/>
  <c r="F764" i="17"/>
  <c r="K721" i="17"/>
  <c r="J728" i="17"/>
  <c r="M728" i="17" s="1"/>
  <c r="Q728" i="17"/>
  <c r="Q708" i="17"/>
  <c r="Q712" i="17" s="1"/>
  <c r="J708" i="17"/>
  <c r="N709" i="17"/>
  <c r="N711" i="17"/>
  <c r="F712" i="17"/>
  <c r="L720" i="17"/>
  <c r="L721" i="17" s="1"/>
  <c r="J718" i="17"/>
  <c r="M718" i="17" s="1"/>
  <c r="J727" i="17"/>
  <c r="M727" i="17" s="1"/>
  <c r="L763" i="17"/>
  <c r="N733" i="17"/>
  <c r="J733" i="17"/>
  <c r="M733" i="17" s="1"/>
  <c r="N735" i="17"/>
  <c r="J738" i="17"/>
  <c r="M738" i="17" s="1"/>
  <c r="Q738" i="17"/>
  <c r="N744" i="17"/>
  <c r="N749" i="17"/>
  <c r="J749" i="17"/>
  <c r="M749" i="17" s="1"/>
  <c r="N757" i="17"/>
  <c r="J757" i="17"/>
  <c r="M757" i="17" s="1"/>
  <c r="J758" i="17"/>
  <c r="M758" i="17" s="1"/>
  <c r="Q758" i="17"/>
  <c r="K763" i="17"/>
  <c r="K764" i="17" s="1"/>
  <c r="G187" i="15" s="1"/>
  <c r="G189" i="15" s="1"/>
  <c r="J713" i="17"/>
  <c r="N713" i="17" s="1"/>
  <c r="J717" i="17"/>
  <c r="M717" i="17" s="1"/>
  <c r="J722" i="17"/>
  <c r="J726" i="17"/>
  <c r="N726" i="17" s="1"/>
  <c r="J732" i="17"/>
  <c r="M732" i="17" s="1"/>
  <c r="J736" i="17"/>
  <c r="M736" i="17" s="1"/>
  <c r="J740" i="17"/>
  <c r="M740" i="17" s="1"/>
  <c r="J744" i="17"/>
  <c r="M744" i="17" s="1"/>
  <c r="J748" i="17"/>
  <c r="J752" i="17"/>
  <c r="Q722" i="17"/>
  <c r="I731" i="17"/>
  <c r="F1311" i="13"/>
  <c r="F1327" i="13"/>
  <c r="F1381" i="13"/>
  <c r="F1385" i="13"/>
  <c r="I1311" i="13"/>
  <c r="I1327" i="13"/>
  <c r="I1340" i="13"/>
  <c r="I1349" i="13" s="1"/>
  <c r="F1340" i="13"/>
  <c r="F1349" i="13" s="1"/>
  <c r="F1348" i="13"/>
  <c r="I1353" i="13"/>
  <c r="I1360" i="13"/>
  <c r="F1360" i="13"/>
  <c r="F1368" i="13"/>
  <c r="I1376" i="13"/>
  <c r="I1389" i="13" s="1"/>
  <c r="I1390" i="13" s="1"/>
  <c r="F1376" i="13"/>
  <c r="I1385" i="13"/>
  <c r="F1307" i="13"/>
  <c r="F1317" i="13"/>
  <c r="F1328" i="13" s="1"/>
  <c r="F1353" i="13"/>
  <c r="F1361" i="13" s="1"/>
  <c r="F1373" i="13"/>
  <c r="J1307" i="13"/>
  <c r="G1307" i="13"/>
  <c r="G1311" i="13"/>
  <c r="G1317" i="13"/>
  <c r="G1327" i="13"/>
  <c r="G1353" i="13"/>
  <c r="G1373" i="13"/>
  <c r="G1381" i="13"/>
  <c r="G1385" i="13"/>
  <c r="J1311" i="13"/>
  <c r="J1327" i="13"/>
  <c r="J1340" i="13"/>
  <c r="J1349" i="13" s="1"/>
  <c r="G1340" i="13"/>
  <c r="G1348" i="13"/>
  <c r="J1353" i="13"/>
  <c r="J1360" i="13"/>
  <c r="G1360" i="13"/>
  <c r="G1368" i="13"/>
  <c r="J1376" i="13"/>
  <c r="J1389" i="13" s="1"/>
  <c r="J1390" i="13" s="1"/>
  <c r="I187" i="15" s="1"/>
  <c r="I189" i="15" s="1"/>
  <c r="G1376" i="13"/>
  <c r="J1385" i="13"/>
  <c r="J1381" i="1"/>
  <c r="L1380" i="1"/>
  <c r="K1374" i="1"/>
  <c r="N1374" i="1" s="1"/>
  <c r="K1375" i="1"/>
  <c r="N1375" i="1" s="1"/>
  <c r="K1373" i="1"/>
  <c r="M1370" i="1"/>
  <c r="K1369" i="1"/>
  <c r="O1369" i="1" s="1"/>
  <c r="K1365" i="1"/>
  <c r="N1365" i="1" s="1"/>
  <c r="K1364" i="1"/>
  <c r="N1364" i="1" s="1"/>
  <c r="O1364" i="1"/>
  <c r="I1384" i="1"/>
  <c r="I1385" i="1" s="1"/>
  <c r="O1361" i="1"/>
  <c r="O1356" i="1"/>
  <c r="K1350" i="1"/>
  <c r="I1355" i="1"/>
  <c r="K1352" i="1"/>
  <c r="N1352" i="1" s="1"/>
  <c r="H1355" i="1"/>
  <c r="L1347" i="1"/>
  <c r="K1344" i="1"/>
  <c r="K1347" i="1" s="1"/>
  <c r="N1347" i="1" s="1"/>
  <c r="K1341" i="1"/>
  <c r="M1342" i="1"/>
  <c r="L1342" i="1"/>
  <c r="O1331" i="1"/>
  <c r="N1331" i="1"/>
  <c r="N1327" i="1"/>
  <c r="I1343" i="1"/>
  <c r="G1334" i="1"/>
  <c r="K1314" i="1"/>
  <c r="N1314" i="1" s="1"/>
  <c r="K1318" i="1"/>
  <c r="N1318" i="1" s="1"/>
  <c r="K1320" i="1"/>
  <c r="N1320" i="1" s="1"/>
  <c r="O1320" i="1"/>
  <c r="G1321" i="1"/>
  <c r="N1316" i="1"/>
  <c r="K1312" i="1"/>
  <c r="N1312" i="1" s="1"/>
  <c r="K1284" i="1"/>
  <c r="O1284" i="1"/>
  <c r="N1284" i="1"/>
  <c r="O1295" i="1"/>
  <c r="N1295" i="1"/>
  <c r="O1299" i="1"/>
  <c r="K1289" i="1"/>
  <c r="N1289" i="1" s="1"/>
  <c r="K1287" i="1"/>
  <c r="M1293" i="1"/>
  <c r="K1288" i="1"/>
  <c r="O1288" i="1" s="1"/>
  <c r="O1287" i="1"/>
  <c r="N1287" i="1"/>
  <c r="G1293" i="1"/>
  <c r="J1293" i="1" s="1"/>
  <c r="H1306" i="1"/>
  <c r="M1301" i="1"/>
  <c r="K1297" i="1"/>
  <c r="N1297" i="1"/>
  <c r="O1297" i="1"/>
  <c r="O1280" i="1"/>
  <c r="N1280" i="1"/>
  <c r="G1285" i="1"/>
  <c r="J1285" i="1" s="1"/>
  <c r="M1277" i="1"/>
  <c r="G1277" i="1"/>
  <c r="J1277" i="1" s="1"/>
  <c r="O1273" i="1"/>
  <c r="N1273" i="1"/>
  <c r="L1277" i="1"/>
  <c r="O1279" i="1"/>
  <c r="O1278" i="1"/>
  <c r="O1282" i="1"/>
  <c r="O1289" i="1"/>
  <c r="N1303" i="1"/>
  <c r="O1303" i="1"/>
  <c r="N1310" i="1"/>
  <c r="O1310" i="1"/>
  <c r="K1277" i="1"/>
  <c r="N1296" i="1"/>
  <c r="O1296" i="1"/>
  <c r="N1278" i="1"/>
  <c r="O1274" i="1"/>
  <c r="O1281" i="1"/>
  <c r="L1285" i="1"/>
  <c r="J1276" i="1"/>
  <c r="J1286" i="1"/>
  <c r="O1309" i="1"/>
  <c r="I1306" i="1"/>
  <c r="I1323" i="1" s="1"/>
  <c r="J1278" i="1"/>
  <c r="K1279" i="1"/>
  <c r="N1279" i="1" s="1"/>
  <c r="K1283" i="1"/>
  <c r="N1283" i="1" s="1"/>
  <c r="K1286" i="1"/>
  <c r="O1286" i="1"/>
  <c r="K1290" i="1"/>
  <c r="N1290" i="1" s="1"/>
  <c r="K1294" i="1"/>
  <c r="O1294" i="1" s="1"/>
  <c r="K1298" i="1"/>
  <c r="N1298" i="1" s="1"/>
  <c r="L1305" i="1"/>
  <c r="K1324" i="1"/>
  <c r="L1334" i="1"/>
  <c r="L1343" i="1" s="1"/>
  <c r="O1328" i="1"/>
  <c r="K1330" i="1"/>
  <c r="N1330" i="1" s="1"/>
  <c r="N1339" i="1"/>
  <c r="O1339" i="1"/>
  <c r="O1345" i="1"/>
  <c r="N1351" i="1"/>
  <c r="O1351" i="1"/>
  <c r="M1285" i="1"/>
  <c r="O1292" i="1"/>
  <c r="O1302" i="1"/>
  <c r="K1276" i="1"/>
  <c r="N1276" i="1" s="1"/>
  <c r="N1274" i="1"/>
  <c r="E1306" i="1"/>
  <c r="E1323" i="1" s="1"/>
  <c r="G1301" i="1"/>
  <c r="J1301" i="1" s="1"/>
  <c r="K1300" i="1"/>
  <c r="N1300" i="1" s="1"/>
  <c r="M1305" i="1"/>
  <c r="G1305" i="1"/>
  <c r="J1305" i="1" s="1"/>
  <c r="G1311" i="1"/>
  <c r="J1307" i="1"/>
  <c r="M1311" i="1"/>
  <c r="O1312" i="1"/>
  <c r="O1314" i="1"/>
  <c r="K1315" i="1"/>
  <c r="N1315" i="1" s="1"/>
  <c r="O1318" i="1"/>
  <c r="K1319" i="1"/>
  <c r="N1319" i="1" s="1"/>
  <c r="M1334" i="1"/>
  <c r="O1324" i="1"/>
  <c r="K1326" i="1"/>
  <c r="N1326" i="1" s="1"/>
  <c r="O1338" i="1"/>
  <c r="N1338" i="1"/>
  <c r="O1350" i="1"/>
  <c r="N1350" i="1"/>
  <c r="K1291" i="1"/>
  <c r="N1291" i="1" s="1"/>
  <c r="K1304" i="1"/>
  <c r="N1304" i="1" s="1"/>
  <c r="L1311" i="1"/>
  <c r="L1322" i="1" s="1"/>
  <c r="K1307" i="1"/>
  <c r="O1307" i="1" s="1"/>
  <c r="H1322" i="1"/>
  <c r="O1313" i="1"/>
  <c r="O1317" i="1"/>
  <c r="J1334" i="1"/>
  <c r="K1332" i="1"/>
  <c r="N1332" i="1" s="1"/>
  <c r="N1348" i="1"/>
  <c r="O1348" i="1"/>
  <c r="O1308" i="1"/>
  <c r="K1308" i="1"/>
  <c r="N1308" i="1" s="1"/>
  <c r="N1341" i="1"/>
  <c r="O1341" i="1"/>
  <c r="O1325" i="1"/>
  <c r="O1329" i="1"/>
  <c r="O1333" i="1"/>
  <c r="H1343" i="1"/>
  <c r="K1335" i="1"/>
  <c r="O1346" i="1"/>
  <c r="O1353" i="1"/>
  <c r="E1384" i="1"/>
  <c r="E1385" i="1" s="1"/>
  <c r="L1362" i="1"/>
  <c r="O1365" i="1"/>
  <c r="O1366" i="1"/>
  <c r="J1368" i="1"/>
  <c r="G1370" i="1"/>
  <c r="J1370" i="1" s="1"/>
  <c r="G1376" i="1"/>
  <c r="J1376" i="1" s="1"/>
  <c r="J1371" i="1"/>
  <c r="O1378" i="1"/>
  <c r="K1340" i="1"/>
  <c r="N1340" i="1" s="1"/>
  <c r="M1347" i="1"/>
  <c r="G1362" i="1"/>
  <c r="H1384" i="1"/>
  <c r="H1385" i="1" s="1"/>
  <c r="M1367" i="1"/>
  <c r="M1384" i="1" s="1"/>
  <c r="K1368" i="1"/>
  <c r="O1368" i="1" s="1"/>
  <c r="N1369" i="1"/>
  <c r="K1371" i="1"/>
  <c r="O1371" i="1" s="1"/>
  <c r="N1372" i="1"/>
  <c r="O1373" i="1"/>
  <c r="N1373" i="1"/>
  <c r="O1374" i="1"/>
  <c r="O1375" i="1"/>
  <c r="L1376" i="1"/>
  <c r="K1336" i="1"/>
  <c r="N1336" i="1" s="1"/>
  <c r="N1337" i="1"/>
  <c r="N1344" i="1"/>
  <c r="M1354" i="1"/>
  <c r="K1349" i="1"/>
  <c r="N1349" i="1" s="1"/>
  <c r="L1354" i="1"/>
  <c r="O1360" i="1"/>
  <c r="G1367" i="1"/>
  <c r="J1367" i="1" s="1"/>
  <c r="J1363" i="1"/>
  <c r="L1367" i="1"/>
  <c r="L1370" i="1"/>
  <c r="G1380" i="1"/>
  <c r="J1380" i="1" s="1"/>
  <c r="J1377" i="1"/>
  <c r="O1379" i="1"/>
  <c r="G1342" i="1"/>
  <c r="J1342" i="1" s="1"/>
  <c r="J1335" i="1"/>
  <c r="O1336" i="1"/>
  <c r="O1344" i="1"/>
  <c r="G1354" i="1"/>
  <c r="J1354" i="1" s="1"/>
  <c r="J1348" i="1"/>
  <c r="O1349" i="1"/>
  <c r="K1362" i="1"/>
  <c r="O1359" i="1"/>
  <c r="K1367" i="1"/>
  <c r="N1367" i="1" s="1"/>
  <c r="N1363" i="1"/>
  <c r="O1382" i="1"/>
  <c r="K1381" i="1"/>
  <c r="O1381" i="1" s="1"/>
  <c r="K1377" i="1"/>
  <c r="O1377" i="1" s="1"/>
  <c r="D45" i="14"/>
  <c r="I1118" i="16" l="1"/>
  <c r="J180" i="15"/>
  <c r="J183" i="15" s="1"/>
  <c r="J190" i="15" s="1"/>
  <c r="G183" i="15"/>
  <c r="Q721" i="17"/>
  <c r="H180" i="15"/>
  <c r="H183" i="15" s="1"/>
  <c r="J1328" i="13"/>
  <c r="I181" i="15" s="1"/>
  <c r="L1306" i="1"/>
  <c r="O1277" i="1"/>
  <c r="I1312" i="13"/>
  <c r="I1329" i="13" s="1"/>
  <c r="J1283" i="13"/>
  <c r="J1312" i="13" s="1"/>
  <c r="I180" i="15" s="1"/>
  <c r="I183" i="15" s="1"/>
  <c r="G1283" i="13"/>
  <c r="G1312" i="13" s="1"/>
  <c r="F180" i="15" s="1"/>
  <c r="F1312" i="13"/>
  <c r="F1329" i="13" s="1"/>
  <c r="S17" i="14"/>
  <c r="T17" i="14" s="1"/>
  <c r="S23" i="14"/>
  <c r="T23" i="14" s="1"/>
  <c r="G190" i="15"/>
  <c r="O1352" i="1"/>
  <c r="L1355" i="1"/>
  <c r="H1357" i="1"/>
  <c r="H1358" i="1" s="1"/>
  <c r="S18" i="14"/>
  <c r="T18" i="14" s="1"/>
  <c r="T16" i="14"/>
  <c r="T27" i="14"/>
  <c r="T26" i="14"/>
  <c r="S29" i="14"/>
  <c r="T29" i="14" s="1"/>
  <c r="T28" i="14"/>
  <c r="Q21" i="14"/>
  <c r="P21" i="14"/>
  <c r="R21" i="14"/>
  <c r="P22" i="14"/>
  <c r="R22" i="14"/>
  <c r="Q22" i="14"/>
  <c r="S25" i="14"/>
  <c r="T25" i="14" s="1"/>
  <c r="S15" i="14"/>
  <c r="T15" i="14" s="1"/>
  <c r="S24" i="14"/>
  <c r="T24" i="14" s="1"/>
  <c r="S20" i="14"/>
  <c r="T20" i="14" s="1"/>
  <c r="F1178" i="16"/>
  <c r="N751" i="17"/>
  <c r="Q763" i="17"/>
  <c r="Q764" i="17" s="1"/>
  <c r="H187" i="15" s="1"/>
  <c r="H189" i="15" s="1"/>
  <c r="I1178" i="16"/>
  <c r="M731" i="17"/>
  <c r="N745" i="17"/>
  <c r="F730" i="17"/>
  <c r="I730" i="17" s="1"/>
  <c r="Q729" i="17"/>
  <c r="Q730" i="17" s="1"/>
  <c r="H184" i="15" s="1"/>
  <c r="H186" i="15" s="1"/>
  <c r="N717" i="17"/>
  <c r="N710" i="17"/>
  <c r="K765" i="17"/>
  <c r="P765" i="17"/>
  <c r="J729" i="17"/>
  <c r="J730" i="17" s="1"/>
  <c r="M730" i="17" s="1"/>
  <c r="M722" i="17"/>
  <c r="I712" i="17"/>
  <c r="F721" i="17"/>
  <c r="I721" i="17" s="1"/>
  <c r="N752" i="17"/>
  <c r="M752" i="17"/>
  <c r="N742" i="17"/>
  <c r="N727" i="17"/>
  <c r="N718" i="17"/>
  <c r="I764" i="17"/>
  <c r="N738" i="17"/>
  <c r="N723" i="17"/>
  <c r="N736" i="17"/>
  <c r="N728" i="17"/>
  <c r="N719" i="17"/>
  <c r="N714" i="17"/>
  <c r="J763" i="17"/>
  <c r="N748" i="17"/>
  <c r="M748" i="17"/>
  <c r="N734" i="17"/>
  <c r="N758" i="17"/>
  <c r="M726" i="17"/>
  <c r="J720" i="17"/>
  <c r="M720" i="17" s="1"/>
  <c r="M713" i="17"/>
  <c r="L764" i="17"/>
  <c r="N722" i="17"/>
  <c r="N708" i="17"/>
  <c r="M708" i="17"/>
  <c r="J712" i="17"/>
  <c r="N740" i="17"/>
  <c r="J1363" i="13"/>
  <c r="J1364" i="13" s="1"/>
  <c r="I184" i="15" s="1"/>
  <c r="I186" i="15" s="1"/>
  <c r="F1363" i="13"/>
  <c r="F1364" i="13" s="1"/>
  <c r="J1361" i="13"/>
  <c r="G1328" i="13"/>
  <c r="F181" i="15" s="1"/>
  <c r="G1389" i="13"/>
  <c r="G1390" i="13" s="1"/>
  <c r="F187" i="15" s="1"/>
  <c r="F189" i="15" s="1"/>
  <c r="I1361" i="13"/>
  <c r="I1363" i="13" s="1"/>
  <c r="I1364" i="13" s="1"/>
  <c r="G1349" i="13"/>
  <c r="G1361" i="13"/>
  <c r="F1389" i="13"/>
  <c r="F1390" i="13" s="1"/>
  <c r="I1357" i="1"/>
  <c r="I1358" i="1" s="1"/>
  <c r="I1386" i="1" s="1"/>
  <c r="K1354" i="1"/>
  <c r="N1354" i="1" s="1"/>
  <c r="G1355" i="1"/>
  <c r="J1355" i="1" s="1"/>
  <c r="O1332" i="1"/>
  <c r="O1315" i="1"/>
  <c r="L1323" i="1"/>
  <c r="H1323" i="1"/>
  <c r="H1386" i="1" s="1"/>
  <c r="N1288" i="1"/>
  <c r="M1385" i="1"/>
  <c r="K1383" i="1"/>
  <c r="N1381" i="1"/>
  <c r="G1384" i="1"/>
  <c r="J1362" i="1"/>
  <c r="K1342" i="1"/>
  <c r="N1335" i="1"/>
  <c r="O1335" i="1"/>
  <c r="O1304" i="1"/>
  <c r="M1343" i="1"/>
  <c r="K1321" i="1"/>
  <c r="K1305" i="1"/>
  <c r="N1305" i="1" s="1"/>
  <c r="O1291" i="1"/>
  <c r="L1357" i="1"/>
  <c r="L1358" i="1" s="1"/>
  <c r="K1301" i="1"/>
  <c r="N1294" i="1"/>
  <c r="K1293" i="1"/>
  <c r="N1286" i="1"/>
  <c r="O1290" i="1"/>
  <c r="M1355" i="1"/>
  <c r="O1347" i="1"/>
  <c r="L1384" i="1"/>
  <c r="L1385" i="1" s="1"/>
  <c r="M1322" i="1"/>
  <c r="N1324" i="1"/>
  <c r="K1334" i="1"/>
  <c r="O1283" i="1"/>
  <c r="O1298" i="1"/>
  <c r="M1306" i="1"/>
  <c r="N1368" i="1"/>
  <c r="K1370" i="1"/>
  <c r="O1367" i="1"/>
  <c r="K1355" i="1"/>
  <c r="N1355" i="1" s="1"/>
  <c r="G1343" i="1"/>
  <c r="O1300" i="1"/>
  <c r="O1326" i="1"/>
  <c r="O1319" i="1"/>
  <c r="O1305" i="1"/>
  <c r="E1386" i="1"/>
  <c r="O1340" i="1"/>
  <c r="O1330" i="1"/>
  <c r="O1276" i="1"/>
  <c r="G1306" i="1"/>
  <c r="K1380" i="1"/>
  <c r="N1377" i="1"/>
  <c r="N1362" i="1"/>
  <c r="K1376" i="1"/>
  <c r="N1371" i="1"/>
  <c r="O1362" i="1"/>
  <c r="K1311" i="1"/>
  <c r="O1311" i="1" s="1"/>
  <c r="N1307" i="1"/>
  <c r="G1322" i="1"/>
  <c r="J1311" i="1"/>
  <c r="K1285" i="1"/>
  <c r="N1285" i="1" s="1"/>
  <c r="N1277" i="1"/>
  <c r="D44" i="14"/>
  <c r="F183" i="15" l="1"/>
  <c r="J1329" i="13"/>
  <c r="J1391" i="13" s="1"/>
  <c r="G1329" i="13"/>
  <c r="I190" i="15"/>
  <c r="H190" i="15"/>
  <c r="I1391" i="13"/>
  <c r="G1363" i="13"/>
  <c r="F1391" i="13"/>
  <c r="S22" i="14"/>
  <c r="T22" i="14" s="1"/>
  <c r="S21" i="14"/>
  <c r="T21" i="14" s="1"/>
  <c r="Q765" i="17"/>
  <c r="F765" i="17"/>
  <c r="I765" i="17" s="1"/>
  <c r="M712" i="17"/>
  <c r="J721" i="17"/>
  <c r="N712" i="17"/>
  <c r="L765" i="17"/>
  <c r="N720" i="17"/>
  <c r="N730" i="17"/>
  <c r="M763" i="17"/>
  <c r="J764" i="17"/>
  <c r="N763" i="17"/>
  <c r="M729" i="17"/>
  <c r="N729" i="17"/>
  <c r="K1384" i="1"/>
  <c r="N1384" i="1" s="1"/>
  <c r="N1385" i="1" s="1"/>
  <c r="L1386" i="1"/>
  <c r="O1354" i="1"/>
  <c r="K1306" i="1"/>
  <c r="D180" i="15" s="1"/>
  <c r="K1385" i="1"/>
  <c r="D187" i="15" s="1"/>
  <c r="N1380" i="1"/>
  <c r="O1380" i="1"/>
  <c r="K1322" i="1"/>
  <c r="N1311" i="1"/>
  <c r="J1306" i="1"/>
  <c r="G1323" i="1"/>
  <c r="N1370" i="1"/>
  <c r="O1370" i="1"/>
  <c r="O1285" i="1"/>
  <c r="N1293" i="1"/>
  <c r="O1293" i="1"/>
  <c r="M1357" i="1"/>
  <c r="N1342" i="1"/>
  <c r="O1342" i="1"/>
  <c r="N1383" i="1"/>
  <c r="O1383" i="1"/>
  <c r="J1321" i="1"/>
  <c r="J1322" i="1"/>
  <c r="G1357" i="1"/>
  <c r="J1343" i="1"/>
  <c r="O1355" i="1"/>
  <c r="M1323" i="1"/>
  <c r="K1343" i="1"/>
  <c r="O1343" i="1" s="1"/>
  <c r="N1334" i="1"/>
  <c r="N1301" i="1"/>
  <c r="O1301" i="1"/>
  <c r="N1321" i="1"/>
  <c r="O1321" i="1"/>
  <c r="G1385" i="1"/>
  <c r="J1385" i="1" s="1"/>
  <c r="J1384" i="1"/>
  <c r="N1376" i="1"/>
  <c r="O1376" i="1"/>
  <c r="O1334" i="1"/>
  <c r="H1180" i="1"/>
  <c r="I1181" i="1"/>
  <c r="H1181" i="1"/>
  <c r="N1322" i="1" l="1"/>
  <c r="D181" i="15"/>
  <c r="E181" i="15" s="1"/>
  <c r="N1306" i="1"/>
  <c r="D183" i="15"/>
  <c r="E183" i="15" s="1"/>
  <c r="E180" i="15"/>
  <c r="O1306" i="1"/>
  <c r="G1364" i="13"/>
  <c r="G1391" i="13" s="1"/>
  <c r="F184" i="15"/>
  <c r="F186" i="15" s="1"/>
  <c r="F190" i="15" s="1"/>
  <c r="D189" i="15"/>
  <c r="E187" i="15"/>
  <c r="M721" i="17"/>
  <c r="N721" i="17"/>
  <c r="M764" i="17"/>
  <c r="J765" i="17"/>
  <c r="M765" i="17" s="1"/>
  <c r="N764" i="17"/>
  <c r="O1384" i="1"/>
  <c r="O1385" i="1" s="1"/>
  <c r="O1322" i="1"/>
  <c r="K1323" i="1"/>
  <c r="O1323" i="1" s="1"/>
  <c r="K1357" i="1"/>
  <c r="N1343" i="1"/>
  <c r="M1358" i="1"/>
  <c r="M1386" i="1" s="1"/>
  <c r="G1358" i="1"/>
  <c r="J1358" i="1" s="1"/>
  <c r="J1357" i="1"/>
  <c r="J1323" i="1"/>
  <c r="F1226" i="1"/>
  <c r="F646" i="1"/>
  <c r="F522" i="1"/>
  <c r="F531" i="1"/>
  <c r="F418" i="1"/>
  <c r="G1067" i="1"/>
  <c r="G950" i="1"/>
  <c r="G834" i="1"/>
  <c r="G831" i="1"/>
  <c r="G832" i="1"/>
  <c r="G833" i="1"/>
  <c r="G719" i="1"/>
  <c r="G716" i="1"/>
  <c r="G717" i="1"/>
  <c r="G604" i="1"/>
  <c r="G601" i="1"/>
  <c r="G602" i="1"/>
  <c r="F138" i="1"/>
  <c r="L52" i="14"/>
  <c r="K52" i="14" s="1"/>
  <c r="O52" i="14" s="1"/>
  <c r="G52" i="14"/>
  <c r="C52" i="14"/>
  <c r="L51" i="14"/>
  <c r="K51" i="14" s="1"/>
  <c r="O51" i="14" s="1"/>
  <c r="G51" i="14"/>
  <c r="C51" i="14"/>
  <c r="L50" i="14"/>
  <c r="K50" i="14" s="1"/>
  <c r="O50" i="14" s="1"/>
  <c r="G50" i="14"/>
  <c r="C50" i="14"/>
  <c r="L49" i="14"/>
  <c r="K49" i="14" s="1"/>
  <c r="O49" i="14" s="1"/>
  <c r="G49" i="14"/>
  <c r="C49" i="14"/>
  <c r="L48" i="14"/>
  <c r="K48" i="14" s="1"/>
  <c r="O48" i="14" s="1"/>
  <c r="G48" i="14"/>
  <c r="C48" i="14"/>
  <c r="L47" i="14"/>
  <c r="K47" i="14" s="1"/>
  <c r="G47" i="14"/>
  <c r="C47" i="14"/>
  <c r="L46" i="14"/>
  <c r="K46" i="14" s="1"/>
  <c r="M46" i="14" s="1"/>
  <c r="G46" i="14"/>
  <c r="C46" i="14"/>
  <c r="L45" i="14"/>
  <c r="K45" i="14" s="1"/>
  <c r="G45" i="14"/>
  <c r="C45" i="14"/>
  <c r="L44" i="14"/>
  <c r="K44" i="14" s="1"/>
  <c r="M44" i="14" s="1"/>
  <c r="G44" i="14"/>
  <c r="C44" i="14"/>
  <c r="L43" i="14"/>
  <c r="K43" i="14" s="1"/>
  <c r="G43" i="14"/>
  <c r="C43" i="14"/>
  <c r="L42" i="14"/>
  <c r="K42" i="14" s="1"/>
  <c r="M42" i="14" s="1"/>
  <c r="G42" i="14"/>
  <c r="C42" i="14"/>
  <c r="L41" i="14"/>
  <c r="K41" i="14" s="1"/>
  <c r="G41" i="14"/>
  <c r="C41" i="14"/>
  <c r="L40" i="14"/>
  <c r="K40" i="14" s="1"/>
  <c r="M40" i="14" s="1"/>
  <c r="G40" i="14"/>
  <c r="C40" i="14"/>
  <c r="L39" i="14"/>
  <c r="K39" i="14" s="1"/>
  <c r="G39" i="14"/>
  <c r="C39" i="14"/>
  <c r="L38" i="14"/>
  <c r="K38" i="14" s="1"/>
  <c r="M38" i="14" s="1"/>
  <c r="G38" i="14"/>
  <c r="C38" i="14"/>
  <c r="L37" i="14"/>
  <c r="K37" i="14" s="1"/>
  <c r="G37" i="14"/>
  <c r="C37" i="14"/>
  <c r="J169" i="15"/>
  <c r="J167" i="15"/>
  <c r="C172" i="15"/>
  <c r="C169" i="15"/>
  <c r="C166" i="15"/>
  <c r="C165" i="15"/>
  <c r="C174" i="15"/>
  <c r="E173" i="15"/>
  <c r="J171" i="15"/>
  <c r="E170" i="15"/>
  <c r="C171" i="15"/>
  <c r="E167" i="15"/>
  <c r="C168" i="15"/>
  <c r="H1082" i="16"/>
  <c r="F1082" i="16"/>
  <c r="I1082" i="16" s="1"/>
  <c r="I1083" i="16" s="1"/>
  <c r="E1081" i="16"/>
  <c r="H1080" i="16"/>
  <c r="F1080" i="16"/>
  <c r="I1080" i="16" s="1"/>
  <c r="H1079" i="16"/>
  <c r="F1079" i="16"/>
  <c r="I1079" i="16" s="1"/>
  <c r="I1078" i="16"/>
  <c r="H1078" i="16"/>
  <c r="F1078" i="16"/>
  <c r="H1077" i="16"/>
  <c r="F1077" i="16"/>
  <c r="I1077" i="16" s="1"/>
  <c r="H1076" i="16"/>
  <c r="F1076" i="16"/>
  <c r="I1076" i="16" s="1"/>
  <c r="H1075" i="16"/>
  <c r="F1075" i="16"/>
  <c r="I1075" i="16" s="1"/>
  <c r="H1074" i="16"/>
  <c r="F1074" i="16"/>
  <c r="I1074" i="16" s="1"/>
  <c r="H1073" i="16"/>
  <c r="F1073" i="16"/>
  <c r="I1073" i="16" s="1"/>
  <c r="H1072" i="16"/>
  <c r="F1072" i="16"/>
  <c r="I1072" i="16" s="1"/>
  <c r="H1071" i="16"/>
  <c r="F1071" i="16"/>
  <c r="I1071" i="16" s="1"/>
  <c r="H1070" i="16"/>
  <c r="F1070" i="16"/>
  <c r="I1070" i="16" s="1"/>
  <c r="H1069" i="16"/>
  <c r="F1069" i="16"/>
  <c r="I1069" i="16" s="1"/>
  <c r="H1068" i="16"/>
  <c r="F1068" i="16"/>
  <c r="I1068" i="16" s="1"/>
  <c r="H1067" i="16"/>
  <c r="F1067" i="16"/>
  <c r="I1067" i="16" s="1"/>
  <c r="H1066" i="16"/>
  <c r="F1066" i="16"/>
  <c r="I1066" i="16" s="1"/>
  <c r="H1065" i="16"/>
  <c r="F1065" i="16"/>
  <c r="I1065" i="16" s="1"/>
  <c r="H1064" i="16"/>
  <c r="F1064" i="16"/>
  <c r="I1064" i="16" s="1"/>
  <c r="H1063" i="16"/>
  <c r="F1063" i="16"/>
  <c r="I1063" i="16" s="1"/>
  <c r="H1062" i="16"/>
  <c r="F1062" i="16"/>
  <c r="I1062" i="16" s="1"/>
  <c r="H1061" i="16"/>
  <c r="F1061" i="16"/>
  <c r="I1061" i="16" s="1"/>
  <c r="H1060" i="16"/>
  <c r="F1060" i="16"/>
  <c r="I1060" i="16" s="1"/>
  <c r="H1059" i="16"/>
  <c r="F1059" i="16"/>
  <c r="I1059" i="16" s="1"/>
  <c r="H1058" i="16"/>
  <c r="F1058" i="16"/>
  <c r="I1058" i="16" s="1"/>
  <c r="H1057" i="16"/>
  <c r="F1057" i="16"/>
  <c r="I1057" i="16" s="1"/>
  <c r="H1056" i="16"/>
  <c r="F1056" i="16"/>
  <c r="H1055" i="16"/>
  <c r="H1081" i="16" s="1"/>
  <c r="F1055" i="16"/>
  <c r="I1055" i="16" s="1"/>
  <c r="F1054" i="16"/>
  <c r="E1054" i="16"/>
  <c r="H1053" i="16"/>
  <c r="F1053" i="16"/>
  <c r="I1053" i="16" s="1"/>
  <c r="H1052" i="16"/>
  <c r="F1052" i="16"/>
  <c r="I1052" i="16" s="1"/>
  <c r="H1051" i="16"/>
  <c r="F1051" i="16"/>
  <c r="I1051" i="16" s="1"/>
  <c r="H1050" i="16"/>
  <c r="F1050" i="16"/>
  <c r="I1050" i="16" s="1"/>
  <c r="H1049" i="16"/>
  <c r="F1049" i="16"/>
  <c r="I1049" i="16" s="1"/>
  <c r="H1048" i="16"/>
  <c r="F1048" i="16"/>
  <c r="I1048" i="16" s="1"/>
  <c r="H1047" i="16"/>
  <c r="F1047" i="16"/>
  <c r="I1047" i="16" s="1"/>
  <c r="H1046" i="16"/>
  <c r="F1046" i="16"/>
  <c r="I1046" i="16" s="1"/>
  <c r="H1045" i="16"/>
  <c r="F1045" i="16"/>
  <c r="I1045" i="16" s="1"/>
  <c r="H1044" i="16"/>
  <c r="F1044" i="16"/>
  <c r="I1044" i="16" s="1"/>
  <c r="H1043" i="16"/>
  <c r="F1043" i="16"/>
  <c r="I1043" i="16" s="1"/>
  <c r="H1042" i="16"/>
  <c r="F1042" i="16"/>
  <c r="I1042" i="16" s="1"/>
  <c r="H1041" i="16"/>
  <c r="F1041" i="16"/>
  <c r="I1041" i="16" s="1"/>
  <c r="H1040" i="16"/>
  <c r="F1040" i="16"/>
  <c r="I1040" i="16" s="1"/>
  <c r="H1039" i="16"/>
  <c r="F1039" i="16"/>
  <c r="I1039" i="16" s="1"/>
  <c r="H1038" i="16"/>
  <c r="F1038" i="16"/>
  <c r="I1038" i="16" s="1"/>
  <c r="H1037" i="16"/>
  <c r="F1037" i="16"/>
  <c r="I1037" i="16" s="1"/>
  <c r="H1036" i="16"/>
  <c r="F1036" i="16"/>
  <c r="I1036" i="16" s="1"/>
  <c r="H1035" i="16"/>
  <c r="F1035" i="16"/>
  <c r="I1035" i="16" s="1"/>
  <c r="H1034" i="16"/>
  <c r="F1034" i="16"/>
  <c r="I1034" i="16" s="1"/>
  <c r="H1033" i="16"/>
  <c r="F1033" i="16"/>
  <c r="I1033" i="16" s="1"/>
  <c r="H1032" i="16"/>
  <c r="F1032" i="16"/>
  <c r="I1032" i="16" s="1"/>
  <c r="H1031" i="16"/>
  <c r="F1031" i="16"/>
  <c r="I1031" i="16" s="1"/>
  <c r="H1030" i="16"/>
  <c r="F1030" i="16"/>
  <c r="I1030" i="16" s="1"/>
  <c r="H1029" i="16"/>
  <c r="F1029" i="16"/>
  <c r="I1029" i="16" s="1"/>
  <c r="H1028" i="16"/>
  <c r="F1028" i="16"/>
  <c r="I1028" i="16" s="1"/>
  <c r="H1027" i="16"/>
  <c r="F1027" i="16"/>
  <c r="I1027" i="16" s="1"/>
  <c r="H1026" i="16"/>
  <c r="F1026" i="16"/>
  <c r="I1026" i="16" s="1"/>
  <c r="H1025" i="16"/>
  <c r="H1054" i="16" s="1"/>
  <c r="F1025" i="16"/>
  <c r="I1025" i="16" s="1"/>
  <c r="I1054" i="16" s="1"/>
  <c r="E1022" i="16"/>
  <c r="H1021" i="16"/>
  <c r="F1021" i="16"/>
  <c r="I1021" i="16" s="1"/>
  <c r="H1020" i="16"/>
  <c r="F1020" i="16"/>
  <c r="I1020" i="16" s="1"/>
  <c r="H1019" i="16"/>
  <c r="F1019" i="16"/>
  <c r="I1019" i="16" s="1"/>
  <c r="H1018" i="16"/>
  <c r="F1018" i="16"/>
  <c r="F1022" i="16" s="1"/>
  <c r="E1017" i="16"/>
  <c r="H1016" i="16"/>
  <c r="F1016" i="16"/>
  <c r="I1016" i="16" s="1"/>
  <c r="H1015" i="16"/>
  <c r="F1015" i="16"/>
  <c r="I1015" i="16" s="1"/>
  <c r="H1014" i="16"/>
  <c r="F1014" i="16"/>
  <c r="I1014" i="16" s="1"/>
  <c r="H1013" i="16"/>
  <c r="F1013" i="16"/>
  <c r="I1013" i="16" s="1"/>
  <c r="H1012" i="16"/>
  <c r="H1017" i="16" s="1"/>
  <c r="F1012" i="16"/>
  <c r="I1012" i="16" s="1"/>
  <c r="H1011" i="16"/>
  <c r="F1011" i="16"/>
  <c r="E1010" i="16"/>
  <c r="H1009" i="16"/>
  <c r="F1009" i="16"/>
  <c r="I1009" i="16" s="1"/>
  <c r="H1008" i="16"/>
  <c r="F1008" i="16"/>
  <c r="I1008" i="16" s="1"/>
  <c r="H1007" i="16"/>
  <c r="F1007" i="16"/>
  <c r="I1007" i="16" s="1"/>
  <c r="H1006" i="16"/>
  <c r="F1006" i="16"/>
  <c r="I1006" i="16" s="1"/>
  <c r="H1005" i="16"/>
  <c r="F1005" i="16"/>
  <c r="I1005" i="16" s="1"/>
  <c r="H1004" i="16"/>
  <c r="F1004" i="16"/>
  <c r="I1004" i="16" s="1"/>
  <c r="H1003" i="16"/>
  <c r="F1003" i="16"/>
  <c r="I1003" i="16" s="1"/>
  <c r="H1002" i="16"/>
  <c r="F1002" i="16"/>
  <c r="I1002" i="16" s="1"/>
  <c r="H1001" i="16"/>
  <c r="F1001" i="16"/>
  <c r="I1001" i="16" s="1"/>
  <c r="H1000" i="16"/>
  <c r="F1000" i="16"/>
  <c r="I1000" i="16" s="1"/>
  <c r="H999" i="16"/>
  <c r="F999" i="16"/>
  <c r="I999" i="16" s="1"/>
  <c r="H998" i="16"/>
  <c r="F998" i="16"/>
  <c r="I998" i="16" s="1"/>
  <c r="H997" i="16"/>
  <c r="H1010" i="16" s="1"/>
  <c r="F997" i="16"/>
  <c r="I997" i="16" s="1"/>
  <c r="H996" i="16"/>
  <c r="F996" i="16"/>
  <c r="I996" i="16" s="1"/>
  <c r="H995" i="16"/>
  <c r="F995" i="16"/>
  <c r="F1010" i="16" s="1"/>
  <c r="E701" i="17"/>
  <c r="D701" i="17"/>
  <c r="H700" i="17"/>
  <c r="H701" i="17" s="1"/>
  <c r="G700" i="17"/>
  <c r="G701" i="17" s="1"/>
  <c r="D700" i="17"/>
  <c r="P699" i="17"/>
  <c r="L699" i="17"/>
  <c r="K699" i="17"/>
  <c r="I699" i="17"/>
  <c r="F699" i="17"/>
  <c r="P698" i="17"/>
  <c r="L698" i="17"/>
  <c r="K698" i="17"/>
  <c r="J698" i="17" s="1"/>
  <c r="F698" i="17"/>
  <c r="I698" i="17" s="1"/>
  <c r="P697" i="17"/>
  <c r="L697" i="17"/>
  <c r="K697" i="17"/>
  <c r="I697" i="17"/>
  <c r="F697" i="17"/>
  <c r="Q696" i="17"/>
  <c r="P696" i="17"/>
  <c r="L696" i="17"/>
  <c r="K696" i="17"/>
  <c r="J696" i="17"/>
  <c r="M696" i="17" s="1"/>
  <c r="F696" i="17"/>
  <c r="I696" i="17" s="1"/>
  <c r="P695" i="17"/>
  <c r="L695" i="17"/>
  <c r="K695" i="17"/>
  <c r="F695" i="17"/>
  <c r="I695" i="17" s="1"/>
  <c r="P694" i="17"/>
  <c r="L694" i="17"/>
  <c r="N694" i="17" s="1"/>
  <c r="K694" i="17"/>
  <c r="Q694" i="17" s="1"/>
  <c r="J694" i="17"/>
  <c r="M694" i="17" s="1"/>
  <c r="F694" i="17"/>
  <c r="I694" i="17" s="1"/>
  <c r="P693" i="17"/>
  <c r="L693" i="17"/>
  <c r="K693" i="17"/>
  <c r="F693" i="17"/>
  <c r="I693" i="17" s="1"/>
  <c r="P692" i="17"/>
  <c r="L692" i="17"/>
  <c r="K692" i="17"/>
  <c r="Q692" i="17" s="1"/>
  <c r="F692" i="17"/>
  <c r="I692" i="17" s="1"/>
  <c r="P691" i="17"/>
  <c r="L691" i="17"/>
  <c r="K691" i="17"/>
  <c r="I691" i="17"/>
  <c r="F691" i="17"/>
  <c r="P690" i="17"/>
  <c r="L690" i="17"/>
  <c r="K690" i="17"/>
  <c r="J690" i="17" s="1"/>
  <c r="F690" i="17"/>
  <c r="I690" i="17" s="1"/>
  <c r="P689" i="17"/>
  <c r="L689" i="17"/>
  <c r="K689" i="17"/>
  <c r="I689" i="17"/>
  <c r="F689" i="17"/>
  <c r="Q688" i="17"/>
  <c r="P688" i="17"/>
  <c r="L688" i="17"/>
  <c r="K688" i="17"/>
  <c r="J688" i="17"/>
  <c r="M688" i="17" s="1"/>
  <c r="F688" i="17"/>
  <c r="I688" i="17" s="1"/>
  <c r="P687" i="17"/>
  <c r="L687" i="17"/>
  <c r="K687" i="17"/>
  <c r="F687" i="17"/>
  <c r="I687" i="17" s="1"/>
  <c r="P686" i="17"/>
  <c r="L686" i="17"/>
  <c r="N686" i="17" s="1"/>
  <c r="K686" i="17"/>
  <c r="Q686" i="17" s="1"/>
  <c r="J686" i="17"/>
  <c r="M686" i="17" s="1"/>
  <c r="F686" i="17"/>
  <c r="I686" i="17" s="1"/>
  <c r="P685" i="17"/>
  <c r="L685" i="17"/>
  <c r="K685" i="17"/>
  <c r="F685" i="17"/>
  <c r="I685" i="17" s="1"/>
  <c r="P684" i="17"/>
  <c r="L684" i="17"/>
  <c r="K684" i="17"/>
  <c r="Q684" i="17" s="1"/>
  <c r="F684" i="17"/>
  <c r="I684" i="17" s="1"/>
  <c r="P683" i="17"/>
  <c r="L683" i="17"/>
  <c r="K683" i="17"/>
  <c r="I683" i="17"/>
  <c r="F683" i="17"/>
  <c r="P682" i="17"/>
  <c r="L682" i="17"/>
  <c r="K682" i="17"/>
  <c r="J682" i="17" s="1"/>
  <c r="F682" i="17"/>
  <c r="I682" i="17" s="1"/>
  <c r="P681" i="17"/>
  <c r="L681" i="17"/>
  <c r="K681" i="17"/>
  <c r="I681" i="17"/>
  <c r="F681" i="17"/>
  <c r="Q680" i="17"/>
  <c r="P680" i="17"/>
  <c r="L680" i="17"/>
  <c r="K680" i="17"/>
  <c r="J680" i="17"/>
  <c r="M680" i="17" s="1"/>
  <c r="F680" i="17"/>
  <c r="I680" i="17" s="1"/>
  <c r="P679" i="17"/>
  <c r="L679" i="17"/>
  <c r="K679" i="17"/>
  <c r="F679" i="17"/>
  <c r="I679" i="17" s="1"/>
  <c r="P678" i="17"/>
  <c r="L678" i="17"/>
  <c r="N678" i="17" s="1"/>
  <c r="K678" i="17"/>
  <c r="Q678" i="17" s="1"/>
  <c r="J678" i="17"/>
  <c r="M678" i="17" s="1"/>
  <c r="F678" i="17"/>
  <c r="I678" i="17" s="1"/>
  <c r="P677" i="17"/>
  <c r="L677" i="17"/>
  <c r="K677" i="17"/>
  <c r="F677" i="17"/>
  <c r="I677" i="17" s="1"/>
  <c r="P676" i="17"/>
  <c r="L676" i="17"/>
  <c r="K676" i="17"/>
  <c r="Q676" i="17" s="1"/>
  <c r="F676" i="17"/>
  <c r="I676" i="17" s="1"/>
  <c r="P675" i="17"/>
  <c r="L675" i="17"/>
  <c r="K675" i="17"/>
  <c r="I675" i="17"/>
  <c r="F675" i="17"/>
  <c r="P674" i="17"/>
  <c r="L674" i="17"/>
  <c r="K674" i="17"/>
  <c r="J674" i="17" s="1"/>
  <c r="F674" i="17"/>
  <c r="I674" i="17" s="1"/>
  <c r="P673" i="17"/>
  <c r="L673" i="17"/>
  <c r="K673" i="17"/>
  <c r="F673" i="17"/>
  <c r="I673" i="17" s="1"/>
  <c r="P672" i="17"/>
  <c r="L672" i="17"/>
  <c r="K672" i="17"/>
  <c r="Q672" i="17" s="1"/>
  <c r="I672" i="17"/>
  <c r="F672" i="17"/>
  <c r="Q671" i="17"/>
  <c r="P671" i="17"/>
  <c r="L671" i="17"/>
  <c r="K671" i="17"/>
  <c r="J671" i="17"/>
  <c r="M671" i="17" s="1"/>
  <c r="F671" i="17"/>
  <c r="I671" i="17" s="1"/>
  <c r="P670" i="17"/>
  <c r="L670" i="17"/>
  <c r="K670" i="17"/>
  <c r="Q670" i="17" s="1"/>
  <c r="F670" i="17"/>
  <c r="I670" i="17" s="1"/>
  <c r="P669" i="17"/>
  <c r="L669" i="17"/>
  <c r="K669" i="17"/>
  <c r="Q669" i="17" s="1"/>
  <c r="F669" i="17"/>
  <c r="I669" i="17" s="1"/>
  <c r="P668" i="17"/>
  <c r="L668" i="17"/>
  <c r="K668" i="17"/>
  <c r="F668" i="17"/>
  <c r="I668" i="17" s="1"/>
  <c r="H667" i="17"/>
  <c r="E667" i="17"/>
  <c r="D667" i="17"/>
  <c r="H666" i="17"/>
  <c r="G666" i="17"/>
  <c r="G667" i="17" s="1"/>
  <c r="Q665" i="17"/>
  <c r="P665" i="17"/>
  <c r="L665" i="17"/>
  <c r="N665" i="17" s="1"/>
  <c r="K665" i="17"/>
  <c r="J665" i="17"/>
  <c r="M665" i="17" s="1"/>
  <c r="F665" i="17"/>
  <c r="I665" i="17" s="1"/>
  <c r="P664" i="17"/>
  <c r="L664" i="17"/>
  <c r="K664" i="17"/>
  <c r="Q664" i="17" s="1"/>
  <c r="I664" i="17"/>
  <c r="F664" i="17"/>
  <c r="Q663" i="17"/>
  <c r="P663" i="17"/>
  <c r="L663" i="17"/>
  <c r="K663" i="17"/>
  <c r="J663" i="17"/>
  <c r="M663" i="17" s="1"/>
  <c r="F663" i="17"/>
  <c r="I663" i="17" s="1"/>
  <c r="P662" i="17"/>
  <c r="L662" i="17"/>
  <c r="K662" i="17"/>
  <c r="Q662" i="17" s="1"/>
  <c r="F662" i="17"/>
  <c r="I662" i="17" s="1"/>
  <c r="Q661" i="17"/>
  <c r="P661" i="17"/>
  <c r="L661" i="17"/>
  <c r="N661" i="17" s="1"/>
  <c r="K661" i="17"/>
  <c r="J661" i="17"/>
  <c r="M661" i="17" s="1"/>
  <c r="F661" i="17"/>
  <c r="I661" i="17" s="1"/>
  <c r="P660" i="17"/>
  <c r="L660" i="17"/>
  <c r="K660" i="17"/>
  <c r="Q660" i="17" s="1"/>
  <c r="I660" i="17"/>
  <c r="F660" i="17"/>
  <c r="Q659" i="17"/>
  <c r="Q666" i="17" s="1"/>
  <c r="Q667" i="17" s="1"/>
  <c r="H169" i="15" s="1"/>
  <c r="H171" i="15" s="1"/>
  <c r="P659" i="17"/>
  <c r="L659" i="17"/>
  <c r="L666" i="17" s="1"/>
  <c r="K659" i="17"/>
  <c r="J659" i="17"/>
  <c r="F659" i="17"/>
  <c r="E658" i="17"/>
  <c r="E702" i="17" s="1"/>
  <c r="H657" i="17"/>
  <c r="G657" i="17"/>
  <c r="D657" i="17"/>
  <c r="Q656" i="17"/>
  <c r="P656" i="17"/>
  <c r="L656" i="17"/>
  <c r="N656" i="17" s="1"/>
  <c r="K656" i="17"/>
  <c r="J656" i="17"/>
  <c r="M656" i="17" s="1"/>
  <c r="F656" i="17"/>
  <c r="I656" i="17" s="1"/>
  <c r="P655" i="17"/>
  <c r="L655" i="17"/>
  <c r="K655" i="17"/>
  <c r="I655" i="17"/>
  <c r="F655" i="17"/>
  <c r="P654" i="17"/>
  <c r="L654" i="17"/>
  <c r="K654" i="17"/>
  <c r="Q654" i="17" s="1"/>
  <c r="F654" i="17"/>
  <c r="I654" i="17" s="1"/>
  <c r="P653" i="17"/>
  <c r="L653" i="17"/>
  <c r="K653" i="17"/>
  <c r="F653" i="17"/>
  <c r="I653" i="17" s="1"/>
  <c r="Q652" i="17"/>
  <c r="P652" i="17"/>
  <c r="L652" i="17"/>
  <c r="N652" i="17" s="1"/>
  <c r="K652" i="17"/>
  <c r="J652" i="17"/>
  <c r="M652" i="17" s="1"/>
  <c r="F652" i="17"/>
  <c r="I652" i="17" s="1"/>
  <c r="P651" i="17"/>
  <c r="L651" i="17"/>
  <c r="K651" i="17"/>
  <c r="I651" i="17"/>
  <c r="F651" i="17"/>
  <c r="Q650" i="17"/>
  <c r="P650" i="17"/>
  <c r="N650" i="17"/>
  <c r="L650" i="17"/>
  <c r="K650" i="17"/>
  <c r="K657" i="17" s="1"/>
  <c r="G166" i="15" s="1"/>
  <c r="J650" i="17"/>
  <c r="M650" i="17" s="1"/>
  <c r="F650" i="17"/>
  <c r="I650" i="17" s="1"/>
  <c r="H649" i="17"/>
  <c r="H658" i="17" s="1"/>
  <c r="G649" i="17"/>
  <c r="G658" i="17" s="1"/>
  <c r="D649" i="17"/>
  <c r="D658" i="17" s="1"/>
  <c r="P648" i="17"/>
  <c r="L648" i="17"/>
  <c r="K648" i="17"/>
  <c r="I648" i="17"/>
  <c r="F648" i="17"/>
  <c r="P647" i="17"/>
  <c r="L647" i="17"/>
  <c r="K647" i="17"/>
  <c r="Q647" i="17" s="1"/>
  <c r="J647" i="17"/>
  <c r="M647" i="17" s="1"/>
  <c r="F647" i="17"/>
  <c r="I647" i="17" s="1"/>
  <c r="P646" i="17"/>
  <c r="L646" i="17"/>
  <c r="K646" i="17"/>
  <c r="F646" i="17"/>
  <c r="I646" i="17" s="1"/>
  <c r="Q645" i="17"/>
  <c r="P645" i="17"/>
  <c r="L645" i="17"/>
  <c r="N645" i="17" s="1"/>
  <c r="K645" i="17"/>
  <c r="J645" i="17"/>
  <c r="M645" i="17" s="1"/>
  <c r="F645" i="17"/>
  <c r="I645" i="17" s="1"/>
  <c r="P644" i="17"/>
  <c r="L644" i="17"/>
  <c r="L649" i="17" s="1"/>
  <c r="K644" i="17"/>
  <c r="I644" i="17"/>
  <c r="F644" i="17"/>
  <c r="J1271" i="13"/>
  <c r="I1271" i="13"/>
  <c r="G1271" i="13"/>
  <c r="F1271" i="13"/>
  <c r="G1270" i="13"/>
  <c r="F1270" i="13"/>
  <c r="G1269" i="13"/>
  <c r="F1269" i="13"/>
  <c r="G1267" i="13"/>
  <c r="J1267" i="13" s="1"/>
  <c r="F1267" i="13"/>
  <c r="I1267" i="13" s="1"/>
  <c r="G1266" i="13"/>
  <c r="J1266" i="13" s="1"/>
  <c r="F1266" i="13"/>
  <c r="F1268" i="13" s="1"/>
  <c r="G1265" i="13"/>
  <c r="G1268" i="13" s="1"/>
  <c r="F1265" i="13"/>
  <c r="I1265" i="13" s="1"/>
  <c r="G1263" i="13"/>
  <c r="J1263" i="13" s="1"/>
  <c r="F1263" i="13"/>
  <c r="I1263" i="13" s="1"/>
  <c r="G1262" i="13"/>
  <c r="J1262" i="13" s="1"/>
  <c r="F1262" i="13"/>
  <c r="I1262" i="13" s="1"/>
  <c r="G1261" i="13"/>
  <c r="J1261" i="13" s="1"/>
  <c r="F1261" i="13"/>
  <c r="I1261" i="13" s="1"/>
  <c r="G1260" i="13"/>
  <c r="G1264" i="13" s="1"/>
  <c r="F1260" i="13"/>
  <c r="F1264" i="13" s="1"/>
  <c r="G1258" i="13"/>
  <c r="J1258" i="13" s="1"/>
  <c r="F1258" i="13"/>
  <c r="I1258" i="13" s="1"/>
  <c r="G1257" i="13"/>
  <c r="G1259" i="13" s="1"/>
  <c r="F1257" i="13"/>
  <c r="F1259" i="13" s="1"/>
  <c r="G1255" i="13"/>
  <c r="J1255" i="13" s="1"/>
  <c r="F1255" i="13"/>
  <c r="I1255" i="13" s="1"/>
  <c r="G1254" i="13"/>
  <c r="J1254" i="13" s="1"/>
  <c r="F1254" i="13"/>
  <c r="I1254" i="13" s="1"/>
  <c r="G1253" i="13"/>
  <c r="J1253" i="13" s="1"/>
  <c r="F1253" i="13"/>
  <c r="I1253" i="13" s="1"/>
  <c r="G1252" i="13"/>
  <c r="G1256" i="13" s="1"/>
  <c r="F1252" i="13"/>
  <c r="F1256" i="13" s="1"/>
  <c r="G1250" i="13"/>
  <c r="J1250" i="13" s="1"/>
  <c r="F1250" i="13"/>
  <c r="I1250" i="13" s="1"/>
  <c r="G1249" i="13"/>
  <c r="J1249" i="13" s="1"/>
  <c r="F1249" i="13"/>
  <c r="I1249" i="13" s="1"/>
  <c r="G1248" i="13"/>
  <c r="G1251" i="13" s="1"/>
  <c r="F1248" i="13"/>
  <c r="F1251" i="13" s="1"/>
  <c r="F1272" i="13" s="1"/>
  <c r="F1273" i="13" s="1"/>
  <c r="G1245" i="13"/>
  <c r="J1245" i="13" s="1"/>
  <c r="F1245" i="13"/>
  <c r="I1245" i="13" s="1"/>
  <c r="G1242" i="13"/>
  <c r="J1242" i="13" s="1"/>
  <c r="F1242" i="13"/>
  <c r="I1242" i="13" s="1"/>
  <c r="G1241" i="13"/>
  <c r="J1241" i="13" s="1"/>
  <c r="F1241" i="13"/>
  <c r="I1241" i="13" s="1"/>
  <c r="G1240" i="13"/>
  <c r="J1240" i="13" s="1"/>
  <c r="F1240" i="13"/>
  <c r="I1240" i="13" s="1"/>
  <c r="G1239" i="13"/>
  <c r="J1239" i="13" s="1"/>
  <c r="F1239" i="13"/>
  <c r="I1239" i="13" s="1"/>
  <c r="G1238" i="13"/>
  <c r="J1238" i="13" s="1"/>
  <c r="F1238" i="13"/>
  <c r="I1238" i="13" s="1"/>
  <c r="G1237" i="13"/>
  <c r="G1243" i="13" s="1"/>
  <c r="F1237" i="13"/>
  <c r="F1243" i="13" s="1"/>
  <c r="G1235" i="13"/>
  <c r="J1235" i="13" s="1"/>
  <c r="F1235" i="13"/>
  <c r="I1235" i="13" s="1"/>
  <c r="G1234" i="13"/>
  <c r="J1234" i="13" s="1"/>
  <c r="F1234" i="13"/>
  <c r="I1234" i="13" s="1"/>
  <c r="G1233" i="13"/>
  <c r="G1236" i="13" s="1"/>
  <c r="F1233" i="13"/>
  <c r="F1236" i="13" s="1"/>
  <c r="F1244" i="13" s="1"/>
  <c r="G1230" i="13"/>
  <c r="J1230" i="13" s="1"/>
  <c r="F1230" i="13"/>
  <c r="I1230" i="13" s="1"/>
  <c r="G1229" i="13"/>
  <c r="J1229" i="13" s="1"/>
  <c r="F1229" i="13"/>
  <c r="I1229" i="13" s="1"/>
  <c r="G1228" i="13"/>
  <c r="J1228" i="13" s="1"/>
  <c r="F1228" i="13"/>
  <c r="I1228" i="13" s="1"/>
  <c r="G1227" i="13"/>
  <c r="J1227" i="13" s="1"/>
  <c r="F1227" i="13"/>
  <c r="I1227" i="13" s="1"/>
  <c r="G1226" i="13"/>
  <c r="J1226" i="13" s="1"/>
  <c r="F1226" i="13"/>
  <c r="I1226" i="13" s="1"/>
  <c r="G1225" i="13"/>
  <c r="J1225" i="13" s="1"/>
  <c r="F1225" i="13"/>
  <c r="F1231" i="13" s="1"/>
  <c r="G1224" i="13"/>
  <c r="G1231" i="13" s="1"/>
  <c r="F1224" i="13"/>
  <c r="I1224" i="13" s="1"/>
  <c r="G1222" i="13"/>
  <c r="J1222" i="13" s="1"/>
  <c r="F1222" i="13"/>
  <c r="I1222" i="13" s="1"/>
  <c r="G1221" i="13"/>
  <c r="J1221" i="13" s="1"/>
  <c r="F1221" i="13"/>
  <c r="I1221" i="13" s="1"/>
  <c r="G1220" i="13"/>
  <c r="J1220" i="13" s="1"/>
  <c r="F1220" i="13"/>
  <c r="I1220" i="13" s="1"/>
  <c r="G1219" i="13"/>
  <c r="J1219" i="13" s="1"/>
  <c r="F1219" i="13"/>
  <c r="I1219" i="13" s="1"/>
  <c r="G1218" i="13"/>
  <c r="J1218" i="13" s="1"/>
  <c r="F1218" i="13"/>
  <c r="I1218" i="13" s="1"/>
  <c r="G1217" i="13"/>
  <c r="J1217" i="13" s="1"/>
  <c r="F1217" i="13"/>
  <c r="I1217" i="13" s="1"/>
  <c r="G1216" i="13"/>
  <c r="J1216" i="13" s="1"/>
  <c r="F1216" i="13"/>
  <c r="I1216" i="13" s="1"/>
  <c r="G1215" i="13"/>
  <c r="J1215" i="13" s="1"/>
  <c r="F1215" i="13"/>
  <c r="I1215" i="13" s="1"/>
  <c r="G1214" i="13"/>
  <c r="J1214" i="13" s="1"/>
  <c r="F1214" i="13"/>
  <c r="I1214" i="13" s="1"/>
  <c r="G1213" i="13"/>
  <c r="G1223" i="13" s="1"/>
  <c r="G1232" i="13" s="1"/>
  <c r="F1213" i="13"/>
  <c r="F1223" i="13" s="1"/>
  <c r="F1232" i="13" s="1"/>
  <c r="F1246" i="13" s="1"/>
  <c r="F1247" i="13" s="1"/>
  <c r="G1209" i="13"/>
  <c r="J1209" i="13" s="1"/>
  <c r="F1209" i="13"/>
  <c r="I1209" i="13" s="1"/>
  <c r="G1208" i="13"/>
  <c r="J1208" i="13" s="1"/>
  <c r="F1208" i="13"/>
  <c r="I1208" i="13" s="1"/>
  <c r="G1207" i="13"/>
  <c r="J1207" i="13" s="1"/>
  <c r="F1207" i="13"/>
  <c r="I1207" i="13" s="1"/>
  <c r="G1206" i="13"/>
  <c r="J1206" i="13" s="1"/>
  <c r="F1206" i="13"/>
  <c r="I1206" i="13" s="1"/>
  <c r="G1205" i="13"/>
  <c r="J1205" i="13" s="1"/>
  <c r="F1205" i="13"/>
  <c r="I1205" i="13" s="1"/>
  <c r="G1204" i="13"/>
  <c r="J1204" i="13" s="1"/>
  <c r="F1204" i="13"/>
  <c r="I1204" i="13" s="1"/>
  <c r="G1203" i="13"/>
  <c r="J1203" i="13" s="1"/>
  <c r="F1203" i="13"/>
  <c r="I1203" i="13" s="1"/>
  <c r="G1202" i="13"/>
  <c r="J1202" i="13" s="1"/>
  <c r="F1202" i="13"/>
  <c r="I1202" i="13" s="1"/>
  <c r="G1201" i="13"/>
  <c r="G1210" i="13" s="1"/>
  <c r="F1201" i="13"/>
  <c r="F1210" i="13" s="1"/>
  <c r="F1199" i="13"/>
  <c r="I1199" i="13" s="1"/>
  <c r="G1198" i="13"/>
  <c r="J1198" i="13" s="1"/>
  <c r="F1198" i="13"/>
  <c r="I1198" i="13" s="1"/>
  <c r="G1197" i="13"/>
  <c r="J1197" i="13" s="1"/>
  <c r="F1197" i="13"/>
  <c r="I1197" i="13" s="1"/>
  <c r="G1196" i="13"/>
  <c r="F1196" i="13"/>
  <c r="F1200" i="13" s="1"/>
  <c r="F1211" i="13" s="1"/>
  <c r="G1193" i="13"/>
  <c r="J1193" i="13" s="1"/>
  <c r="F1193" i="13"/>
  <c r="I1193" i="13" s="1"/>
  <c r="G1192" i="13"/>
  <c r="J1192" i="13" s="1"/>
  <c r="F1192" i="13"/>
  <c r="I1192" i="13" s="1"/>
  <c r="G1191" i="13"/>
  <c r="G1194" i="13" s="1"/>
  <c r="F1191" i="13"/>
  <c r="F1194" i="13" s="1"/>
  <c r="G1189" i="13"/>
  <c r="F1189" i="13"/>
  <c r="I1189" i="13" s="1"/>
  <c r="J1189" i="13" s="1"/>
  <c r="G1188" i="13"/>
  <c r="J1188" i="13" s="1"/>
  <c r="F1188" i="13"/>
  <c r="I1188" i="13" s="1"/>
  <c r="F1187" i="13"/>
  <c r="I1187" i="13" s="1"/>
  <c r="F1186" i="13"/>
  <c r="I1186" i="13" s="1"/>
  <c r="F1185" i="13"/>
  <c r="I1185" i="13" s="1"/>
  <c r="G1184" i="13"/>
  <c r="J1184" i="13" s="1"/>
  <c r="F1184" i="13"/>
  <c r="I1184" i="13" s="1"/>
  <c r="G1183" i="13"/>
  <c r="F1183" i="13"/>
  <c r="G1181" i="13"/>
  <c r="J1181" i="13" s="1"/>
  <c r="F1181" i="13"/>
  <c r="I1181" i="13" s="1"/>
  <c r="G1180" i="13"/>
  <c r="J1180" i="13" s="1"/>
  <c r="F1180" i="13"/>
  <c r="I1180" i="13" s="1"/>
  <c r="G1179" i="13"/>
  <c r="J1179" i="13" s="1"/>
  <c r="F1179" i="13"/>
  <c r="I1179" i="13" s="1"/>
  <c r="J1178" i="13"/>
  <c r="G1178" i="13"/>
  <c r="F1178" i="13"/>
  <c r="I1178" i="13" s="1"/>
  <c r="G1177" i="13"/>
  <c r="J1177" i="13" s="1"/>
  <c r="F1177" i="13"/>
  <c r="I1177" i="13" s="1"/>
  <c r="J1176" i="13"/>
  <c r="G1176" i="13"/>
  <c r="F1176" i="13"/>
  <c r="I1176" i="13" s="1"/>
  <c r="G1175" i="13"/>
  <c r="G1182" i="13" s="1"/>
  <c r="F1175" i="13"/>
  <c r="F1182" i="13" s="1"/>
  <c r="J1173" i="13"/>
  <c r="G1173" i="13"/>
  <c r="F1173" i="13"/>
  <c r="I1173" i="13" s="1"/>
  <c r="G1172" i="13"/>
  <c r="J1172" i="13" s="1"/>
  <c r="F1172" i="13"/>
  <c r="I1172" i="13" s="1"/>
  <c r="J1171" i="13"/>
  <c r="G1171" i="13"/>
  <c r="F1171" i="13"/>
  <c r="I1171" i="13" s="1"/>
  <c r="G1170" i="13"/>
  <c r="J1170" i="13" s="1"/>
  <c r="F1170" i="13"/>
  <c r="I1170" i="13" s="1"/>
  <c r="F1169" i="13"/>
  <c r="I1169" i="13" s="1"/>
  <c r="G1168" i="13"/>
  <c r="J1168" i="13" s="1"/>
  <c r="F1168" i="13"/>
  <c r="I1168" i="13" s="1"/>
  <c r="J1167" i="13"/>
  <c r="G1167" i="13"/>
  <c r="F1167" i="13"/>
  <c r="G1165" i="13"/>
  <c r="J1165" i="13" s="1"/>
  <c r="F1165" i="13"/>
  <c r="I1165" i="13" s="1"/>
  <c r="J1164" i="13"/>
  <c r="G1164" i="13"/>
  <c r="F1164" i="13"/>
  <c r="I1164" i="13" s="1"/>
  <c r="G1163" i="13"/>
  <c r="J1163" i="13" s="1"/>
  <c r="F1163" i="13"/>
  <c r="I1163" i="13" s="1"/>
  <c r="F1162" i="13"/>
  <c r="F1166" i="13" s="1"/>
  <c r="M1265" i="1"/>
  <c r="L1265" i="1"/>
  <c r="M1264" i="1"/>
  <c r="L1264" i="1"/>
  <c r="M1262" i="1"/>
  <c r="L1262" i="1"/>
  <c r="K1262" i="1" s="1"/>
  <c r="N1262" i="1" s="1"/>
  <c r="M1261" i="1"/>
  <c r="L1261" i="1"/>
  <c r="K1261" i="1" s="1"/>
  <c r="K1263" i="1" s="1"/>
  <c r="N1263" i="1" s="1"/>
  <c r="M1260" i="1"/>
  <c r="L1260" i="1"/>
  <c r="M1258" i="1"/>
  <c r="L1258" i="1"/>
  <c r="K1258" i="1" s="1"/>
  <c r="N1258" i="1" s="1"/>
  <c r="M1257" i="1"/>
  <c r="L1257" i="1"/>
  <c r="M1256" i="1"/>
  <c r="L1256" i="1"/>
  <c r="M1255" i="1"/>
  <c r="L1255" i="1"/>
  <c r="M1254" i="1"/>
  <c r="L1254" i="1"/>
  <c r="M1252" i="1"/>
  <c r="L1252" i="1"/>
  <c r="M1251" i="1"/>
  <c r="L1251" i="1"/>
  <c r="M1249" i="1"/>
  <c r="L1249" i="1"/>
  <c r="K1249" i="1" s="1"/>
  <c r="N1249" i="1" s="1"/>
  <c r="M1248" i="1"/>
  <c r="L1248" i="1"/>
  <c r="M1247" i="1"/>
  <c r="L1247" i="1"/>
  <c r="M1246" i="1"/>
  <c r="L1246" i="1"/>
  <c r="M1244" i="1"/>
  <c r="L1244" i="1"/>
  <c r="M1243" i="1"/>
  <c r="L1243" i="1"/>
  <c r="K1243" i="1" s="1"/>
  <c r="N1243" i="1" s="1"/>
  <c r="M1242" i="1"/>
  <c r="L1242" i="1"/>
  <c r="M1239" i="1"/>
  <c r="L1239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29" i="1"/>
  <c r="M1230" i="1" s="1"/>
  <c r="L1229" i="1"/>
  <c r="M1228" i="1"/>
  <c r="L1228" i="1"/>
  <c r="K1228" i="1" s="1"/>
  <c r="M1227" i="1"/>
  <c r="L1227" i="1"/>
  <c r="L1230" i="1" s="1"/>
  <c r="M1224" i="1"/>
  <c r="L1224" i="1"/>
  <c r="M1223" i="1"/>
  <c r="L1223" i="1"/>
  <c r="M1222" i="1"/>
  <c r="L1222" i="1"/>
  <c r="M1221" i="1"/>
  <c r="L1221" i="1"/>
  <c r="K1221" i="1" s="1"/>
  <c r="M1220" i="1"/>
  <c r="L1220" i="1"/>
  <c r="K1220" i="1" s="1"/>
  <c r="M1219" i="1"/>
  <c r="L1219" i="1"/>
  <c r="M1218" i="1"/>
  <c r="L1218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F1184" i="1"/>
  <c r="M1193" i="1"/>
  <c r="K1193" i="1" s="1"/>
  <c r="N1193" i="1" s="1"/>
  <c r="L1193" i="1"/>
  <c r="G1199" i="13" s="1"/>
  <c r="J1199" i="13" s="1"/>
  <c r="M1192" i="1"/>
  <c r="L1192" i="1"/>
  <c r="M1191" i="1"/>
  <c r="L1191" i="1"/>
  <c r="M1190" i="1"/>
  <c r="L1190" i="1"/>
  <c r="M1187" i="1"/>
  <c r="L1187" i="1"/>
  <c r="M1186" i="1"/>
  <c r="L1186" i="1"/>
  <c r="M1185" i="1"/>
  <c r="L1185" i="1"/>
  <c r="K1185" i="1" s="1"/>
  <c r="N1185" i="1" s="1"/>
  <c r="M1183" i="1"/>
  <c r="L1183" i="1"/>
  <c r="K1183" i="1" s="1"/>
  <c r="M1182" i="1"/>
  <c r="L1182" i="1"/>
  <c r="M1181" i="1"/>
  <c r="L1181" i="1"/>
  <c r="G1187" i="13" s="1"/>
  <c r="J1187" i="13" s="1"/>
  <c r="M1180" i="1"/>
  <c r="L1180" i="1"/>
  <c r="K1180" i="1" s="1"/>
  <c r="N1180" i="1" s="1"/>
  <c r="M1179" i="1"/>
  <c r="L1179" i="1"/>
  <c r="K1179" i="1" s="1"/>
  <c r="N1179" i="1" s="1"/>
  <c r="M1178" i="1"/>
  <c r="L1178" i="1"/>
  <c r="K1178" i="1" s="1"/>
  <c r="N1178" i="1" s="1"/>
  <c r="M1177" i="1"/>
  <c r="L1177" i="1"/>
  <c r="M1175" i="1"/>
  <c r="L1175" i="1"/>
  <c r="K1175" i="1" s="1"/>
  <c r="M1174" i="1"/>
  <c r="L1174" i="1"/>
  <c r="K1174" i="1" s="1"/>
  <c r="M1173" i="1"/>
  <c r="L1173" i="1"/>
  <c r="M1172" i="1"/>
  <c r="L1172" i="1"/>
  <c r="M1171" i="1"/>
  <c r="L1171" i="1"/>
  <c r="K1171" i="1" s="1"/>
  <c r="M1170" i="1"/>
  <c r="L1170" i="1"/>
  <c r="K1170" i="1" s="1"/>
  <c r="M1169" i="1"/>
  <c r="L1169" i="1"/>
  <c r="M1167" i="1"/>
  <c r="L1167" i="1"/>
  <c r="M1166" i="1"/>
  <c r="L1166" i="1"/>
  <c r="M1165" i="1"/>
  <c r="L1165" i="1"/>
  <c r="M1164" i="1"/>
  <c r="L1164" i="1"/>
  <c r="M1163" i="1"/>
  <c r="L1163" i="1"/>
  <c r="G1169" i="13" s="1"/>
  <c r="J1169" i="13" s="1"/>
  <c r="M1162" i="1"/>
  <c r="L1162" i="1"/>
  <c r="M1161" i="1"/>
  <c r="L1161" i="1"/>
  <c r="K1161" i="1" s="1"/>
  <c r="N1161" i="1" s="1"/>
  <c r="M1159" i="1"/>
  <c r="L1159" i="1"/>
  <c r="M1158" i="1"/>
  <c r="L1158" i="1"/>
  <c r="M1157" i="1"/>
  <c r="L1157" i="1"/>
  <c r="M1156" i="1"/>
  <c r="K1156" i="1" s="1"/>
  <c r="L1156" i="1"/>
  <c r="G1162" i="13" s="1"/>
  <c r="J1162" i="13" s="1"/>
  <c r="J1166" i="13" s="1"/>
  <c r="F1267" i="1"/>
  <c r="F1268" i="1" s="1"/>
  <c r="M1266" i="1"/>
  <c r="I1266" i="1"/>
  <c r="H1266" i="1"/>
  <c r="E1266" i="1"/>
  <c r="K1265" i="1"/>
  <c r="N1265" i="1" s="1"/>
  <c r="G1265" i="1"/>
  <c r="J1265" i="1" s="1"/>
  <c r="J1264" i="1"/>
  <c r="G1264" i="1"/>
  <c r="I1263" i="1"/>
  <c r="H1263" i="1"/>
  <c r="E1263" i="1"/>
  <c r="G1262" i="1"/>
  <c r="J1262" i="1" s="1"/>
  <c r="J1261" i="1"/>
  <c r="G1261" i="1"/>
  <c r="K1260" i="1"/>
  <c r="N1260" i="1" s="1"/>
  <c r="G1260" i="1"/>
  <c r="J1260" i="1" s="1"/>
  <c r="I1259" i="1"/>
  <c r="H1259" i="1"/>
  <c r="J1258" i="1"/>
  <c r="G1258" i="1"/>
  <c r="K1257" i="1"/>
  <c r="N1257" i="1" s="1"/>
  <c r="G1257" i="1"/>
  <c r="J1257" i="1" s="1"/>
  <c r="K1256" i="1"/>
  <c r="N1256" i="1" s="1"/>
  <c r="J1256" i="1"/>
  <c r="G1256" i="1"/>
  <c r="E1256" i="1"/>
  <c r="E1259" i="1" s="1"/>
  <c r="J1255" i="1"/>
  <c r="G1255" i="1"/>
  <c r="K1254" i="1"/>
  <c r="G1254" i="1"/>
  <c r="I1253" i="1"/>
  <c r="H1253" i="1"/>
  <c r="E1253" i="1"/>
  <c r="J1252" i="1"/>
  <c r="G1252" i="1"/>
  <c r="K1251" i="1"/>
  <c r="G1251" i="1"/>
  <c r="I1250" i="1"/>
  <c r="H1250" i="1"/>
  <c r="E1250" i="1"/>
  <c r="J1249" i="1"/>
  <c r="G1249" i="1"/>
  <c r="K1248" i="1"/>
  <c r="N1248" i="1" s="1"/>
  <c r="G1248" i="1"/>
  <c r="J1248" i="1" s="1"/>
  <c r="J1247" i="1"/>
  <c r="G1247" i="1"/>
  <c r="K1246" i="1"/>
  <c r="G1246" i="1"/>
  <c r="I1245" i="1"/>
  <c r="H1245" i="1"/>
  <c r="E1245" i="1"/>
  <c r="K1244" i="1"/>
  <c r="N1244" i="1" s="1"/>
  <c r="J1244" i="1"/>
  <c r="G1244" i="1"/>
  <c r="G1243" i="1"/>
  <c r="J1243" i="1" s="1"/>
  <c r="J1242" i="1"/>
  <c r="G1242" i="1"/>
  <c r="G1245" i="1" s="1"/>
  <c r="F1240" i="1"/>
  <c r="F1241" i="1" s="1"/>
  <c r="K1239" i="1"/>
  <c r="N1239" i="1" s="1"/>
  <c r="J1239" i="1"/>
  <c r="G1239" i="1"/>
  <c r="I1237" i="1"/>
  <c r="H1237" i="1"/>
  <c r="E1237" i="1"/>
  <c r="E1238" i="1" s="1"/>
  <c r="K1236" i="1"/>
  <c r="N1236" i="1" s="1"/>
  <c r="G1236" i="1"/>
  <c r="J1236" i="1" s="1"/>
  <c r="O1235" i="1"/>
  <c r="K1235" i="1"/>
  <c r="N1235" i="1" s="1"/>
  <c r="J1235" i="1"/>
  <c r="K1234" i="1"/>
  <c r="N1234" i="1" s="1"/>
  <c r="J1234" i="1"/>
  <c r="G1234" i="1"/>
  <c r="K1233" i="1"/>
  <c r="N1233" i="1" s="1"/>
  <c r="J1233" i="1"/>
  <c r="O1232" i="1"/>
  <c r="K1232" i="1"/>
  <c r="N1232" i="1" s="1"/>
  <c r="G1232" i="1"/>
  <c r="J1232" i="1" s="1"/>
  <c r="J1231" i="1"/>
  <c r="G1231" i="1"/>
  <c r="I1230" i="1"/>
  <c r="I1238" i="1" s="1"/>
  <c r="H1230" i="1"/>
  <c r="H1238" i="1" s="1"/>
  <c r="E1230" i="1"/>
  <c r="G1229" i="1"/>
  <c r="J1229" i="1" s="1"/>
  <c r="J1228" i="1"/>
  <c r="G1228" i="1"/>
  <c r="K1227" i="1"/>
  <c r="N1227" i="1" s="1"/>
  <c r="G1227" i="1"/>
  <c r="J1227" i="1" s="1"/>
  <c r="I1225" i="1"/>
  <c r="H1225" i="1"/>
  <c r="E1225" i="1"/>
  <c r="E1226" i="1" s="1"/>
  <c r="E1240" i="1" s="1"/>
  <c r="E1241" i="1" s="1"/>
  <c r="K1224" i="1"/>
  <c r="N1224" i="1" s="1"/>
  <c r="J1224" i="1"/>
  <c r="G1224" i="1"/>
  <c r="K1223" i="1"/>
  <c r="N1223" i="1" s="1"/>
  <c r="J1223" i="1"/>
  <c r="K1222" i="1"/>
  <c r="G1222" i="1"/>
  <c r="J1222" i="1" s="1"/>
  <c r="J1221" i="1"/>
  <c r="G1221" i="1"/>
  <c r="G1220" i="1"/>
  <c r="J1220" i="1" s="1"/>
  <c r="K1219" i="1"/>
  <c r="N1219" i="1" s="1"/>
  <c r="J1219" i="1"/>
  <c r="G1219" i="1"/>
  <c r="K1218" i="1"/>
  <c r="O1218" i="1" s="1"/>
  <c r="G1218" i="1"/>
  <c r="I1217" i="1"/>
  <c r="I1226" i="1" s="1"/>
  <c r="H1217" i="1"/>
  <c r="E1217" i="1"/>
  <c r="K1216" i="1"/>
  <c r="N1216" i="1" s="1"/>
  <c r="J1216" i="1"/>
  <c r="G1216" i="1"/>
  <c r="K1215" i="1"/>
  <c r="N1215" i="1" s="1"/>
  <c r="G1215" i="1"/>
  <c r="J1215" i="1" s="1"/>
  <c r="G1214" i="1"/>
  <c r="J1214" i="1" s="1"/>
  <c r="O1213" i="1"/>
  <c r="K1213" i="1"/>
  <c r="N1213" i="1" s="1"/>
  <c r="G1213" i="1"/>
  <c r="J1213" i="1" s="1"/>
  <c r="K1212" i="1"/>
  <c r="N1212" i="1" s="1"/>
  <c r="J1212" i="1"/>
  <c r="G1212" i="1"/>
  <c r="K1211" i="1"/>
  <c r="N1211" i="1" s="1"/>
  <c r="G1211" i="1"/>
  <c r="J1211" i="1" s="1"/>
  <c r="O1210" i="1"/>
  <c r="K1210" i="1"/>
  <c r="N1210" i="1" s="1"/>
  <c r="J1210" i="1"/>
  <c r="G1210" i="1"/>
  <c r="O1209" i="1"/>
  <c r="K1209" i="1"/>
  <c r="N1209" i="1" s="1"/>
  <c r="G1209" i="1"/>
  <c r="J1209" i="1" s="1"/>
  <c r="K1208" i="1"/>
  <c r="N1208" i="1" s="1"/>
  <c r="J1208" i="1"/>
  <c r="G1208" i="1"/>
  <c r="M1217" i="1"/>
  <c r="K1207" i="1"/>
  <c r="O1207" i="1" s="1"/>
  <c r="G1207" i="1"/>
  <c r="F1205" i="1"/>
  <c r="L1204" i="1"/>
  <c r="I1204" i="1"/>
  <c r="M1204" i="1" s="1"/>
  <c r="H1204" i="1"/>
  <c r="E1204" i="1"/>
  <c r="E1205" i="1" s="1"/>
  <c r="K1203" i="1"/>
  <c r="N1203" i="1" s="1"/>
  <c r="J1203" i="1"/>
  <c r="G1203" i="1"/>
  <c r="K1202" i="1"/>
  <c r="N1202" i="1" s="1"/>
  <c r="G1202" i="1"/>
  <c r="J1202" i="1" s="1"/>
  <c r="O1201" i="1"/>
  <c r="K1201" i="1"/>
  <c r="N1201" i="1" s="1"/>
  <c r="J1201" i="1"/>
  <c r="G1201" i="1"/>
  <c r="O1200" i="1"/>
  <c r="K1200" i="1"/>
  <c r="N1200" i="1" s="1"/>
  <c r="G1200" i="1"/>
  <c r="J1200" i="1" s="1"/>
  <c r="K1199" i="1"/>
  <c r="N1199" i="1" s="1"/>
  <c r="J1199" i="1"/>
  <c r="G1199" i="1"/>
  <c r="K1198" i="1"/>
  <c r="N1198" i="1" s="1"/>
  <c r="G1198" i="1"/>
  <c r="J1198" i="1" s="1"/>
  <c r="O1197" i="1"/>
  <c r="K1197" i="1"/>
  <c r="N1197" i="1" s="1"/>
  <c r="J1197" i="1"/>
  <c r="G1197" i="1"/>
  <c r="K1196" i="1"/>
  <c r="N1196" i="1" s="1"/>
  <c r="G1196" i="1"/>
  <c r="J1196" i="1" s="1"/>
  <c r="O1195" i="1"/>
  <c r="K1195" i="1"/>
  <c r="K1204" i="1" s="1"/>
  <c r="N1204" i="1" s="1"/>
  <c r="J1195" i="1"/>
  <c r="G1195" i="1"/>
  <c r="I1194" i="1"/>
  <c r="I1205" i="1" s="1"/>
  <c r="H1194" i="1"/>
  <c r="H1205" i="1" s="1"/>
  <c r="E1194" i="1"/>
  <c r="G1193" i="1"/>
  <c r="J1193" i="1" s="1"/>
  <c r="K1192" i="1"/>
  <c r="N1192" i="1" s="1"/>
  <c r="J1192" i="1"/>
  <c r="G1192" i="1"/>
  <c r="M1194" i="1"/>
  <c r="K1191" i="1"/>
  <c r="N1191" i="1" s="1"/>
  <c r="G1191" i="1"/>
  <c r="J1191" i="1" s="1"/>
  <c r="J1190" i="1"/>
  <c r="G1190" i="1"/>
  <c r="I1188" i="1"/>
  <c r="H1188" i="1"/>
  <c r="E1188" i="1"/>
  <c r="K1187" i="1"/>
  <c r="N1187" i="1" s="1"/>
  <c r="G1187" i="1"/>
  <c r="J1187" i="1" s="1"/>
  <c r="K1186" i="1"/>
  <c r="N1186" i="1" s="1"/>
  <c r="J1186" i="1"/>
  <c r="G1186" i="1"/>
  <c r="M1188" i="1"/>
  <c r="L1188" i="1"/>
  <c r="G1185" i="1"/>
  <c r="J1185" i="1" s="1"/>
  <c r="H1184" i="1"/>
  <c r="F1189" i="1"/>
  <c r="F1206" i="1" s="1"/>
  <c r="F1269" i="1" s="1"/>
  <c r="E1184" i="1"/>
  <c r="G1183" i="1"/>
  <c r="J1183" i="1" s="1"/>
  <c r="J1182" i="1"/>
  <c r="G1182" i="1"/>
  <c r="I1184" i="1"/>
  <c r="G1181" i="1"/>
  <c r="J1181" i="1" s="1"/>
  <c r="G1180" i="1"/>
  <c r="J1180" i="1" s="1"/>
  <c r="G1179" i="1"/>
  <c r="J1179" i="1" s="1"/>
  <c r="J1178" i="1"/>
  <c r="G1178" i="1"/>
  <c r="K1177" i="1"/>
  <c r="G1177" i="1"/>
  <c r="I1176" i="1"/>
  <c r="H1176" i="1"/>
  <c r="E1176" i="1"/>
  <c r="J1175" i="1"/>
  <c r="G1175" i="1"/>
  <c r="G1174" i="1"/>
  <c r="J1174" i="1" s="1"/>
  <c r="K1173" i="1"/>
  <c r="N1173" i="1" s="1"/>
  <c r="J1173" i="1"/>
  <c r="G1173" i="1"/>
  <c r="K1172" i="1"/>
  <c r="N1172" i="1" s="1"/>
  <c r="G1172" i="1"/>
  <c r="J1172" i="1" s="1"/>
  <c r="J1171" i="1"/>
  <c r="G1171" i="1"/>
  <c r="G1170" i="1"/>
  <c r="J1170" i="1" s="1"/>
  <c r="M1176" i="1"/>
  <c r="K1169" i="1"/>
  <c r="J1169" i="1"/>
  <c r="G1169" i="1"/>
  <c r="G1176" i="1" s="1"/>
  <c r="J1176" i="1" s="1"/>
  <c r="E1168" i="1"/>
  <c r="K1167" i="1"/>
  <c r="N1167" i="1" s="1"/>
  <c r="G1167" i="1"/>
  <c r="J1167" i="1" s="1"/>
  <c r="K1166" i="1"/>
  <c r="N1166" i="1" s="1"/>
  <c r="G1166" i="1"/>
  <c r="J1166" i="1" s="1"/>
  <c r="K1165" i="1"/>
  <c r="N1165" i="1" s="1"/>
  <c r="G1165" i="1"/>
  <c r="J1165" i="1" s="1"/>
  <c r="K1164" i="1"/>
  <c r="N1164" i="1" s="1"/>
  <c r="G1164" i="1"/>
  <c r="J1164" i="1" s="1"/>
  <c r="I1168" i="1"/>
  <c r="H1168" i="1"/>
  <c r="G1163" i="1"/>
  <c r="J1163" i="1" s="1"/>
  <c r="K1162" i="1"/>
  <c r="N1162" i="1" s="1"/>
  <c r="J1162" i="1"/>
  <c r="G1162" i="1"/>
  <c r="G1161" i="1"/>
  <c r="J1161" i="1" s="1"/>
  <c r="I1160" i="1"/>
  <c r="H1160" i="1"/>
  <c r="E1160" i="1"/>
  <c r="E1189" i="1" s="1"/>
  <c r="E1206" i="1" s="1"/>
  <c r="K1159" i="1"/>
  <c r="N1159" i="1" s="1"/>
  <c r="J1159" i="1"/>
  <c r="G1159" i="1"/>
  <c r="K1158" i="1"/>
  <c r="N1158" i="1" s="1"/>
  <c r="G1158" i="1"/>
  <c r="J1158" i="1" s="1"/>
  <c r="K1157" i="1"/>
  <c r="N1157" i="1" s="1"/>
  <c r="G1157" i="1"/>
  <c r="J1157" i="1" s="1"/>
  <c r="M1160" i="1"/>
  <c r="G1156" i="1"/>
  <c r="G1160" i="1" s="1"/>
  <c r="I1064" i="1"/>
  <c r="H1064" i="1"/>
  <c r="M37" i="14" l="1"/>
  <c r="O37" i="14"/>
  <c r="N37" i="14" s="1"/>
  <c r="P37" i="14" s="1"/>
  <c r="E189" i="15"/>
  <c r="N765" i="17"/>
  <c r="G1386" i="1"/>
  <c r="J1386" i="1" s="1"/>
  <c r="N1323" i="1"/>
  <c r="K1358" i="1"/>
  <c r="N1357" i="1"/>
  <c r="N1358" i="1" s="1"/>
  <c r="O1357" i="1"/>
  <c r="O1358" i="1" s="1"/>
  <c r="J654" i="17"/>
  <c r="M654" i="17" s="1"/>
  <c r="N654" i="17"/>
  <c r="N647" i="17"/>
  <c r="G1200" i="13"/>
  <c r="G1211" i="13" s="1"/>
  <c r="F166" i="15" s="1"/>
  <c r="G1174" i="13"/>
  <c r="F1174" i="13"/>
  <c r="J1174" i="13"/>
  <c r="F1190" i="13"/>
  <c r="F1195" i="13" s="1"/>
  <c r="F1212" i="13" s="1"/>
  <c r="F1274" i="13" s="1"/>
  <c r="G1186" i="13"/>
  <c r="J1186" i="13" s="1"/>
  <c r="G1185" i="13"/>
  <c r="J1185" i="13" s="1"/>
  <c r="G1190" i="13"/>
  <c r="G1184" i="1"/>
  <c r="J1184" i="1" s="1"/>
  <c r="I1240" i="1"/>
  <c r="I1241" i="1" s="1"/>
  <c r="K1229" i="1"/>
  <c r="N1229" i="1" s="1"/>
  <c r="H1226" i="1"/>
  <c r="H1240" i="1" s="1"/>
  <c r="H1241" i="1" s="1"/>
  <c r="F1081" i="16"/>
  <c r="M41" i="14"/>
  <c r="O41" i="14"/>
  <c r="N41" i="14" s="1"/>
  <c r="R41" i="14" s="1"/>
  <c r="M45" i="14"/>
  <c r="O45" i="14"/>
  <c r="N45" i="14" s="1"/>
  <c r="R45" i="14" s="1"/>
  <c r="M39" i="14"/>
  <c r="O39" i="14"/>
  <c r="N39" i="14" s="1"/>
  <c r="R39" i="14" s="1"/>
  <c r="M43" i="14"/>
  <c r="O43" i="14"/>
  <c r="N43" i="14" s="1"/>
  <c r="R43" i="14" s="1"/>
  <c r="M47" i="14"/>
  <c r="O47" i="14"/>
  <c r="N47" i="14" s="1"/>
  <c r="R47" i="14" s="1"/>
  <c r="O38" i="14"/>
  <c r="N38" i="14" s="1"/>
  <c r="P38" i="14" s="1"/>
  <c r="O40" i="14"/>
  <c r="N40" i="14" s="1"/>
  <c r="R40" i="14" s="1"/>
  <c r="O42" i="14"/>
  <c r="N42" i="14" s="1"/>
  <c r="P42" i="14" s="1"/>
  <c r="O44" i="14"/>
  <c r="N44" i="14" s="1"/>
  <c r="R44" i="14" s="1"/>
  <c r="O46" i="14"/>
  <c r="N46" i="14" s="1"/>
  <c r="P46" i="14" s="1"/>
  <c r="N48" i="14"/>
  <c r="R48" i="14" s="1"/>
  <c r="N49" i="14"/>
  <c r="P49" i="14" s="1"/>
  <c r="N50" i="14"/>
  <c r="R50" i="14" s="1"/>
  <c r="N51" i="14"/>
  <c r="P51" i="14" s="1"/>
  <c r="N52" i="14"/>
  <c r="R52" i="14" s="1"/>
  <c r="R37" i="14"/>
  <c r="R38" i="14"/>
  <c r="R46" i="14"/>
  <c r="P48" i="14"/>
  <c r="Q37" i="14"/>
  <c r="M48" i="14"/>
  <c r="M49" i="14"/>
  <c r="M50" i="14"/>
  <c r="M51" i="14"/>
  <c r="M52" i="14"/>
  <c r="C175" i="15"/>
  <c r="H1022" i="16"/>
  <c r="E1024" i="16"/>
  <c r="H1024" i="16"/>
  <c r="I1018" i="16"/>
  <c r="I1022" i="16" s="1"/>
  <c r="F1017" i="16"/>
  <c r="F1024" i="16" s="1"/>
  <c r="I1011" i="16"/>
  <c r="I1017" i="16" s="1"/>
  <c r="J166" i="15" s="1"/>
  <c r="E1084" i="16"/>
  <c r="I1056" i="16"/>
  <c r="I1081" i="16" s="1"/>
  <c r="J172" i="15" s="1"/>
  <c r="J174" i="15" s="1"/>
  <c r="I995" i="16"/>
  <c r="I1010" i="16" s="1"/>
  <c r="J165" i="15" s="1"/>
  <c r="J168" i="15" s="1"/>
  <c r="M674" i="17"/>
  <c r="N674" i="17"/>
  <c r="M690" i="17"/>
  <c r="N690" i="17"/>
  <c r="M682" i="17"/>
  <c r="N682" i="17"/>
  <c r="M698" i="17"/>
  <c r="N698" i="17"/>
  <c r="N671" i="17"/>
  <c r="Q674" i="17"/>
  <c r="N680" i="17"/>
  <c r="Q682" i="17"/>
  <c r="N688" i="17"/>
  <c r="Q690" i="17"/>
  <c r="N696" i="17"/>
  <c r="Q698" i="17"/>
  <c r="K700" i="17"/>
  <c r="K701" i="17" s="1"/>
  <c r="G172" i="15" s="1"/>
  <c r="G174" i="15" s="1"/>
  <c r="P700" i="17"/>
  <c r="P701" i="17" s="1"/>
  <c r="J669" i="17"/>
  <c r="M669" i="17" s="1"/>
  <c r="N669" i="17"/>
  <c r="J676" i="17"/>
  <c r="M676" i="17" s="1"/>
  <c r="N676" i="17"/>
  <c r="J684" i="17"/>
  <c r="M684" i="17" s="1"/>
  <c r="N684" i="17"/>
  <c r="J692" i="17"/>
  <c r="M692" i="17" s="1"/>
  <c r="N663" i="17"/>
  <c r="F666" i="17"/>
  <c r="I666" i="17" s="1"/>
  <c r="P666" i="17"/>
  <c r="P667" i="17" s="1"/>
  <c r="L657" i="17"/>
  <c r="P649" i="17"/>
  <c r="L658" i="17"/>
  <c r="Q646" i="17"/>
  <c r="J646" i="17"/>
  <c r="M646" i="17" s="1"/>
  <c r="Q653" i="17"/>
  <c r="J653" i="17"/>
  <c r="M653" i="17" s="1"/>
  <c r="N655" i="17"/>
  <c r="L667" i="17"/>
  <c r="N660" i="17"/>
  <c r="F649" i="17"/>
  <c r="Q644" i="17"/>
  <c r="Q649" i="17" s="1"/>
  <c r="H165" i="15" s="1"/>
  <c r="J644" i="17"/>
  <c r="Q648" i="17"/>
  <c r="J648" i="17"/>
  <c r="M648" i="17" s="1"/>
  <c r="K649" i="17"/>
  <c r="P657" i="17"/>
  <c r="Q651" i="17"/>
  <c r="Q657" i="17" s="1"/>
  <c r="H166" i="15" s="1"/>
  <c r="J651" i="17"/>
  <c r="N653" i="17"/>
  <c r="Q655" i="17"/>
  <c r="J655" i="17"/>
  <c r="M655" i="17" s="1"/>
  <c r="F657" i="17"/>
  <c r="I657" i="17" s="1"/>
  <c r="G702" i="17"/>
  <c r="N659" i="17"/>
  <c r="K666" i="17"/>
  <c r="K667" i="17" s="1"/>
  <c r="F667" i="17"/>
  <c r="I667" i="17" s="1"/>
  <c r="Q673" i="17"/>
  <c r="J673" i="17"/>
  <c r="M673" i="17" s="1"/>
  <c r="Q677" i="17"/>
  <c r="J677" i="17"/>
  <c r="M677" i="17" s="1"/>
  <c r="Q681" i="17"/>
  <c r="J681" i="17"/>
  <c r="M681" i="17" s="1"/>
  <c r="Q685" i="17"/>
  <c r="J685" i="17"/>
  <c r="M685" i="17" s="1"/>
  <c r="Q689" i="17"/>
  <c r="J689" i="17"/>
  <c r="M689" i="17" s="1"/>
  <c r="Q693" i="17"/>
  <c r="J693" i="17"/>
  <c r="M693" i="17" s="1"/>
  <c r="Q697" i="17"/>
  <c r="J697" i="17"/>
  <c r="M697" i="17" s="1"/>
  <c r="N699" i="17"/>
  <c r="D702" i="17"/>
  <c r="N644" i="17"/>
  <c r="I659" i="17"/>
  <c r="M659" i="17"/>
  <c r="J660" i="17"/>
  <c r="M660" i="17" s="1"/>
  <c r="J662" i="17"/>
  <c r="M662" i="17" s="1"/>
  <c r="J664" i="17"/>
  <c r="M664" i="17" s="1"/>
  <c r="F700" i="17"/>
  <c r="J668" i="17"/>
  <c r="L700" i="17"/>
  <c r="N668" i="17"/>
  <c r="Q668" i="17"/>
  <c r="J670" i="17"/>
  <c r="M670" i="17" s="1"/>
  <c r="J672" i="17"/>
  <c r="M672" i="17" s="1"/>
  <c r="N673" i="17"/>
  <c r="Q675" i="17"/>
  <c r="J675" i="17"/>
  <c r="M675" i="17" s="1"/>
  <c r="Q679" i="17"/>
  <c r="J679" i="17"/>
  <c r="M679" i="17" s="1"/>
  <c r="N681" i="17"/>
  <c r="Q683" i="17"/>
  <c r="J683" i="17"/>
  <c r="M683" i="17" s="1"/>
  <c r="N685" i="17"/>
  <c r="Q687" i="17"/>
  <c r="J687" i="17"/>
  <c r="M687" i="17" s="1"/>
  <c r="N689" i="17"/>
  <c r="Q691" i="17"/>
  <c r="J691" i="17"/>
  <c r="M691" i="17" s="1"/>
  <c r="Q695" i="17"/>
  <c r="J695" i="17"/>
  <c r="M695" i="17" s="1"/>
  <c r="N697" i="17"/>
  <c r="Q699" i="17"/>
  <c r="J699" i="17"/>
  <c r="M699" i="17" s="1"/>
  <c r="H702" i="17"/>
  <c r="G1166" i="13"/>
  <c r="G1195" i="13" s="1"/>
  <c r="J1175" i="13"/>
  <c r="J1182" i="13" s="1"/>
  <c r="J1183" i="13"/>
  <c r="J1190" i="13" s="1"/>
  <c r="J1191" i="13"/>
  <c r="J1194" i="13" s="1"/>
  <c r="J1196" i="13"/>
  <c r="J1200" i="13" s="1"/>
  <c r="J1211" i="13" s="1"/>
  <c r="I166" i="15" s="1"/>
  <c r="J1201" i="13"/>
  <c r="J1210" i="13" s="1"/>
  <c r="I1225" i="13"/>
  <c r="I1231" i="13" s="1"/>
  <c r="I1233" i="13"/>
  <c r="I1236" i="13" s="1"/>
  <c r="I1248" i="13"/>
  <c r="I1251" i="13" s="1"/>
  <c r="I1266" i="13"/>
  <c r="I1268" i="13" s="1"/>
  <c r="I1162" i="13"/>
  <c r="I1166" i="13" s="1"/>
  <c r="I1167" i="13"/>
  <c r="I1174" i="13" s="1"/>
  <c r="I1175" i="13"/>
  <c r="I1182" i="13" s="1"/>
  <c r="I1183" i="13"/>
  <c r="I1190" i="13" s="1"/>
  <c r="I1191" i="13"/>
  <c r="I1194" i="13" s="1"/>
  <c r="I1196" i="13"/>
  <c r="I1200" i="13" s="1"/>
  <c r="I1211" i="13" s="1"/>
  <c r="I1201" i="13"/>
  <c r="I1210" i="13" s="1"/>
  <c r="I1213" i="13"/>
  <c r="I1223" i="13" s="1"/>
  <c r="G1244" i="13"/>
  <c r="G1246" i="13" s="1"/>
  <c r="G1247" i="13" s="1"/>
  <c r="F169" i="15" s="1"/>
  <c r="F171" i="15" s="1"/>
  <c r="I1237" i="13"/>
  <c r="I1243" i="13" s="1"/>
  <c r="G1272" i="13"/>
  <c r="G1273" i="13" s="1"/>
  <c r="F172" i="15" s="1"/>
  <c r="F174" i="15" s="1"/>
  <c r="I1252" i="13"/>
  <c r="I1256" i="13" s="1"/>
  <c r="I1257" i="13"/>
  <c r="I1259" i="13" s="1"/>
  <c r="I1260" i="13"/>
  <c r="I1264" i="13" s="1"/>
  <c r="J1213" i="13"/>
  <c r="J1223" i="13" s="1"/>
  <c r="J1224" i="13"/>
  <c r="J1231" i="13" s="1"/>
  <c r="J1233" i="13"/>
  <c r="J1236" i="13" s="1"/>
  <c r="J1237" i="13"/>
  <c r="J1243" i="13" s="1"/>
  <c r="J1248" i="13"/>
  <c r="J1251" i="13" s="1"/>
  <c r="J1252" i="13"/>
  <c r="J1256" i="13" s="1"/>
  <c r="J1257" i="13"/>
  <c r="J1259" i="13" s="1"/>
  <c r="J1260" i="13"/>
  <c r="J1264" i="13" s="1"/>
  <c r="J1265" i="13"/>
  <c r="J1268" i="13" s="1"/>
  <c r="O1265" i="1"/>
  <c r="O1239" i="1"/>
  <c r="O1233" i="1"/>
  <c r="O1234" i="1"/>
  <c r="O1236" i="1"/>
  <c r="N1228" i="1"/>
  <c r="O1228" i="1"/>
  <c r="O1227" i="1"/>
  <c r="O1229" i="1"/>
  <c r="N1220" i="1"/>
  <c r="O1220" i="1"/>
  <c r="N1221" i="1"/>
  <c r="O1221" i="1"/>
  <c r="O1219" i="1"/>
  <c r="O1223" i="1"/>
  <c r="O1208" i="1"/>
  <c r="O1211" i="1"/>
  <c r="O1212" i="1"/>
  <c r="O1215" i="1"/>
  <c r="O1216" i="1"/>
  <c r="O1198" i="1"/>
  <c r="O1199" i="1"/>
  <c r="O1202" i="1"/>
  <c r="O1203" i="1"/>
  <c r="O1196" i="1"/>
  <c r="O1204" i="1"/>
  <c r="O1187" i="1"/>
  <c r="N1183" i="1"/>
  <c r="O1183" i="1"/>
  <c r="N1170" i="1"/>
  <c r="O1170" i="1"/>
  <c r="N1171" i="1"/>
  <c r="O1171" i="1"/>
  <c r="N1174" i="1"/>
  <c r="O1174" i="1"/>
  <c r="N1175" i="1"/>
  <c r="O1175" i="1"/>
  <c r="O1172" i="1"/>
  <c r="O1173" i="1"/>
  <c r="O1162" i="1"/>
  <c r="O1167" i="1"/>
  <c r="O1158" i="1"/>
  <c r="N1222" i="1"/>
  <c r="O1222" i="1"/>
  <c r="K1214" i="1"/>
  <c r="N1214" i="1" s="1"/>
  <c r="L1217" i="1"/>
  <c r="O1193" i="1"/>
  <c r="O1179" i="1"/>
  <c r="K1182" i="1"/>
  <c r="N1182" i="1" s="1"/>
  <c r="O1165" i="1"/>
  <c r="J1160" i="1"/>
  <c r="M1205" i="1"/>
  <c r="K1160" i="1"/>
  <c r="O1157" i="1"/>
  <c r="O1159" i="1"/>
  <c r="I1189" i="1"/>
  <c r="I1206" i="1" s="1"/>
  <c r="O1164" i="1"/>
  <c r="O1166" i="1"/>
  <c r="K1176" i="1"/>
  <c r="N1176" i="1" s="1"/>
  <c r="N1169" i="1"/>
  <c r="O1178" i="1"/>
  <c r="O1180" i="1"/>
  <c r="O1186" i="1"/>
  <c r="O1156" i="1"/>
  <c r="H1189" i="1"/>
  <c r="H1206" i="1" s="1"/>
  <c r="L1160" i="1"/>
  <c r="O1161" i="1"/>
  <c r="G1168" i="1"/>
  <c r="J1168" i="1" s="1"/>
  <c r="L1176" i="1"/>
  <c r="O1177" i="1"/>
  <c r="M1184" i="1"/>
  <c r="L1184" i="1"/>
  <c r="O1185" i="1"/>
  <c r="G1188" i="1"/>
  <c r="J1188" i="1" s="1"/>
  <c r="K1188" i="1"/>
  <c r="N1188" i="1" s="1"/>
  <c r="L1194" i="1"/>
  <c r="L1205" i="1" s="1"/>
  <c r="K1190" i="1"/>
  <c r="G1217" i="1"/>
  <c r="J1207" i="1"/>
  <c r="G1225" i="1"/>
  <c r="J1225" i="1" s="1"/>
  <c r="J1218" i="1"/>
  <c r="G1230" i="1"/>
  <c r="L1237" i="1"/>
  <c r="L1238" i="1" s="1"/>
  <c r="K1231" i="1"/>
  <c r="O1231" i="1" s="1"/>
  <c r="G1237" i="1"/>
  <c r="J1237" i="1" s="1"/>
  <c r="M1237" i="1"/>
  <c r="K1242" i="1"/>
  <c r="L1245" i="1"/>
  <c r="O1243" i="1"/>
  <c r="N1246" i="1"/>
  <c r="M1250" i="1"/>
  <c r="O1246" i="1"/>
  <c r="K1252" i="1"/>
  <c r="N1252" i="1" s="1"/>
  <c r="L1253" i="1"/>
  <c r="K1255" i="1"/>
  <c r="N1255" i="1" s="1"/>
  <c r="L1259" i="1"/>
  <c r="O1257" i="1"/>
  <c r="N1261" i="1"/>
  <c r="O1262" i="1"/>
  <c r="G1266" i="1"/>
  <c r="J1266" i="1" s="1"/>
  <c r="J1156" i="1"/>
  <c r="N1156" i="1"/>
  <c r="K1163" i="1"/>
  <c r="N1163" i="1" s="1"/>
  <c r="O1169" i="1"/>
  <c r="J1177" i="1"/>
  <c r="N1177" i="1"/>
  <c r="O1190" i="1"/>
  <c r="O1191" i="1"/>
  <c r="O1192" i="1"/>
  <c r="G1194" i="1"/>
  <c r="G1204" i="1"/>
  <c r="N1195" i="1"/>
  <c r="K1217" i="1"/>
  <c r="N1207" i="1"/>
  <c r="K1225" i="1"/>
  <c r="N1225" i="1" s="1"/>
  <c r="N1218" i="1"/>
  <c r="M1225" i="1"/>
  <c r="O1225" i="1" s="1"/>
  <c r="O1224" i="1"/>
  <c r="L1225" i="1"/>
  <c r="H1267" i="1"/>
  <c r="H1268" i="1" s="1"/>
  <c r="J1245" i="1"/>
  <c r="K1247" i="1"/>
  <c r="N1247" i="1" s="1"/>
  <c r="L1250" i="1"/>
  <c r="O1248" i="1"/>
  <c r="N1251" i="1"/>
  <c r="M1253" i="1"/>
  <c r="O1251" i="1"/>
  <c r="N1254" i="1"/>
  <c r="M1259" i="1"/>
  <c r="O1254" i="1"/>
  <c r="M1263" i="1"/>
  <c r="O1263" i="1" s="1"/>
  <c r="O1260" i="1"/>
  <c r="M1245" i="1"/>
  <c r="O1244" i="1"/>
  <c r="E1267" i="1"/>
  <c r="E1268" i="1" s="1"/>
  <c r="E1269" i="1" s="1"/>
  <c r="I1267" i="1"/>
  <c r="I1268" i="1" s="1"/>
  <c r="G1250" i="1"/>
  <c r="J1250" i="1" s="1"/>
  <c r="J1246" i="1"/>
  <c r="O1249" i="1"/>
  <c r="G1253" i="1"/>
  <c r="J1253" i="1" s="1"/>
  <c r="J1251" i="1"/>
  <c r="G1259" i="1"/>
  <c r="J1259" i="1" s="1"/>
  <c r="J1254" i="1"/>
  <c r="O1255" i="1"/>
  <c r="O1256" i="1"/>
  <c r="O1258" i="1"/>
  <c r="L1263" i="1"/>
  <c r="O1261" i="1"/>
  <c r="G1263" i="1"/>
  <c r="J1263" i="1" s="1"/>
  <c r="L1266" i="1"/>
  <c r="K1264" i="1"/>
  <c r="O1242" i="1"/>
  <c r="F1071" i="13"/>
  <c r="I1071" i="13" s="1"/>
  <c r="M1065" i="1"/>
  <c r="L1065" i="1"/>
  <c r="G1065" i="1"/>
  <c r="J1065" i="1" s="1"/>
  <c r="I1046" i="1"/>
  <c r="H1046" i="1"/>
  <c r="I601" i="1"/>
  <c r="H601" i="1"/>
  <c r="K1386" i="1" l="1"/>
  <c r="N1386" i="1" s="1"/>
  <c r="D184" i="15"/>
  <c r="P52" i="14"/>
  <c r="R42" i="14"/>
  <c r="R49" i="14"/>
  <c r="P40" i="14"/>
  <c r="Q43" i="14"/>
  <c r="S43" i="14" s="1"/>
  <c r="T43" i="14" s="1"/>
  <c r="Q49" i="14"/>
  <c r="P43" i="14"/>
  <c r="Q38" i="14"/>
  <c r="S38" i="14" s="1"/>
  <c r="T38" i="14" s="1"/>
  <c r="Q46" i="14"/>
  <c r="S46" i="14" s="1"/>
  <c r="T46" i="14" s="1"/>
  <c r="R51" i="14"/>
  <c r="Q51" i="14"/>
  <c r="P50" i="14"/>
  <c r="S49" i="14"/>
  <c r="T49" i="14" s="1"/>
  <c r="Q41" i="14"/>
  <c r="S41" i="14" s="1"/>
  <c r="O1386" i="1"/>
  <c r="J175" i="15"/>
  <c r="P45" i="14"/>
  <c r="Q42" i="14"/>
  <c r="S42" i="14" s="1"/>
  <c r="T42" i="14" s="1"/>
  <c r="H168" i="15"/>
  <c r="K658" i="17"/>
  <c r="G165" i="15"/>
  <c r="G168" i="15" s="1"/>
  <c r="P658" i="17"/>
  <c r="J1195" i="13"/>
  <c r="J1212" i="13" s="1"/>
  <c r="I165" i="15"/>
  <c r="I168" i="15" s="1"/>
  <c r="G1212" i="13"/>
  <c r="G1274" i="13" s="1"/>
  <c r="F165" i="15"/>
  <c r="F168" i="15" s="1"/>
  <c r="F175" i="15" s="1"/>
  <c r="K702" i="17"/>
  <c r="G169" i="15"/>
  <c r="G171" i="15" s="1"/>
  <c r="P702" i="17"/>
  <c r="G175" i="15"/>
  <c r="K1230" i="1"/>
  <c r="O1230" i="1" s="1"/>
  <c r="F1084" i="16"/>
  <c r="N692" i="17"/>
  <c r="Q47" i="14"/>
  <c r="S47" i="14" s="1"/>
  <c r="Q45" i="14"/>
  <c r="S45" i="14" s="1"/>
  <c r="Q39" i="14"/>
  <c r="S39" i="14" s="1"/>
  <c r="P47" i="14"/>
  <c r="P44" i="14"/>
  <c r="P41" i="14"/>
  <c r="P39" i="14"/>
  <c r="Q44" i="14"/>
  <c r="S44" i="14" s="1"/>
  <c r="Q40" i="14"/>
  <c r="S40" i="14" s="1"/>
  <c r="Q52" i="14"/>
  <c r="S52" i="14" s="1"/>
  <c r="T52" i="14" s="1"/>
  <c r="Q50" i="14"/>
  <c r="S50" i="14" s="1"/>
  <c r="T50" i="14" s="1"/>
  <c r="Q48" i="14"/>
  <c r="S48" i="14" s="1"/>
  <c r="T48" i="14" s="1"/>
  <c r="S37" i="14"/>
  <c r="T37" i="14" s="1"/>
  <c r="I1024" i="16"/>
  <c r="I1084" i="16" s="1"/>
  <c r="N691" i="17"/>
  <c r="N675" i="17"/>
  <c r="N693" i="17"/>
  <c r="N677" i="17"/>
  <c r="N683" i="17"/>
  <c r="N670" i="17"/>
  <c r="N646" i="17"/>
  <c r="Q700" i="17"/>
  <c r="Q701" i="17" s="1"/>
  <c r="H172" i="15" s="1"/>
  <c r="H174" i="15" s="1"/>
  <c r="H175" i="15" s="1"/>
  <c r="L701" i="17"/>
  <c r="F701" i="17"/>
  <c r="I700" i="17"/>
  <c r="M651" i="17"/>
  <c r="J657" i="17"/>
  <c r="Q658" i="17"/>
  <c r="N672" i="17"/>
  <c r="N648" i="17"/>
  <c r="J700" i="17"/>
  <c r="M668" i="17"/>
  <c r="N695" i="17"/>
  <c r="N687" i="17"/>
  <c r="N679" i="17"/>
  <c r="N662" i="17"/>
  <c r="J649" i="17"/>
  <c r="M644" i="17"/>
  <c r="F658" i="17"/>
  <c r="I658" i="17" s="1"/>
  <c r="I649" i="17"/>
  <c r="N664" i="17"/>
  <c r="J666" i="17"/>
  <c r="N651" i="17"/>
  <c r="I1232" i="13"/>
  <c r="I1244" i="13"/>
  <c r="J1272" i="13"/>
  <c r="J1273" i="13" s="1"/>
  <c r="I172" i="15" s="1"/>
  <c r="I174" i="15" s="1"/>
  <c r="J1244" i="13"/>
  <c r="J1232" i="13"/>
  <c r="I1195" i="13"/>
  <c r="I1212" i="13" s="1"/>
  <c r="I1272" i="13"/>
  <c r="I1273" i="13" s="1"/>
  <c r="L1226" i="1"/>
  <c r="L1240" i="1" s="1"/>
  <c r="L1241" i="1" s="1"/>
  <c r="O1188" i="1"/>
  <c r="O1214" i="1"/>
  <c r="O1182" i="1"/>
  <c r="M1226" i="1"/>
  <c r="K1226" i="1"/>
  <c r="N1217" i="1"/>
  <c r="O1250" i="1"/>
  <c r="K1250" i="1"/>
  <c r="N1250" i="1" s="1"/>
  <c r="L1267" i="1"/>
  <c r="L1268" i="1" s="1"/>
  <c r="G1267" i="1"/>
  <c r="G1226" i="1"/>
  <c r="J1217" i="1"/>
  <c r="K1168" i="1"/>
  <c r="N1168" i="1" s="1"/>
  <c r="O1163" i="1"/>
  <c r="I1269" i="1"/>
  <c r="N1160" i="1"/>
  <c r="M1168" i="1"/>
  <c r="K1266" i="1"/>
  <c r="N1264" i="1"/>
  <c r="O1252" i="1"/>
  <c r="O1247" i="1"/>
  <c r="M1267" i="1"/>
  <c r="O1245" i="1"/>
  <c r="O1264" i="1"/>
  <c r="K1259" i="1"/>
  <c r="N1259" i="1" s="1"/>
  <c r="K1253" i="1"/>
  <c r="N1253" i="1" s="1"/>
  <c r="N1230" i="1"/>
  <c r="O1217" i="1"/>
  <c r="J1194" i="1"/>
  <c r="G1205" i="1"/>
  <c r="K1245" i="1"/>
  <c r="N1242" i="1"/>
  <c r="K1237" i="1"/>
  <c r="N1237" i="1" s="1"/>
  <c r="N1231" i="1"/>
  <c r="J1230" i="1"/>
  <c r="G1238" i="1"/>
  <c r="J1238" i="1" s="1"/>
  <c r="K1194" i="1"/>
  <c r="N1190" i="1"/>
  <c r="H1269" i="1"/>
  <c r="M1238" i="1"/>
  <c r="K1181" i="1"/>
  <c r="O1181" i="1" s="1"/>
  <c r="L1168" i="1"/>
  <c r="L1189" i="1" s="1"/>
  <c r="L1206" i="1" s="1"/>
  <c r="O1160" i="1"/>
  <c r="O1176" i="1"/>
  <c r="G1189" i="1"/>
  <c r="K1065" i="1"/>
  <c r="N1065" i="1" s="1"/>
  <c r="G1071" i="13"/>
  <c r="J1071" i="13" s="1"/>
  <c r="O1065" i="1"/>
  <c r="L76" i="14"/>
  <c r="K76" i="14" s="1"/>
  <c r="O76" i="14" s="1"/>
  <c r="G76" i="14"/>
  <c r="C76" i="14"/>
  <c r="L75" i="14"/>
  <c r="K75" i="14" s="1"/>
  <c r="G75" i="14"/>
  <c r="C75" i="14"/>
  <c r="L74" i="14"/>
  <c r="K74" i="14" s="1"/>
  <c r="O74" i="14" s="1"/>
  <c r="G74" i="14"/>
  <c r="C74" i="14"/>
  <c r="L73" i="14"/>
  <c r="K73" i="14" s="1"/>
  <c r="O73" i="14" s="1"/>
  <c r="G73" i="14"/>
  <c r="C73" i="14"/>
  <c r="L72" i="14"/>
  <c r="K72" i="14" s="1"/>
  <c r="O72" i="14" s="1"/>
  <c r="G72" i="14"/>
  <c r="C72" i="14"/>
  <c r="L71" i="14"/>
  <c r="K71" i="14" s="1"/>
  <c r="O71" i="14" s="1"/>
  <c r="G71" i="14"/>
  <c r="C71" i="14"/>
  <c r="G70" i="14"/>
  <c r="L69" i="14"/>
  <c r="K69" i="14" s="1"/>
  <c r="G69" i="14"/>
  <c r="C69" i="14"/>
  <c r="G68" i="14"/>
  <c r="L67" i="14"/>
  <c r="K67" i="14" s="1"/>
  <c r="G67" i="14"/>
  <c r="C67" i="14"/>
  <c r="L66" i="14"/>
  <c r="K66" i="14" s="1"/>
  <c r="G66" i="14"/>
  <c r="C66" i="14"/>
  <c r="L65" i="14"/>
  <c r="K65" i="14" s="1"/>
  <c r="G65" i="14"/>
  <c r="C65" i="14"/>
  <c r="L64" i="14"/>
  <c r="K64" i="14" s="1"/>
  <c r="G64" i="14"/>
  <c r="C64" i="14"/>
  <c r="L63" i="14"/>
  <c r="K63" i="14" s="1"/>
  <c r="G63" i="14"/>
  <c r="C63" i="14"/>
  <c r="L62" i="14"/>
  <c r="K62" i="14" s="1"/>
  <c r="G62" i="14"/>
  <c r="C62" i="14"/>
  <c r="L61" i="14"/>
  <c r="K61" i="14" s="1"/>
  <c r="G61" i="14"/>
  <c r="C61" i="14"/>
  <c r="J154" i="15"/>
  <c r="J150" i="15"/>
  <c r="E158" i="15"/>
  <c r="J156" i="15"/>
  <c r="E155" i="15"/>
  <c r="E152" i="15"/>
  <c r="H988" i="16"/>
  <c r="F988" i="16"/>
  <c r="I988" i="16" s="1"/>
  <c r="I989" i="16" s="1"/>
  <c r="E987" i="16"/>
  <c r="H986" i="16"/>
  <c r="F986" i="16"/>
  <c r="I986" i="16" s="1"/>
  <c r="H985" i="16"/>
  <c r="F985" i="16"/>
  <c r="I985" i="16" s="1"/>
  <c r="I984" i="16"/>
  <c r="H984" i="16"/>
  <c r="F984" i="16"/>
  <c r="H983" i="16"/>
  <c r="F983" i="16"/>
  <c r="I983" i="16" s="1"/>
  <c r="H982" i="16"/>
  <c r="F982" i="16"/>
  <c r="I982" i="16" s="1"/>
  <c r="H981" i="16"/>
  <c r="F981" i="16"/>
  <c r="I981" i="16" s="1"/>
  <c r="H980" i="16"/>
  <c r="F980" i="16"/>
  <c r="I980" i="16" s="1"/>
  <c r="H979" i="16"/>
  <c r="F979" i="16"/>
  <c r="I979" i="16" s="1"/>
  <c r="H978" i="16"/>
  <c r="F978" i="16"/>
  <c r="I978" i="16" s="1"/>
  <c r="H977" i="16"/>
  <c r="F977" i="16"/>
  <c r="I977" i="16" s="1"/>
  <c r="H976" i="16"/>
  <c r="F976" i="16"/>
  <c r="I976" i="16" s="1"/>
  <c r="H975" i="16"/>
  <c r="F975" i="16"/>
  <c r="I975" i="16" s="1"/>
  <c r="H974" i="16"/>
  <c r="F974" i="16"/>
  <c r="I974" i="16" s="1"/>
  <c r="H973" i="16"/>
  <c r="F973" i="16"/>
  <c r="I973" i="16" s="1"/>
  <c r="H972" i="16"/>
  <c r="F972" i="16"/>
  <c r="I972" i="16" s="1"/>
  <c r="H971" i="16"/>
  <c r="F971" i="16"/>
  <c r="I971" i="16" s="1"/>
  <c r="H970" i="16"/>
  <c r="F970" i="16"/>
  <c r="I970" i="16" s="1"/>
  <c r="H969" i="16"/>
  <c r="F969" i="16"/>
  <c r="I969" i="16" s="1"/>
  <c r="H968" i="16"/>
  <c r="F968" i="16"/>
  <c r="I968" i="16" s="1"/>
  <c r="H967" i="16"/>
  <c r="F967" i="16"/>
  <c r="I967" i="16" s="1"/>
  <c r="H966" i="16"/>
  <c r="F966" i="16"/>
  <c r="I966" i="16" s="1"/>
  <c r="H965" i="16"/>
  <c r="F965" i="16"/>
  <c r="I965" i="16" s="1"/>
  <c r="H964" i="16"/>
  <c r="F964" i="16"/>
  <c r="I964" i="16" s="1"/>
  <c r="H963" i="16"/>
  <c r="F963" i="16"/>
  <c r="I963" i="16" s="1"/>
  <c r="H962" i="16"/>
  <c r="F962" i="16"/>
  <c r="F987" i="16" s="1"/>
  <c r="H961" i="16"/>
  <c r="H987" i="16" s="1"/>
  <c r="F961" i="16"/>
  <c r="I961" i="16" s="1"/>
  <c r="F960" i="16"/>
  <c r="E960" i="16"/>
  <c r="H959" i="16"/>
  <c r="F959" i="16"/>
  <c r="I959" i="16" s="1"/>
  <c r="H958" i="16"/>
  <c r="F958" i="16"/>
  <c r="I958" i="16" s="1"/>
  <c r="H957" i="16"/>
  <c r="F957" i="16"/>
  <c r="I957" i="16" s="1"/>
  <c r="H956" i="16"/>
  <c r="F956" i="16"/>
  <c r="I956" i="16" s="1"/>
  <c r="H955" i="16"/>
  <c r="F955" i="16"/>
  <c r="I955" i="16" s="1"/>
  <c r="H954" i="16"/>
  <c r="F954" i="16"/>
  <c r="I954" i="16" s="1"/>
  <c r="H953" i="16"/>
  <c r="F953" i="16"/>
  <c r="I953" i="16" s="1"/>
  <c r="H952" i="16"/>
  <c r="F952" i="16"/>
  <c r="I952" i="16" s="1"/>
  <c r="H951" i="16"/>
  <c r="F951" i="16"/>
  <c r="I951" i="16" s="1"/>
  <c r="H950" i="16"/>
  <c r="F950" i="16"/>
  <c r="I950" i="16" s="1"/>
  <c r="H949" i="16"/>
  <c r="F949" i="16"/>
  <c r="I949" i="16" s="1"/>
  <c r="H948" i="16"/>
  <c r="F948" i="16"/>
  <c r="I948" i="16" s="1"/>
  <c r="H947" i="16"/>
  <c r="F947" i="16"/>
  <c r="I947" i="16" s="1"/>
  <c r="H946" i="16"/>
  <c r="F946" i="16"/>
  <c r="I946" i="16" s="1"/>
  <c r="H945" i="16"/>
  <c r="F945" i="16"/>
  <c r="I945" i="16" s="1"/>
  <c r="H944" i="16"/>
  <c r="F944" i="16"/>
  <c r="I944" i="16" s="1"/>
  <c r="H943" i="16"/>
  <c r="F943" i="16"/>
  <c r="I943" i="16" s="1"/>
  <c r="H942" i="16"/>
  <c r="F942" i="16"/>
  <c r="I942" i="16" s="1"/>
  <c r="H941" i="16"/>
  <c r="F941" i="16"/>
  <c r="I941" i="16" s="1"/>
  <c r="H940" i="16"/>
  <c r="F940" i="16"/>
  <c r="I940" i="16" s="1"/>
  <c r="H939" i="16"/>
  <c r="F939" i="16"/>
  <c r="I939" i="16" s="1"/>
  <c r="H938" i="16"/>
  <c r="F938" i="16"/>
  <c r="I938" i="16" s="1"/>
  <c r="H937" i="16"/>
  <c r="F937" i="16"/>
  <c r="I937" i="16" s="1"/>
  <c r="H936" i="16"/>
  <c r="F936" i="16"/>
  <c r="I936" i="16" s="1"/>
  <c r="H935" i="16"/>
  <c r="F935" i="16"/>
  <c r="I935" i="16" s="1"/>
  <c r="H934" i="16"/>
  <c r="F934" i="16"/>
  <c r="I934" i="16" s="1"/>
  <c r="H933" i="16"/>
  <c r="F933" i="16"/>
  <c r="I933" i="16" s="1"/>
  <c r="H932" i="16"/>
  <c r="F932" i="16"/>
  <c r="I932" i="16" s="1"/>
  <c r="H931" i="16"/>
  <c r="H960" i="16" s="1"/>
  <c r="F931" i="16"/>
  <c r="I931" i="16" s="1"/>
  <c r="I960" i="16" s="1"/>
  <c r="E928" i="16"/>
  <c r="H927" i="16"/>
  <c r="F927" i="16"/>
  <c r="I927" i="16" s="1"/>
  <c r="H926" i="16"/>
  <c r="F926" i="16"/>
  <c r="I926" i="16" s="1"/>
  <c r="H925" i="16"/>
  <c r="F925" i="16"/>
  <c r="I925" i="16" s="1"/>
  <c r="H924" i="16"/>
  <c r="F924" i="16"/>
  <c r="F928" i="16" s="1"/>
  <c r="E923" i="16"/>
  <c r="H922" i="16"/>
  <c r="F922" i="16"/>
  <c r="I922" i="16" s="1"/>
  <c r="H921" i="16"/>
  <c r="F921" i="16"/>
  <c r="I921" i="16" s="1"/>
  <c r="H920" i="16"/>
  <c r="F920" i="16"/>
  <c r="I920" i="16" s="1"/>
  <c r="H919" i="16"/>
  <c r="F919" i="16"/>
  <c r="I919" i="16" s="1"/>
  <c r="H918" i="16"/>
  <c r="H923" i="16" s="1"/>
  <c r="F918" i="16"/>
  <c r="I918" i="16" s="1"/>
  <c r="H917" i="16"/>
  <c r="F917" i="16"/>
  <c r="E916" i="16"/>
  <c r="H915" i="16"/>
  <c r="F915" i="16"/>
  <c r="I915" i="16" s="1"/>
  <c r="H914" i="16"/>
  <c r="F914" i="16"/>
  <c r="I914" i="16" s="1"/>
  <c r="H913" i="16"/>
  <c r="F913" i="16"/>
  <c r="I913" i="16" s="1"/>
  <c r="H912" i="16"/>
  <c r="F912" i="16"/>
  <c r="I912" i="16" s="1"/>
  <c r="H911" i="16"/>
  <c r="F911" i="16"/>
  <c r="I911" i="16" s="1"/>
  <c r="H910" i="16"/>
  <c r="F910" i="16"/>
  <c r="I910" i="16" s="1"/>
  <c r="H909" i="16"/>
  <c r="F909" i="16"/>
  <c r="I909" i="16" s="1"/>
  <c r="H908" i="16"/>
  <c r="F908" i="16"/>
  <c r="I908" i="16" s="1"/>
  <c r="H907" i="16"/>
  <c r="F907" i="16"/>
  <c r="I907" i="16" s="1"/>
  <c r="H906" i="16"/>
  <c r="F906" i="16"/>
  <c r="I906" i="16" s="1"/>
  <c r="H905" i="16"/>
  <c r="F905" i="16"/>
  <c r="I905" i="16" s="1"/>
  <c r="H904" i="16"/>
  <c r="F904" i="16"/>
  <c r="I904" i="16" s="1"/>
  <c r="H903" i="16"/>
  <c r="F903" i="16"/>
  <c r="I903" i="16" s="1"/>
  <c r="H902" i="16"/>
  <c r="F902" i="16"/>
  <c r="I902" i="16" s="1"/>
  <c r="H901" i="16"/>
  <c r="F901" i="16"/>
  <c r="F916" i="16" s="1"/>
  <c r="E638" i="17"/>
  <c r="D638" i="17"/>
  <c r="H637" i="17"/>
  <c r="H638" i="17" s="1"/>
  <c r="G637" i="17"/>
  <c r="G638" i="17" s="1"/>
  <c r="D637" i="17"/>
  <c r="P636" i="17"/>
  <c r="L636" i="17"/>
  <c r="K636" i="17"/>
  <c r="I636" i="17"/>
  <c r="F636" i="17"/>
  <c r="Q635" i="17"/>
  <c r="P635" i="17"/>
  <c r="N635" i="17"/>
  <c r="L635" i="17"/>
  <c r="K635" i="17"/>
  <c r="J635" i="17"/>
  <c r="M635" i="17" s="1"/>
  <c r="F635" i="17"/>
  <c r="I635" i="17" s="1"/>
  <c r="P634" i="17"/>
  <c r="L634" i="17"/>
  <c r="K634" i="17"/>
  <c r="I634" i="17"/>
  <c r="F634" i="17"/>
  <c r="Q633" i="17"/>
  <c r="P633" i="17"/>
  <c r="L633" i="17"/>
  <c r="N633" i="17" s="1"/>
  <c r="K633" i="17"/>
  <c r="J633" i="17"/>
  <c r="M633" i="17" s="1"/>
  <c r="F633" i="17"/>
  <c r="I633" i="17" s="1"/>
  <c r="P632" i="17"/>
  <c r="L632" i="17"/>
  <c r="K632" i="17"/>
  <c r="I632" i="17"/>
  <c r="F632" i="17"/>
  <c r="Q631" i="17"/>
  <c r="P631" i="17"/>
  <c r="N631" i="17"/>
  <c r="L631" i="17"/>
  <c r="K631" i="17"/>
  <c r="J631" i="17"/>
  <c r="M631" i="17" s="1"/>
  <c r="F631" i="17"/>
  <c r="I631" i="17" s="1"/>
  <c r="P630" i="17"/>
  <c r="L630" i="17"/>
  <c r="K630" i="17"/>
  <c r="I630" i="17"/>
  <c r="F630" i="17"/>
  <c r="Q629" i="17"/>
  <c r="P629" i="17"/>
  <c r="L629" i="17"/>
  <c r="K629" i="17"/>
  <c r="J629" i="17"/>
  <c r="M629" i="17" s="1"/>
  <c r="F629" i="17"/>
  <c r="I629" i="17" s="1"/>
  <c r="P628" i="17"/>
  <c r="L628" i="17"/>
  <c r="K628" i="17"/>
  <c r="F628" i="17"/>
  <c r="I628" i="17" s="1"/>
  <c r="Q627" i="17"/>
  <c r="P627" i="17"/>
  <c r="N627" i="17"/>
  <c r="L627" i="17"/>
  <c r="K627" i="17"/>
  <c r="J627" i="17"/>
  <c r="M627" i="17" s="1"/>
  <c r="F627" i="17"/>
  <c r="I627" i="17" s="1"/>
  <c r="P626" i="17"/>
  <c r="L626" i="17"/>
  <c r="K626" i="17"/>
  <c r="F626" i="17"/>
  <c r="I626" i="17" s="1"/>
  <c r="P625" i="17"/>
  <c r="L625" i="17"/>
  <c r="K625" i="17"/>
  <c r="Q625" i="17" s="1"/>
  <c r="F625" i="17"/>
  <c r="I625" i="17" s="1"/>
  <c r="P624" i="17"/>
  <c r="L624" i="17"/>
  <c r="K624" i="17"/>
  <c r="I624" i="17"/>
  <c r="F624" i="17"/>
  <c r="P623" i="17"/>
  <c r="L623" i="17"/>
  <c r="K623" i="17"/>
  <c r="J623" i="17" s="1"/>
  <c r="F623" i="17"/>
  <c r="I623" i="17" s="1"/>
  <c r="P622" i="17"/>
  <c r="L622" i="17"/>
  <c r="K622" i="17"/>
  <c r="I622" i="17"/>
  <c r="F622" i="17"/>
  <c r="Q621" i="17"/>
  <c r="P621" i="17"/>
  <c r="L621" i="17"/>
  <c r="K621" i="17"/>
  <c r="J621" i="17"/>
  <c r="M621" i="17" s="1"/>
  <c r="F621" i="17"/>
  <c r="I621" i="17" s="1"/>
  <c r="P620" i="17"/>
  <c r="L620" i="17"/>
  <c r="K620" i="17"/>
  <c r="F620" i="17"/>
  <c r="I620" i="17" s="1"/>
  <c r="P619" i="17"/>
  <c r="L619" i="17"/>
  <c r="K619" i="17"/>
  <c r="Q619" i="17" s="1"/>
  <c r="J619" i="17"/>
  <c r="M619" i="17" s="1"/>
  <c r="F619" i="17"/>
  <c r="I619" i="17" s="1"/>
  <c r="P618" i="17"/>
  <c r="K618" i="17"/>
  <c r="F618" i="17"/>
  <c r="I618" i="17" s="1"/>
  <c r="P617" i="17"/>
  <c r="L617" i="17"/>
  <c r="K617" i="17"/>
  <c r="Q617" i="17" s="1"/>
  <c r="F617" i="17"/>
  <c r="I617" i="17" s="1"/>
  <c r="P616" i="17"/>
  <c r="L616" i="17"/>
  <c r="K616" i="17"/>
  <c r="I616" i="17"/>
  <c r="F616" i="17"/>
  <c r="Q615" i="17"/>
  <c r="P615" i="17"/>
  <c r="N615" i="17"/>
  <c r="L615" i="17"/>
  <c r="K615" i="17"/>
  <c r="J615" i="17"/>
  <c r="M615" i="17" s="1"/>
  <c r="F615" i="17"/>
  <c r="I615" i="17" s="1"/>
  <c r="P614" i="17"/>
  <c r="L614" i="17"/>
  <c r="K614" i="17"/>
  <c r="F614" i="17"/>
  <c r="I614" i="17" s="1"/>
  <c r="P613" i="17"/>
  <c r="L613" i="17"/>
  <c r="K613" i="17"/>
  <c r="Q613" i="17" s="1"/>
  <c r="F613" i="17"/>
  <c r="I613" i="17" s="1"/>
  <c r="P612" i="17"/>
  <c r="L612" i="17"/>
  <c r="K612" i="17"/>
  <c r="F612" i="17"/>
  <c r="I612" i="17" s="1"/>
  <c r="P611" i="17"/>
  <c r="L611" i="17"/>
  <c r="K611" i="17"/>
  <c r="J611" i="17" s="1"/>
  <c r="F611" i="17"/>
  <c r="I611" i="17" s="1"/>
  <c r="P610" i="17"/>
  <c r="L610" i="17"/>
  <c r="K610" i="17"/>
  <c r="F610" i="17"/>
  <c r="I610" i="17" s="1"/>
  <c r="P609" i="17"/>
  <c r="L609" i="17"/>
  <c r="K609" i="17"/>
  <c r="Q609" i="17" s="1"/>
  <c r="I609" i="17"/>
  <c r="F609" i="17"/>
  <c r="Q608" i="17"/>
  <c r="P608" i="17"/>
  <c r="L608" i="17"/>
  <c r="K608" i="17"/>
  <c r="J608" i="17"/>
  <c r="M608" i="17" s="1"/>
  <c r="F608" i="17"/>
  <c r="I608" i="17" s="1"/>
  <c r="P607" i="17"/>
  <c r="L607" i="17"/>
  <c r="K607" i="17"/>
  <c r="Q607" i="17" s="1"/>
  <c r="F607" i="17"/>
  <c r="I607" i="17" s="1"/>
  <c r="Q606" i="17"/>
  <c r="P606" i="17"/>
  <c r="L606" i="17"/>
  <c r="N606" i="17" s="1"/>
  <c r="K606" i="17"/>
  <c r="J606" i="17"/>
  <c r="M606" i="17" s="1"/>
  <c r="F606" i="17"/>
  <c r="I606" i="17" s="1"/>
  <c r="P605" i="17"/>
  <c r="L605" i="17"/>
  <c r="K605" i="17"/>
  <c r="F605" i="17"/>
  <c r="I605" i="17" s="1"/>
  <c r="H604" i="17"/>
  <c r="E604" i="17"/>
  <c r="D604" i="17"/>
  <c r="H603" i="17"/>
  <c r="G603" i="17"/>
  <c r="G604" i="17" s="1"/>
  <c r="Q602" i="17"/>
  <c r="P602" i="17"/>
  <c r="L602" i="17"/>
  <c r="N602" i="17" s="1"/>
  <c r="K602" i="17"/>
  <c r="J602" i="17"/>
  <c r="M602" i="17" s="1"/>
  <c r="F602" i="17"/>
  <c r="I602" i="17" s="1"/>
  <c r="P601" i="17"/>
  <c r="L601" i="17"/>
  <c r="K601" i="17"/>
  <c r="Q601" i="17" s="1"/>
  <c r="I601" i="17"/>
  <c r="F601" i="17"/>
  <c r="Q600" i="17"/>
  <c r="P600" i="17"/>
  <c r="L600" i="17"/>
  <c r="K600" i="17"/>
  <c r="J600" i="17"/>
  <c r="M600" i="17" s="1"/>
  <c r="F600" i="17"/>
  <c r="I600" i="17" s="1"/>
  <c r="P599" i="17"/>
  <c r="L599" i="17"/>
  <c r="K599" i="17"/>
  <c r="Q599" i="17" s="1"/>
  <c r="F599" i="17"/>
  <c r="I599" i="17" s="1"/>
  <c r="Q598" i="17"/>
  <c r="P598" i="17"/>
  <c r="L598" i="17"/>
  <c r="N598" i="17" s="1"/>
  <c r="K598" i="17"/>
  <c r="J598" i="17"/>
  <c r="M598" i="17" s="1"/>
  <c r="F598" i="17"/>
  <c r="I598" i="17" s="1"/>
  <c r="P597" i="17"/>
  <c r="L597" i="17"/>
  <c r="K597" i="17"/>
  <c r="Q597" i="17" s="1"/>
  <c r="I597" i="17"/>
  <c r="F597" i="17"/>
  <c r="Q596" i="17"/>
  <c r="Q603" i="17" s="1"/>
  <c r="Q604" i="17" s="1"/>
  <c r="H154" i="15" s="1"/>
  <c r="H156" i="15" s="1"/>
  <c r="P596" i="17"/>
  <c r="L596" i="17"/>
  <c r="L603" i="17" s="1"/>
  <c r="K596" i="17"/>
  <c r="J596" i="17"/>
  <c r="F596" i="17"/>
  <c r="E595" i="17"/>
  <c r="E639" i="17" s="1"/>
  <c r="H594" i="17"/>
  <c r="G594" i="17"/>
  <c r="D594" i="17"/>
  <c r="Q593" i="17"/>
  <c r="P593" i="17"/>
  <c r="L593" i="17"/>
  <c r="N593" i="17" s="1"/>
  <c r="K593" i="17"/>
  <c r="J593" i="17"/>
  <c r="M593" i="17" s="1"/>
  <c r="F593" i="17"/>
  <c r="I593" i="17" s="1"/>
  <c r="P592" i="17"/>
  <c r="L592" i="17"/>
  <c r="K592" i="17"/>
  <c r="F592" i="17"/>
  <c r="I592" i="17" s="1"/>
  <c r="P591" i="17"/>
  <c r="L591" i="17"/>
  <c r="K591" i="17"/>
  <c r="Q591" i="17" s="1"/>
  <c r="F591" i="17"/>
  <c r="I591" i="17" s="1"/>
  <c r="P590" i="17"/>
  <c r="L590" i="17"/>
  <c r="K590" i="17"/>
  <c r="F590" i="17"/>
  <c r="I590" i="17" s="1"/>
  <c r="P589" i="17"/>
  <c r="L589" i="17"/>
  <c r="K589" i="17"/>
  <c r="Q589" i="17" s="1"/>
  <c r="F589" i="17"/>
  <c r="I589" i="17" s="1"/>
  <c r="P588" i="17"/>
  <c r="L588" i="17"/>
  <c r="K588" i="17"/>
  <c r="I588" i="17"/>
  <c r="F588" i="17"/>
  <c r="P587" i="17"/>
  <c r="L587" i="17"/>
  <c r="K587" i="17"/>
  <c r="K594" i="17" s="1"/>
  <c r="G151" i="15" s="1"/>
  <c r="F587" i="17"/>
  <c r="I587" i="17" s="1"/>
  <c r="H586" i="17"/>
  <c r="H595" i="17" s="1"/>
  <c r="G586" i="17"/>
  <c r="D586" i="17"/>
  <c r="D595" i="17" s="1"/>
  <c r="P585" i="17"/>
  <c r="L585" i="17"/>
  <c r="K585" i="17"/>
  <c r="I585" i="17"/>
  <c r="F585" i="17"/>
  <c r="P584" i="17"/>
  <c r="L584" i="17"/>
  <c r="K584" i="17"/>
  <c r="Q584" i="17" s="1"/>
  <c r="F584" i="17"/>
  <c r="I584" i="17" s="1"/>
  <c r="P583" i="17"/>
  <c r="L583" i="17"/>
  <c r="K583" i="17"/>
  <c r="I583" i="17"/>
  <c r="F583" i="17"/>
  <c r="Q582" i="17"/>
  <c r="P582" i="17"/>
  <c r="L582" i="17"/>
  <c r="N582" i="17" s="1"/>
  <c r="K582" i="17"/>
  <c r="J582" i="17"/>
  <c r="M582" i="17" s="1"/>
  <c r="F582" i="17"/>
  <c r="I582" i="17" s="1"/>
  <c r="P581" i="17"/>
  <c r="L581" i="17"/>
  <c r="K581" i="17"/>
  <c r="I581" i="17"/>
  <c r="F581" i="17"/>
  <c r="M1122" i="1"/>
  <c r="L1122" i="1"/>
  <c r="G1128" i="13" s="1"/>
  <c r="J1128" i="13" s="1"/>
  <c r="M1064" i="1"/>
  <c r="L1064" i="1"/>
  <c r="G1070" i="13"/>
  <c r="J1070" i="13" s="1"/>
  <c r="J1154" i="13"/>
  <c r="I1154" i="13"/>
  <c r="F1154" i="13"/>
  <c r="F1153" i="13"/>
  <c r="F1152" i="13"/>
  <c r="F1150" i="13"/>
  <c r="I1150" i="13" s="1"/>
  <c r="F1149" i="13"/>
  <c r="F1148" i="13"/>
  <c r="I1148" i="13" s="1"/>
  <c r="F1146" i="13"/>
  <c r="I1146" i="13" s="1"/>
  <c r="F1145" i="13"/>
  <c r="I1145" i="13" s="1"/>
  <c r="F1144" i="13"/>
  <c r="I1144" i="13" s="1"/>
  <c r="F1143" i="13"/>
  <c r="F1141" i="13"/>
  <c r="I1141" i="13" s="1"/>
  <c r="F1140" i="13"/>
  <c r="F1138" i="13"/>
  <c r="I1138" i="13" s="1"/>
  <c r="F1137" i="13"/>
  <c r="I1137" i="13" s="1"/>
  <c r="F1136" i="13"/>
  <c r="I1136" i="13" s="1"/>
  <c r="F1135" i="13"/>
  <c r="F1133" i="13"/>
  <c r="I1133" i="13" s="1"/>
  <c r="F1132" i="13"/>
  <c r="I1132" i="13" s="1"/>
  <c r="F1131" i="13"/>
  <c r="F1128" i="13"/>
  <c r="I1128" i="13" s="1"/>
  <c r="F1125" i="13"/>
  <c r="I1125" i="13" s="1"/>
  <c r="F1124" i="13"/>
  <c r="I1124" i="13" s="1"/>
  <c r="F1123" i="13"/>
  <c r="I1123" i="13" s="1"/>
  <c r="F1122" i="13"/>
  <c r="I1122" i="13" s="1"/>
  <c r="F1121" i="13"/>
  <c r="I1121" i="13" s="1"/>
  <c r="F1120" i="13"/>
  <c r="F1118" i="13"/>
  <c r="I1118" i="13" s="1"/>
  <c r="F1117" i="13"/>
  <c r="I1117" i="13" s="1"/>
  <c r="F1116" i="13"/>
  <c r="F1113" i="13"/>
  <c r="I1113" i="13" s="1"/>
  <c r="F1112" i="13"/>
  <c r="I1112" i="13" s="1"/>
  <c r="F1111" i="13"/>
  <c r="I1111" i="13" s="1"/>
  <c r="F1110" i="13"/>
  <c r="I1110" i="13" s="1"/>
  <c r="F1109" i="13"/>
  <c r="I1109" i="13" s="1"/>
  <c r="F1108" i="13"/>
  <c r="F1107" i="13"/>
  <c r="I1107" i="13" s="1"/>
  <c r="F1105" i="13"/>
  <c r="I1105" i="13" s="1"/>
  <c r="F1104" i="13"/>
  <c r="I1104" i="13" s="1"/>
  <c r="F1103" i="13"/>
  <c r="I1103" i="13" s="1"/>
  <c r="F1102" i="13"/>
  <c r="I1102" i="13" s="1"/>
  <c r="F1101" i="13"/>
  <c r="I1101" i="13" s="1"/>
  <c r="F1100" i="13"/>
  <c r="I1100" i="13" s="1"/>
  <c r="F1099" i="13"/>
  <c r="I1099" i="13" s="1"/>
  <c r="F1098" i="13"/>
  <c r="I1098" i="13" s="1"/>
  <c r="F1097" i="13"/>
  <c r="I1097" i="13" s="1"/>
  <c r="F1096" i="13"/>
  <c r="F1092" i="13"/>
  <c r="I1092" i="13" s="1"/>
  <c r="F1091" i="13"/>
  <c r="I1091" i="13" s="1"/>
  <c r="F1090" i="13"/>
  <c r="I1090" i="13" s="1"/>
  <c r="F1089" i="13"/>
  <c r="I1089" i="13" s="1"/>
  <c r="F1088" i="13"/>
  <c r="I1088" i="13" s="1"/>
  <c r="F1087" i="13"/>
  <c r="I1087" i="13" s="1"/>
  <c r="F1086" i="13"/>
  <c r="I1086" i="13" s="1"/>
  <c r="F1085" i="13"/>
  <c r="I1085" i="13" s="1"/>
  <c r="F1084" i="13"/>
  <c r="F1082" i="13"/>
  <c r="I1082" i="13" s="1"/>
  <c r="F1081" i="13"/>
  <c r="I1081" i="13" s="1"/>
  <c r="F1080" i="13"/>
  <c r="I1080" i="13" s="1"/>
  <c r="F1079" i="13"/>
  <c r="F1076" i="13"/>
  <c r="I1076" i="13" s="1"/>
  <c r="F1075" i="13"/>
  <c r="I1075" i="13" s="1"/>
  <c r="F1074" i="13"/>
  <c r="F1072" i="13"/>
  <c r="I1072" i="13" s="1"/>
  <c r="F1070" i="13"/>
  <c r="I1070" i="13" s="1"/>
  <c r="F1069" i="13"/>
  <c r="I1069" i="13" s="1"/>
  <c r="F1068" i="13"/>
  <c r="I1068" i="13" s="1"/>
  <c r="F1067" i="13"/>
  <c r="I1067" i="13" s="1"/>
  <c r="F1066" i="13"/>
  <c r="F1064" i="13"/>
  <c r="I1064" i="13" s="1"/>
  <c r="F1063" i="13"/>
  <c r="I1063" i="13" s="1"/>
  <c r="F1062" i="13"/>
  <c r="I1062" i="13" s="1"/>
  <c r="F1061" i="13"/>
  <c r="I1061" i="13" s="1"/>
  <c r="F1060" i="13"/>
  <c r="I1060" i="13" s="1"/>
  <c r="F1059" i="13"/>
  <c r="I1059" i="13" s="1"/>
  <c r="F1058" i="13"/>
  <c r="F1056" i="13"/>
  <c r="I1056" i="13" s="1"/>
  <c r="F1055" i="13"/>
  <c r="I1055" i="13" s="1"/>
  <c r="F1054" i="13"/>
  <c r="I1054" i="13" s="1"/>
  <c r="F1053" i="13"/>
  <c r="I1053" i="13" s="1"/>
  <c r="F1052" i="13"/>
  <c r="I1052" i="13" s="1"/>
  <c r="F1051" i="13"/>
  <c r="I1051" i="13" s="1"/>
  <c r="F1050" i="13"/>
  <c r="F1048" i="13"/>
  <c r="I1048" i="13" s="1"/>
  <c r="F1047" i="13"/>
  <c r="I1047" i="13" s="1"/>
  <c r="F1046" i="13"/>
  <c r="I1046" i="13" s="1"/>
  <c r="F1045" i="13"/>
  <c r="F1049" i="13" s="1"/>
  <c r="F1150" i="1"/>
  <c r="F1151" i="1" s="1"/>
  <c r="I1149" i="1"/>
  <c r="H1149" i="1"/>
  <c r="E1149" i="1"/>
  <c r="G1148" i="1"/>
  <c r="J1148" i="1" s="1"/>
  <c r="J1147" i="1"/>
  <c r="G1147" i="1"/>
  <c r="G1149" i="1" s="1"/>
  <c r="J1149" i="1" s="1"/>
  <c r="I1146" i="1"/>
  <c r="H1146" i="1"/>
  <c r="G1145" i="1"/>
  <c r="J1145" i="1" s="1"/>
  <c r="G1144" i="1"/>
  <c r="J1144" i="1" s="1"/>
  <c r="E1146" i="1"/>
  <c r="G1143" i="1"/>
  <c r="J1143" i="1" s="1"/>
  <c r="I1142" i="1"/>
  <c r="H1142" i="1"/>
  <c r="J1141" i="1"/>
  <c r="G1141" i="1"/>
  <c r="G1140" i="1"/>
  <c r="J1140" i="1" s="1"/>
  <c r="J1139" i="1"/>
  <c r="G1139" i="1"/>
  <c r="E1139" i="1"/>
  <c r="E1142" i="1" s="1"/>
  <c r="J1138" i="1"/>
  <c r="G1138" i="1"/>
  <c r="G1137" i="1"/>
  <c r="I1136" i="1"/>
  <c r="H1136" i="1"/>
  <c r="E1136" i="1"/>
  <c r="G1135" i="1"/>
  <c r="J1135" i="1" s="1"/>
  <c r="J1134" i="1"/>
  <c r="G1134" i="1"/>
  <c r="I1133" i="1"/>
  <c r="H1133" i="1"/>
  <c r="E1133" i="1"/>
  <c r="G1132" i="1"/>
  <c r="J1132" i="1" s="1"/>
  <c r="J1131" i="1"/>
  <c r="G1131" i="1"/>
  <c r="G1130" i="1"/>
  <c r="J1130" i="1" s="1"/>
  <c r="J1129" i="1"/>
  <c r="G1129" i="1"/>
  <c r="I1128" i="1"/>
  <c r="H1128" i="1"/>
  <c r="E1128" i="1"/>
  <c r="G1127" i="1"/>
  <c r="J1127" i="1" s="1"/>
  <c r="G1126" i="1"/>
  <c r="J1126" i="1" s="1"/>
  <c r="G1125" i="1"/>
  <c r="J1125" i="1" s="1"/>
  <c r="F1123" i="1"/>
  <c r="F1124" i="1" s="1"/>
  <c r="K1122" i="1"/>
  <c r="N1122" i="1" s="1"/>
  <c r="J1122" i="1"/>
  <c r="G1122" i="1"/>
  <c r="I1120" i="1"/>
  <c r="H1120" i="1"/>
  <c r="E1120" i="1"/>
  <c r="G1119" i="1"/>
  <c r="J1119" i="1" s="1"/>
  <c r="J1118" i="1"/>
  <c r="J1117" i="1"/>
  <c r="G1117" i="1"/>
  <c r="J1116" i="1"/>
  <c r="G1115" i="1"/>
  <c r="J1115" i="1" s="1"/>
  <c r="J1114" i="1"/>
  <c r="G1114" i="1"/>
  <c r="G1120" i="1" s="1"/>
  <c r="J1120" i="1" s="1"/>
  <c r="I1113" i="1"/>
  <c r="I1121" i="1" s="1"/>
  <c r="H1113" i="1"/>
  <c r="H1121" i="1" s="1"/>
  <c r="E1113" i="1"/>
  <c r="G1112" i="1"/>
  <c r="J1112" i="1" s="1"/>
  <c r="J1111" i="1"/>
  <c r="G1111" i="1"/>
  <c r="G1110" i="1"/>
  <c r="J1110" i="1" s="1"/>
  <c r="I1108" i="1"/>
  <c r="H1108" i="1"/>
  <c r="E1108" i="1"/>
  <c r="J1107" i="1"/>
  <c r="G1107" i="1"/>
  <c r="J1106" i="1"/>
  <c r="G1105" i="1"/>
  <c r="J1105" i="1" s="1"/>
  <c r="G1104" i="1"/>
  <c r="J1104" i="1" s="1"/>
  <c r="G1103" i="1"/>
  <c r="J1103" i="1" s="1"/>
  <c r="J1102" i="1"/>
  <c r="G1102" i="1"/>
  <c r="G1101" i="1"/>
  <c r="G1108" i="1" s="1"/>
  <c r="J1108" i="1" s="1"/>
  <c r="I1100" i="1"/>
  <c r="H1100" i="1"/>
  <c r="E1100" i="1"/>
  <c r="J1099" i="1"/>
  <c r="G1099" i="1"/>
  <c r="G1098" i="1"/>
  <c r="J1098" i="1" s="1"/>
  <c r="G1097" i="1"/>
  <c r="J1097" i="1" s="1"/>
  <c r="G1096" i="1"/>
  <c r="J1096" i="1" s="1"/>
  <c r="J1095" i="1"/>
  <c r="G1095" i="1"/>
  <c r="G1094" i="1"/>
  <c r="J1094" i="1" s="1"/>
  <c r="J1093" i="1"/>
  <c r="G1093" i="1"/>
  <c r="G1092" i="1"/>
  <c r="J1092" i="1" s="1"/>
  <c r="J1091" i="1"/>
  <c r="G1091" i="1"/>
  <c r="G1090" i="1"/>
  <c r="G1100" i="1" s="1"/>
  <c r="F1088" i="1"/>
  <c r="L1087" i="1"/>
  <c r="I1087" i="1"/>
  <c r="M1087" i="1" s="1"/>
  <c r="H1087" i="1"/>
  <c r="E1087" i="1"/>
  <c r="G1086" i="1"/>
  <c r="J1086" i="1" s="1"/>
  <c r="J1085" i="1"/>
  <c r="G1085" i="1"/>
  <c r="G1084" i="1"/>
  <c r="J1084" i="1" s="1"/>
  <c r="J1083" i="1"/>
  <c r="G1083" i="1"/>
  <c r="G1082" i="1"/>
  <c r="J1082" i="1" s="1"/>
  <c r="J1081" i="1"/>
  <c r="G1081" i="1"/>
  <c r="G1080" i="1"/>
  <c r="J1080" i="1" s="1"/>
  <c r="J1079" i="1"/>
  <c r="G1079" i="1"/>
  <c r="G1078" i="1"/>
  <c r="G1087" i="1" s="1"/>
  <c r="I1077" i="1"/>
  <c r="I1088" i="1" s="1"/>
  <c r="H1077" i="1"/>
  <c r="H1088" i="1" s="1"/>
  <c r="E1077" i="1"/>
  <c r="J1076" i="1"/>
  <c r="G1076" i="1"/>
  <c r="G1075" i="1"/>
  <c r="J1075" i="1" s="1"/>
  <c r="J1074" i="1"/>
  <c r="G1074" i="1"/>
  <c r="G1073" i="1"/>
  <c r="G1077" i="1" s="1"/>
  <c r="I1071" i="1"/>
  <c r="H1071" i="1"/>
  <c r="E1071" i="1"/>
  <c r="G1070" i="1"/>
  <c r="J1070" i="1" s="1"/>
  <c r="J1069" i="1"/>
  <c r="G1069" i="1"/>
  <c r="G1068" i="1"/>
  <c r="G1071" i="1" s="1"/>
  <c r="J1071" i="1" s="1"/>
  <c r="I1067" i="1"/>
  <c r="H1067" i="1"/>
  <c r="F1067" i="1"/>
  <c r="F1072" i="1" s="1"/>
  <c r="F1089" i="1" s="1"/>
  <c r="F1152" i="1" s="1"/>
  <c r="E1067" i="1"/>
  <c r="G1066" i="1"/>
  <c r="J1066" i="1" s="1"/>
  <c r="G1064" i="1"/>
  <c r="J1064" i="1" s="1"/>
  <c r="G1063" i="1"/>
  <c r="J1063" i="1" s="1"/>
  <c r="J1062" i="1"/>
  <c r="G1062" i="1"/>
  <c r="G1061" i="1"/>
  <c r="J1061" i="1" s="1"/>
  <c r="G1060" i="1"/>
  <c r="J1067" i="1" s="1"/>
  <c r="I1059" i="1"/>
  <c r="H1059" i="1"/>
  <c r="E1059" i="1"/>
  <c r="G1058" i="1"/>
  <c r="J1058" i="1" s="1"/>
  <c r="J1057" i="1"/>
  <c r="G1057" i="1"/>
  <c r="G1056" i="1"/>
  <c r="J1056" i="1" s="1"/>
  <c r="J1055" i="1"/>
  <c r="G1055" i="1"/>
  <c r="G1054" i="1"/>
  <c r="J1054" i="1" s="1"/>
  <c r="J1053" i="1"/>
  <c r="G1053" i="1"/>
  <c r="G1052" i="1"/>
  <c r="G1059" i="1" s="1"/>
  <c r="J1059" i="1" s="1"/>
  <c r="I1051" i="1"/>
  <c r="H1051" i="1"/>
  <c r="E1051" i="1"/>
  <c r="J1050" i="1"/>
  <c r="G1050" i="1"/>
  <c r="G1049" i="1"/>
  <c r="J1049" i="1" s="1"/>
  <c r="G1048" i="1"/>
  <c r="J1048" i="1" s="1"/>
  <c r="G1047" i="1"/>
  <c r="J1047" i="1" s="1"/>
  <c r="G1046" i="1"/>
  <c r="J1046" i="1" s="1"/>
  <c r="G1045" i="1"/>
  <c r="J1045" i="1" s="1"/>
  <c r="J1044" i="1"/>
  <c r="G1044" i="1"/>
  <c r="I1043" i="1"/>
  <c r="H1043" i="1"/>
  <c r="E1043" i="1"/>
  <c r="E1072" i="1" s="1"/>
  <c r="C150" i="15" s="1"/>
  <c r="G1042" i="1"/>
  <c r="J1042" i="1" s="1"/>
  <c r="G1041" i="1"/>
  <c r="J1041" i="1" s="1"/>
  <c r="G1040" i="1"/>
  <c r="J1040" i="1" s="1"/>
  <c r="G1039" i="1"/>
  <c r="J1039" i="1" s="1"/>
  <c r="D186" i="15" l="1"/>
  <c r="E184" i="15"/>
  <c r="T40" i="14"/>
  <c r="S51" i="14"/>
  <c r="T51" i="14" s="1"/>
  <c r="T39" i="14"/>
  <c r="T47" i="14"/>
  <c r="T45" i="14"/>
  <c r="J1246" i="13"/>
  <c r="J1247" i="13" s="1"/>
  <c r="J1274" i="13"/>
  <c r="I169" i="15"/>
  <c r="I171" i="15" s="1"/>
  <c r="I175" i="15" s="1"/>
  <c r="T41" i="14"/>
  <c r="T44" i="14"/>
  <c r="M666" i="17"/>
  <c r="J667" i="17"/>
  <c r="N666" i="17"/>
  <c r="J658" i="17"/>
  <c r="M649" i="17"/>
  <c r="N649" i="17"/>
  <c r="J701" i="17"/>
  <c r="M700" i="17"/>
  <c r="F702" i="17"/>
  <c r="I702" i="17" s="1"/>
  <c r="I701" i="17"/>
  <c r="N700" i="17"/>
  <c r="M657" i="17"/>
  <c r="N657" i="17"/>
  <c r="L702" i="17"/>
  <c r="N701" i="17"/>
  <c r="Q702" i="17"/>
  <c r="I1274" i="13"/>
  <c r="I1246" i="13"/>
  <c r="I1247" i="13" s="1"/>
  <c r="O1253" i="1"/>
  <c r="O1259" i="1"/>
  <c r="L1269" i="1"/>
  <c r="N1194" i="1"/>
  <c r="K1205" i="1"/>
  <c r="D166" i="15" s="1"/>
  <c r="E166" i="15" s="1"/>
  <c r="O1194" i="1"/>
  <c r="J1205" i="1"/>
  <c r="J1204" i="1"/>
  <c r="O1168" i="1"/>
  <c r="M1189" i="1"/>
  <c r="J1226" i="1"/>
  <c r="G1240" i="1"/>
  <c r="N1226" i="1"/>
  <c r="G1206" i="1"/>
  <c r="J1189" i="1"/>
  <c r="N1181" i="1"/>
  <c r="K1184" i="1"/>
  <c r="O1237" i="1"/>
  <c r="K1267" i="1"/>
  <c r="N1245" i="1"/>
  <c r="K1238" i="1"/>
  <c r="N1238" i="1" s="1"/>
  <c r="M1268" i="1"/>
  <c r="N1266" i="1"/>
  <c r="O1266" i="1"/>
  <c r="G1268" i="1"/>
  <c r="J1268" i="1" s="1"/>
  <c r="J1267" i="1"/>
  <c r="M1240" i="1"/>
  <c r="O1226" i="1"/>
  <c r="F603" i="17"/>
  <c r="I603" i="17" s="1"/>
  <c r="P603" i="17"/>
  <c r="P604" i="17" s="1"/>
  <c r="H1109" i="1"/>
  <c r="H1123" i="1" s="1"/>
  <c r="H1124" i="1" s="1"/>
  <c r="F1083" i="13"/>
  <c r="F1093" i="13"/>
  <c r="F1114" i="13"/>
  <c r="F1119" i="13"/>
  <c r="F1134" i="13"/>
  <c r="F1151" i="13"/>
  <c r="J1060" i="1"/>
  <c r="F1065" i="13"/>
  <c r="F1077" i="13"/>
  <c r="F1106" i="13"/>
  <c r="F1126" i="13"/>
  <c r="F1139" i="13"/>
  <c r="F1147" i="13"/>
  <c r="H928" i="16"/>
  <c r="G595" i="17"/>
  <c r="J591" i="17"/>
  <c r="M591" i="17" s="1"/>
  <c r="J584" i="17"/>
  <c r="M584" i="17" s="1"/>
  <c r="N584" i="17"/>
  <c r="L586" i="17"/>
  <c r="F1057" i="13"/>
  <c r="G1051" i="1"/>
  <c r="J1051" i="1" s="1"/>
  <c r="F1073" i="13"/>
  <c r="N619" i="17"/>
  <c r="H1150" i="1"/>
  <c r="H1151" i="1" s="1"/>
  <c r="F1142" i="13"/>
  <c r="E1121" i="1"/>
  <c r="E1109" i="1"/>
  <c r="E1088" i="1"/>
  <c r="C151" i="15" s="1"/>
  <c r="N71" i="14"/>
  <c r="Q71" i="14" s="1"/>
  <c r="N72" i="14"/>
  <c r="R72" i="14" s="1"/>
  <c r="N73" i="14"/>
  <c r="R73" i="14" s="1"/>
  <c r="N74" i="14"/>
  <c r="R74" i="14" s="1"/>
  <c r="N76" i="14"/>
  <c r="P76" i="14" s="1"/>
  <c r="P73" i="14"/>
  <c r="Q73" i="14"/>
  <c r="O61" i="14"/>
  <c r="N61" i="14" s="1"/>
  <c r="M61" i="14"/>
  <c r="O63" i="14"/>
  <c r="N63" i="14" s="1"/>
  <c r="M63" i="14"/>
  <c r="O65" i="14"/>
  <c r="N65" i="14" s="1"/>
  <c r="M65" i="14"/>
  <c r="O67" i="14"/>
  <c r="N67" i="14" s="1"/>
  <c r="M67" i="14"/>
  <c r="L70" i="14"/>
  <c r="K70" i="14" s="1"/>
  <c r="C70" i="14"/>
  <c r="M71" i="14"/>
  <c r="M72" i="14"/>
  <c r="M73" i="14"/>
  <c r="M74" i="14"/>
  <c r="O75" i="14"/>
  <c r="N75" i="14" s="1"/>
  <c r="M75" i="14"/>
  <c r="O62" i="14"/>
  <c r="N62" i="14" s="1"/>
  <c r="M62" i="14"/>
  <c r="O64" i="14"/>
  <c r="N64" i="14" s="1"/>
  <c r="M64" i="14"/>
  <c r="O66" i="14"/>
  <c r="N66" i="14" s="1"/>
  <c r="M66" i="14"/>
  <c r="L68" i="14"/>
  <c r="K68" i="14" s="1"/>
  <c r="C68" i="14"/>
  <c r="O69" i="14"/>
  <c r="N69" i="14" s="1"/>
  <c r="M69" i="14"/>
  <c r="M76" i="14"/>
  <c r="H916" i="16"/>
  <c r="E930" i="16"/>
  <c r="E990" i="16" s="1"/>
  <c r="H930" i="16"/>
  <c r="I924" i="16"/>
  <c r="I928" i="16" s="1"/>
  <c r="J152" i="15" s="1"/>
  <c r="F923" i="16"/>
  <c r="F930" i="16" s="1"/>
  <c r="F990" i="16" s="1"/>
  <c r="I917" i="16"/>
  <c r="I923" i="16" s="1"/>
  <c r="J151" i="15" s="1"/>
  <c r="J153" i="15" s="1"/>
  <c r="I962" i="16"/>
  <c r="I987" i="16" s="1"/>
  <c r="J157" i="15" s="1"/>
  <c r="J159" i="15" s="1"/>
  <c r="I901" i="16"/>
  <c r="I916" i="16" s="1"/>
  <c r="N629" i="17"/>
  <c r="M623" i="17"/>
  <c r="N623" i="17"/>
  <c r="N621" i="17"/>
  <c r="Q623" i="17"/>
  <c r="J617" i="17"/>
  <c r="M617" i="17" s="1"/>
  <c r="N617" i="17"/>
  <c r="J625" i="17"/>
  <c r="M625" i="17" s="1"/>
  <c r="N625" i="17"/>
  <c r="M611" i="17"/>
  <c r="N611" i="17"/>
  <c r="N608" i="17"/>
  <c r="Q611" i="17"/>
  <c r="K637" i="17"/>
  <c r="K638" i="17" s="1"/>
  <c r="G157" i="15" s="1"/>
  <c r="G159" i="15" s="1"/>
  <c r="P637" i="17"/>
  <c r="P638" i="17" s="1"/>
  <c r="J613" i="17"/>
  <c r="M613" i="17" s="1"/>
  <c r="N600" i="17"/>
  <c r="Q587" i="17"/>
  <c r="J587" i="17"/>
  <c r="L594" i="17"/>
  <c r="L595" i="17" s="1"/>
  <c r="J589" i="17"/>
  <c r="M589" i="17" s="1"/>
  <c r="P586" i="17"/>
  <c r="Q583" i="17"/>
  <c r="J583" i="17"/>
  <c r="M583" i="17" s="1"/>
  <c r="Q590" i="17"/>
  <c r="J590" i="17"/>
  <c r="M590" i="17" s="1"/>
  <c r="N592" i="17"/>
  <c r="L604" i="17"/>
  <c r="N597" i="17"/>
  <c r="F586" i="17"/>
  <c r="Q581" i="17"/>
  <c r="Q586" i="17" s="1"/>
  <c r="H150" i="15" s="1"/>
  <c r="J581" i="17"/>
  <c r="Q585" i="17"/>
  <c r="J585" i="17"/>
  <c r="M585" i="17" s="1"/>
  <c r="K586" i="17"/>
  <c r="P594" i="17"/>
  <c r="Q588" i="17"/>
  <c r="J588" i="17"/>
  <c r="N590" i="17"/>
  <c r="Q592" i="17"/>
  <c r="J592" i="17"/>
  <c r="M592" i="17" s="1"/>
  <c r="F594" i="17"/>
  <c r="I594" i="17" s="1"/>
  <c r="G639" i="17"/>
  <c r="N596" i="17"/>
  <c r="K603" i="17"/>
  <c r="F604" i="17"/>
  <c r="I604" i="17" s="1"/>
  <c r="Q610" i="17"/>
  <c r="J610" i="17"/>
  <c r="M610" i="17" s="1"/>
  <c r="Q614" i="17"/>
  <c r="J614" i="17"/>
  <c r="M614" i="17" s="1"/>
  <c r="Q618" i="17"/>
  <c r="N620" i="17"/>
  <c r="Q622" i="17"/>
  <c r="J622" i="17"/>
  <c r="M622" i="17" s="1"/>
  <c r="Q626" i="17"/>
  <c r="J626" i="17"/>
  <c r="M626" i="17" s="1"/>
  <c r="N628" i="17"/>
  <c r="Q630" i="17"/>
  <c r="J630" i="17"/>
  <c r="M630" i="17" s="1"/>
  <c r="Q634" i="17"/>
  <c r="J634" i="17"/>
  <c r="M634" i="17" s="1"/>
  <c r="N636" i="17"/>
  <c r="D639" i="17"/>
  <c r="N581" i="17"/>
  <c r="I596" i="17"/>
  <c r="M596" i="17"/>
  <c r="J597" i="17"/>
  <c r="M597" i="17" s="1"/>
  <c r="J599" i="17"/>
  <c r="M599" i="17" s="1"/>
  <c r="J601" i="17"/>
  <c r="M601" i="17" s="1"/>
  <c r="F637" i="17"/>
  <c r="J605" i="17"/>
  <c r="N605" i="17"/>
  <c r="Q605" i="17"/>
  <c r="J607" i="17"/>
  <c r="M607" i="17" s="1"/>
  <c r="J609" i="17"/>
  <c r="M609" i="17" s="1"/>
  <c r="N610" i="17"/>
  <c r="Q612" i="17"/>
  <c r="J612" i="17"/>
  <c r="M612" i="17" s="1"/>
  <c r="Q616" i="17"/>
  <c r="J616" i="17"/>
  <c r="M616" i="17" s="1"/>
  <c r="Q620" i="17"/>
  <c r="J620" i="17"/>
  <c r="M620" i="17" s="1"/>
  <c r="N622" i="17"/>
  <c r="Q624" i="17"/>
  <c r="J624" i="17"/>
  <c r="M624" i="17" s="1"/>
  <c r="Q628" i="17"/>
  <c r="J628" i="17"/>
  <c r="M628" i="17" s="1"/>
  <c r="N630" i="17"/>
  <c r="Q632" i="17"/>
  <c r="J632" i="17"/>
  <c r="M632" i="17" s="1"/>
  <c r="N634" i="17"/>
  <c r="Q636" i="17"/>
  <c r="J636" i="17"/>
  <c r="M636" i="17" s="1"/>
  <c r="H639" i="17"/>
  <c r="O1122" i="1"/>
  <c r="K1064" i="1"/>
  <c r="N1064" i="1" s="1"/>
  <c r="I1108" i="13"/>
  <c r="I1114" i="13" s="1"/>
  <c r="I1116" i="13"/>
  <c r="I1119" i="13" s="1"/>
  <c r="I1131" i="13"/>
  <c r="I1134" i="13" s="1"/>
  <c r="I1149" i="13"/>
  <c r="I1151" i="13" s="1"/>
  <c r="I1045" i="13"/>
  <c r="I1049" i="13" s="1"/>
  <c r="I1050" i="13"/>
  <c r="I1057" i="13" s="1"/>
  <c r="I1058" i="13"/>
  <c r="I1065" i="13" s="1"/>
  <c r="I1066" i="13"/>
  <c r="I1073" i="13" s="1"/>
  <c r="I1074" i="13"/>
  <c r="I1077" i="13" s="1"/>
  <c r="I1079" i="13"/>
  <c r="I1083" i="13" s="1"/>
  <c r="I1084" i="13"/>
  <c r="I1093" i="13" s="1"/>
  <c r="I1096" i="13"/>
  <c r="I1106" i="13" s="1"/>
  <c r="I1120" i="13"/>
  <c r="I1126" i="13" s="1"/>
  <c r="I1135" i="13"/>
  <c r="I1139" i="13" s="1"/>
  <c r="I1140" i="13"/>
  <c r="I1142" i="13" s="1"/>
  <c r="I1143" i="13"/>
  <c r="I1147" i="13" s="1"/>
  <c r="I1150" i="1"/>
  <c r="I1151" i="1" s="1"/>
  <c r="I1109" i="1"/>
  <c r="I1123" i="1" s="1"/>
  <c r="I1124" i="1" s="1"/>
  <c r="H1072" i="1"/>
  <c r="H1089" i="1" s="1"/>
  <c r="H1152" i="1" s="1"/>
  <c r="I1072" i="1"/>
  <c r="I1089" i="1" s="1"/>
  <c r="G1088" i="1"/>
  <c r="J1077" i="1"/>
  <c r="G1043" i="1"/>
  <c r="J1052" i="1"/>
  <c r="J1068" i="1"/>
  <c r="J1073" i="1"/>
  <c r="J1078" i="1"/>
  <c r="G1109" i="1"/>
  <c r="J1100" i="1"/>
  <c r="G1113" i="1"/>
  <c r="G1128" i="1"/>
  <c r="G1136" i="1"/>
  <c r="J1136" i="1" s="1"/>
  <c r="G1146" i="1"/>
  <c r="J1146" i="1" s="1"/>
  <c r="J1090" i="1"/>
  <c r="J1101" i="1"/>
  <c r="E1150" i="1"/>
  <c r="E1151" i="1" s="1"/>
  <c r="G1133" i="1"/>
  <c r="J1133" i="1" s="1"/>
  <c r="G1142" i="1"/>
  <c r="J1142" i="1" s="1"/>
  <c r="J1137" i="1"/>
  <c r="D94" i="14"/>
  <c r="I94" i="14"/>
  <c r="H94" i="14"/>
  <c r="E186" i="15" l="1"/>
  <c r="D190" i="15"/>
  <c r="E190" i="15" s="1"/>
  <c r="R76" i="14"/>
  <c r="Q76" i="14"/>
  <c r="S76" i="14" s="1"/>
  <c r="T76" i="14" s="1"/>
  <c r="R71" i="14"/>
  <c r="S71" i="14" s="1"/>
  <c r="P71" i="14"/>
  <c r="S73" i="14"/>
  <c r="T73" i="14" s="1"/>
  <c r="P74" i="14"/>
  <c r="P72" i="14"/>
  <c r="M658" i="17"/>
  <c r="N658" i="17"/>
  <c r="M667" i="17"/>
  <c r="N667" i="17"/>
  <c r="J702" i="17"/>
  <c r="M702" i="17" s="1"/>
  <c r="M701" i="17"/>
  <c r="M1241" i="1"/>
  <c r="K1268" i="1"/>
  <c r="D172" i="15" s="1"/>
  <c r="N1267" i="1"/>
  <c r="N1268" i="1" s="1"/>
  <c r="N1184" i="1"/>
  <c r="O1184" i="1"/>
  <c r="G1241" i="1"/>
  <c r="J1241" i="1" s="1"/>
  <c r="J1240" i="1"/>
  <c r="M1206" i="1"/>
  <c r="K1189" i="1"/>
  <c r="O1267" i="1"/>
  <c r="O1268" i="1" s="1"/>
  <c r="J1206" i="1"/>
  <c r="K1240" i="1"/>
  <c r="N1205" i="1"/>
  <c r="O1205" i="1"/>
  <c r="O1238" i="1"/>
  <c r="K604" i="17"/>
  <c r="G154" i="15"/>
  <c r="G156" i="15" s="1"/>
  <c r="F1115" i="13"/>
  <c r="F1155" i="13"/>
  <c r="F1156" i="13" s="1"/>
  <c r="F1127" i="13"/>
  <c r="F1094" i="13"/>
  <c r="F1129" i="13"/>
  <c r="F1130" i="13" s="1"/>
  <c r="J160" i="15"/>
  <c r="N591" i="17"/>
  <c r="P595" i="17"/>
  <c r="K595" i="17"/>
  <c r="K639" i="17" s="1"/>
  <c r="G150" i="15"/>
  <c r="G153" i="15" s="1"/>
  <c r="N583" i="17"/>
  <c r="G160" i="15"/>
  <c r="F1078" i="13"/>
  <c r="F1095" i="13" s="1"/>
  <c r="F1157" i="13" s="1"/>
  <c r="N614" i="17"/>
  <c r="E1123" i="1"/>
  <c r="E1124" i="1" s="1"/>
  <c r="C154" i="15" s="1"/>
  <c r="E1089" i="1"/>
  <c r="C153" i="15"/>
  <c r="C157" i="15"/>
  <c r="Q74" i="14"/>
  <c r="S74" i="14" s="1"/>
  <c r="T74" i="14" s="1"/>
  <c r="Q72" i="14"/>
  <c r="S72" i="14" s="1"/>
  <c r="Q69" i="14"/>
  <c r="P69" i="14"/>
  <c r="R69" i="14"/>
  <c r="O68" i="14"/>
  <c r="N68" i="14" s="1"/>
  <c r="M68" i="14"/>
  <c r="Q66" i="14"/>
  <c r="P66" i="14"/>
  <c r="R66" i="14"/>
  <c r="Q64" i="14"/>
  <c r="P64" i="14"/>
  <c r="R64" i="14"/>
  <c r="Q62" i="14"/>
  <c r="P62" i="14"/>
  <c r="R62" i="14"/>
  <c r="R75" i="14"/>
  <c r="P75" i="14"/>
  <c r="Q75" i="14"/>
  <c r="O70" i="14"/>
  <c r="N70" i="14" s="1"/>
  <c r="M70" i="14"/>
  <c r="Q67" i="14"/>
  <c r="R67" i="14"/>
  <c r="P67" i="14"/>
  <c r="Q65" i="14"/>
  <c r="R65" i="14"/>
  <c r="P65" i="14"/>
  <c r="Q63" i="14"/>
  <c r="R63" i="14"/>
  <c r="P63" i="14"/>
  <c r="Q61" i="14"/>
  <c r="R61" i="14"/>
  <c r="P61" i="14"/>
  <c r="I930" i="16"/>
  <c r="I990" i="16" s="1"/>
  <c r="N626" i="17"/>
  <c r="P639" i="17"/>
  <c r="N612" i="17"/>
  <c r="N613" i="17"/>
  <c r="N607" i="17"/>
  <c r="M587" i="17"/>
  <c r="N587" i="17"/>
  <c r="Q594" i="17"/>
  <c r="H151" i="15" s="1"/>
  <c r="H153" i="15" s="1"/>
  <c r="N589" i="17"/>
  <c r="Q637" i="17"/>
  <c r="Q638" i="17" s="1"/>
  <c r="H157" i="15" s="1"/>
  <c r="H159" i="15" s="1"/>
  <c r="F638" i="17"/>
  <c r="I637" i="17"/>
  <c r="M588" i="17"/>
  <c r="J594" i="17"/>
  <c r="Q595" i="17"/>
  <c r="N609" i="17"/>
  <c r="N585" i="17"/>
  <c r="M605" i="17"/>
  <c r="N632" i="17"/>
  <c r="N624" i="17"/>
  <c r="N616" i="17"/>
  <c r="N599" i="17"/>
  <c r="J586" i="17"/>
  <c r="M581" i="17"/>
  <c r="F595" i="17"/>
  <c r="I595" i="17" s="1"/>
  <c r="I586" i="17"/>
  <c r="N601" i="17"/>
  <c r="J603" i="17"/>
  <c r="N588" i="17"/>
  <c r="O1064" i="1"/>
  <c r="I1078" i="13"/>
  <c r="I1155" i="13"/>
  <c r="I1156" i="13" s="1"/>
  <c r="I1115" i="13"/>
  <c r="I1094" i="13"/>
  <c r="I1127" i="13"/>
  <c r="I1152" i="1"/>
  <c r="G1150" i="1"/>
  <c r="J1128" i="1"/>
  <c r="J1113" i="1"/>
  <c r="G1121" i="1"/>
  <c r="J1121" i="1" s="1"/>
  <c r="G1072" i="1"/>
  <c r="J1043" i="1"/>
  <c r="J1088" i="1"/>
  <c r="J1087" i="1"/>
  <c r="G1123" i="1"/>
  <c r="J1109" i="1"/>
  <c r="D92" i="14"/>
  <c r="D93" i="14"/>
  <c r="F954" i="13"/>
  <c r="I954" i="13" s="1"/>
  <c r="M948" i="1"/>
  <c r="L948" i="1"/>
  <c r="G954" i="13" s="1"/>
  <c r="J954" i="13" s="1"/>
  <c r="G948" i="1"/>
  <c r="J948" i="1" s="1"/>
  <c r="G946" i="1"/>
  <c r="G947" i="1"/>
  <c r="T71" i="14" l="1"/>
  <c r="T72" i="14"/>
  <c r="S75" i="14"/>
  <c r="T75" i="14" s="1"/>
  <c r="S61" i="14"/>
  <c r="T61" i="14" s="1"/>
  <c r="O1189" i="1"/>
  <c r="D165" i="15"/>
  <c r="D174" i="15"/>
  <c r="E172" i="15"/>
  <c r="N702" i="17"/>
  <c r="G1269" i="1"/>
  <c r="J1269" i="1" s="1"/>
  <c r="K1241" i="1"/>
  <c r="D169" i="15" s="1"/>
  <c r="N1240" i="1"/>
  <c r="N1241" i="1" s="1"/>
  <c r="K1206" i="1"/>
  <c r="O1206" i="1" s="1"/>
  <c r="N1189" i="1"/>
  <c r="M1269" i="1"/>
  <c r="O1240" i="1"/>
  <c r="O1241" i="1" s="1"/>
  <c r="H160" i="15"/>
  <c r="C156" i="15"/>
  <c r="E1152" i="1"/>
  <c r="C159" i="15"/>
  <c r="S65" i="14"/>
  <c r="T65" i="14" s="1"/>
  <c r="S62" i="14"/>
  <c r="T62" i="14" s="1"/>
  <c r="S66" i="14"/>
  <c r="T66" i="14" s="1"/>
  <c r="R68" i="14"/>
  <c r="P68" i="14"/>
  <c r="Q68" i="14"/>
  <c r="S63" i="14"/>
  <c r="T63" i="14" s="1"/>
  <c r="S67" i="14"/>
  <c r="T67" i="14" s="1"/>
  <c r="R70" i="14"/>
  <c r="P70" i="14"/>
  <c r="Q70" i="14"/>
  <c r="S64" i="14"/>
  <c r="T64" i="14" s="1"/>
  <c r="S69" i="14"/>
  <c r="T69" i="14" s="1"/>
  <c r="F639" i="17"/>
  <c r="I639" i="17" s="1"/>
  <c r="I638" i="17"/>
  <c r="M603" i="17"/>
  <c r="J604" i="17"/>
  <c r="N603" i="17"/>
  <c r="J595" i="17"/>
  <c r="M586" i="17"/>
  <c r="N586" i="17"/>
  <c r="M594" i="17"/>
  <c r="N594" i="17"/>
  <c r="Q639" i="17"/>
  <c r="I1129" i="13"/>
  <c r="I1130" i="13" s="1"/>
  <c r="I1095" i="13"/>
  <c r="G1089" i="1"/>
  <c r="J1072" i="1"/>
  <c r="G1124" i="1"/>
  <c r="J1124" i="1" s="1"/>
  <c r="J1123" i="1"/>
  <c r="G1151" i="1"/>
  <c r="J1151" i="1" s="1"/>
  <c r="J1150" i="1"/>
  <c r="K948" i="1"/>
  <c r="N948" i="1" s="1"/>
  <c r="M548" i="17"/>
  <c r="N546" i="17"/>
  <c r="M546" i="17"/>
  <c r="M537" i="17"/>
  <c r="I543" i="17"/>
  <c r="I544" i="17"/>
  <c r="I546" i="17"/>
  <c r="I548" i="17"/>
  <c r="I550" i="17"/>
  <c r="I551" i="17"/>
  <c r="I552" i="17"/>
  <c r="I553" i="17"/>
  <c r="I554" i="17"/>
  <c r="I557" i="17"/>
  <c r="I558" i="17"/>
  <c r="I559" i="17"/>
  <c r="I560" i="17"/>
  <c r="I561" i="17"/>
  <c r="I563" i="17"/>
  <c r="I564" i="17"/>
  <c r="I565" i="17"/>
  <c r="I567" i="17"/>
  <c r="I568" i="17"/>
  <c r="I569" i="17"/>
  <c r="I570" i="17"/>
  <c r="I571" i="17"/>
  <c r="I572" i="17"/>
  <c r="I573" i="17"/>
  <c r="I542" i="17"/>
  <c r="I534" i="17"/>
  <c r="I535" i="17"/>
  <c r="I536" i="17"/>
  <c r="I537" i="17"/>
  <c r="I539" i="17"/>
  <c r="I533" i="17"/>
  <c r="I526" i="17"/>
  <c r="I527" i="17"/>
  <c r="I529" i="17"/>
  <c r="I530" i="17"/>
  <c r="I524" i="17"/>
  <c r="I519" i="17"/>
  <c r="I520" i="17"/>
  <c r="I522" i="17"/>
  <c r="I518" i="17"/>
  <c r="J1005" i="1"/>
  <c r="J999" i="1"/>
  <c r="J1000" i="1"/>
  <c r="J1001" i="1"/>
  <c r="J1002" i="1"/>
  <c r="J989" i="1"/>
  <c r="J990" i="1"/>
  <c r="J946" i="1"/>
  <c r="J947" i="1"/>
  <c r="J949" i="1"/>
  <c r="J923" i="1"/>
  <c r="S70" i="14" l="1"/>
  <c r="T70" i="14" s="1"/>
  <c r="S68" i="14"/>
  <c r="T68" i="14" s="1"/>
  <c r="D168" i="15"/>
  <c r="E168" i="15" s="1"/>
  <c r="E165" i="15"/>
  <c r="D171" i="15"/>
  <c r="E171" i="15" s="1"/>
  <c r="E169" i="15"/>
  <c r="E174" i="15"/>
  <c r="K1269" i="1"/>
  <c r="N1206" i="1"/>
  <c r="I1157" i="13"/>
  <c r="C160" i="15"/>
  <c r="M595" i="17"/>
  <c r="N595" i="17"/>
  <c r="M604" i="17"/>
  <c r="N604" i="17"/>
  <c r="G1152" i="1"/>
  <c r="J1152" i="1" s="1"/>
  <c r="J1089" i="1"/>
  <c r="O948" i="1"/>
  <c r="L100" i="14"/>
  <c r="K100" i="14" s="1"/>
  <c r="O100" i="14" s="1"/>
  <c r="G100" i="14"/>
  <c r="C100" i="14"/>
  <c r="L99" i="14"/>
  <c r="K99" i="14" s="1"/>
  <c r="O99" i="14" s="1"/>
  <c r="G99" i="14"/>
  <c r="C99" i="14"/>
  <c r="L98" i="14"/>
  <c r="K98" i="14" s="1"/>
  <c r="O98" i="14" s="1"/>
  <c r="G98" i="14"/>
  <c r="C98" i="14"/>
  <c r="L97" i="14"/>
  <c r="K97" i="14" s="1"/>
  <c r="O97" i="14" s="1"/>
  <c r="G97" i="14"/>
  <c r="C97" i="14"/>
  <c r="L96" i="14"/>
  <c r="K96" i="14" s="1"/>
  <c r="O96" i="14" s="1"/>
  <c r="G96" i="14"/>
  <c r="C96" i="14"/>
  <c r="L95" i="14"/>
  <c r="K95" i="14" s="1"/>
  <c r="O95" i="14" s="1"/>
  <c r="G95" i="14"/>
  <c r="C95" i="14"/>
  <c r="L94" i="14"/>
  <c r="K94" i="14" s="1"/>
  <c r="O94" i="14" s="1"/>
  <c r="G94" i="14"/>
  <c r="C94" i="14"/>
  <c r="G93" i="14"/>
  <c r="G92" i="14"/>
  <c r="C92" i="14"/>
  <c r="L91" i="14"/>
  <c r="K91" i="14" s="1"/>
  <c r="G91" i="14"/>
  <c r="C91" i="14"/>
  <c r="L90" i="14"/>
  <c r="K90" i="14" s="1"/>
  <c r="G90" i="14"/>
  <c r="C90" i="14"/>
  <c r="L89" i="14"/>
  <c r="K89" i="14" s="1"/>
  <c r="G89" i="14"/>
  <c r="C89" i="14"/>
  <c r="L88" i="14"/>
  <c r="K88" i="14" s="1"/>
  <c r="G88" i="14"/>
  <c r="C88" i="14"/>
  <c r="L87" i="14"/>
  <c r="K87" i="14" s="1"/>
  <c r="M87" i="14" s="1"/>
  <c r="G87" i="14"/>
  <c r="C87" i="14"/>
  <c r="L86" i="14"/>
  <c r="K86" i="14" s="1"/>
  <c r="G86" i="14"/>
  <c r="C86" i="14"/>
  <c r="L85" i="14"/>
  <c r="K85" i="14" s="1"/>
  <c r="M85" i="14" s="1"/>
  <c r="G85" i="14"/>
  <c r="C85" i="14"/>
  <c r="J139" i="15"/>
  <c r="J137" i="15"/>
  <c r="C142" i="15"/>
  <c r="C139" i="15"/>
  <c r="C136" i="15"/>
  <c r="C144" i="15"/>
  <c r="E143" i="15"/>
  <c r="J141" i="15"/>
  <c r="E140" i="15"/>
  <c r="C141" i="15"/>
  <c r="E137" i="15"/>
  <c r="H894" i="16"/>
  <c r="F894" i="16"/>
  <c r="I894" i="16" s="1"/>
  <c r="I895" i="16" s="1"/>
  <c r="E893" i="16"/>
  <c r="H892" i="16"/>
  <c r="F892" i="16"/>
  <c r="I892" i="16" s="1"/>
  <c r="H891" i="16"/>
  <c r="F891" i="16"/>
  <c r="I891" i="16" s="1"/>
  <c r="H890" i="16"/>
  <c r="I890" i="16" s="1"/>
  <c r="F890" i="16"/>
  <c r="H889" i="16"/>
  <c r="F889" i="16"/>
  <c r="I889" i="16" s="1"/>
  <c r="H888" i="16"/>
  <c r="F888" i="16"/>
  <c r="I888" i="16" s="1"/>
  <c r="H887" i="16"/>
  <c r="F887" i="16"/>
  <c r="I887" i="16" s="1"/>
  <c r="H886" i="16"/>
  <c r="F886" i="16"/>
  <c r="I886" i="16" s="1"/>
  <c r="H885" i="16"/>
  <c r="F885" i="16"/>
  <c r="I885" i="16" s="1"/>
  <c r="H884" i="16"/>
  <c r="F884" i="16"/>
  <c r="I884" i="16" s="1"/>
  <c r="H883" i="16"/>
  <c r="F883" i="16"/>
  <c r="I883" i="16" s="1"/>
  <c r="H882" i="16"/>
  <c r="F882" i="16"/>
  <c r="I882" i="16" s="1"/>
  <c r="H881" i="16"/>
  <c r="F881" i="16"/>
  <c r="I881" i="16" s="1"/>
  <c r="H880" i="16"/>
  <c r="F880" i="16"/>
  <c r="I880" i="16" s="1"/>
  <c r="H879" i="16"/>
  <c r="F879" i="16"/>
  <c r="I879" i="16" s="1"/>
  <c r="H878" i="16"/>
  <c r="F878" i="16"/>
  <c r="I878" i="16" s="1"/>
  <c r="H877" i="16"/>
  <c r="F877" i="16"/>
  <c r="I877" i="16" s="1"/>
  <c r="H876" i="16"/>
  <c r="F876" i="16"/>
  <c r="I876" i="16" s="1"/>
  <c r="H875" i="16"/>
  <c r="F875" i="16"/>
  <c r="I875" i="16" s="1"/>
  <c r="H874" i="16"/>
  <c r="F874" i="16"/>
  <c r="I874" i="16" s="1"/>
  <c r="H873" i="16"/>
  <c r="F873" i="16"/>
  <c r="I873" i="16" s="1"/>
  <c r="H872" i="16"/>
  <c r="F872" i="16"/>
  <c r="I872" i="16" s="1"/>
  <c r="H871" i="16"/>
  <c r="F871" i="16"/>
  <c r="I871" i="16" s="1"/>
  <c r="H870" i="16"/>
  <c r="F870" i="16"/>
  <c r="I870" i="16" s="1"/>
  <c r="H869" i="16"/>
  <c r="F869" i="16"/>
  <c r="I869" i="16" s="1"/>
  <c r="H868" i="16"/>
  <c r="F868" i="16"/>
  <c r="I868" i="16" s="1"/>
  <c r="H867" i="16"/>
  <c r="F867" i="16"/>
  <c r="F893" i="16" s="1"/>
  <c r="E866" i="16"/>
  <c r="F866" i="16" s="1"/>
  <c r="H865" i="16"/>
  <c r="F865" i="16"/>
  <c r="I865" i="16" s="1"/>
  <c r="H864" i="16"/>
  <c r="F864" i="16"/>
  <c r="I864" i="16" s="1"/>
  <c r="H863" i="16"/>
  <c r="F863" i="16"/>
  <c r="I863" i="16" s="1"/>
  <c r="H862" i="16"/>
  <c r="F862" i="16"/>
  <c r="I862" i="16" s="1"/>
  <c r="H861" i="16"/>
  <c r="F861" i="16"/>
  <c r="I861" i="16" s="1"/>
  <c r="H860" i="16"/>
  <c r="F860" i="16"/>
  <c r="I860" i="16" s="1"/>
  <c r="H859" i="16"/>
  <c r="F859" i="16"/>
  <c r="I859" i="16" s="1"/>
  <c r="H858" i="16"/>
  <c r="F858" i="16"/>
  <c r="I858" i="16" s="1"/>
  <c r="H857" i="16"/>
  <c r="F857" i="16"/>
  <c r="I857" i="16" s="1"/>
  <c r="H856" i="16"/>
  <c r="F856" i="16"/>
  <c r="I856" i="16" s="1"/>
  <c r="H855" i="16"/>
  <c r="F855" i="16"/>
  <c r="I855" i="16" s="1"/>
  <c r="H854" i="16"/>
  <c r="F854" i="16"/>
  <c r="I854" i="16" s="1"/>
  <c r="H853" i="16"/>
  <c r="F853" i="16"/>
  <c r="I853" i="16" s="1"/>
  <c r="H852" i="16"/>
  <c r="F852" i="16"/>
  <c r="I852" i="16" s="1"/>
  <c r="H851" i="16"/>
  <c r="F851" i="16"/>
  <c r="I851" i="16" s="1"/>
  <c r="H850" i="16"/>
  <c r="F850" i="16"/>
  <c r="I850" i="16" s="1"/>
  <c r="H849" i="16"/>
  <c r="F849" i="16"/>
  <c r="I849" i="16" s="1"/>
  <c r="H848" i="16"/>
  <c r="F848" i="16"/>
  <c r="I848" i="16" s="1"/>
  <c r="H847" i="16"/>
  <c r="F847" i="16"/>
  <c r="I847" i="16" s="1"/>
  <c r="H846" i="16"/>
  <c r="F846" i="16"/>
  <c r="I846" i="16" s="1"/>
  <c r="H845" i="16"/>
  <c r="F845" i="16"/>
  <c r="I845" i="16" s="1"/>
  <c r="H844" i="16"/>
  <c r="F844" i="16"/>
  <c r="I844" i="16" s="1"/>
  <c r="H843" i="16"/>
  <c r="F843" i="16"/>
  <c r="I843" i="16" s="1"/>
  <c r="H842" i="16"/>
  <c r="F842" i="16"/>
  <c r="I842" i="16" s="1"/>
  <c r="H841" i="16"/>
  <c r="F841" i="16"/>
  <c r="I841" i="16" s="1"/>
  <c r="H840" i="16"/>
  <c r="F840" i="16"/>
  <c r="I840" i="16" s="1"/>
  <c r="H839" i="16"/>
  <c r="F839" i="16"/>
  <c r="I839" i="16" s="1"/>
  <c r="H838" i="16"/>
  <c r="F838" i="16"/>
  <c r="I838" i="16" s="1"/>
  <c r="H837" i="16"/>
  <c r="H866" i="16" s="1"/>
  <c r="F837" i="16"/>
  <c r="I837" i="16" s="1"/>
  <c r="I866" i="16" s="1"/>
  <c r="E834" i="16"/>
  <c r="H833" i="16"/>
  <c r="F833" i="16"/>
  <c r="F834" i="16" s="1"/>
  <c r="H832" i="16"/>
  <c r="F832" i="16"/>
  <c r="I832" i="16" s="1"/>
  <c r="H831" i="16"/>
  <c r="F831" i="16"/>
  <c r="I831" i="16" s="1"/>
  <c r="H830" i="16"/>
  <c r="H834" i="16" s="1"/>
  <c r="F830" i="16"/>
  <c r="I830" i="16" s="1"/>
  <c r="E829" i="16"/>
  <c r="H828" i="16"/>
  <c r="F828" i="16"/>
  <c r="I828" i="16" s="1"/>
  <c r="H827" i="16"/>
  <c r="F827" i="16"/>
  <c r="I827" i="16" s="1"/>
  <c r="H826" i="16"/>
  <c r="F826" i="16"/>
  <c r="I826" i="16" s="1"/>
  <c r="H825" i="16"/>
  <c r="F825" i="16"/>
  <c r="I825" i="16" s="1"/>
  <c r="H824" i="16"/>
  <c r="F824" i="16"/>
  <c r="F829" i="16" s="1"/>
  <c r="H823" i="16"/>
  <c r="H829" i="16" s="1"/>
  <c r="F823" i="16"/>
  <c r="I823" i="16" s="1"/>
  <c r="E822" i="16"/>
  <c r="H821" i="16"/>
  <c r="F821" i="16"/>
  <c r="I821" i="16" s="1"/>
  <c r="H820" i="16"/>
  <c r="F820" i="16"/>
  <c r="I820" i="16" s="1"/>
  <c r="H819" i="16"/>
  <c r="F819" i="16"/>
  <c r="I819" i="16" s="1"/>
  <c r="H818" i="16"/>
  <c r="F818" i="16"/>
  <c r="I818" i="16" s="1"/>
  <c r="H817" i="16"/>
  <c r="F817" i="16"/>
  <c r="I817" i="16" s="1"/>
  <c r="H816" i="16"/>
  <c r="F816" i="16"/>
  <c r="I816" i="16" s="1"/>
  <c r="H815" i="16"/>
  <c r="F815" i="16"/>
  <c r="I815" i="16" s="1"/>
  <c r="H814" i="16"/>
  <c r="F814" i="16"/>
  <c r="I814" i="16" s="1"/>
  <c r="H813" i="16"/>
  <c r="F813" i="16"/>
  <c r="I813" i="16" s="1"/>
  <c r="H812" i="16"/>
  <c r="F812" i="16"/>
  <c r="I812" i="16" s="1"/>
  <c r="H811" i="16"/>
  <c r="F811" i="16"/>
  <c r="I811" i="16" s="1"/>
  <c r="H810" i="16"/>
  <c r="F810" i="16"/>
  <c r="I810" i="16" s="1"/>
  <c r="H809" i="16"/>
  <c r="F809" i="16"/>
  <c r="I809" i="16" s="1"/>
  <c r="H808" i="16"/>
  <c r="F808" i="16"/>
  <c r="I808" i="16" s="1"/>
  <c r="H807" i="16"/>
  <c r="F807" i="16"/>
  <c r="F822" i="16" s="1"/>
  <c r="E576" i="17"/>
  <c r="E575" i="17"/>
  <c r="D574" i="17"/>
  <c r="D575" i="17" s="1"/>
  <c r="P573" i="17"/>
  <c r="L573" i="17"/>
  <c r="K573" i="17"/>
  <c r="F573" i="17"/>
  <c r="P572" i="17"/>
  <c r="L572" i="17"/>
  <c r="K572" i="17"/>
  <c r="Q572" i="17" s="1"/>
  <c r="F572" i="17"/>
  <c r="P571" i="17"/>
  <c r="L571" i="17"/>
  <c r="K571" i="17"/>
  <c r="F571" i="17"/>
  <c r="Q570" i="17"/>
  <c r="P570" i="17"/>
  <c r="N570" i="17"/>
  <c r="L570" i="17"/>
  <c r="K570" i="17"/>
  <c r="J570" i="17"/>
  <c r="M570" i="17" s="1"/>
  <c r="F570" i="17"/>
  <c r="P569" i="17"/>
  <c r="L569" i="17"/>
  <c r="K569" i="17"/>
  <c r="F569" i="17"/>
  <c r="Q568" i="17"/>
  <c r="P568" i="17"/>
  <c r="L568" i="17"/>
  <c r="N568" i="17" s="1"/>
  <c r="K568" i="17"/>
  <c r="J568" i="17"/>
  <c r="M568" i="17" s="1"/>
  <c r="F568" i="17"/>
  <c r="P567" i="17"/>
  <c r="L567" i="17"/>
  <c r="K567" i="17"/>
  <c r="F567" i="17"/>
  <c r="L566" i="17"/>
  <c r="P566" i="17"/>
  <c r="F566" i="17"/>
  <c r="I566" i="17" s="1"/>
  <c r="P565" i="17"/>
  <c r="L565" i="17"/>
  <c r="K565" i="17"/>
  <c r="F565" i="17"/>
  <c r="P564" i="17"/>
  <c r="L564" i="17"/>
  <c r="K564" i="17"/>
  <c r="Q564" i="17" s="1"/>
  <c r="F564" i="17"/>
  <c r="P563" i="17"/>
  <c r="L563" i="17"/>
  <c r="K563" i="17"/>
  <c r="F563" i="17"/>
  <c r="L562" i="17"/>
  <c r="P562" i="17"/>
  <c r="F562" i="17"/>
  <c r="I562" i="17" s="1"/>
  <c r="P561" i="17"/>
  <c r="L561" i="17"/>
  <c r="K561" i="17"/>
  <c r="F561" i="17"/>
  <c r="Q560" i="17"/>
  <c r="P560" i="17"/>
  <c r="L560" i="17"/>
  <c r="K560" i="17"/>
  <c r="J560" i="17"/>
  <c r="M560" i="17" s="1"/>
  <c r="F560" i="17"/>
  <c r="P559" i="17"/>
  <c r="L559" i="17"/>
  <c r="K559" i="17"/>
  <c r="F559" i="17"/>
  <c r="Q558" i="17"/>
  <c r="P558" i="17"/>
  <c r="N558" i="17"/>
  <c r="L558" i="17"/>
  <c r="K558" i="17"/>
  <c r="J558" i="17"/>
  <c r="M558" i="17" s="1"/>
  <c r="F558" i="17"/>
  <c r="P557" i="17"/>
  <c r="L557" i="17"/>
  <c r="K557" i="17"/>
  <c r="F557" i="17"/>
  <c r="L556" i="17"/>
  <c r="P556" i="17"/>
  <c r="F556" i="17"/>
  <c r="I556" i="17" s="1"/>
  <c r="P555" i="17"/>
  <c r="K555" i="17"/>
  <c r="F555" i="17"/>
  <c r="I555" i="17" s="1"/>
  <c r="P554" i="17"/>
  <c r="L554" i="17"/>
  <c r="N554" i="17" s="1"/>
  <c r="K554" i="17"/>
  <c r="Q554" i="17" s="1"/>
  <c r="J554" i="17"/>
  <c r="M554" i="17" s="1"/>
  <c r="F554" i="17"/>
  <c r="P553" i="17"/>
  <c r="L553" i="17"/>
  <c r="K553" i="17"/>
  <c r="F553" i="17"/>
  <c r="P552" i="17"/>
  <c r="L552" i="17"/>
  <c r="K552" i="17"/>
  <c r="Q552" i="17" s="1"/>
  <c r="F552" i="17"/>
  <c r="P551" i="17"/>
  <c r="K551" i="17"/>
  <c r="L551" i="17"/>
  <c r="F551" i="17"/>
  <c r="P550" i="17"/>
  <c r="L550" i="17"/>
  <c r="K550" i="17"/>
  <c r="F550" i="17"/>
  <c r="P549" i="17"/>
  <c r="L549" i="17"/>
  <c r="K549" i="17"/>
  <c r="Q549" i="17" s="1"/>
  <c r="F549" i="17"/>
  <c r="I549" i="17" s="1"/>
  <c r="P548" i="17"/>
  <c r="L548" i="17"/>
  <c r="K548" i="17"/>
  <c r="Q548" i="17" s="1"/>
  <c r="F548" i="17"/>
  <c r="P547" i="17"/>
  <c r="L547" i="17"/>
  <c r="K547" i="17"/>
  <c r="Q547" i="17" s="1"/>
  <c r="F547" i="17"/>
  <c r="I547" i="17" s="1"/>
  <c r="P546" i="17"/>
  <c r="L546" i="17"/>
  <c r="K546" i="17"/>
  <c r="Q546" i="17" s="1"/>
  <c r="F546" i="17"/>
  <c r="H574" i="17"/>
  <c r="H575" i="17" s="1"/>
  <c r="G574" i="17"/>
  <c r="G575" i="17" s="1"/>
  <c r="F545" i="17"/>
  <c r="I545" i="17" s="1"/>
  <c r="P544" i="17"/>
  <c r="L544" i="17"/>
  <c r="K544" i="17"/>
  <c r="Q544" i="17" s="1"/>
  <c r="F544" i="17"/>
  <c r="Q543" i="17"/>
  <c r="P543" i="17"/>
  <c r="L543" i="17"/>
  <c r="K543" i="17"/>
  <c r="J543" i="17"/>
  <c r="M543" i="17" s="1"/>
  <c r="F543" i="17"/>
  <c r="P542" i="17"/>
  <c r="L542" i="17"/>
  <c r="K542" i="17"/>
  <c r="F542" i="17"/>
  <c r="E541" i="17"/>
  <c r="D541" i="17"/>
  <c r="H540" i="17"/>
  <c r="H541" i="17" s="1"/>
  <c r="G540" i="17"/>
  <c r="G541" i="17" s="1"/>
  <c r="Q539" i="17"/>
  <c r="P539" i="17"/>
  <c r="N539" i="17"/>
  <c r="L539" i="17"/>
  <c r="K539" i="17"/>
  <c r="J539" i="17"/>
  <c r="M539" i="17" s="1"/>
  <c r="F539" i="17"/>
  <c r="P538" i="17"/>
  <c r="L538" i="17"/>
  <c r="K538" i="17"/>
  <c r="F538" i="17"/>
  <c r="I538" i="17" s="1"/>
  <c r="P537" i="17"/>
  <c r="L537" i="17"/>
  <c r="K537" i="17"/>
  <c r="J537" i="17" s="1"/>
  <c r="F537" i="17"/>
  <c r="Q536" i="17"/>
  <c r="P536" i="17"/>
  <c r="N536" i="17"/>
  <c r="L536" i="17"/>
  <c r="K536" i="17"/>
  <c r="J536" i="17"/>
  <c r="M536" i="17" s="1"/>
  <c r="F536" i="17"/>
  <c r="P535" i="17"/>
  <c r="L535" i="17"/>
  <c r="K535" i="17"/>
  <c r="F535" i="17"/>
  <c r="Q534" i="17"/>
  <c r="P534" i="17"/>
  <c r="L534" i="17"/>
  <c r="N534" i="17" s="1"/>
  <c r="K534" i="17"/>
  <c r="J534" i="17"/>
  <c r="M534" i="17" s="1"/>
  <c r="F534" i="17"/>
  <c r="P533" i="17"/>
  <c r="P540" i="17" s="1"/>
  <c r="P541" i="17" s="1"/>
  <c r="L533" i="17"/>
  <c r="K533" i="17"/>
  <c r="F533" i="17"/>
  <c r="E532" i="17"/>
  <c r="H531" i="17"/>
  <c r="G531" i="17"/>
  <c r="D531" i="17"/>
  <c r="D532" i="17" s="1"/>
  <c r="P530" i="17"/>
  <c r="L530" i="17"/>
  <c r="K530" i="17"/>
  <c r="F530" i="17"/>
  <c r="Q529" i="17"/>
  <c r="P529" i="17"/>
  <c r="L529" i="17"/>
  <c r="N529" i="17" s="1"/>
  <c r="K529" i="17"/>
  <c r="J529" i="17"/>
  <c r="M529" i="17" s="1"/>
  <c r="F529" i="17"/>
  <c r="P528" i="17"/>
  <c r="L528" i="17"/>
  <c r="K528" i="17"/>
  <c r="F528" i="17"/>
  <c r="I528" i="17" s="1"/>
  <c r="Q527" i="17"/>
  <c r="P527" i="17"/>
  <c r="N527" i="17"/>
  <c r="L527" i="17"/>
  <c r="K527" i="17"/>
  <c r="J527" i="17"/>
  <c r="M527" i="17" s="1"/>
  <c r="F527" i="17"/>
  <c r="P526" i="17"/>
  <c r="L526" i="17"/>
  <c r="K526" i="17"/>
  <c r="F526" i="17"/>
  <c r="P525" i="17"/>
  <c r="L525" i="17"/>
  <c r="K525" i="17"/>
  <c r="Q525" i="17" s="1"/>
  <c r="F525" i="17"/>
  <c r="I525" i="17" s="1"/>
  <c r="P524" i="17"/>
  <c r="L524" i="17"/>
  <c r="K524" i="17"/>
  <c r="F524" i="17"/>
  <c r="H523" i="17"/>
  <c r="H532" i="17" s="1"/>
  <c r="G523" i="17"/>
  <c r="G532" i="17" s="1"/>
  <c r="D523" i="17"/>
  <c r="Q522" i="17"/>
  <c r="P522" i="17"/>
  <c r="N522" i="17"/>
  <c r="L522" i="17"/>
  <c r="K522" i="17"/>
  <c r="J522" i="17"/>
  <c r="M522" i="17" s="1"/>
  <c r="F522" i="17"/>
  <c r="P521" i="17"/>
  <c r="L521" i="17"/>
  <c r="K521" i="17"/>
  <c r="F521" i="17"/>
  <c r="I521" i="17" s="1"/>
  <c r="Q520" i="17"/>
  <c r="P520" i="17"/>
  <c r="L520" i="17"/>
  <c r="K520" i="17"/>
  <c r="J520" i="17"/>
  <c r="M520" i="17" s="1"/>
  <c r="F520" i="17"/>
  <c r="P519" i="17"/>
  <c r="L519" i="17"/>
  <c r="K519" i="17"/>
  <c r="F519" i="17"/>
  <c r="Q518" i="17"/>
  <c r="P518" i="17"/>
  <c r="N518" i="17"/>
  <c r="L518" i="17"/>
  <c r="K518" i="17"/>
  <c r="K523" i="17" s="1"/>
  <c r="G135" i="15" s="1"/>
  <c r="J518" i="17"/>
  <c r="M518" i="17" s="1"/>
  <c r="F518" i="17"/>
  <c r="J1037" i="13"/>
  <c r="I1037" i="13"/>
  <c r="F1037" i="13"/>
  <c r="F1036" i="13"/>
  <c r="F1035" i="13"/>
  <c r="F1033" i="13"/>
  <c r="I1033" i="13" s="1"/>
  <c r="F1032" i="13"/>
  <c r="F1031" i="13"/>
  <c r="I1031" i="13" s="1"/>
  <c r="F1029" i="13"/>
  <c r="I1029" i="13" s="1"/>
  <c r="F1028" i="13"/>
  <c r="I1028" i="13" s="1"/>
  <c r="F1027" i="13"/>
  <c r="I1027" i="13" s="1"/>
  <c r="F1026" i="13"/>
  <c r="F1024" i="13"/>
  <c r="I1024" i="13" s="1"/>
  <c r="F1023" i="13"/>
  <c r="F1025" i="13" s="1"/>
  <c r="F1021" i="13"/>
  <c r="I1021" i="13" s="1"/>
  <c r="F1020" i="13"/>
  <c r="I1020" i="13" s="1"/>
  <c r="F1019" i="13"/>
  <c r="I1019" i="13" s="1"/>
  <c r="F1018" i="13"/>
  <c r="F1022" i="13" s="1"/>
  <c r="F1016" i="13"/>
  <c r="I1016" i="13" s="1"/>
  <c r="F1015" i="13"/>
  <c r="I1015" i="13" s="1"/>
  <c r="F1014" i="13"/>
  <c r="G1011" i="13"/>
  <c r="J1011" i="13" s="1"/>
  <c r="F1011" i="13"/>
  <c r="I1011" i="13" s="1"/>
  <c r="F1008" i="13"/>
  <c r="I1008" i="13" s="1"/>
  <c r="F1007" i="13"/>
  <c r="I1007" i="13" s="1"/>
  <c r="F1006" i="13"/>
  <c r="I1006" i="13" s="1"/>
  <c r="F1005" i="13"/>
  <c r="I1005" i="13" s="1"/>
  <c r="F1004" i="13"/>
  <c r="I1004" i="13" s="1"/>
  <c r="F1003" i="13"/>
  <c r="F1001" i="13"/>
  <c r="I1001" i="13" s="1"/>
  <c r="F1000" i="13"/>
  <c r="I1000" i="13" s="1"/>
  <c r="F999" i="13"/>
  <c r="F1002" i="13" s="1"/>
  <c r="F996" i="13"/>
  <c r="I996" i="13" s="1"/>
  <c r="F995" i="13"/>
  <c r="I995" i="13" s="1"/>
  <c r="F994" i="13"/>
  <c r="I994" i="13" s="1"/>
  <c r="F993" i="13"/>
  <c r="I993" i="13" s="1"/>
  <c r="F992" i="13"/>
  <c r="I992" i="13" s="1"/>
  <c r="F991" i="13"/>
  <c r="F990" i="13"/>
  <c r="I990" i="13" s="1"/>
  <c r="F988" i="13"/>
  <c r="I988" i="13" s="1"/>
  <c r="F987" i="13"/>
  <c r="I987" i="13" s="1"/>
  <c r="F986" i="13"/>
  <c r="I986" i="13" s="1"/>
  <c r="F985" i="13"/>
  <c r="I985" i="13" s="1"/>
  <c r="F984" i="13"/>
  <c r="I984" i="13" s="1"/>
  <c r="F983" i="13"/>
  <c r="I983" i="13" s="1"/>
  <c r="F982" i="13"/>
  <c r="I982" i="13" s="1"/>
  <c r="F981" i="13"/>
  <c r="I981" i="13" s="1"/>
  <c r="F980" i="13"/>
  <c r="I980" i="13" s="1"/>
  <c r="F979" i="13"/>
  <c r="F975" i="13"/>
  <c r="I975" i="13" s="1"/>
  <c r="F974" i="13"/>
  <c r="I974" i="13" s="1"/>
  <c r="F973" i="13"/>
  <c r="I973" i="13" s="1"/>
  <c r="F972" i="13"/>
  <c r="I972" i="13" s="1"/>
  <c r="F971" i="13"/>
  <c r="I971" i="13" s="1"/>
  <c r="F970" i="13"/>
  <c r="I970" i="13" s="1"/>
  <c r="F969" i="13"/>
  <c r="I969" i="13" s="1"/>
  <c r="F968" i="13"/>
  <c r="I968" i="13" s="1"/>
  <c r="F967" i="13"/>
  <c r="F976" i="13" s="1"/>
  <c r="F965" i="13"/>
  <c r="I965" i="13" s="1"/>
  <c r="F964" i="13"/>
  <c r="I964" i="13" s="1"/>
  <c r="F963" i="13"/>
  <c r="I963" i="13" s="1"/>
  <c r="F962" i="13"/>
  <c r="F966" i="13" s="1"/>
  <c r="F977" i="13" s="1"/>
  <c r="F959" i="13"/>
  <c r="I959" i="13" s="1"/>
  <c r="F958" i="13"/>
  <c r="I958" i="13" s="1"/>
  <c r="F957" i="13"/>
  <c r="F955" i="13"/>
  <c r="I955" i="13" s="1"/>
  <c r="F953" i="13"/>
  <c r="I953" i="13" s="1"/>
  <c r="F952" i="13"/>
  <c r="I952" i="13" s="1"/>
  <c r="F951" i="13"/>
  <c r="I951" i="13" s="1"/>
  <c r="F950" i="13"/>
  <c r="F948" i="13"/>
  <c r="I948" i="13" s="1"/>
  <c r="F947" i="13"/>
  <c r="I947" i="13" s="1"/>
  <c r="F946" i="13"/>
  <c r="I946" i="13" s="1"/>
  <c r="F945" i="13"/>
  <c r="I945" i="13" s="1"/>
  <c r="F944" i="13"/>
  <c r="I944" i="13" s="1"/>
  <c r="F943" i="13"/>
  <c r="I943" i="13" s="1"/>
  <c r="F942" i="13"/>
  <c r="F940" i="13"/>
  <c r="I940" i="13" s="1"/>
  <c r="F939" i="13"/>
  <c r="I939" i="13" s="1"/>
  <c r="F938" i="13"/>
  <c r="I938" i="13" s="1"/>
  <c r="F937" i="13"/>
  <c r="I937" i="13" s="1"/>
  <c r="F936" i="13"/>
  <c r="I936" i="13" s="1"/>
  <c r="F935" i="13"/>
  <c r="I935" i="13" s="1"/>
  <c r="F934" i="13"/>
  <c r="F932" i="13"/>
  <c r="I932" i="13" s="1"/>
  <c r="F931" i="13"/>
  <c r="I931" i="13" s="1"/>
  <c r="F930" i="13"/>
  <c r="I930" i="13" s="1"/>
  <c r="F929" i="13"/>
  <c r="F1033" i="1"/>
  <c r="F1034" i="1" s="1"/>
  <c r="I1032" i="1"/>
  <c r="H1032" i="1"/>
  <c r="E1032" i="1"/>
  <c r="G1031" i="1"/>
  <c r="J1031" i="1" s="1"/>
  <c r="G1030" i="1"/>
  <c r="J1030" i="1" s="1"/>
  <c r="I1029" i="1"/>
  <c r="H1029" i="1"/>
  <c r="G1028" i="1"/>
  <c r="J1028" i="1" s="1"/>
  <c r="E1028" i="1"/>
  <c r="G1027" i="1"/>
  <c r="J1027" i="1" s="1"/>
  <c r="E1027" i="1"/>
  <c r="E1029" i="1" s="1"/>
  <c r="G1026" i="1"/>
  <c r="J1026" i="1" s="1"/>
  <c r="I1025" i="1"/>
  <c r="H1025" i="1"/>
  <c r="G1024" i="1"/>
  <c r="J1024" i="1" s="1"/>
  <c r="G1023" i="1"/>
  <c r="J1023" i="1" s="1"/>
  <c r="G1022" i="1"/>
  <c r="J1022" i="1" s="1"/>
  <c r="E1022" i="1"/>
  <c r="E1025" i="1" s="1"/>
  <c r="G1021" i="1"/>
  <c r="J1021" i="1" s="1"/>
  <c r="G1020" i="1"/>
  <c r="J1020" i="1" s="1"/>
  <c r="E1020" i="1"/>
  <c r="E1019" i="1"/>
  <c r="I1019" i="1"/>
  <c r="H1019" i="1"/>
  <c r="G1018" i="1"/>
  <c r="J1018" i="1" s="1"/>
  <c r="G1017" i="1"/>
  <c r="J1017" i="1" s="1"/>
  <c r="I1016" i="1"/>
  <c r="H1016" i="1"/>
  <c r="E1016" i="1"/>
  <c r="G1015" i="1"/>
  <c r="J1015" i="1" s="1"/>
  <c r="G1014" i="1"/>
  <c r="J1014" i="1" s="1"/>
  <c r="G1013" i="1"/>
  <c r="J1013" i="1" s="1"/>
  <c r="G1012" i="1"/>
  <c r="J1012" i="1" s="1"/>
  <c r="I1011" i="1"/>
  <c r="H1011" i="1"/>
  <c r="E1011" i="1"/>
  <c r="G1010" i="1"/>
  <c r="J1010" i="1" s="1"/>
  <c r="G1009" i="1"/>
  <c r="J1009" i="1" s="1"/>
  <c r="G1008" i="1"/>
  <c r="J1008" i="1" s="1"/>
  <c r="F1006" i="1"/>
  <c r="F1007" i="1" s="1"/>
  <c r="M1005" i="1"/>
  <c r="O1005" i="1" s="1"/>
  <c r="L1005" i="1"/>
  <c r="K1005" i="1"/>
  <c r="N1005" i="1" s="1"/>
  <c r="G1005" i="1"/>
  <c r="I1003" i="1"/>
  <c r="H1003" i="1"/>
  <c r="E1003" i="1"/>
  <c r="E1004" i="1" s="1"/>
  <c r="G1002" i="1"/>
  <c r="G1000" i="1"/>
  <c r="G998" i="1"/>
  <c r="J998" i="1" s="1"/>
  <c r="G997" i="1"/>
  <c r="I996" i="1"/>
  <c r="I1004" i="1" s="1"/>
  <c r="H996" i="1"/>
  <c r="H1004" i="1" s="1"/>
  <c r="E996" i="1"/>
  <c r="G995" i="1"/>
  <c r="J995" i="1" s="1"/>
  <c r="G994" i="1"/>
  <c r="J994" i="1" s="1"/>
  <c r="G993" i="1"/>
  <c r="I991" i="1"/>
  <c r="H991" i="1"/>
  <c r="E991" i="1"/>
  <c r="E992" i="1" s="1"/>
  <c r="E1006" i="1" s="1"/>
  <c r="E1007" i="1" s="1"/>
  <c r="G990" i="1"/>
  <c r="G988" i="1"/>
  <c r="J988" i="1" s="1"/>
  <c r="G987" i="1"/>
  <c r="J987" i="1" s="1"/>
  <c r="G986" i="1"/>
  <c r="J986" i="1" s="1"/>
  <c r="G985" i="1"/>
  <c r="J985" i="1" s="1"/>
  <c r="G984" i="1"/>
  <c r="J984" i="1" s="1"/>
  <c r="I983" i="1"/>
  <c r="H983" i="1"/>
  <c r="E983" i="1"/>
  <c r="G982" i="1"/>
  <c r="J982" i="1" s="1"/>
  <c r="G981" i="1"/>
  <c r="J981" i="1" s="1"/>
  <c r="G980" i="1"/>
  <c r="J980" i="1" s="1"/>
  <c r="G979" i="1"/>
  <c r="J979" i="1" s="1"/>
  <c r="G978" i="1"/>
  <c r="J978" i="1" s="1"/>
  <c r="G977" i="1"/>
  <c r="J977" i="1" s="1"/>
  <c r="G976" i="1"/>
  <c r="J976" i="1" s="1"/>
  <c r="G975" i="1"/>
  <c r="J975" i="1" s="1"/>
  <c r="G974" i="1"/>
  <c r="J974" i="1" s="1"/>
  <c r="G973" i="1"/>
  <c r="J973" i="1" s="1"/>
  <c r="F971" i="1"/>
  <c r="I970" i="1"/>
  <c r="M970" i="1" s="1"/>
  <c r="H970" i="1"/>
  <c r="L970" i="1" s="1"/>
  <c r="E970" i="1"/>
  <c r="G969" i="1"/>
  <c r="J969" i="1" s="1"/>
  <c r="G968" i="1"/>
  <c r="J968" i="1" s="1"/>
  <c r="G967" i="1"/>
  <c r="J967" i="1" s="1"/>
  <c r="G966" i="1"/>
  <c r="J966" i="1" s="1"/>
  <c r="G965" i="1"/>
  <c r="J965" i="1" s="1"/>
  <c r="G964" i="1"/>
  <c r="J964" i="1" s="1"/>
  <c r="G963" i="1"/>
  <c r="J963" i="1" s="1"/>
  <c r="G962" i="1"/>
  <c r="J962" i="1" s="1"/>
  <c r="G961" i="1"/>
  <c r="J961" i="1" s="1"/>
  <c r="I960" i="1"/>
  <c r="I971" i="1" s="1"/>
  <c r="H960" i="1"/>
  <c r="H971" i="1" s="1"/>
  <c r="E960" i="1"/>
  <c r="E971" i="1" s="1"/>
  <c r="G959" i="1"/>
  <c r="J959" i="1" s="1"/>
  <c r="G958" i="1"/>
  <c r="J958" i="1" s="1"/>
  <c r="G957" i="1"/>
  <c r="J957" i="1" s="1"/>
  <c r="G956" i="1"/>
  <c r="J956" i="1" s="1"/>
  <c r="I954" i="1"/>
  <c r="H954" i="1"/>
  <c r="E954" i="1"/>
  <c r="G953" i="1"/>
  <c r="J953" i="1" s="1"/>
  <c r="G952" i="1"/>
  <c r="J952" i="1" s="1"/>
  <c r="G951" i="1"/>
  <c r="I950" i="1"/>
  <c r="H950" i="1"/>
  <c r="F950" i="1"/>
  <c r="F955" i="1" s="1"/>
  <c r="F972" i="1" s="1"/>
  <c r="F1035" i="1" s="1"/>
  <c r="E950" i="1"/>
  <c r="G949" i="1"/>
  <c r="G945" i="1"/>
  <c r="J945" i="1" s="1"/>
  <c r="G944" i="1"/>
  <c r="I943" i="1"/>
  <c r="H943" i="1"/>
  <c r="E943" i="1"/>
  <c r="G942" i="1"/>
  <c r="J942" i="1" s="1"/>
  <c r="G941" i="1"/>
  <c r="J941" i="1" s="1"/>
  <c r="G940" i="1"/>
  <c r="J940" i="1" s="1"/>
  <c r="G939" i="1"/>
  <c r="J939" i="1" s="1"/>
  <c r="G938" i="1"/>
  <c r="J938" i="1" s="1"/>
  <c r="G937" i="1"/>
  <c r="J937" i="1" s="1"/>
  <c r="G936" i="1"/>
  <c r="I935" i="1"/>
  <c r="H935" i="1"/>
  <c r="E935" i="1"/>
  <c r="G934" i="1"/>
  <c r="J934" i="1" s="1"/>
  <c r="G933" i="1"/>
  <c r="J933" i="1" s="1"/>
  <c r="G932" i="1"/>
  <c r="J932" i="1" s="1"/>
  <c r="G931" i="1"/>
  <c r="J931" i="1" s="1"/>
  <c r="G930" i="1"/>
  <c r="J930" i="1" s="1"/>
  <c r="G929" i="1"/>
  <c r="J929" i="1" s="1"/>
  <c r="G928" i="1"/>
  <c r="I927" i="1"/>
  <c r="H927" i="1"/>
  <c r="E927" i="1"/>
  <c r="E955" i="1" s="1"/>
  <c r="E972" i="1" s="1"/>
  <c r="G926" i="1"/>
  <c r="J926" i="1" s="1"/>
  <c r="G925" i="1"/>
  <c r="J925" i="1" s="1"/>
  <c r="G924" i="1"/>
  <c r="J924" i="1" s="1"/>
  <c r="G923" i="1"/>
  <c r="G927" i="1" s="1"/>
  <c r="N95" i="14" l="1"/>
  <c r="P95" i="14" s="1"/>
  <c r="O85" i="14"/>
  <c r="N85" i="14" s="1"/>
  <c r="P85" i="14" s="1"/>
  <c r="D175" i="15"/>
  <c r="E175" i="15" s="1"/>
  <c r="N1269" i="1"/>
  <c r="O1269" i="1"/>
  <c r="H992" i="1"/>
  <c r="H1006" i="1" s="1"/>
  <c r="H1007" i="1" s="1"/>
  <c r="I992" i="1"/>
  <c r="I1006" i="1" s="1"/>
  <c r="I1007" i="1" s="1"/>
  <c r="G954" i="1"/>
  <c r="J954" i="1" s="1"/>
  <c r="J951" i="1"/>
  <c r="G996" i="1"/>
  <c r="J993" i="1"/>
  <c r="G1003" i="1"/>
  <c r="J1003" i="1" s="1"/>
  <c r="J997" i="1"/>
  <c r="N94" i="14"/>
  <c r="P94" i="14" s="1"/>
  <c r="L540" i="17"/>
  <c r="J525" i="17"/>
  <c r="M525" i="17" s="1"/>
  <c r="N525" i="17"/>
  <c r="L531" i="17"/>
  <c r="P531" i="17"/>
  <c r="F949" i="13"/>
  <c r="F960" i="13"/>
  <c r="F989" i="13"/>
  <c r="F1009" i="13"/>
  <c r="F1010" i="13" s="1"/>
  <c r="F1017" i="13"/>
  <c r="F1038" i="13" s="1"/>
  <c r="F1039" i="13" s="1"/>
  <c r="C135" i="15"/>
  <c r="C138" i="15" s="1"/>
  <c r="G943" i="1"/>
  <c r="J943" i="1" s="1"/>
  <c r="J936" i="1"/>
  <c r="G935" i="1"/>
  <c r="J935" i="1" s="1"/>
  <c r="J928" i="1"/>
  <c r="J950" i="1"/>
  <c r="J944" i="1"/>
  <c r="F933" i="13"/>
  <c r="F941" i="13"/>
  <c r="F956" i="13"/>
  <c r="F1030" i="13"/>
  <c r="F997" i="13"/>
  <c r="F998" i="13" s="1"/>
  <c r="F1034" i="13"/>
  <c r="H955" i="1"/>
  <c r="H972" i="1" s="1"/>
  <c r="H1035" i="1" s="1"/>
  <c r="J549" i="17"/>
  <c r="M549" i="17" s="1"/>
  <c r="H1033" i="1"/>
  <c r="H1034" i="1" s="1"/>
  <c r="N96" i="14"/>
  <c r="P96" i="14" s="1"/>
  <c r="N97" i="14"/>
  <c r="R97" i="14" s="1"/>
  <c r="N99" i="14"/>
  <c r="R99" i="14" s="1"/>
  <c r="N100" i="14"/>
  <c r="P100" i="14" s="1"/>
  <c r="M86" i="14"/>
  <c r="O86" i="14"/>
  <c r="N86" i="14" s="1"/>
  <c r="P86" i="14" s="1"/>
  <c r="O87" i="14"/>
  <c r="N87" i="14" s="1"/>
  <c r="P87" i="14" s="1"/>
  <c r="R95" i="14"/>
  <c r="Q95" i="14"/>
  <c r="R85" i="14"/>
  <c r="R87" i="14"/>
  <c r="O88" i="14"/>
  <c r="N88" i="14" s="1"/>
  <c r="M88" i="14"/>
  <c r="O90" i="14"/>
  <c r="N90" i="14" s="1"/>
  <c r="M90" i="14"/>
  <c r="L92" i="14"/>
  <c r="K92" i="14" s="1"/>
  <c r="M94" i="14"/>
  <c r="M95" i="14"/>
  <c r="M96" i="14"/>
  <c r="M97" i="14"/>
  <c r="N98" i="14"/>
  <c r="Q85" i="14"/>
  <c r="S85" i="14" s="1"/>
  <c r="Q87" i="14"/>
  <c r="O89" i="14"/>
  <c r="N89" i="14" s="1"/>
  <c r="M89" i="14"/>
  <c r="O91" i="14"/>
  <c r="N91" i="14" s="1"/>
  <c r="M91" i="14"/>
  <c r="L93" i="14"/>
  <c r="K93" i="14" s="1"/>
  <c r="C93" i="14"/>
  <c r="M98" i="14"/>
  <c r="M99" i="14"/>
  <c r="M100" i="14"/>
  <c r="C145" i="15"/>
  <c r="H893" i="16"/>
  <c r="E836" i="16"/>
  <c r="F836" i="16"/>
  <c r="F896" i="16" s="1"/>
  <c r="I807" i="16"/>
  <c r="I822" i="16" s="1"/>
  <c r="J135" i="15" s="1"/>
  <c r="I833" i="16"/>
  <c r="I834" i="16" s="1"/>
  <c r="H822" i="16"/>
  <c r="H836" i="16" s="1"/>
  <c r="I824" i="16"/>
  <c r="I829" i="16" s="1"/>
  <c r="J136" i="15" s="1"/>
  <c r="E896" i="16"/>
  <c r="I867" i="16"/>
  <c r="I893" i="16" s="1"/>
  <c r="J142" i="15" s="1"/>
  <c r="J144" i="15" s="1"/>
  <c r="J572" i="17"/>
  <c r="M572" i="17" s="1"/>
  <c r="N560" i="17"/>
  <c r="J564" i="17"/>
  <c r="M564" i="17" s="1"/>
  <c r="N543" i="17"/>
  <c r="J547" i="17"/>
  <c r="M547" i="17" s="1"/>
  <c r="J548" i="17"/>
  <c r="N548" i="17"/>
  <c r="J550" i="17"/>
  <c r="J552" i="17"/>
  <c r="M552" i="17" s="1"/>
  <c r="N520" i="17"/>
  <c r="Q521" i="17"/>
  <c r="Q523" i="17" s="1"/>
  <c r="H135" i="15" s="1"/>
  <c r="J521" i="17"/>
  <c r="M521" i="17" s="1"/>
  <c r="F523" i="17"/>
  <c r="I523" i="17" s="1"/>
  <c r="L523" i="17"/>
  <c r="Q526" i="17"/>
  <c r="J526" i="17"/>
  <c r="M526" i="17" s="1"/>
  <c r="Q530" i="17"/>
  <c r="J530" i="17"/>
  <c r="M530" i="17" s="1"/>
  <c r="K531" i="17"/>
  <c r="L541" i="17"/>
  <c r="Q535" i="17"/>
  <c r="J535" i="17"/>
  <c r="M535" i="17" s="1"/>
  <c r="Q538" i="17"/>
  <c r="J538" i="17"/>
  <c r="M538" i="17" s="1"/>
  <c r="K540" i="17"/>
  <c r="K541" i="17" s="1"/>
  <c r="G139" i="15" s="1"/>
  <c r="G141" i="15" s="1"/>
  <c r="H576" i="17"/>
  <c r="P523" i="17"/>
  <c r="Q519" i="17"/>
  <c r="J519" i="17"/>
  <c r="M519" i="17" s="1"/>
  <c r="J523" i="17"/>
  <c r="F531" i="17"/>
  <c r="I531" i="17" s="1"/>
  <c r="Q524" i="17"/>
  <c r="Q531" i="17" s="1"/>
  <c r="H136" i="15" s="1"/>
  <c r="J524" i="17"/>
  <c r="N526" i="17"/>
  <c r="Q528" i="17"/>
  <c r="J528" i="17"/>
  <c r="M528" i="17" s="1"/>
  <c r="F540" i="17"/>
  <c r="I540" i="17" s="1"/>
  <c r="Q533" i="17"/>
  <c r="J533" i="17"/>
  <c r="N535" i="17"/>
  <c r="N537" i="17"/>
  <c r="Q537" i="17"/>
  <c r="N538" i="17"/>
  <c r="G576" i="17"/>
  <c r="M550" i="17"/>
  <c r="N550" i="17"/>
  <c r="D576" i="17"/>
  <c r="L545" i="17"/>
  <c r="Q550" i="17"/>
  <c r="Q551" i="17"/>
  <c r="J551" i="17"/>
  <c r="M551" i="17" s="1"/>
  <c r="Q553" i="17"/>
  <c r="J553" i="17"/>
  <c r="M553" i="17" s="1"/>
  <c r="Q557" i="17"/>
  <c r="J557" i="17"/>
  <c r="M557" i="17" s="1"/>
  <c r="Q561" i="17"/>
  <c r="J561" i="17"/>
  <c r="M561" i="17" s="1"/>
  <c r="Q565" i="17"/>
  <c r="J565" i="17"/>
  <c r="M565" i="17" s="1"/>
  <c r="Q569" i="17"/>
  <c r="J569" i="17"/>
  <c r="M569" i="17" s="1"/>
  <c r="Q573" i="17"/>
  <c r="J573" i="17"/>
  <c r="M573" i="17" s="1"/>
  <c r="N524" i="17"/>
  <c r="N533" i="17"/>
  <c r="F574" i="17"/>
  <c r="I574" i="17" s="1"/>
  <c r="J542" i="17"/>
  <c r="N542" i="17"/>
  <c r="Q542" i="17"/>
  <c r="J544" i="17"/>
  <c r="M544" i="17" s="1"/>
  <c r="K545" i="17"/>
  <c r="P545" i="17"/>
  <c r="P574" i="17" s="1"/>
  <c r="P575" i="17" s="1"/>
  <c r="J546" i="17"/>
  <c r="N553" i="17"/>
  <c r="Q555" i="17"/>
  <c r="Q559" i="17"/>
  <c r="J559" i="17"/>
  <c r="M559" i="17" s="1"/>
  <c r="Q563" i="17"/>
  <c r="J563" i="17"/>
  <c r="M563" i="17" s="1"/>
  <c r="Q567" i="17"/>
  <c r="J567" i="17"/>
  <c r="M567" i="17" s="1"/>
  <c r="N569" i="17"/>
  <c r="Q571" i="17"/>
  <c r="J571" i="17"/>
  <c r="M571" i="17" s="1"/>
  <c r="K556" i="17"/>
  <c r="K562" i="17"/>
  <c r="K566" i="17"/>
  <c r="I991" i="13"/>
  <c r="I997" i="13" s="1"/>
  <c r="I999" i="13"/>
  <c r="I1002" i="13" s="1"/>
  <c r="I1014" i="13"/>
  <c r="I1017" i="13" s="1"/>
  <c r="I1032" i="13"/>
  <c r="I1034" i="13" s="1"/>
  <c r="I929" i="13"/>
  <c r="I933" i="13" s="1"/>
  <c r="I934" i="13"/>
  <c r="I941" i="13" s="1"/>
  <c r="I942" i="13"/>
  <c r="I949" i="13" s="1"/>
  <c r="I950" i="13"/>
  <c r="I956" i="13" s="1"/>
  <c r="I957" i="13"/>
  <c r="I960" i="13" s="1"/>
  <c r="I962" i="13"/>
  <c r="I966" i="13" s="1"/>
  <c r="I967" i="13"/>
  <c r="I976" i="13" s="1"/>
  <c r="I979" i="13"/>
  <c r="I989" i="13" s="1"/>
  <c r="I1003" i="13"/>
  <c r="I1009" i="13" s="1"/>
  <c r="I1018" i="13"/>
  <c r="I1022" i="13" s="1"/>
  <c r="I1023" i="13"/>
  <c r="I1025" i="13" s="1"/>
  <c r="I1026" i="13"/>
  <c r="I1030" i="13" s="1"/>
  <c r="G1019" i="1"/>
  <c r="J1019" i="1" s="1"/>
  <c r="I955" i="1"/>
  <c r="I972" i="1" s="1"/>
  <c r="J927" i="1"/>
  <c r="G955" i="1"/>
  <c r="G970" i="1"/>
  <c r="G960" i="1"/>
  <c r="G983" i="1"/>
  <c r="G991" i="1"/>
  <c r="J991" i="1" s="1"/>
  <c r="E1033" i="1"/>
  <c r="E1034" i="1" s="1"/>
  <c r="E1035" i="1" s="1"/>
  <c r="G1016" i="1"/>
  <c r="J1016" i="1" s="1"/>
  <c r="G1025" i="1"/>
  <c r="J1025" i="1" s="1"/>
  <c r="G1032" i="1"/>
  <c r="J1032" i="1" s="1"/>
  <c r="G1011" i="1"/>
  <c r="J1011" i="1" s="1"/>
  <c r="I1033" i="1"/>
  <c r="I1034" i="1" s="1"/>
  <c r="I1035" i="1" s="1"/>
  <c r="G1029" i="1"/>
  <c r="J1029" i="1" s="1"/>
  <c r="K462" i="17"/>
  <c r="I116" i="14"/>
  <c r="H116" i="14"/>
  <c r="D116" i="14"/>
  <c r="J116" i="14"/>
  <c r="R86" i="14" l="1"/>
  <c r="S95" i="14"/>
  <c r="R96" i="14"/>
  <c r="R94" i="14"/>
  <c r="R100" i="14"/>
  <c r="Q94" i="14"/>
  <c r="S87" i="14"/>
  <c r="T85" i="14"/>
  <c r="Q96" i="14"/>
  <c r="S96" i="14" s="1"/>
  <c r="T96" i="14" s="1"/>
  <c r="G1004" i="1"/>
  <c r="J1004" i="1" s="1"/>
  <c r="J996" i="1"/>
  <c r="J138" i="15"/>
  <c r="J145" i="15" s="1"/>
  <c r="P532" i="17"/>
  <c r="P576" i="17" s="1"/>
  <c r="K532" i="17"/>
  <c r="G136" i="15"/>
  <c r="G138" i="15" s="1"/>
  <c r="H138" i="15"/>
  <c r="F1012" i="13"/>
  <c r="F1013" i="13" s="1"/>
  <c r="I977" i="13"/>
  <c r="F961" i="13"/>
  <c r="F978" i="13" s="1"/>
  <c r="F1040" i="13" s="1"/>
  <c r="P99" i="14"/>
  <c r="Q99" i="14"/>
  <c r="S99" i="14" s="1"/>
  <c r="N549" i="17"/>
  <c r="N547" i="17"/>
  <c r="Q100" i="14"/>
  <c r="S100" i="14" s="1"/>
  <c r="T100" i="14" s="1"/>
  <c r="T95" i="14"/>
  <c r="P97" i="14"/>
  <c r="Q97" i="14"/>
  <c r="S97" i="14" s="1"/>
  <c r="Q86" i="14"/>
  <c r="S86" i="14" s="1"/>
  <c r="T86" i="14" s="1"/>
  <c r="T87" i="14"/>
  <c r="O92" i="14"/>
  <c r="N92" i="14" s="1"/>
  <c r="M92" i="14"/>
  <c r="Q90" i="14"/>
  <c r="R90" i="14"/>
  <c r="P90" i="14"/>
  <c r="Q88" i="14"/>
  <c r="R88" i="14"/>
  <c r="P88" i="14"/>
  <c r="O93" i="14"/>
  <c r="N93" i="14" s="1"/>
  <c r="M93" i="14"/>
  <c r="Q91" i="14"/>
  <c r="P91" i="14"/>
  <c r="R91" i="14"/>
  <c r="Q89" i="14"/>
  <c r="P89" i="14"/>
  <c r="R89" i="14"/>
  <c r="R98" i="14"/>
  <c r="P98" i="14"/>
  <c r="Q98" i="14"/>
  <c r="S98" i="14" s="1"/>
  <c r="I836" i="16"/>
  <c r="I896" i="16" s="1"/>
  <c r="N572" i="17"/>
  <c r="N561" i="17"/>
  <c r="N564" i="17"/>
  <c r="N552" i="17"/>
  <c r="J566" i="17"/>
  <c r="Q566" i="17"/>
  <c r="Q556" i="17"/>
  <c r="J556" i="17"/>
  <c r="M542" i="17"/>
  <c r="N571" i="17"/>
  <c r="N563" i="17"/>
  <c r="J540" i="17"/>
  <c r="M533" i="17"/>
  <c r="F541" i="17"/>
  <c r="I541" i="17" s="1"/>
  <c r="M523" i="17"/>
  <c r="N528" i="17"/>
  <c r="N523" i="17"/>
  <c r="L532" i="17"/>
  <c r="N519" i="17"/>
  <c r="Q532" i="17"/>
  <c r="J562" i="17"/>
  <c r="Q562" i="17"/>
  <c r="N573" i="17"/>
  <c r="N565" i="17"/>
  <c r="N557" i="17"/>
  <c r="Q545" i="17"/>
  <c r="J545" i="17"/>
  <c r="M545" i="17" s="1"/>
  <c r="F575" i="17"/>
  <c r="I575" i="17" s="1"/>
  <c r="N567" i="17"/>
  <c r="N559" i="17"/>
  <c r="N551" i="17"/>
  <c r="N545" i="17"/>
  <c r="Q540" i="17"/>
  <c r="Q541" i="17" s="1"/>
  <c r="H139" i="15" s="1"/>
  <c r="H141" i="15" s="1"/>
  <c r="N530" i="17"/>
  <c r="J531" i="17"/>
  <c r="M524" i="17"/>
  <c r="N521" i="17"/>
  <c r="N544" i="17"/>
  <c r="K574" i="17"/>
  <c r="K575" i="17" s="1"/>
  <c r="F532" i="17"/>
  <c r="I532" i="17" s="1"/>
  <c r="I998" i="13"/>
  <c r="I1010" i="13"/>
  <c r="I961" i="13"/>
  <c r="I978" i="13" s="1"/>
  <c r="I1038" i="13"/>
  <c r="I1039" i="13" s="1"/>
  <c r="J983" i="1"/>
  <c r="G992" i="1"/>
  <c r="J955" i="1"/>
  <c r="G1033" i="1"/>
  <c r="J1033" i="1" s="1"/>
  <c r="G971" i="1"/>
  <c r="J960" i="1"/>
  <c r="D117" i="14"/>
  <c r="J112" i="14"/>
  <c r="S94" i="14" l="1"/>
  <c r="T94" i="14" s="1"/>
  <c r="T99" i="14"/>
  <c r="I1012" i="13"/>
  <c r="I1013" i="13" s="1"/>
  <c r="I1040" i="13" s="1"/>
  <c r="K576" i="17"/>
  <c r="G142" i="15"/>
  <c r="G144" i="15" s="1"/>
  <c r="G145" i="15" s="1"/>
  <c r="Q574" i="17"/>
  <c r="Q575" i="17" s="1"/>
  <c r="T98" i="14"/>
  <c r="T97" i="14"/>
  <c r="S90" i="14"/>
  <c r="T90" i="14" s="1"/>
  <c r="S91" i="14"/>
  <c r="T91" i="14" s="1"/>
  <c r="R93" i="14"/>
  <c r="P93" i="14"/>
  <c r="Q93" i="14"/>
  <c r="S93" i="14" s="1"/>
  <c r="Q92" i="14"/>
  <c r="R92" i="14"/>
  <c r="P92" i="14"/>
  <c r="S89" i="14"/>
  <c r="T89" i="14" s="1"/>
  <c r="S88" i="14"/>
  <c r="T88" i="14" s="1"/>
  <c r="M540" i="17"/>
  <c r="J541" i="17"/>
  <c r="N540" i="17"/>
  <c r="M556" i="17"/>
  <c r="N556" i="17"/>
  <c r="M531" i="17"/>
  <c r="N531" i="17"/>
  <c r="F576" i="17"/>
  <c r="I576" i="17" s="1"/>
  <c r="M562" i="17"/>
  <c r="N562" i="17"/>
  <c r="J532" i="17"/>
  <c r="M532" i="17" s="1"/>
  <c r="M566" i="17"/>
  <c r="N566" i="17"/>
  <c r="J970" i="1"/>
  <c r="J971" i="1"/>
  <c r="G972" i="1"/>
  <c r="G1006" i="1"/>
  <c r="J992" i="1"/>
  <c r="G1034" i="1"/>
  <c r="J1034" i="1" s="1"/>
  <c r="D122" i="14"/>
  <c r="C122" i="14" s="1"/>
  <c r="I122" i="14"/>
  <c r="H122" i="14"/>
  <c r="J122" i="14"/>
  <c r="H503" i="17"/>
  <c r="G503" i="17"/>
  <c r="H499" i="17"/>
  <c r="G499" i="17"/>
  <c r="H493" i="17"/>
  <c r="G493" i="17"/>
  <c r="H488" i="17"/>
  <c r="G488" i="17"/>
  <c r="H482" i="17"/>
  <c r="G482" i="17"/>
  <c r="I902" i="1"/>
  <c r="H902" i="1"/>
  <c r="L124" i="14"/>
  <c r="K124" i="14" s="1"/>
  <c r="O124" i="14" s="1"/>
  <c r="G124" i="14"/>
  <c r="C124" i="14"/>
  <c r="L123" i="14"/>
  <c r="K123" i="14" s="1"/>
  <c r="O123" i="14" s="1"/>
  <c r="G123" i="14"/>
  <c r="C123" i="14"/>
  <c r="L121" i="14"/>
  <c r="K121" i="14" s="1"/>
  <c r="O121" i="14" s="1"/>
  <c r="G121" i="14"/>
  <c r="C121" i="14"/>
  <c r="L120" i="14"/>
  <c r="K120" i="14" s="1"/>
  <c r="O120" i="14" s="1"/>
  <c r="G120" i="14"/>
  <c r="C120" i="14"/>
  <c r="L119" i="14"/>
  <c r="K119" i="14" s="1"/>
  <c r="O119" i="14" s="1"/>
  <c r="G119" i="14"/>
  <c r="C119" i="14"/>
  <c r="L118" i="14"/>
  <c r="K118" i="14" s="1"/>
  <c r="O118" i="14" s="1"/>
  <c r="G118" i="14"/>
  <c r="C118" i="14"/>
  <c r="G117" i="14"/>
  <c r="L116" i="14"/>
  <c r="K116" i="14" s="1"/>
  <c r="G116" i="14"/>
  <c r="C116" i="14"/>
  <c r="L115" i="14"/>
  <c r="K115" i="14" s="1"/>
  <c r="G115" i="14"/>
  <c r="C115" i="14"/>
  <c r="L114" i="14"/>
  <c r="K114" i="14" s="1"/>
  <c r="M114" i="14" s="1"/>
  <c r="G114" i="14"/>
  <c r="C114" i="14"/>
  <c r="L113" i="14"/>
  <c r="K113" i="14" s="1"/>
  <c r="G113" i="14"/>
  <c r="C113" i="14"/>
  <c r="L112" i="14"/>
  <c r="K112" i="14" s="1"/>
  <c r="M112" i="14" s="1"/>
  <c r="G112" i="14"/>
  <c r="C112" i="14"/>
  <c r="L111" i="14"/>
  <c r="K111" i="14" s="1"/>
  <c r="G111" i="14"/>
  <c r="C111" i="14"/>
  <c r="L110" i="14"/>
  <c r="K110" i="14" s="1"/>
  <c r="M110" i="14" s="1"/>
  <c r="G110" i="14"/>
  <c r="C110" i="14"/>
  <c r="L109" i="14"/>
  <c r="K109" i="14" s="1"/>
  <c r="G109" i="14"/>
  <c r="C109" i="14"/>
  <c r="J124" i="15"/>
  <c r="J122" i="15"/>
  <c r="J121" i="15"/>
  <c r="H124" i="15"/>
  <c r="G124" i="15"/>
  <c r="C127" i="15"/>
  <c r="C124" i="15"/>
  <c r="C126" i="15" s="1"/>
  <c r="C121" i="15"/>
  <c r="C120" i="15"/>
  <c r="C123" i="15" s="1"/>
  <c r="C129" i="15"/>
  <c r="E128" i="15"/>
  <c r="J126" i="15"/>
  <c r="H126" i="15"/>
  <c r="E125" i="15"/>
  <c r="G126" i="15"/>
  <c r="E122" i="15"/>
  <c r="H800" i="16"/>
  <c r="F800" i="16"/>
  <c r="I800" i="16" s="1"/>
  <c r="I801" i="16" s="1"/>
  <c r="E799" i="16"/>
  <c r="H798" i="16"/>
  <c r="F798" i="16"/>
  <c r="I798" i="16" s="1"/>
  <c r="H797" i="16"/>
  <c r="F797" i="16"/>
  <c r="I797" i="16" s="1"/>
  <c r="I796" i="16"/>
  <c r="H796" i="16"/>
  <c r="F796" i="16"/>
  <c r="H795" i="16"/>
  <c r="F795" i="16"/>
  <c r="I795" i="16" s="1"/>
  <c r="H794" i="16"/>
  <c r="F794" i="16"/>
  <c r="I794" i="16" s="1"/>
  <c r="H793" i="16"/>
  <c r="F793" i="16"/>
  <c r="I793" i="16" s="1"/>
  <c r="H792" i="16"/>
  <c r="F792" i="16"/>
  <c r="I792" i="16" s="1"/>
  <c r="H791" i="16"/>
  <c r="F791" i="16"/>
  <c r="I791" i="16" s="1"/>
  <c r="H790" i="16"/>
  <c r="F790" i="16"/>
  <c r="I790" i="16" s="1"/>
  <c r="H789" i="16"/>
  <c r="F789" i="16"/>
  <c r="I789" i="16" s="1"/>
  <c r="H788" i="16"/>
  <c r="F788" i="16"/>
  <c r="I788" i="16" s="1"/>
  <c r="H787" i="16"/>
  <c r="F787" i="16"/>
  <c r="I787" i="16" s="1"/>
  <c r="H786" i="16"/>
  <c r="F786" i="16"/>
  <c r="I786" i="16" s="1"/>
  <c r="H785" i="16"/>
  <c r="F785" i="16"/>
  <c r="I785" i="16" s="1"/>
  <c r="H784" i="16"/>
  <c r="F784" i="16"/>
  <c r="I784" i="16" s="1"/>
  <c r="H783" i="16"/>
  <c r="F783" i="16"/>
  <c r="I783" i="16" s="1"/>
  <c r="H782" i="16"/>
  <c r="F782" i="16"/>
  <c r="I782" i="16" s="1"/>
  <c r="H781" i="16"/>
  <c r="F781" i="16"/>
  <c r="I781" i="16" s="1"/>
  <c r="H780" i="16"/>
  <c r="F780" i="16"/>
  <c r="I780" i="16" s="1"/>
  <c r="H779" i="16"/>
  <c r="F779" i="16"/>
  <c r="I779" i="16" s="1"/>
  <c r="H778" i="16"/>
  <c r="F778" i="16"/>
  <c r="I778" i="16" s="1"/>
  <c r="H777" i="16"/>
  <c r="F777" i="16"/>
  <c r="I777" i="16" s="1"/>
  <c r="H776" i="16"/>
  <c r="F776" i="16"/>
  <c r="I776" i="16" s="1"/>
  <c r="H775" i="16"/>
  <c r="F775" i="16"/>
  <c r="I775" i="16" s="1"/>
  <c r="H774" i="16"/>
  <c r="F774" i="16"/>
  <c r="H773" i="16"/>
  <c r="H799" i="16" s="1"/>
  <c r="F773" i="16"/>
  <c r="I773" i="16" s="1"/>
  <c r="F772" i="16"/>
  <c r="E772" i="16"/>
  <c r="H771" i="16"/>
  <c r="F771" i="16"/>
  <c r="I771" i="16" s="1"/>
  <c r="H770" i="16"/>
  <c r="F770" i="16"/>
  <c r="I770" i="16" s="1"/>
  <c r="H769" i="16"/>
  <c r="F769" i="16"/>
  <c r="I769" i="16" s="1"/>
  <c r="H768" i="16"/>
  <c r="F768" i="16"/>
  <c r="I768" i="16" s="1"/>
  <c r="H767" i="16"/>
  <c r="F767" i="16"/>
  <c r="I767" i="16" s="1"/>
  <c r="H766" i="16"/>
  <c r="F766" i="16"/>
  <c r="I766" i="16" s="1"/>
  <c r="H765" i="16"/>
  <c r="F765" i="16"/>
  <c r="I765" i="16" s="1"/>
  <c r="H764" i="16"/>
  <c r="F764" i="16"/>
  <c r="I764" i="16" s="1"/>
  <c r="H763" i="16"/>
  <c r="F763" i="16"/>
  <c r="I763" i="16" s="1"/>
  <c r="H762" i="16"/>
  <c r="F762" i="16"/>
  <c r="I762" i="16" s="1"/>
  <c r="H761" i="16"/>
  <c r="F761" i="16"/>
  <c r="I761" i="16" s="1"/>
  <c r="H760" i="16"/>
  <c r="F760" i="16"/>
  <c r="I760" i="16" s="1"/>
  <c r="H759" i="16"/>
  <c r="F759" i="16"/>
  <c r="I759" i="16" s="1"/>
  <c r="H758" i="16"/>
  <c r="F758" i="16"/>
  <c r="I758" i="16" s="1"/>
  <c r="H757" i="16"/>
  <c r="F757" i="16"/>
  <c r="I757" i="16" s="1"/>
  <c r="H756" i="16"/>
  <c r="F756" i="16"/>
  <c r="I756" i="16" s="1"/>
  <c r="H755" i="16"/>
  <c r="F755" i="16"/>
  <c r="I755" i="16" s="1"/>
  <c r="H754" i="16"/>
  <c r="F754" i="16"/>
  <c r="I754" i="16" s="1"/>
  <c r="H753" i="16"/>
  <c r="F753" i="16"/>
  <c r="I753" i="16" s="1"/>
  <c r="H752" i="16"/>
  <c r="F752" i="16"/>
  <c r="I752" i="16" s="1"/>
  <c r="H751" i="16"/>
  <c r="F751" i="16"/>
  <c r="I751" i="16" s="1"/>
  <c r="H750" i="16"/>
  <c r="F750" i="16"/>
  <c r="I750" i="16" s="1"/>
  <c r="H749" i="16"/>
  <c r="F749" i="16"/>
  <c r="I749" i="16" s="1"/>
  <c r="H748" i="16"/>
  <c r="F748" i="16"/>
  <c r="I748" i="16" s="1"/>
  <c r="H747" i="16"/>
  <c r="F747" i="16"/>
  <c r="I747" i="16" s="1"/>
  <c r="H746" i="16"/>
  <c r="F746" i="16"/>
  <c r="I746" i="16" s="1"/>
  <c r="H745" i="16"/>
  <c r="F745" i="16"/>
  <c r="I745" i="16" s="1"/>
  <c r="H744" i="16"/>
  <c r="F744" i="16"/>
  <c r="I744" i="16" s="1"/>
  <c r="H743" i="16"/>
  <c r="H772" i="16" s="1"/>
  <c r="F743" i="16"/>
  <c r="I743" i="16" s="1"/>
  <c r="I772" i="16" s="1"/>
  <c r="E740" i="16"/>
  <c r="H739" i="16"/>
  <c r="F739" i="16"/>
  <c r="I739" i="16" s="1"/>
  <c r="H738" i="16"/>
  <c r="F738" i="16"/>
  <c r="I738" i="16" s="1"/>
  <c r="H737" i="16"/>
  <c r="H740" i="16" s="1"/>
  <c r="F737" i="16"/>
  <c r="I737" i="16" s="1"/>
  <c r="H736" i="16"/>
  <c r="F736" i="16"/>
  <c r="F740" i="16" s="1"/>
  <c r="E735" i="16"/>
  <c r="H734" i="16"/>
  <c r="F734" i="16"/>
  <c r="I734" i="16" s="1"/>
  <c r="H733" i="16"/>
  <c r="F733" i="16"/>
  <c r="I733" i="16" s="1"/>
  <c r="H732" i="16"/>
  <c r="F732" i="16"/>
  <c r="I732" i="16" s="1"/>
  <c r="H731" i="16"/>
  <c r="F731" i="16"/>
  <c r="I731" i="16" s="1"/>
  <c r="H730" i="16"/>
  <c r="H735" i="16" s="1"/>
  <c r="F730" i="16"/>
  <c r="I730" i="16" s="1"/>
  <c r="H729" i="16"/>
  <c r="F729" i="16"/>
  <c r="E728" i="16"/>
  <c r="H727" i="16"/>
  <c r="F727" i="16"/>
  <c r="I727" i="16" s="1"/>
  <c r="H726" i="16"/>
  <c r="F726" i="16"/>
  <c r="I726" i="16" s="1"/>
  <c r="H725" i="16"/>
  <c r="F725" i="16"/>
  <c r="I725" i="16" s="1"/>
  <c r="H724" i="16"/>
  <c r="F724" i="16"/>
  <c r="I724" i="16" s="1"/>
  <c r="H723" i="16"/>
  <c r="F723" i="16"/>
  <c r="I723" i="16" s="1"/>
  <c r="H722" i="16"/>
  <c r="F722" i="16"/>
  <c r="I722" i="16" s="1"/>
  <c r="H721" i="16"/>
  <c r="F721" i="16"/>
  <c r="I721" i="16" s="1"/>
  <c r="H720" i="16"/>
  <c r="F720" i="16"/>
  <c r="I720" i="16" s="1"/>
  <c r="H719" i="16"/>
  <c r="F719" i="16"/>
  <c r="I719" i="16" s="1"/>
  <c r="H718" i="16"/>
  <c r="F718" i="16"/>
  <c r="I718" i="16" s="1"/>
  <c r="H717" i="16"/>
  <c r="F717" i="16"/>
  <c r="I717" i="16" s="1"/>
  <c r="H716" i="16"/>
  <c r="F716" i="16"/>
  <c r="I716" i="16" s="1"/>
  <c r="H715" i="16"/>
  <c r="H728" i="16" s="1"/>
  <c r="F715" i="16"/>
  <c r="I715" i="16" s="1"/>
  <c r="H714" i="16"/>
  <c r="F714" i="16"/>
  <c r="I714" i="16" s="1"/>
  <c r="H713" i="16"/>
  <c r="F713" i="16"/>
  <c r="F728" i="16" s="1"/>
  <c r="E513" i="17"/>
  <c r="E512" i="17"/>
  <c r="D512" i="17"/>
  <c r="H511" i="17"/>
  <c r="H512" i="17" s="1"/>
  <c r="G511" i="17"/>
  <c r="G512" i="17" s="1"/>
  <c r="D511" i="17"/>
  <c r="P510" i="17"/>
  <c r="L510" i="17"/>
  <c r="K510" i="17"/>
  <c r="I510" i="17"/>
  <c r="F510" i="17"/>
  <c r="P509" i="17"/>
  <c r="L509" i="17"/>
  <c r="K509" i="17"/>
  <c r="Q509" i="17" s="1"/>
  <c r="J509" i="17"/>
  <c r="M509" i="17" s="1"/>
  <c r="F509" i="17"/>
  <c r="I509" i="17" s="1"/>
  <c r="P508" i="17"/>
  <c r="L508" i="17"/>
  <c r="K508" i="17"/>
  <c r="I508" i="17"/>
  <c r="F508" i="17"/>
  <c r="Q507" i="17"/>
  <c r="P507" i="17"/>
  <c r="L507" i="17"/>
  <c r="N507" i="17" s="1"/>
  <c r="K507" i="17"/>
  <c r="J507" i="17"/>
  <c r="M507" i="17" s="1"/>
  <c r="F507" i="17"/>
  <c r="I507" i="17" s="1"/>
  <c r="P506" i="17"/>
  <c r="L506" i="17"/>
  <c r="K506" i="17"/>
  <c r="I506" i="17"/>
  <c r="F506" i="17"/>
  <c r="Q505" i="17"/>
  <c r="P505" i="17"/>
  <c r="N505" i="17"/>
  <c r="L505" i="17"/>
  <c r="K505" i="17"/>
  <c r="J505" i="17"/>
  <c r="M505" i="17" s="1"/>
  <c r="F505" i="17"/>
  <c r="I505" i="17" s="1"/>
  <c r="P504" i="17"/>
  <c r="L504" i="17"/>
  <c r="K504" i="17"/>
  <c r="I504" i="17"/>
  <c r="F504" i="17"/>
  <c r="P503" i="17"/>
  <c r="L503" i="17"/>
  <c r="K503" i="17"/>
  <c r="Q503" i="17" s="1"/>
  <c r="F503" i="17"/>
  <c r="I503" i="17" s="1"/>
  <c r="P502" i="17"/>
  <c r="L502" i="17"/>
  <c r="K502" i="17"/>
  <c r="F502" i="17"/>
  <c r="I502" i="17" s="1"/>
  <c r="Q501" i="17"/>
  <c r="P501" i="17"/>
  <c r="N501" i="17"/>
  <c r="L501" i="17"/>
  <c r="K501" i="17"/>
  <c r="J501" i="17"/>
  <c r="M501" i="17" s="1"/>
  <c r="F501" i="17"/>
  <c r="I501" i="17" s="1"/>
  <c r="P500" i="17"/>
  <c r="L500" i="17"/>
  <c r="K500" i="17"/>
  <c r="I500" i="17"/>
  <c r="F500" i="17"/>
  <c r="P499" i="17"/>
  <c r="L499" i="17"/>
  <c r="K499" i="17"/>
  <c r="Q499" i="17" s="1"/>
  <c r="F499" i="17"/>
  <c r="I499" i="17" s="1"/>
  <c r="P498" i="17"/>
  <c r="L498" i="17"/>
  <c r="K498" i="17"/>
  <c r="F498" i="17"/>
  <c r="I498" i="17" s="1"/>
  <c r="P497" i="17"/>
  <c r="L497" i="17"/>
  <c r="N497" i="17" s="1"/>
  <c r="K497" i="17"/>
  <c r="Q497" i="17" s="1"/>
  <c r="J497" i="17"/>
  <c r="M497" i="17" s="1"/>
  <c r="F497" i="17"/>
  <c r="I497" i="17" s="1"/>
  <c r="P496" i="17"/>
  <c r="L496" i="17"/>
  <c r="K496" i="17"/>
  <c r="F496" i="17"/>
  <c r="I496" i="17" s="1"/>
  <c r="P495" i="17"/>
  <c r="L495" i="17"/>
  <c r="K495" i="17"/>
  <c r="Q495" i="17" s="1"/>
  <c r="F495" i="17"/>
  <c r="I495" i="17" s="1"/>
  <c r="P494" i="17"/>
  <c r="L494" i="17"/>
  <c r="K494" i="17"/>
  <c r="I494" i="17"/>
  <c r="F494" i="17"/>
  <c r="P493" i="17"/>
  <c r="L493" i="17"/>
  <c r="K493" i="17"/>
  <c r="J493" i="17" s="1"/>
  <c r="F493" i="17"/>
  <c r="I493" i="17" s="1"/>
  <c r="P492" i="17"/>
  <c r="K492" i="17"/>
  <c r="F492" i="17"/>
  <c r="I492" i="17" s="1"/>
  <c r="Q491" i="17"/>
  <c r="P491" i="17"/>
  <c r="L491" i="17"/>
  <c r="K491" i="17"/>
  <c r="J491" i="17"/>
  <c r="M491" i="17" s="1"/>
  <c r="F491" i="17"/>
  <c r="I491" i="17" s="1"/>
  <c r="P490" i="17"/>
  <c r="L490" i="17"/>
  <c r="K490" i="17"/>
  <c r="I490" i="17"/>
  <c r="F490" i="17"/>
  <c r="Q489" i="17"/>
  <c r="P489" i="17"/>
  <c r="N489" i="17"/>
  <c r="L489" i="17"/>
  <c r="K489" i="17"/>
  <c r="J489" i="17"/>
  <c r="M489" i="17" s="1"/>
  <c r="F489" i="17"/>
  <c r="I489" i="17" s="1"/>
  <c r="P488" i="17"/>
  <c r="L488" i="17"/>
  <c r="K488" i="17"/>
  <c r="F488" i="17"/>
  <c r="I488" i="17" s="1"/>
  <c r="Q487" i="17"/>
  <c r="P487" i="17"/>
  <c r="L487" i="17"/>
  <c r="K487" i="17"/>
  <c r="J487" i="17"/>
  <c r="M487" i="17" s="1"/>
  <c r="F487" i="17"/>
  <c r="I487" i="17" s="1"/>
  <c r="P486" i="17"/>
  <c r="L486" i="17"/>
  <c r="K486" i="17"/>
  <c r="F486" i="17"/>
  <c r="I486" i="17" s="1"/>
  <c r="P485" i="17"/>
  <c r="L485" i="17"/>
  <c r="K485" i="17"/>
  <c r="J485" i="17" s="1"/>
  <c r="N485" i="17" s="1"/>
  <c r="F485" i="17"/>
  <c r="P484" i="17"/>
  <c r="L484" i="17"/>
  <c r="K484" i="17"/>
  <c r="I484" i="17"/>
  <c r="F484" i="17"/>
  <c r="Q483" i="17"/>
  <c r="P483" i="17"/>
  <c r="L483" i="17"/>
  <c r="K483" i="17"/>
  <c r="J483" i="17"/>
  <c r="F483" i="17"/>
  <c r="I483" i="17" s="1"/>
  <c r="P482" i="17"/>
  <c r="L482" i="17"/>
  <c r="K482" i="17"/>
  <c r="Q482" i="17" s="1"/>
  <c r="F482" i="17"/>
  <c r="I482" i="17" s="1"/>
  <c r="P481" i="17"/>
  <c r="L481" i="17"/>
  <c r="K481" i="17"/>
  <c r="Q481" i="17" s="1"/>
  <c r="I481" i="17"/>
  <c r="F481" i="17"/>
  <c r="Q480" i="17"/>
  <c r="P480" i="17"/>
  <c r="L480" i="17"/>
  <c r="N480" i="17" s="1"/>
  <c r="K480" i="17"/>
  <c r="J480" i="17"/>
  <c r="M480" i="17" s="1"/>
  <c r="F480" i="17"/>
  <c r="I480" i="17" s="1"/>
  <c r="P479" i="17"/>
  <c r="L479" i="17"/>
  <c r="K479" i="17"/>
  <c r="I479" i="17"/>
  <c r="F479" i="17"/>
  <c r="E478" i="17"/>
  <c r="D478" i="17"/>
  <c r="H477" i="17"/>
  <c r="H478" i="17" s="1"/>
  <c r="G477" i="17"/>
  <c r="G478" i="17" s="1"/>
  <c r="Q476" i="17"/>
  <c r="P476" i="17"/>
  <c r="L476" i="17"/>
  <c r="N476" i="17" s="1"/>
  <c r="K476" i="17"/>
  <c r="J476" i="17"/>
  <c r="M476" i="17" s="1"/>
  <c r="F476" i="17"/>
  <c r="I476" i="17" s="1"/>
  <c r="P475" i="17"/>
  <c r="L475" i="17"/>
  <c r="K475" i="17"/>
  <c r="Q475" i="17" s="1"/>
  <c r="I475" i="17"/>
  <c r="F475" i="17"/>
  <c r="P474" i="17"/>
  <c r="L474" i="17"/>
  <c r="K474" i="17"/>
  <c r="J474" i="17" s="1"/>
  <c r="I474" i="17"/>
  <c r="F474" i="17"/>
  <c r="Q473" i="17"/>
  <c r="P473" i="17"/>
  <c r="L473" i="17"/>
  <c r="K473" i="17"/>
  <c r="J473" i="17"/>
  <c r="M473" i="17" s="1"/>
  <c r="F473" i="17"/>
  <c r="I473" i="17" s="1"/>
  <c r="P472" i="17"/>
  <c r="L472" i="17"/>
  <c r="K472" i="17"/>
  <c r="Q472" i="17" s="1"/>
  <c r="I472" i="17"/>
  <c r="F472" i="17"/>
  <c r="Q471" i="17"/>
  <c r="P471" i="17"/>
  <c r="L471" i="17"/>
  <c r="N471" i="17" s="1"/>
  <c r="K471" i="17"/>
  <c r="J471" i="17"/>
  <c r="M471" i="17" s="1"/>
  <c r="F471" i="17"/>
  <c r="I471" i="17" s="1"/>
  <c r="P470" i="17"/>
  <c r="P477" i="17" s="1"/>
  <c r="P478" i="17" s="1"/>
  <c r="L470" i="17"/>
  <c r="L477" i="17" s="1"/>
  <c r="K470" i="17"/>
  <c r="Q470" i="17" s="1"/>
  <c r="I470" i="17"/>
  <c r="F470" i="17"/>
  <c r="F477" i="17" s="1"/>
  <c r="E469" i="17"/>
  <c r="H468" i="17"/>
  <c r="G468" i="17"/>
  <c r="D468" i="17"/>
  <c r="D469" i="17" s="1"/>
  <c r="P467" i="17"/>
  <c r="L467" i="17"/>
  <c r="K467" i="17"/>
  <c r="I467" i="17"/>
  <c r="F467" i="17"/>
  <c r="Q466" i="17"/>
  <c r="P466" i="17"/>
  <c r="L466" i="17"/>
  <c r="N466" i="17" s="1"/>
  <c r="K466" i="17"/>
  <c r="J466" i="17"/>
  <c r="M466" i="17" s="1"/>
  <c r="F466" i="17"/>
  <c r="I466" i="17" s="1"/>
  <c r="P465" i="17"/>
  <c r="L465" i="17"/>
  <c r="K465" i="17"/>
  <c r="I465" i="17"/>
  <c r="F465" i="17"/>
  <c r="Q464" i="17"/>
  <c r="P464" i="17"/>
  <c r="N464" i="17"/>
  <c r="L464" i="17"/>
  <c r="K464" i="17"/>
  <c r="J464" i="17"/>
  <c r="M464" i="17" s="1"/>
  <c r="F464" i="17"/>
  <c r="I464" i="17" s="1"/>
  <c r="P463" i="17"/>
  <c r="L463" i="17"/>
  <c r="K463" i="17"/>
  <c r="I463" i="17"/>
  <c r="F463" i="17"/>
  <c r="Q462" i="17"/>
  <c r="P462" i="17"/>
  <c r="L462" i="17"/>
  <c r="N462" i="17" s="1"/>
  <c r="J462" i="17"/>
  <c r="M462" i="17" s="1"/>
  <c r="F462" i="17"/>
  <c r="I462" i="17" s="1"/>
  <c r="P461" i="17"/>
  <c r="P468" i="17" s="1"/>
  <c r="L461" i="17"/>
  <c r="L468" i="17" s="1"/>
  <c r="K461" i="17"/>
  <c r="I461" i="17"/>
  <c r="F461" i="17"/>
  <c r="H460" i="17"/>
  <c r="H469" i="17" s="1"/>
  <c r="G460" i="17"/>
  <c r="G469" i="17" s="1"/>
  <c r="D460" i="17"/>
  <c r="Q459" i="17"/>
  <c r="P459" i="17"/>
  <c r="N459" i="17"/>
  <c r="L459" i="17"/>
  <c r="K459" i="17"/>
  <c r="J459" i="17"/>
  <c r="M459" i="17" s="1"/>
  <c r="F459" i="17"/>
  <c r="I459" i="17" s="1"/>
  <c r="P458" i="17"/>
  <c r="L458" i="17"/>
  <c r="K458" i="17"/>
  <c r="F458" i="17"/>
  <c r="I458" i="17" s="1"/>
  <c r="P457" i="17"/>
  <c r="L457" i="17"/>
  <c r="K457" i="17"/>
  <c r="Q457" i="17" s="1"/>
  <c r="F457" i="17"/>
  <c r="I457" i="17" s="1"/>
  <c r="P456" i="17"/>
  <c r="L456" i="17"/>
  <c r="K456" i="17"/>
  <c r="I456" i="17"/>
  <c r="F456" i="17"/>
  <c r="P455" i="17"/>
  <c r="L455" i="17"/>
  <c r="K455" i="17"/>
  <c r="F455" i="17"/>
  <c r="I455" i="17" s="1"/>
  <c r="J921" i="13"/>
  <c r="I921" i="13"/>
  <c r="F921" i="13"/>
  <c r="F920" i="13"/>
  <c r="F919" i="13"/>
  <c r="F917" i="13"/>
  <c r="I917" i="13" s="1"/>
  <c r="F916" i="13"/>
  <c r="F915" i="13"/>
  <c r="I915" i="13" s="1"/>
  <c r="F913" i="13"/>
  <c r="I913" i="13" s="1"/>
  <c r="F912" i="13"/>
  <c r="I912" i="13" s="1"/>
  <c r="F911" i="13"/>
  <c r="I911" i="13" s="1"/>
  <c r="F910" i="13"/>
  <c r="F914" i="13" s="1"/>
  <c r="F908" i="13"/>
  <c r="I908" i="13" s="1"/>
  <c r="F907" i="13"/>
  <c r="F909" i="13" s="1"/>
  <c r="F905" i="13"/>
  <c r="I905" i="13" s="1"/>
  <c r="F904" i="13"/>
  <c r="I904" i="13" s="1"/>
  <c r="F903" i="13"/>
  <c r="I903" i="13" s="1"/>
  <c r="F902" i="13"/>
  <c r="F906" i="13" s="1"/>
  <c r="F900" i="13"/>
  <c r="I900" i="13" s="1"/>
  <c r="F899" i="13"/>
  <c r="I899" i="13" s="1"/>
  <c r="F898" i="13"/>
  <c r="G895" i="13"/>
  <c r="J895" i="13" s="1"/>
  <c r="F895" i="13"/>
  <c r="I895" i="13" s="1"/>
  <c r="F892" i="13"/>
  <c r="I892" i="13" s="1"/>
  <c r="F891" i="13"/>
  <c r="I891" i="13" s="1"/>
  <c r="F890" i="13"/>
  <c r="I890" i="13" s="1"/>
  <c r="F889" i="13"/>
  <c r="I889" i="13" s="1"/>
  <c r="F888" i="13"/>
  <c r="I888" i="13" s="1"/>
  <c r="F887" i="13"/>
  <c r="F885" i="13"/>
  <c r="I885" i="13" s="1"/>
  <c r="F884" i="13"/>
  <c r="I884" i="13" s="1"/>
  <c r="F883" i="13"/>
  <c r="F886" i="13" s="1"/>
  <c r="F880" i="13"/>
  <c r="I880" i="13" s="1"/>
  <c r="F879" i="13"/>
  <c r="I879" i="13" s="1"/>
  <c r="F878" i="13"/>
  <c r="I878" i="13" s="1"/>
  <c r="F877" i="13"/>
  <c r="I877" i="13" s="1"/>
  <c r="F876" i="13"/>
  <c r="I876" i="13" s="1"/>
  <c r="F875" i="13"/>
  <c r="F874" i="13"/>
  <c r="I874" i="13" s="1"/>
  <c r="F872" i="13"/>
  <c r="I872" i="13" s="1"/>
  <c r="F871" i="13"/>
  <c r="I871" i="13" s="1"/>
  <c r="F870" i="13"/>
  <c r="I870" i="13" s="1"/>
  <c r="F869" i="13"/>
  <c r="I869" i="13" s="1"/>
  <c r="F868" i="13"/>
  <c r="I868" i="13" s="1"/>
  <c r="F867" i="13"/>
  <c r="I867" i="13" s="1"/>
  <c r="F866" i="13"/>
  <c r="I866" i="13" s="1"/>
  <c r="F865" i="13"/>
  <c r="I865" i="13" s="1"/>
  <c r="F864" i="13"/>
  <c r="I864" i="13" s="1"/>
  <c r="F863" i="13"/>
  <c r="F859" i="13"/>
  <c r="I859" i="13" s="1"/>
  <c r="F858" i="13"/>
  <c r="I858" i="13" s="1"/>
  <c r="F857" i="13"/>
  <c r="I857" i="13" s="1"/>
  <c r="F856" i="13"/>
  <c r="I856" i="13" s="1"/>
  <c r="F855" i="13"/>
  <c r="I855" i="13" s="1"/>
  <c r="F854" i="13"/>
  <c r="I854" i="13" s="1"/>
  <c r="F853" i="13"/>
  <c r="I853" i="13" s="1"/>
  <c r="F852" i="13"/>
  <c r="I852" i="13" s="1"/>
  <c r="F851" i="13"/>
  <c r="F860" i="13" s="1"/>
  <c r="F849" i="13"/>
  <c r="I849" i="13" s="1"/>
  <c r="F848" i="13"/>
  <c r="I848" i="13" s="1"/>
  <c r="F847" i="13"/>
  <c r="I847" i="13" s="1"/>
  <c r="F846" i="13"/>
  <c r="F850" i="13" s="1"/>
  <c r="F861" i="13" s="1"/>
  <c r="F843" i="13"/>
  <c r="I843" i="13" s="1"/>
  <c r="F842" i="13"/>
  <c r="I842" i="13" s="1"/>
  <c r="F841" i="13"/>
  <c r="F839" i="13"/>
  <c r="I839" i="13" s="1"/>
  <c r="F838" i="13"/>
  <c r="I838" i="13" s="1"/>
  <c r="F837" i="13"/>
  <c r="I837" i="13" s="1"/>
  <c r="F836" i="13"/>
  <c r="I836" i="13" s="1"/>
  <c r="F835" i="13"/>
  <c r="F840" i="13" s="1"/>
  <c r="F833" i="13"/>
  <c r="I833" i="13" s="1"/>
  <c r="F832" i="13"/>
  <c r="I832" i="13" s="1"/>
  <c r="F831" i="13"/>
  <c r="I831" i="13" s="1"/>
  <c r="F830" i="13"/>
  <c r="I830" i="13" s="1"/>
  <c r="F829" i="13"/>
  <c r="I829" i="13" s="1"/>
  <c r="F828" i="13"/>
  <c r="I828" i="13" s="1"/>
  <c r="F827" i="13"/>
  <c r="F825" i="13"/>
  <c r="I825" i="13" s="1"/>
  <c r="F824" i="13"/>
  <c r="I824" i="13" s="1"/>
  <c r="F823" i="13"/>
  <c r="I823" i="13" s="1"/>
  <c r="F822" i="13"/>
  <c r="I822" i="13" s="1"/>
  <c r="F821" i="13"/>
  <c r="I821" i="13" s="1"/>
  <c r="F820" i="13"/>
  <c r="I820" i="13" s="1"/>
  <c r="F819" i="13"/>
  <c r="F817" i="13"/>
  <c r="I817" i="13" s="1"/>
  <c r="F816" i="13"/>
  <c r="I816" i="13" s="1"/>
  <c r="F815" i="13"/>
  <c r="I815" i="13" s="1"/>
  <c r="F814" i="13"/>
  <c r="F917" i="1"/>
  <c r="F918" i="1" s="1"/>
  <c r="I916" i="1"/>
  <c r="H916" i="1"/>
  <c r="E916" i="1"/>
  <c r="G915" i="1"/>
  <c r="J915" i="1" s="1"/>
  <c r="J914" i="1"/>
  <c r="G914" i="1"/>
  <c r="I913" i="1"/>
  <c r="H913" i="1"/>
  <c r="G912" i="1"/>
  <c r="J912" i="1" s="1"/>
  <c r="E912" i="1"/>
  <c r="G911" i="1"/>
  <c r="J911" i="1" s="1"/>
  <c r="E911" i="1"/>
  <c r="E913" i="1" s="1"/>
  <c r="G910" i="1"/>
  <c r="I909" i="1"/>
  <c r="H909" i="1"/>
  <c r="G908" i="1"/>
  <c r="J908" i="1" s="1"/>
  <c r="G907" i="1"/>
  <c r="J907" i="1" s="1"/>
  <c r="G906" i="1"/>
  <c r="J906" i="1" s="1"/>
  <c r="E906" i="1"/>
  <c r="E909" i="1" s="1"/>
  <c r="G905" i="1"/>
  <c r="J905" i="1" s="1"/>
  <c r="G904" i="1"/>
  <c r="E904" i="1"/>
  <c r="I903" i="1"/>
  <c r="H903" i="1"/>
  <c r="E903" i="1"/>
  <c r="G902" i="1"/>
  <c r="J902" i="1" s="1"/>
  <c r="G901" i="1"/>
  <c r="J901" i="1" s="1"/>
  <c r="I900" i="1"/>
  <c r="H900" i="1"/>
  <c r="E900" i="1"/>
  <c r="G899" i="1"/>
  <c r="J899" i="1" s="1"/>
  <c r="J898" i="1"/>
  <c r="G898" i="1"/>
  <c r="G897" i="1"/>
  <c r="J897" i="1" s="1"/>
  <c r="G896" i="1"/>
  <c r="J896" i="1" s="1"/>
  <c r="I895" i="1"/>
  <c r="H895" i="1"/>
  <c r="E895" i="1"/>
  <c r="G894" i="1"/>
  <c r="J894" i="1" s="1"/>
  <c r="J893" i="1"/>
  <c r="G893" i="1"/>
  <c r="G892" i="1"/>
  <c r="J892" i="1" s="1"/>
  <c r="F890" i="1"/>
  <c r="F891" i="1" s="1"/>
  <c r="M889" i="1"/>
  <c r="O889" i="1" s="1"/>
  <c r="L889" i="1"/>
  <c r="K889" i="1"/>
  <c r="N889" i="1" s="1"/>
  <c r="G889" i="1"/>
  <c r="J889" i="1" s="1"/>
  <c r="I887" i="1"/>
  <c r="H887" i="1"/>
  <c r="E887" i="1"/>
  <c r="E888" i="1" s="1"/>
  <c r="J886" i="1"/>
  <c r="G886" i="1"/>
  <c r="J885" i="1"/>
  <c r="G884" i="1"/>
  <c r="J884" i="1" s="1"/>
  <c r="J883" i="1"/>
  <c r="J882" i="1"/>
  <c r="G882" i="1"/>
  <c r="G881" i="1"/>
  <c r="I880" i="1"/>
  <c r="I888" i="1" s="1"/>
  <c r="H880" i="1"/>
  <c r="H888" i="1" s="1"/>
  <c r="E880" i="1"/>
  <c r="G879" i="1"/>
  <c r="J879" i="1" s="1"/>
  <c r="G878" i="1"/>
  <c r="J878" i="1" s="1"/>
  <c r="G877" i="1"/>
  <c r="G880" i="1" s="1"/>
  <c r="I875" i="1"/>
  <c r="H875" i="1"/>
  <c r="E875" i="1"/>
  <c r="E876" i="1" s="1"/>
  <c r="G874" i="1"/>
  <c r="J874" i="1" s="1"/>
  <c r="J873" i="1"/>
  <c r="G872" i="1"/>
  <c r="J872" i="1" s="1"/>
  <c r="G871" i="1"/>
  <c r="J871" i="1" s="1"/>
  <c r="G870" i="1"/>
  <c r="J870" i="1" s="1"/>
  <c r="G869" i="1"/>
  <c r="J869" i="1" s="1"/>
  <c r="G868" i="1"/>
  <c r="J868" i="1" s="1"/>
  <c r="I867" i="1"/>
  <c r="H867" i="1"/>
  <c r="H876" i="1" s="1"/>
  <c r="E867" i="1"/>
  <c r="G866" i="1"/>
  <c r="J866" i="1" s="1"/>
  <c r="G865" i="1"/>
  <c r="J865" i="1" s="1"/>
  <c r="G864" i="1"/>
  <c r="J864" i="1" s="1"/>
  <c r="G863" i="1"/>
  <c r="J863" i="1" s="1"/>
  <c r="G862" i="1"/>
  <c r="J862" i="1" s="1"/>
  <c r="G861" i="1"/>
  <c r="J861" i="1" s="1"/>
  <c r="G860" i="1"/>
  <c r="J860" i="1" s="1"/>
  <c r="G859" i="1"/>
  <c r="J859" i="1" s="1"/>
  <c r="G858" i="1"/>
  <c r="J858" i="1" s="1"/>
  <c r="G857" i="1"/>
  <c r="J857" i="1" s="1"/>
  <c r="F855" i="1"/>
  <c r="I854" i="1"/>
  <c r="M854" i="1" s="1"/>
  <c r="H854" i="1"/>
  <c r="L854" i="1" s="1"/>
  <c r="E854" i="1"/>
  <c r="G853" i="1"/>
  <c r="J853" i="1" s="1"/>
  <c r="J852" i="1"/>
  <c r="G852" i="1"/>
  <c r="G851" i="1"/>
  <c r="J851" i="1" s="1"/>
  <c r="G850" i="1"/>
  <c r="J850" i="1" s="1"/>
  <c r="G849" i="1"/>
  <c r="J849" i="1" s="1"/>
  <c r="J848" i="1"/>
  <c r="G848" i="1"/>
  <c r="G847" i="1"/>
  <c r="J847" i="1" s="1"/>
  <c r="G846" i="1"/>
  <c r="J846" i="1" s="1"/>
  <c r="G845" i="1"/>
  <c r="J845" i="1" s="1"/>
  <c r="I844" i="1"/>
  <c r="H844" i="1"/>
  <c r="H855" i="1" s="1"/>
  <c r="E844" i="1"/>
  <c r="E855" i="1" s="1"/>
  <c r="G843" i="1"/>
  <c r="J843" i="1" s="1"/>
  <c r="G842" i="1"/>
  <c r="J842" i="1" s="1"/>
  <c r="G841" i="1"/>
  <c r="J841" i="1" s="1"/>
  <c r="G840" i="1"/>
  <c r="I838" i="1"/>
  <c r="H838" i="1"/>
  <c r="E838" i="1"/>
  <c r="G837" i="1"/>
  <c r="J837" i="1" s="1"/>
  <c r="J836" i="1"/>
  <c r="G836" i="1"/>
  <c r="G835" i="1"/>
  <c r="J835" i="1" s="1"/>
  <c r="I834" i="1"/>
  <c r="H834" i="1"/>
  <c r="F834" i="1"/>
  <c r="F839" i="1" s="1"/>
  <c r="F856" i="1" s="1"/>
  <c r="F919" i="1" s="1"/>
  <c r="E834" i="1"/>
  <c r="J833" i="1"/>
  <c r="J832" i="1"/>
  <c r="J831" i="1"/>
  <c r="J830" i="1"/>
  <c r="G830" i="1"/>
  <c r="G829" i="1"/>
  <c r="I828" i="1"/>
  <c r="H828" i="1"/>
  <c r="E828" i="1"/>
  <c r="G827" i="1"/>
  <c r="J827" i="1" s="1"/>
  <c r="G826" i="1"/>
  <c r="J826" i="1" s="1"/>
  <c r="G825" i="1"/>
  <c r="J825" i="1" s="1"/>
  <c r="G824" i="1"/>
  <c r="J824" i="1" s="1"/>
  <c r="G823" i="1"/>
  <c r="J823" i="1" s="1"/>
  <c r="G822" i="1"/>
  <c r="J822" i="1" s="1"/>
  <c r="G821" i="1"/>
  <c r="G828" i="1" s="1"/>
  <c r="J828" i="1" s="1"/>
  <c r="I820" i="1"/>
  <c r="H820" i="1"/>
  <c r="E820" i="1"/>
  <c r="G819" i="1"/>
  <c r="J819" i="1" s="1"/>
  <c r="G818" i="1"/>
  <c r="J818" i="1" s="1"/>
  <c r="G817" i="1"/>
  <c r="J817" i="1" s="1"/>
  <c r="G816" i="1"/>
  <c r="J816" i="1" s="1"/>
  <c r="G815" i="1"/>
  <c r="J815" i="1" s="1"/>
  <c r="G814" i="1"/>
  <c r="J814" i="1" s="1"/>
  <c r="G813" i="1"/>
  <c r="J813" i="1" s="1"/>
  <c r="I812" i="1"/>
  <c r="H812" i="1"/>
  <c r="E812" i="1"/>
  <c r="E839" i="1" s="1"/>
  <c r="E856" i="1" s="1"/>
  <c r="J811" i="1"/>
  <c r="G811" i="1"/>
  <c r="G810" i="1"/>
  <c r="J810" i="1" s="1"/>
  <c r="G809" i="1"/>
  <c r="J809" i="1" s="1"/>
  <c r="G808" i="1"/>
  <c r="G812" i="1" s="1"/>
  <c r="N119" i="14" l="1"/>
  <c r="T93" i="14"/>
  <c r="G122" i="14"/>
  <c r="N120" i="14"/>
  <c r="Q120" i="14" s="1"/>
  <c r="M109" i="14"/>
  <c r="O109" i="14"/>
  <c r="N109" i="14" s="1"/>
  <c r="P109" i="14" s="1"/>
  <c r="L122" i="14"/>
  <c r="K122" i="14" s="1"/>
  <c r="O122" i="14" s="1"/>
  <c r="J834" i="1"/>
  <c r="S92" i="14"/>
  <c r="T92" i="14" s="1"/>
  <c r="F834" i="13"/>
  <c r="F844" i="13"/>
  <c r="F873" i="13"/>
  <c r="F893" i="13"/>
  <c r="F894" i="13" s="1"/>
  <c r="F901" i="13"/>
  <c r="J821" i="1"/>
  <c r="J877" i="1"/>
  <c r="F818" i="13"/>
  <c r="F918" i="13"/>
  <c r="Q576" i="17"/>
  <c r="H142" i="15"/>
  <c r="H144" i="15" s="1"/>
  <c r="H145" i="15" s="1"/>
  <c r="M541" i="17"/>
  <c r="N541" i="17"/>
  <c r="N532" i="17"/>
  <c r="J972" i="1"/>
  <c r="G1007" i="1"/>
  <c r="J1006" i="1"/>
  <c r="I876" i="1"/>
  <c r="I890" i="1" s="1"/>
  <c r="I891" i="1" s="1"/>
  <c r="F881" i="13"/>
  <c r="E742" i="16"/>
  <c r="K460" i="17"/>
  <c r="G120" i="15" s="1"/>
  <c r="F826" i="13"/>
  <c r="J503" i="17"/>
  <c r="M503" i="17" s="1"/>
  <c r="J499" i="17"/>
  <c r="M499" i="17" s="1"/>
  <c r="J482" i="17"/>
  <c r="M482" i="17" s="1"/>
  <c r="N509" i="17"/>
  <c r="K511" i="17"/>
  <c r="K512" i="17" s="1"/>
  <c r="G127" i="15" s="1"/>
  <c r="G129" i="15" s="1"/>
  <c r="P511" i="17"/>
  <c r="P512" i="17" s="1"/>
  <c r="N121" i="14"/>
  <c r="Q121" i="14" s="1"/>
  <c r="N122" i="14"/>
  <c r="P122" i="14" s="1"/>
  <c r="N123" i="14"/>
  <c r="P123" i="14" s="1"/>
  <c r="N124" i="14"/>
  <c r="P124" i="14" s="1"/>
  <c r="M113" i="14"/>
  <c r="O113" i="14"/>
  <c r="N113" i="14" s="1"/>
  <c r="P113" i="14" s="1"/>
  <c r="M111" i="14"/>
  <c r="O111" i="14"/>
  <c r="N111" i="14" s="1"/>
  <c r="P111" i="14" s="1"/>
  <c r="M115" i="14"/>
  <c r="O115" i="14"/>
  <c r="N115" i="14" s="1"/>
  <c r="P115" i="14" s="1"/>
  <c r="O110" i="14"/>
  <c r="N110" i="14" s="1"/>
  <c r="P110" i="14" s="1"/>
  <c r="O112" i="14"/>
  <c r="N112" i="14" s="1"/>
  <c r="P112" i="14" s="1"/>
  <c r="O114" i="14"/>
  <c r="N114" i="14" s="1"/>
  <c r="R114" i="14" s="1"/>
  <c r="N118" i="14"/>
  <c r="R118" i="14" s="1"/>
  <c r="R119" i="14"/>
  <c r="P119" i="14"/>
  <c r="Q119" i="14"/>
  <c r="R109" i="14"/>
  <c r="R111" i="14"/>
  <c r="R113" i="14"/>
  <c r="O116" i="14"/>
  <c r="N116" i="14" s="1"/>
  <c r="M116" i="14"/>
  <c r="M118" i="14"/>
  <c r="M119" i="14"/>
  <c r="M120" i="14"/>
  <c r="Q124" i="14"/>
  <c r="L117" i="14"/>
  <c r="K117" i="14" s="1"/>
  <c r="C117" i="14"/>
  <c r="M121" i="14"/>
  <c r="M122" i="14"/>
  <c r="M123" i="14"/>
  <c r="M124" i="14"/>
  <c r="C130" i="15"/>
  <c r="F799" i="16"/>
  <c r="H742" i="16"/>
  <c r="I736" i="16"/>
  <c r="I740" i="16" s="1"/>
  <c r="F735" i="16"/>
  <c r="F742" i="16" s="1"/>
  <c r="I729" i="16"/>
  <c r="I735" i="16" s="1"/>
  <c r="E802" i="16"/>
  <c r="I774" i="16"/>
  <c r="I799" i="16" s="1"/>
  <c r="J127" i="15" s="1"/>
  <c r="J129" i="15" s="1"/>
  <c r="I713" i="16"/>
  <c r="I728" i="16" s="1"/>
  <c r="J120" i="15" s="1"/>
  <c r="J123" i="15" s="1"/>
  <c r="M493" i="17"/>
  <c r="N493" i="17"/>
  <c r="N491" i="17"/>
  <c r="Q493" i="17"/>
  <c r="N499" i="17"/>
  <c r="J495" i="17"/>
  <c r="M495" i="17" s="1"/>
  <c r="N482" i="17"/>
  <c r="N487" i="17"/>
  <c r="N473" i="17"/>
  <c r="Q455" i="17"/>
  <c r="J455" i="17"/>
  <c r="J457" i="17"/>
  <c r="M457" i="17" s="1"/>
  <c r="N457" i="17"/>
  <c r="Q458" i="17"/>
  <c r="J458" i="17"/>
  <c r="M458" i="17" s="1"/>
  <c r="F460" i="17"/>
  <c r="L460" i="17"/>
  <c r="Q463" i="17"/>
  <c r="J463" i="17"/>
  <c r="M463" i="17" s="1"/>
  <c r="Q467" i="17"/>
  <c r="J467" i="17"/>
  <c r="M467" i="17" s="1"/>
  <c r="F478" i="17"/>
  <c r="I478" i="17" s="1"/>
  <c r="I477" i="17"/>
  <c r="N474" i="17"/>
  <c r="G513" i="17"/>
  <c r="P460" i="17"/>
  <c r="P469" i="17" s="1"/>
  <c r="Q456" i="17"/>
  <c r="Q460" i="17" s="1"/>
  <c r="H120" i="15" s="1"/>
  <c r="J456" i="17"/>
  <c r="M456" i="17" s="1"/>
  <c r="N458" i="17"/>
  <c r="F468" i="17"/>
  <c r="I468" i="17" s="1"/>
  <c r="Q461" i="17"/>
  <c r="J461" i="17"/>
  <c r="K468" i="17"/>
  <c r="Q465" i="17"/>
  <c r="J465" i="17"/>
  <c r="M465" i="17" s="1"/>
  <c r="N467" i="17"/>
  <c r="L478" i="17"/>
  <c r="P513" i="17"/>
  <c r="Q474" i="17"/>
  <c r="Q477" i="17" s="1"/>
  <c r="Q478" i="17" s="1"/>
  <c r="K477" i="17"/>
  <c r="K478" i="17" s="1"/>
  <c r="Q485" i="17"/>
  <c r="Q488" i="17"/>
  <c r="J488" i="17"/>
  <c r="M488" i="17" s="1"/>
  <c r="Q492" i="17"/>
  <c r="Q496" i="17"/>
  <c r="J496" i="17"/>
  <c r="M496" i="17" s="1"/>
  <c r="Q500" i="17"/>
  <c r="J500" i="17"/>
  <c r="M500" i="17" s="1"/>
  <c r="Q504" i="17"/>
  <c r="J504" i="17"/>
  <c r="M504" i="17" s="1"/>
  <c r="Q508" i="17"/>
  <c r="J508" i="17"/>
  <c r="M508" i="17" s="1"/>
  <c r="D513" i="17"/>
  <c r="N461" i="17"/>
  <c r="J470" i="17"/>
  <c r="N470" i="17"/>
  <c r="J472" i="17"/>
  <c r="M472" i="17" s="1"/>
  <c r="J475" i="17"/>
  <c r="M475" i="17" s="1"/>
  <c r="F511" i="17"/>
  <c r="J479" i="17"/>
  <c r="N479" i="17"/>
  <c r="Q479" i="17"/>
  <c r="J481" i="17"/>
  <c r="M481" i="17" s="1"/>
  <c r="Q484" i="17"/>
  <c r="J484" i="17"/>
  <c r="M484" i="17" s="1"/>
  <c r="Q486" i="17"/>
  <c r="J486" i="17"/>
  <c r="M486" i="17" s="1"/>
  <c r="Q490" i="17"/>
  <c r="J490" i="17"/>
  <c r="M490" i="17" s="1"/>
  <c r="Q494" i="17"/>
  <c r="J494" i="17"/>
  <c r="M494" i="17" s="1"/>
  <c r="Q498" i="17"/>
  <c r="J498" i="17"/>
  <c r="M498" i="17" s="1"/>
  <c r="N500" i="17"/>
  <c r="Q502" i="17"/>
  <c r="J502" i="17"/>
  <c r="M502" i="17" s="1"/>
  <c r="Q506" i="17"/>
  <c r="J506" i="17"/>
  <c r="M506" i="17" s="1"/>
  <c r="N508" i="17"/>
  <c r="Q510" i="17"/>
  <c r="J510" i="17"/>
  <c r="M510" i="17" s="1"/>
  <c r="H513" i="17"/>
  <c r="I875" i="13"/>
  <c r="I881" i="13" s="1"/>
  <c r="I883" i="13"/>
  <c r="I886" i="13" s="1"/>
  <c r="I898" i="13"/>
  <c r="I901" i="13" s="1"/>
  <c r="I916" i="13"/>
  <c r="I918" i="13" s="1"/>
  <c r="I814" i="13"/>
  <c r="I818" i="13" s="1"/>
  <c r="I819" i="13"/>
  <c r="I826" i="13" s="1"/>
  <c r="I827" i="13"/>
  <c r="I834" i="13" s="1"/>
  <c r="I835" i="13"/>
  <c r="I840" i="13" s="1"/>
  <c r="I841" i="13"/>
  <c r="I844" i="13" s="1"/>
  <c r="I846" i="13"/>
  <c r="I850" i="13" s="1"/>
  <c r="I851" i="13"/>
  <c r="I860" i="13" s="1"/>
  <c r="I863" i="13"/>
  <c r="I873" i="13" s="1"/>
  <c r="I887" i="13"/>
  <c r="I893" i="13" s="1"/>
  <c r="I902" i="13"/>
  <c r="I906" i="13" s="1"/>
  <c r="I907" i="13"/>
  <c r="I909" i="13" s="1"/>
  <c r="I910" i="13"/>
  <c r="I914" i="13" s="1"/>
  <c r="H917" i="1"/>
  <c r="H918" i="1" s="1"/>
  <c r="H839" i="1"/>
  <c r="H856" i="1" s="1"/>
  <c r="J812" i="1"/>
  <c r="G820" i="1"/>
  <c r="J820" i="1" s="1"/>
  <c r="G838" i="1"/>
  <c r="J838" i="1" s="1"/>
  <c r="G854" i="1"/>
  <c r="G867" i="1"/>
  <c r="E890" i="1"/>
  <c r="E891" i="1" s="1"/>
  <c r="E919" i="1" s="1"/>
  <c r="J880" i="1"/>
  <c r="G909" i="1"/>
  <c r="J909" i="1" s="1"/>
  <c r="J904" i="1"/>
  <c r="G916" i="1"/>
  <c r="J916" i="1" s="1"/>
  <c r="I839" i="1"/>
  <c r="I856" i="1" s="1"/>
  <c r="J829" i="1"/>
  <c r="G844" i="1"/>
  <c r="J840" i="1"/>
  <c r="I855" i="1"/>
  <c r="H890" i="1"/>
  <c r="H891" i="1" s="1"/>
  <c r="G875" i="1"/>
  <c r="J875" i="1" s="1"/>
  <c r="G887" i="1"/>
  <c r="J887" i="1" s="1"/>
  <c r="J881" i="1"/>
  <c r="E917" i="1"/>
  <c r="E918" i="1" s="1"/>
  <c r="G900" i="1"/>
  <c r="J900" i="1" s="1"/>
  <c r="J910" i="1"/>
  <c r="G913" i="1"/>
  <c r="J913" i="1" s="1"/>
  <c r="G895" i="1"/>
  <c r="I917" i="1"/>
  <c r="I918" i="1" s="1"/>
  <c r="G903" i="1"/>
  <c r="J903" i="1" s="1"/>
  <c r="M602" i="1"/>
  <c r="L602" i="1"/>
  <c r="M717" i="1"/>
  <c r="M832" i="1" s="1"/>
  <c r="M947" i="1" s="1"/>
  <c r="M1063" i="1" s="1"/>
  <c r="L717" i="1"/>
  <c r="K717" i="1"/>
  <c r="O717" i="1" s="1"/>
  <c r="J716" i="1"/>
  <c r="J717" i="1"/>
  <c r="F722" i="13"/>
  <c r="I722" i="13" s="1"/>
  <c r="F723" i="13"/>
  <c r="I723" i="13" s="1"/>
  <c r="G608" i="13"/>
  <c r="J608" i="13" s="1"/>
  <c r="F607" i="13"/>
  <c r="I607" i="13" s="1"/>
  <c r="F608" i="13"/>
  <c r="I608" i="13" s="1"/>
  <c r="K602" i="1"/>
  <c r="P120" i="14" l="1"/>
  <c r="R120" i="14"/>
  <c r="S120" i="14" s="1"/>
  <c r="T120" i="14" s="1"/>
  <c r="P121" i="14"/>
  <c r="R110" i="14"/>
  <c r="Q109" i="14"/>
  <c r="S109" i="14" s="1"/>
  <c r="T109" i="14" s="1"/>
  <c r="R121" i="14"/>
  <c r="S121" i="14" s="1"/>
  <c r="P114" i="14"/>
  <c r="Q114" i="14"/>
  <c r="S114" i="14" s="1"/>
  <c r="Q123" i="14"/>
  <c r="S119" i="14"/>
  <c r="T119" i="14" s="1"/>
  <c r="R123" i="14"/>
  <c r="F922" i="13"/>
  <c r="F923" i="13" s="1"/>
  <c r="F882" i="13"/>
  <c r="F896" i="13" s="1"/>
  <c r="F897" i="13" s="1"/>
  <c r="F924" i="13" s="1"/>
  <c r="G1035" i="1"/>
  <c r="J1035" i="1" s="1"/>
  <c r="J1007" i="1"/>
  <c r="F845" i="13"/>
  <c r="F862" i="13" s="1"/>
  <c r="G723" i="13"/>
  <c r="J723" i="13" s="1"/>
  <c r="L832" i="1"/>
  <c r="G888" i="1"/>
  <c r="J888" i="1" s="1"/>
  <c r="I861" i="13"/>
  <c r="K469" i="17"/>
  <c r="K513" i="17" s="1"/>
  <c r="G121" i="15"/>
  <c r="G123" i="15" s="1"/>
  <c r="G130" i="15" s="1"/>
  <c r="J130" i="15"/>
  <c r="Q110" i="14"/>
  <c r="S110" i="14" s="1"/>
  <c r="T110" i="14" s="1"/>
  <c r="N503" i="17"/>
  <c r="R122" i="14"/>
  <c r="Q112" i="14"/>
  <c r="R124" i="14"/>
  <c r="S124" i="14" s="1"/>
  <c r="T124" i="14" s="1"/>
  <c r="Q122" i="14"/>
  <c r="R115" i="14"/>
  <c r="R112" i="14"/>
  <c r="P118" i="14"/>
  <c r="Q115" i="14"/>
  <c r="Q113" i="14"/>
  <c r="S113" i="14" s="1"/>
  <c r="T113" i="14" s="1"/>
  <c r="Q111" i="14"/>
  <c r="S111" i="14" s="1"/>
  <c r="T111" i="14" s="1"/>
  <c r="Q118" i="14"/>
  <c r="S118" i="14" s="1"/>
  <c r="O117" i="14"/>
  <c r="N117" i="14" s="1"/>
  <c r="M117" i="14"/>
  <c r="Q116" i="14"/>
  <c r="R116" i="14"/>
  <c r="P116" i="14"/>
  <c r="F802" i="16"/>
  <c r="I742" i="16"/>
  <c r="I802" i="16" s="1"/>
  <c r="N495" i="17"/>
  <c r="M455" i="17"/>
  <c r="N455" i="17"/>
  <c r="J460" i="17"/>
  <c r="M460" i="17" s="1"/>
  <c r="M479" i="17"/>
  <c r="N510" i="17"/>
  <c r="N502" i="17"/>
  <c r="N494" i="17"/>
  <c r="N486" i="17"/>
  <c r="N484" i="17"/>
  <c r="Q468" i="17"/>
  <c r="N475" i="17"/>
  <c r="I460" i="17"/>
  <c r="F469" i="17"/>
  <c r="I469" i="17" s="1"/>
  <c r="N504" i="17"/>
  <c r="N496" i="17"/>
  <c r="N488" i="17"/>
  <c r="Q511" i="17"/>
  <c r="Q512" i="17" s="1"/>
  <c r="H127" i="15" s="1"/>
  <c r="H129" i="15" s="1"/>
  <c r="F512" i="17"/>
  <c r="I511" i="17"/>
  <c r="J477" i="17"/>
  <c r="M470" i="17"/>
  <c r="N506" i="17"/>
  <c r="N498" i="17"/>
  <c r="N490" i="17"/>
  <c r="N481" i="17"/>
  <c r="N463" i="17"/>
  <c r="J468" i="17"/>
  <c r="M461" i="17"/>
  <c r="N472" i="17"/>
  <c r="N465" i="17"/>
  <c r="L469" i="17"/>
  <c r="N456" i="17"/>
  <c r="I882" i="13"/>
  <c r="I894" i="13"/>
  <c r="I845" i="13"/>
  <c r="I922" i="13"/>
  <c r="I923" i="13" s="1"/>
  <c r="I919" i="1"/>
  <c r="H919" i="1"/>
  <c r="G917" i="1"/>
  <c r="J895" i="1"/>
  <c r="G855" i="1"/>
  <c r="J844" i="1"/>
  <c r="J867" i="1"/>
  <c r="G876" i="1"/>
  <c r="G839" i="1"/>
  <c r="N602" i="1"/>
  <c r="O602" i="1"/>
  <c r="N717" i="1"/>
  <c r="D140" i="14"/>
  <c r="T114" i="14" l="1"/>
  <c r="T121" i="14"/>
  <c r="T118" i="14"/>
  <c r="S115" i="14"/>
  <c r="T115" i="14" s="1"/>
  <c r="S123" i="14"/>
  <c r="T123" i="14" s="1"/>
  <c r="I862" i="13"/>
  <c r="I896" i="13"/>
  <c r="I897" i="13" s="1"/>
  <c r="L947" i="1"/>
  <c r="L1063" i="1" s="1"/>
  <c r="G838" i="13"/>
  <c r="J838" i="13" s="1"/>
  <c r="K832" i="1"/>
  <c r="Q469" i="17"/>
  <c r="Q513" i="17" s="1"/>
  <c r="H121" i="15"/>
  <c r="H123" i="15" s="1"/>
  <c r="H130" i="15" s="1"/>
  <c r="S116" i="14"/>
  <c r="T116" i="14" s="1"/>
  <c r="J469" i="17"/>
  <c r="M469" i="17" s="1"/>
  <c r="N460" i="17"/>
  <c r="S122" i="14"/>
  <c r="T122" i="14" s="1"/>
  <c r="I924" i="13"/>
  <c r="S112" i="14"/>
  <c r="T112" i="14" s="1"/>
  <c r="R117" i="14"/>
  <c r="P117" i="14"/>
  <c r="Q117" i="14"/>
  <c r="M477" i="17"/>
  <c r="N477" i="17"/>
  <c r="J478" i="17"/>
  <c r="F513" i="17"/>
  <c r="I512" i="17"/>
  <c r="M468" i="17"/>
  <c r="N468" i="17"/>
  <c r="G856" i="1"/>
  <c r="J839" i="1"/>
  <c r="J854" i="1"/>
  <c r="J855" i="1"/>
  <c r="G890" i="1"/>
  <c r="J876" i="1"/>
  <c r="G918" i="1"/>
  <c r="J917" i="1"/>
  <c r="J918" i="1" s="1"/>
  <c r="D141" i="14"/>
  <c r="S117" i="14" l="1"/>
  <c r="G1069" i="13"/>
  <c r="J1069" i="13" s="1"/>
  <c r="K1063" i="1"/>
  <c r="N832" i="1"/>
  <c r="O832" i="1"/>
  <c r="G953" i="13"/>
  <c r="J953" i="13" s="1"/>
  <c r="K947" i="1"/>
  <c r="N469" i="17"/>
  <c r="T117" i="14"/>
  <c r="I513" i="17"/>
  <c r="M478" i="17"/>
  <c r="N478" i="17"/>
  <c r="G891" i="1"/>
  <c r="J890" i="1"/>
  <c r="J891" i="1" s="1"/>
  <c r="G919" i="1"/>
  <c r="J919" i="1" s="1"/>
  <c r="J856" i="1"/>
  <c r="L148" i="14"/>
  <c r="K148" i="14" s="1"/>
  <c r="O148" i="14" s="1"/>
  <c r="G148" i="14"/>
  <c r="C148" i="14"/>
  <c r="L147" i="14"/>
  <c r="K147" i="14" s="1"/>
  <c r="O147" i="14" s="1"/>
  <c r="G147" i="14"/>
  <c r="C147" i="14"/>
  <c r="L146" i="14"/>
  <c r="K146" i="14" s="1"/>
  <c r="O146" i="14" s="1"/>
  <c r="G146" i="14"/>
  <c r="C146" i="14"/>
  <c r="L145" i="14"/>
  <c r="K145" i="14" s="1"/>
  <c r="G145" i="14"/>
  <c r="C145" i="14"/>
  <c r="L144" i="14"/>
  <c r="K144" i="14" s="1"/>
  <c r="M144" i="14" s="1"/>
  <c r="G144" i="14"/>
  <c r="C144" i="14"/>
  <c r="L143" i="14"/>
  <c r="K143" i="14" s="1"/>
  <c r="G143" i="14"/>
  <c r="C143" i="14"/>
  <c r="L142" i="14"/>
  <c r="K142" i="14" s="1"/>
  <c r="M142" i="14" s="1"/>
  <c r="G142" i="14"/>
  <c r="C142" i="14"/>
  <c r="G141" i="14"/>
  <c r="L140" i="14"/>
  <c r="K140" i="14" s="1"/>
  <c r="G140" i="14"/>
  <c r="C140" i="14"/>
  <c r="L139" i="14"/>
  <c r="K139" i="14" s="1"/>
  <c r="O139" i="14" s="1"/>
  <c r="G139" i="14"/>
  <c r="C139" i="14"/>
  <c r="L138" i="14"/>
  <c r="K138" i="14" s="1"/>
  <c r="O138" i="14" s="1"/>
  <c r="G138" i="14"/>
  <c r="C138" i="14"/>
  <c r="L137" i="14"/>
  <c r="K137" i="14" s="1"/>
  <c r="O137" i="14" s="1"/>
  <c r="G137" i="14"/>
  <c r="C137" i="14"/>
  <c r="G136" i="14"/>
  <c r="L135" i="14"/>
  <c r="K135" i="14" s="1"/>
  <c r="G135" i="14"/>
  <c r="C135" i="14"/>
  <c r="L134" i="14"/>
  <c r="K134" i="14" s="1"/>
  <c r="G134" i="14"/>
  <c r="C134" i="14"/>
  <c r="L133" i="14"/>
  <c r="K133" i="14" s="1"/>
  <c r="G133" i="14"/>
  <c r="C133" i="14"/>
  <c r="J109" i="15"/>
  <c r="J107" i="15"/>
  <c r="J106" i="15"/>
  <c r="J105" i="15"/>
  <c r="H106" i="15"/>
  <c r="G106" i="15"/>
  <c r="E113" i="15"/>
  <c r="J111" i="15"/>
  <c r="E110" i="15"/>
  <c r="E107" i="15"/>
  <c r="J108" i="15"/>
  <c r="F704" i="16"/>
  <c r="F703" i="16"/>
  <c r="F702" i="16"/>
  <c r="F701" i="16"/>
  <c r="F700" i="16"/>
  <c r="F699" i="16"/>
  <c r="F698" i="16"/>
  <c r="F697" i="16"/>
  <c r="F696" i="16"/>
  <c r="F695" i="16"/>
  <c r="F694" i="16"/>
  <c r="F693" i="16"/>
  <c r="F692" i="16"/>
  <c r="F691" i="16"/>
  <c r="F690" i="16"/>
  <c r="F689" i="16"/>
  <c r="F688" i="16"/>
  <c r="F687" i="16"/>
  <c r="F686" i="16"/>
  <c r="F685" i="16"/>
  <c r="F684" i="16"/>
  <c r="I684" i="16" s="1"/>
  <c r="F683" i="16"/>
  <c r="F682" i="16"/>
  <c r="F681" i="16"/>
  <c r="F680" i="16"/>
  <c r="F705" i="16" s="1"/>
  <c r="F679" i="16"/>
  <c r="F678" i="16"/>
  <c r="F677" i="16"/>
  <c r="F676" i="16"/>
  <c r="F675" i="16"/>
  <c r="F674" i="16"/>
  <c r="F673" i="16"/>
  <c r="F672" i="16"/>
  <c r="F671" i="16"/>
  <c r="F670" i="16"/>
  <c r="F669" i="16"/>
  <c r="F668" i="16"/>
  <c r="F667" i="16"/>
  <c r="F666" i="16"/>
  <c r="F665" i="16"/>
  <c r="F664" i="16"/>
  <c r="F663" i="16"/>
  <c r="F662" i="16"/>
  <c r="F661" i="16"/>
  <c r="F660" i="16"/>
  <c r="F659" i="16"/>
  <c r="F658" i="16"/>
  <c r="F657" i="16"/>
  <c r="F656" i="16"/>
  <c r="F655" i="16"/>
  <c r="F654" i="16"/>
  <c r="F653" i="16"/>
  <c r="F652" i="16"/>
  <c r="F651" i="16"/>
  <c r="F650" i="16"/>
  <c r="F649" i="16"/>
  <c r="F645" i="16"/>
  <c r="F644" i="16"/>
  <c r="I644" i="16" s="1"/>
  <c r="F643" i="16"/>
  <c r="F642" i="16"/>
  <c r="F640" i="16"/>
  <c r="F639" i="16"/>
  <c r="F638" i="16"/>
  <c r="F637" i="16"/>
  <c r="F636" i="16"/>
  <c r="F635" i="16"/>
  <c r="F633" i="16"/>
  <c r="F632" i="16"/>
  <c r="I632" i="16" s="1"/>
  <c r="F631" i="16"/>
  <c r="F630" i="16"/>
  <c r="I630" i="16" s="1"/>
  <c r="F629" i="16"/>
  <c r="F628" i="16"/>
  <c r="I628" i="16" s="1"/>
  <c r="F627" i="16"/>
  <c r="F626" i="16"/>
  <c r="I626" i="16" s="1"/>
  <c r="F625" i="16"/>
  <c r="F624" i="16"/>
  <c r="I624" i="16" s="1"/>
  <c r="F623" i="16"/>
  <c r="F622" i="16"/>
  <c r="I622" i="16" s="1"/>
  <c r="F621" i="16"/>
  <c r="F620" i="16"/>
  <c r="I620" i="16" s="1"/>
  <c r="F619" i="16"/>
  <c r="H706" i="16"/>
  <c r="F706" i="16"/>
  <c r="I706" i="16" s="1"/>
  <c r="I707" i="16" s="1"/>
  <c r="E705" i="16"/>
  <c r="H704" i="16"/>
  <c r="I704" i="16"/>
  <c r="H703" i="16"/>
  <c r="I703" i="16"/>
  <c r="I702" i="16"/>
  <c r="H702" i="16"/>
  <c r="H701" i="16"/>
  <c r="I701" i="16"/>
  <c r="H700" i="16"/>
  <c r="I700" i="16"/>
  <c r="H699" i="16"/>
  <c r="I699" i="16"/>
  <c r="H698" i="16"/>
  <c r="I698" i="16"/>
  <c r="H697" i="16"/>
  <c r="I697" i="16"/>
  <c r="H696" i="16"/>
  <c r="I696" i="16"/>
  <c r="H695" i="16"/>
  <c r="I695" i="16"/>
  <c r="H694" i="16"/>
  <c r="I694" i="16"/>
  <c r="H693" i="16"/>
  <c r="I693" i="16"/>
  <c r="H692" i="16"/>
  <c r="I692" i="16"/>
  <c r="H691" i="16"/>
  <c r="I691" i="16"/>
  <c r="H690" i="16"/>
  <c r="I690" i="16"/>
  <c r="H689" i="16"/>
  <c r="I689" i="16"/>
  <c r="H688" i="16"/>
  <c r="I688" i="16"/>
  <c r="H687" i="16"/>
  <c r="I687" i="16"/>
  <c r="H686" i="16"/>
  <c r="I686" i="16"/>
  <c r="H685" i="16"/>
  <c r="I685" i="16"/>
  <c r="H684" i="16"/>
  <c r="H683" i="16"/>
  <c r="I683" i="16"/>
  <c r="H682" i="16"/>
  <c r="I682" i="16"/>
  <c r="H681" i="16"/>
  <c r="I681" i="16"/>
  <c r="H680" i="16"/>
  <c r="H679" i="16"/>
  <c r="I679" i="16"/>
  <c r="E678" i="16"/>
  <c r="H677" i="16"/>
  <c r="I677" i="16"/>
  <c r="H676" i="16"/>
  <c r="I676" i="16"/>
  <c r="H675" i="16"/>
  <c r="I675" i="16"/>
  <c r="H674" i="16"/>
  <c r="I674" i="16"/>
  <c r="H673" i="16"/>
  <c r="I673" i="16"/>
  <c r="H672" i="16"/>
  <c r="I672" i="16"/>
  <c r="H671" i="16"/>
  <c r="I671" i="16"/>
  <c r="H670" i="16"/>
  <c r="I670" i="16"/>
  <c r="H669" i="16"/>
  <c r="I669" i="16"/>
  <c r="H668" i="16"/>
  <c r="I668" i="16"/>
  <c r="H667" i="16"/>
  <c r="I667" i="16"/>
  <c r="H666" i="16"/>
  <c r="I666" i="16"/>
  <c r="H665" i="16"/>
  <c r="I665" i="16"/>
  <c r="H664" i="16"/>
  <c r="I664" i="16"/>
  <c r="H663" i="16"/>
  <c r="I663" i="16"/>
  <c r="H662" i="16"/>
  <c r="I662" i="16"/>
  <c r="H661" i="16"/>
  <c r="I661" i="16"/>
  <c r="H660" i="16"/>
  <c r="I660" i="16"/>
  <c r="H659" i="16"/>
  <c r="I659" i="16"/>
  <c r="H658" i="16"/>
  <c r="I658" i="16"/>
  <c r="H657" i="16"/>
  <c r="I657" i="16"/>
  <c r="H656" i="16"/>
  <c r="I656" i="16"/>
  <c r="H655" i="16"/>
  <c r="I655" i="16"/>
  <c r="H654" i="16"/>
  <c r="I654" i="16"/>
  <c r="H653" i="16"/>
  <c r="I653" i="16"/>
  <c r="H652" i="16"/>
  <c r="I652" i="16"/>
  <c r="H651" i="16"/>
  <c r="I651" i="16"/>
  <c r="H650" i="16"/>
  <c r="I650" i="16"/>
  <c r="H649" i="16"/>
  <c r="E646" i="16"/>
  <c r="H645" i="16"/>
  <c r="I645" i="16"/>
  <c r="H644" i="16"/>
  <c r="H643" i="16"/>
  <c r="H646" i="16" s="1"/>
  <c r="I643" i="16"/>
  <c r="H642" i="16"/>
  <c r="E641" i="16"/>
  <c r="H640" i="16"/>
  <c r="I640" i="16"/>
  <c r="H639" i="16"/>
  <c r="I639" i="16"/>
  <c r="H638" i="16"/>
  <c r="I638" i="16"/>
  <c r="H637" i="16"/>
  <c r="I637" i="16"/>
  <c r="H636" i="16"/>
  <c r="H641" i="16" s="1"/>
  <c r="H648" i="16" s="1"/>
  <c r="I636" i="16"/>
  <c r="H635" i="16"/>
  <c r="E634" i="16"/>
  <c r="H633" i="16"/>
  <c r="I633" i="16"/>
  <c r="H632" i="16"/>
  <c r="H631" i="16"/>
  <c r="I631" i="16"/>
  <c r="H630" i="16"/>
  <c r="H629" i="16"/>
  <c r="I629" i="16"/>
  <c r="H628" i="16"/>
  <c r="H627" i="16"/>
  <c r="I627" i="16"/>
  <c r="H626" i="16"/>
  <c r="H625" i="16"/>
  <c r="I625" i="16"/>
  <c r="H624" i="16"/>
  <c r="H623" i="16"/>
  <c r="I623" i="16"/>
  <c r="H622" i="16"/>
  <c r="H621" i="16"/>
  <c r="H634" i="16" s="1"/>
  <c r="I621" i="16"/>
  <c r="H620" i="16"/>
  <c r="H619" i="16"/>
  <c r="E450" i="17"/>
  <c r="E449" i="17"/>
  <c r="D449" i="17"/>
  <c r="H448" i="17"/>
  <c r="H449" i="17" s="1"/>
  <c r="G448" i="17"/>
  <c r="G449" i="17" s="1"/>
  <c r="D448" i="17"/>
  <c r="P447" i="17"/>
  <c r="L447" i="17"/>
  <c r="K447" i="17"/>
  <c r="I447" i="17"/>
  <c r="F447" i="17"/>
  <c r="Q446" i="17"/>
  <c r="P446" i="17"/>
  <c r="N446" i="17"/>
  <c r="L446" i="17"/>
  <c r="K446" i="17"/>
  <c r="J446" i="17"/>
  <c r="M446" i="17" s="1"/>
  <c r="F446" i="17"/>
  <c r="I446" i="17" s="1"/>
  <c r="P445" i="17"/>
  <c r="L445" i="17"/>
  <c r="K445" i="17"/>
  <c r="I445" i="17"/>
  <c r="F445" i="17"/>
  <c r="Q444" i="17"/>
  <c r="P444" i="17"/>
  <c r="L444" i="17"/>
  <c r="N444" i="17" s="1"/>
  <c r="K444" i="17"/>
  <c r="J444" i="17"/>
  <c r="M444" i="17" s="1"/>
  <c r="F444" i="17"/>
  <c r="I444" i="17" s="1"/>
  <c r="P443" i="17"/>
  <c r="L443" i="17"/>
  <c r="K443" i="17"/>
  <c r="I443" i="17"/>
  <c r="F443" i="17"/>
  <c r="P442" i="17"/>
  <c r="L442" i="17"/>
  <c r="K442" i="17"/>
  <c r="J442" i="17" s="1"/>
  <c r="F442" i="17"/>
  <c r="I442" i="17" s="1"/>
  <c r="P441" i="17"/>
  <c r="L441" i="17"/>
  <c r="K441" i="17"/>
  <c r="I441" i="17"/>
  <c r="F441" i="17"/>
  <c r="P440" i="17"/>
  <c r="L440" i="17"/>
  <c r="K440" i="17"/>
  <c r="Q440" i="17" s="1"/>
  <c r="F440" i="17"/>
  <c r="I440" i="17" s="1"/>
  <c r="P439" i="17"/>
  <c r="L439" i="17"/>
  <c r="K439" i="17"/>
  <c r="F439" i="17"/>
  <c r="I439" i="17" s="1"/>
  <c r="P438" i="17"/>
  <c r="L438" i="17"/>
  <c r="N438" i="17" s="1"/>
  <c r="K438" i="17"/>
  <c r="Q438" i="17" s="1"/>
  <c r="J438" i="17"/>
  <c r="M438" i="17" s="1"/>
  <c r="F438" i="17"/>
  <c r="I438" i="17" s="1"/>
  <c r="P437" i="17"/>
  <c r="L437" i="17"/>
  <c r="K437" i="17"/>
  <c r="F437" i="17"/>
  <c r="I437" i="17" s="1"/>
  <c r="P436" i="17"/>
  <c r="L436" i="17"/>
  <c r="K436" i="17"/>
  <c r="Q436" i="17" s="1"/>
  <c r="F436" i="17"/>
  <c r="I436" i="17" s="1"/>
  <c r="P435" i="17"/>
  <c r="L435" i="17"/>
  <c r="K435" i="17"/>
  <c r="F435" i="17"/>
  <c r="I435" i="17" s="1"/>
  <c r="Q434" i="17"/>
  <c r="P434" i="17"/>
  <c r="N434" i="17"/>
  <c r="L434" i="17"/>
  <c r="K434" i="17"/>
  <c r="J434" i="17"/>
  <c r="M434" i="17" s="1"/>
  <c r="F434" i="17"/>
  <c r="I434" i="17" s="1"/>
  <c r="P433" i="17"/>
  <c r="L433" i="17"/>
  <c r="K433" i="17"/>
  <c r="I433" i="17"/>
  <c r="F433" i="17"/>
  <c r="Q432" i="17"/>
  <c r="P432" i="17"/>
  <c r="L432" i="17"/>
  <c r="N432" i="17" s="1"/>
  <c r="K432" i="17"/>
  <c r="J432" i="17"/>
  <c r="M432" i="17" s="1"/>
  <c r="F432" i="17"/>
  <c r="I432" i="17" s="1"/>
  <c r="P431" i="17"/>
  <c r="L431" i="17"/>
  <c r="K431" i="17"/>
  <c r="F431" i="17"/>
  <c r="I431" i="17" s="1"/>
  <c r="P430" i="17"/>
  <c r="L430" i="17"/>
  <c r="K430" i="17"/>
  <c r="Q430" i="17" s="1"/>
  <c r="J430" i="17"/>
  <c r="M430" i="17" s="1"/>
  <c r="F430" i="17"/>
  <c r="I430" i="17" s="1"/>
  <c r="P429" i="17"/>
  <c r="K429" i="17"/>
  <c r="F429" i="17"/>
  <c r="I429" i="17" s="1"/>
  <c r="Q428" i="17"/>
  <c r="P428" i="17"/>
  <c r="L428" i="17"/>
  <c r="N428" i="17" s="1"/>
  <c r="K428" i="17"/>
  <c r="J428" i="17"/>
  <c r="M428" i="17" s="1"/>
  <c r="F428" i="17"/>
  <c r="I428" i="17" s="1"/>
  <c r="P427" i="17"/>
  <c r="L427" i="17"/>
  <c r="K427" i="17"/>
  <c r="I427" i="17"/>
  <c r="F427" i="17"/>
  <c r="Q426" i="17"/>
  <c r="P426" i="17"/>
  <c r="N426" i="17"/>
  <c r="L426" i="17"/>
  <c r="K426" i="17"/>
  <c r="J426" i="17"/>
  <c r="M426" i="17" s="1"/>
  <c r="F426" i="17"/>
  <c r="I426" i="17" s="1"/>
  <c r="P425" i="17"/>
  <c r="L425" i="17"/>
  <c r="K425" i="17"/>
  <c r="F425" i="17"/>
  <c r="I425" i="17" s="1"/>
  <c r="Q424" i="17"/>
  <c r="P424" i="17"/>
  <c r="L424" i="17"/>
  <c r="K424" i="17"/>
  <c r="J424" i="17"/>
  <c r="M424" i="17" s="1"/>
  <c r="F424" i="17"/>
  <c r="I424" i="17" s="1"/>
  <c r="P423" i="17"/>
  <c r="L423" i="17"/>
  <c r="K423" i="17"/>
  <c r="F423" i="17"/>
  <c r="I423" i="17" s="1"/>
  <c r="P422" i="17"/>
  <c r="L422" i="17"/>
  <c r="K422" i="17"/>
  <c r="F422" i="17"/>
  <c r="P421" i="17"/>
  <c r="L421" i="17"/>
  <c r="K421" i="17"/>
  <c r="I421" i="17"/>
  <c r="F421" i="17"/>
  <c r="Q420" i="17"/>
  <c r="P420" i="17"/>
  <c r="L420" i="17"/>
  <c r="K420" i="17"/>
  <c r="J420" i="17"/>
  <c r="F420" i="17"/>
  <c r="I420" i="17" s="1"/>
  <c r="Q419" i="17"/>
  <c r="P419" i="17"/>
  <c r="L419" i="17"/>
  <c r="K419" i="17"/>
  <c r="J419" i="17"/>
  <c r="M419" i="17" s="1"/>
  <c r="F419" i="17"/>
  <c r="I419" i="17" s="1"/>
  <c r="P418" i="17"/>
  <c r="L418" i="17"/>
  <c r="K418" i="17"/>
  <c r="Q418" i="17" s="1"/>
  <c r="F418" i="17"/>
  <c r="I418" i="17" s="1"/>
  <c r="Q417" i="17"/>
  <c r="P417" i="17"/>
  <c r="L417" i="17"/>
  <c r="N417" i="17" s="1"/>
  <c r="K417" i="17"/>
  <c r="J417" i="17"/>
  <c r="M417" i="17" s="1"/>
  <c r="F417" i="17"/>
  <c r="I417" i="17" s="1"/>
  <c r="P416" i="17"/>
  <c r="L416" i="17"/>
  <c r="K416" i="17"/>
  <c r="I416" i="17"/>
  <c r="F416" i="17"/>
  <c r="E415" i="17"/>
  <c r="D415" i="17"/>
  <c r="H414" i="17"/>
  <c r="H415" i="17" s="1"/>
  <c r="G414" i="17"/>
  <c r="G415" i="17" s="1"/>
  <c r="Q413" i="17"/>
  <c r="P413" i="17"/>
  <c r="L413" i="17"/>
  <c r="N413" i="17" s="1"/>
  <c r="K413" i="17"/>
  <c r="J413" i="17"/>
  <c r="M413" i="17" s="1"/>
  <c r="F413" i="17"/>
  <c r="I413" i="17" s="1"/>
  <c r="P412" i="17"/>
  <c r="L412" i="17"/>
  <c r="K412" i="17"/>
  <c r="Q412" i="17" s="1"/>
  <c r="I412" i="17"/>
  <c r="F412" i="17"/>
  <c r="P411" i="17"/>
  <c r="L411" i="17"/>
  <c r="K411" i="17"/>
  <c r="J411" i="17" s="1"/>
  <c r="I411" i="17"/>
  <c r="F411" i="17"/>
  <c r="Q410" i="17"/>
  <c r="P410" i="17"/>
  <c r="L410" i="17"/>
  <c r="K410" i="17"/>
  <c r="J410" i="17"/>
  <c r="M410" i="17" s="1"/>
  <c r="F410" i="17"/>
  <c r="I410" i="17" s="1"/>
  <c r="P409" i="17"/>
  <c r="L409" i="17"/>
  <c r="K409" i="17"/>
  <c r="Q409" i="17" s="1"/>
  <c r="I409" i="17"/>
  <c r="F409" i="17"/>
  <c r="Q408" i="17"/>
  <c r="P408" i="17"/>
  <c r="L408" i="17"/>
  <c r="N408" i="17" s="1"/>
  <c r="K408" i="17"/>
  <c r="J408" i="17"/>
  <c r="M408" i="17" s="1"/>
  <c r="F408" i="17"/>
  <c r="I408" i="17" s="1"/>
  <c r="P407" i="17"/>
  <c r="P414" i="17" s="1"/>
  <c r="P415" i="17" s="1"/>
  <c r="L407" i="17"/>
  <c r="L414" i="17" s="1"/>
  <c r="K407" i="17"/>
  <c r="Q407" i="17" s="1"/>
  <c r="I407" i="17"/>
  <c r="F407" i="17"/>
  <c r="F414" i="17" s="1"/>
  <c r="E406" i="17"/>
  <c r="H405" i="17"/>
  <c r="G405" i="17"/>
  <c r="D405" i="17"/>
  <c r="D406" i="17" s="1"/>
  <c r="P404" i="17"/>
  <c r="L404" i="17"/>
  <c r="K404" i="17"/>
  <c r="I404" i="17"/>
  <c r="F404" i="17"/>
  <c r="Q403" i="17"/>
  <c r="P403" i="17"/>
  <c r="L403" i="17"/>
  <c r="N403" i="17" s="1"/>
  <c r="K403" i="17"/>
  <c r="J403" i="17"/>
  <c r="M403" i="17" s="1"/>
  <c r="F403" i="17"/>
  <c r="I403" i="17" s="1"/>
  <c r="P402" i="17"/>
  <c r="L402" i="17"/>
  <c r="K402" i="17"/>
  <c r="F402" i="17"/>
  <c r="I402" i="17" s="1"/>
  <c r="Q401" i="17"/>
  <c r="P401" i="17"/>
  <c r="N401" i="17"/>
  <c r="L401" i="17"/>
  <c r="K401" i="17"/>
  <c r="J401" i="17"/>
  <c r="M401" i="17" s="1"/>
  <c r="F401" i="17"/>
  <c r="I401" i="17" s="1"/>
  <c r="P400" i="17"/>
  <c r="L400" i="17"/>
  <c r="K400" i="17"/>
  <c r="I400" i="17"/>
  <c r="F400" i="17"/>
  <c r="Q399" i="17"/>
  <c r="P399" i="17"/>
  <c r="L399" i="17"/>
  <c r="N399" i="17" s="1"/>
  <c r="K399" i="17"/>
  <c r="J399" i="17"/>
  <c r="M399" i="17" s="1"/>
  <c r="F399" i="17"/>
  <c r="I399" i="17" s="1"/>
  <c r="P398" i="17"/>
  <c r="L398" i="17"/>
  <c r="L405" i="17" s="1"/>
  <c r="K398" i="17"/>
  <c r="I398" i="17"/>
  <c r="F398" i="17"/>
  <c r="H397" i="17"/>
  <c r="H406" i="17" s="1"/>
  <c r="G397" i="17"/>
  <c r="G406" i="17" s="1"/>
  <c r="D397" i="17"/>
  <c r="Q396" i="17"/>
  <c r="P396" i="17"/>
  <c r="N396" i="17"/>
  <c r="L396" i="17"/>
  <c r="K396" i="17"/>
  <c r="J396" i="17"/>
  <c r="M396" i="17" s="1"/>
  <c r="F396" i="17"/>
  <c r="I396" i="17" s="1"/>
  <c r="P395" i="17"/>
  <c r="L395" i="17"/>
  <c r="K395" i="17"/>
  <c r="F395" i="17"/>
  <c r="I395" i="17" s="1"/>
  <c r="P394" i="17"/>
  <c r="L394" i="17"/>
  <c r="K394" i="17"/>
  <c r="Q394" i="17" s="1"/>
  <c r="F394" i="17"/>
  <c r="I394" i="17" s="1"/>
  <c r="P393" i="17"/>
  <c r="L393" i="17"/>
  <c r="K393" i="17"/>
  <c r="I393" i="17"/>
  <c r="F393" i="17"/>
  <c r="P392" i="17"/>
  <c r="L392" i="17"/>
  <c r="K392" i="17"/>
  <c r="J392" i="17"/>
  <c r="M392" i="17" s="1"/>
  <c r="F392" i="17"/>
  <c r="I392" i="17" s="1"/>
  <c r="J806" i="13"/>
  <c r="I806" i="13"/>
  <c r="F806" i="13"/>
  <c r="F805" i="13"/>
  <c r="F804" i="13"/>
  <c r="F802" i="13"/>
  <c r="I802" i="13" s="1"/>
  <c r="F801" i="13"/>
  <c r="F800" i="13"/>
  <c r="I800" i="13" s="1"/>
  <c r="F798" i="13"/>
  <c r="I798" i="13" s="1"/>
  <c r="F797" i="13"/>
  <c r="I797" i="13" s="1"/>
  <c r="F796" i="13"/>
  <c r="I796" i="13" s="1"/>
  <c r="F795" i="13"/>
  <c r="F793" i="13"/>
  <c r="I793" i="13" s="1"/>
  <c r="F792" i="13"/>
  <c r="F790" i="13"/>
  <c r="I790" i="13" s="1"/>
  <c r="F789" i="13"/>
  <c r="I789" i="13" s="1"/>
  <c r="F788" i="13"/>
  <c r="I788" i="13" s="1"/>
  <c r="F787" i="13"/>
  <c r="F785" i="13"/>
  <c r="I785" i="13" s="1"/>
  <c r="F784" i="13"/>
  <c r="I784" i="13" s="1"/>
  <c r="F783" i="13"/>
  <c r="F780" i="13"/>
  <c r="I780" i="13" s="1"/>
  <c r="F777" i="13"/>
  <c r="I777" i="13" s="1"/>
  <c r="F776" i="13"/>
  <c r="I776" i="13" s="1"/>
  <c r="F775" i="13"/>
  <c r="I775" i="13" s="1"/>
  <c r="F774" i="13"/>
  <c r="I774" i="13" s="1"/>
  <c r="F773" i="13"/>
  <c r="I773" i="13" s="1"/>
  <c r="F772" i="13"/>
  <c r="F778" i="13" s="1"/>
  <c r="F770" i="13"/>
  <c r="I770" i="13" s="1"/>
  <c r="F769" i="13"/>
  <c r="I769" i="13" s="1"/>
  <c r="F768" i="13"/>
  <c r="F765" i="13"/>
  <c r="I765" i="13" s="1"/>
  <c r="F764" i="13"/>
  <c r="I764" i="13" s="1"/>
  <c r="F763" i="13"/>
  <c r="I763" i="13" s="1"/>
  <c r="F762" i="13"/>
  <c r="I762" i="13" s="1"/>
  <c r="F761" i="13"/>
  <c r="I761" i="13" s="1"/>
  <c r="F760" i="13"/>
  <c r="F759" i="13"/>
  <c r="I759" i="13" s="1"/>
  <c r="F757" i="13"/>
  <c r="I757" i="13" s="1"/>
  <c r="F756" i="13"/>
  <c r="I756" i="13" s="1"/>
  <c r="F755" i="13"/>
  <c r="I755" i="13" s="1"/>
  <c r="F754" i="13"/>
  <c r="I754" i="13" s="1"/>
  <c r="F753" i="13"/>
  <c r="I753" i="13" s="1"/>
  <c r="F752" i="13"/>
  <c r="I752" i="13" s="1"/>
  <c r="F751" i="13"/>
  <c r="I751" i="13" s="1"/>
  <c r="F750" i="13"/>
  <c r="I750" i="13" s="1"/>
  <c r="F749" i="13"/>
  <c r="I749" i="13" s="1"/>
  <c r="F748" i="13"/>
  <c r="F744" i="13"/>
  <c r="I744" i="13" s="1"/>
  <c r="F743" i="13"/>
  <c r="I743" i="13" s="1"/>
  <c r="F742" i="13"/>
  <c r="I742" i="13" s="1"/>
  <c r="F741" i="13"/>
  <c r="I741" i="13" s="1"/>
  <c r="F740" i="13"/>
  <c r="I740" i="13" s="1"/>
  <c r="F739" i="13"/>
  <c r="I739" i="13" s="1"/>
  <c r="F738" i="13"/>
  <c r="I738" i="13" s="1"/>
  <c r="F737" i="13"/>
  <c r="I737" i="13" s="1"/>
  <c r="F736" i="13"/>
  <c r="F734" i="13"/>
  <c r="I734" i="13" s="1"/>
  <c r="F733" i="13"/>
  <c r="I733" i="13" s="1"/>
  <c r="F732" i="13"/>
  <c r="I732" i="13" s="1"/>
  <c r="F731" i="13"/>
  <c r="F728" i="13"/>
  <c r="I728" i="13" s="1"/>
  <c r="F727" i="13"/>
  <c r="I727" i="13" s="1"/>
  <c r="F726" i="13"/>
  <c r="F724" i="13"/>
  <c r="I724" i="13" s="1"/>
  <c r="F721" i="13"/>
  <c r="I721" i="13" s="1"/>
  <c r="F720" i="13"/>
  <c r="F718" i="13"/>
  <c r="I718" i="13" s="1"/>
  <c r="F717" i="13"/>
  <c r="I717" i="13" s="1"/>
  <c r="F716" i="13"/>
  <c r="I716" i="13" s="1"/>
  <c r="F715" i="13"/>
  <c r="I715" i="13" s="1"/>
  <c r="F714" i="13"/>
  <c r="I714" i="13" s="1"/>
  <c r="F713" i="13"/>
  <c r="I713" i="13" s="1"/>
  <c r="F712" i="13"/>
  <c r="F710" i="13"/>
  <c r="I710" i="13" s="1"/>
  <c r="F709" i="13"/>
  <c r="I709" i="13" s="1"/>
  <c r="F708" i="13"/>
  <c r="I708" i="13" s="1"/>
  <c r="F707" i="13"/>
  <c r="I707" i="13" s="1"/>
  <c r="F706" i="13"/>
  <c r="I706" i="13" s="1"/>
  <c r="F705" i="13"/>
  <c r="I705" i="13" s="1"/>
  <c r="F704" i="13"/>
  <c r="F702" i="13"/>
  <c r="I702" i="13" s="1"/>
  <c r="F701" i="13"/>
  <c r="I701" i="13" s="1"/>
  <c r="F700" i="13"/>
  <c r="I700" i="13" s="1"/>
  <c r="F699" i="13"/>
  <c r="F802" i="1"/>
  <c r="F803" i="1" s="1"/>
  <c r="I801" i="1"/>
  <c r="H801" i="1"/>
  <c r="E801" i="1"/>
  <c r="G800" i="1"/>
  <c r="J800" i="1" s="1"/>
  <c r="G799" i="1"/>
  <c r="J799" i="1" s="1"/>
  <c r="I798" i="1"/>
  <c r="H798" i="1"/>
  <c r="G797" i="1"/>
  <c r="J797" i="1" s="1"/>
  <c r="E797" i="1"/>
  <c r="G796" i="1"/>
  <c r="J796" i="1" s="1"/>
  <c r="E796" i="1"/>
  <c r="E798" i="1" s="1"/>
  <c r="G795" i="1"/>
  <c r="I794" i="1"/>
  <c r="H794" i="1"/>
  <c r="G793" i="1"/>
  <c r="J793" i="1" s="1"/>
  <c r="G792" i="1"/>
  <c r="J792" i="1" s="1"/>
  <c r="G791" i="1"/>
  <c r="J791" i="1" s="1"/>
  <c r="E791" i="1"/>
  <c r="G790" i="1"/>
  <c r="J790" i="1" s="1"/>
  <c r="G789" i="1"/>
  <c r="E789" i="1"/>
  <c r="I788" i="1"/>
  <c r="H788" i="1"/>
  <c r="E788" i="1"/>
  <c r="G787" i="1"/>
  <c r="J787" i="1" s="1"/>
  <c r="G786" i="1"/>
  <c r="J786" i="1" s="1"/>
  <c r="I785" i="1"/>
  <c r="H785" i="1"/>
  <c r="E785" i="1"/>
  <c r="G784" i="1"/>
  <c r="J784" i="1" s="1"/>
  <c r="G783" i="1"/>
  <c r="J783" i="1" s="1"/>
  <c r="G782" i="1"/>
  <c r="J782" i="1" s="1"/>
  <c r="G781" i="1"/>
  <c r="J781" i="1" s="1"/>
  <c r="I780" i="1"/>
  <c r="H780" i="1"/>
  <c r="E780" i="1"/>
  <c r="G779" i="1"/>
  <c r="J779" i="1" s="1"/>
  <c r="G778" i="1"/>
  <c r="J778" i="1" s="1"/>
  <c r="G777" i="1"/>
  <c r="J777" i="1" s="1"/>
  <c r="F775" i="1"/>
  <c r="F776" i="1" s="1"/>
  <c r="G774" i="1"/>
  <c r="J774" i="1" s="1"/>
  <c r="I772" i="1"/>
  <c r="H772" i="1"/>
  <c r="E772" i="1"/>
  <c r="E773" i="1" s="1"/>
  <c r="G771" i="1"/>
  <c r="J771" i="1" s="1"/>
  <c r="J770" i="1"/>
  <c r="G769" i="1"/>
  <c r="J769" i="1" s="1"/>
  <c r="J768" i="1"/>
  <c r="G767" i="1"/>
  <c r="J767" i="1" s="1"/>
  <c r="G766" i="1"/>
  <c r="I765" i="1"/>
  <c r="H765" i="1"/>
  <c r="H773" i="1" s="1"/>
  <c r="E765" i="1"/>
  <c r="G764" i="1"/>
  <c r="J764" i="1" s="1"/>
  <c r="G763" i="1"/>
  <c r="J763" i="1" s="1"/>
  <c r="G762" i="1"/>
  <c r="I760" i="1"/>
  <c r="H760" i="1"/>
  <c r="E760" i="1"/>
  <c r="G759" i="1"/>
  <c r="J759" i="1" s="1"/>
  <c r="J758" i="1"/>
  <c r="G757" i="1"/>
  <c r="J757" i="1" s="1"/>
  <c r="G756" i="1"/>
  <c r="J756" i="1" s="1"/>
  <c r="G755" i="1"/>
  <c r="J755" i="1" s="1"/>
  <c r="G754" i="1"/>
  <c r="J754" i="1" s="1"/>
  <c r="G753" i="1"/>
  <c r="J753" i="1" s="1"/>
  <c r="I752" i="1"/>
  <c r="H752" i="1"/>
  <c r="E752" i="1"/>
  <c r="G751" i="1"/>
  <c r="J751" i="1" s="1"/>
  <c r="G750" i="1"/>
  <c r="J750" i="1" s="1"/>
  <c r="G749" i="1"/>
  <c r="J749" i="1" s="1"/>
  <c r="G748" i="1"/>
  <c r="J748" i="1" s="1"/>
  <c r="G747" i="1"/>
  <c r="J747" i="1" s="1"/>
  <c r="G746" i="1"/>
  <c r="J746" i="1" s="1"/>
  <c r="G745" i="1"/>
  <c r="J745" i="1" s="1"/>
  <c r="G744" i="1"/>
  <c r="J744" i="1" s="1"/>
  <c r="G743" i="1"/>
  <c r="J743" i="1" s="1"/>
  <c r="G742" i="1"/>
  <c r="J742" i="1" s="1"/>
  <c r="F740" i="1"/>
  <c r="I739" i="1"/>
  <c r="M739" i="1" s="1"/>
  <c r="H739" i="1"/>
  <c r="L739" i="1" s="1"/>
  <c r="E739" i="1"/>
  <c r="G738" i="1"/>
  <c r="J738" i="1" s="1"/>
  <c r="G737" i="1"/>
  <c r="J737" i="1" s="1"/>
  <c r="G736" i="1"/>
  <c r="J736" i="1" s="1"/>
  <c r="J735" i="1"/>
  <c r="G735" i="1"/>
  <c r="G734" i="1"/>
  <c r="J734" i="1" s="1"/>
  <c r="G733" i="1"/>
  <c r="J733" i="1" s="1"/>
  <c r="G732" i="1"/>
  <c r="J732" i="1" s="1"/>
  <c r="G731" i="1"/>
  <c r="J731" i="1" s="1"/>
  <c r="G730" i="1"/>
  <c r="J730" i="1" s="1"/>
  <c r="I729" i="1"/>
  <c r="H729" i="1"/>
  <c r="H740" i="1" s="1"/>
  <c r="E729" i="1"/>
  <c r="E740" i="1" s="1"/>
  <c r="C106" i="15" s="1"/>
  <c r="G728" i="1"/>
  <c r="J728" i="1" s="1"/>
  <c r="G727" i="1"/>
  <c r="J727" i="1" s="1"/>
  <c r="G726" i="1"/>
  <c r="J726" i="1" s="1"/>
  <c r="G725" i="1"/>
  <c r="I723" i="1"/>
  <c r="H723" i="1"/>
  <c r="E723" i="1"/>
  <c r="G722" i="1"/>
  <c r="J722" i="1" s="1"/>
  <c r="J721" i="1"/>
  <c r="G721" i="1"/>
  <c r="G720" i="1"/>
  <c r="J720" i="1" s="1"/>
  <c r="I719" i="1"/>
  <c r="H719" i="1"/>
  <c r="F719" i="1"/>
  <c r="F724" i="1" s="1"/>
  <c r="E719" i="1"/>
  <c r="G718" i="1"/>
  <c r="J718" i="1" s="1"/>
  <c r="G715" i="1"/>
  <c r="J715" i="1" s="1"/>
  <c r="G714" i="1"/>
  <c r="J719" i="1" s="1"/>
  <c r="I713" i="1"/>
  <c r="H713" i="1"/>
  <c r="E713" i="1"/>
  <c r="G712" i="1"/>
  <c r="J712" i="1" s="1"/>
  <c r="G711" i="1"/>
  <c r="J711" i="1" s="1"/>
  <c r="G710" i="1"/>
  <c r="J710" i="1" s="1"/>
  <c r="J709" i="1"/>
  <c r="G709" i="1"/>
  <c r="G708" i="1"/>
  <c r="J708" i="1" s="1"/>
  <c r="G707" i="1"/>
  <c r="J707" i="1" s="1"/>
  <c r="G706" i="1"/>
  <c r="J706" i="1" s="1"/>
  <c r="I705" i="1"/>
  <c r="H705" i="1"/>
  <c r="E705" i="1"/>
  <c r="G704" i="1"/>
  <c r="J704" i="1" s="1"/>
  <c r="G703" i="1"/>
  <c r="J703" i="1" s="1"/>
  <c r="J702" i="1"/>
  <c r="G702" i="1"/>
  <c r="G701" i="1"/>
  <c r="J701" i="1" s="1"/>
  <c r="G700" i="1"/>
  <c r="J700" i="1" s="1"/>
  <c r="G699" i="1"/>
  <c r="J699" i="1" s="1"/>
  <c r="G698" i="1"/>
  <c r="I697" i="1"/>
  <c r="H697" i="1"/>
  <c r="E697" i="1"/>
  <c r="G696" i="1"/>
  <c r="J696" i="1" s="1"/>
  <c r="G695" i="1"/>
  <c r="J695" i="1" s="1"/>
  <c r="G694" i="1"/>
  <c r="J694" i="1" s="1"/>
  <c r="G693" i="1"/>
  <c r="G765" i="1" l="1"/>
  <c r="N1063" i="1"/>
  <c r="O1063" i="1"/>
  <c r="N947" i="1"/>
  <c r="O947" i="1"/>
  <c r="F719" i="13"/>
  <c r="G705" i="1"/>
  <c r="J705" i="1" s="1"/>
  <c r="J698" i="1"/>
  <c r="J714" i="1"/>
  <c r="F741" i="1"/>
  <c r="F804" i="1" s="1"/>
  <c r="E761" i="1"/>
  <c r="E775" i="1" s="1"/>
  <c r="E776" i="1" s="1"/>
  <c r="C109" i="15" s="1"/>
  <c r="C111" i="15" s="1"/>
  <c r="J762" i="1"/>
  <c r="I773" i="1"/>
  <c r="E794" i="1"/>
  <c r="F735" i="13"/>
  <c r="F745" i="13"/>
  <c r="F771" i="13"/>
  <c r="F779" i="13" s="1"/>
  <c r="F791" i="13"/>
  <c r="F794" i="13"/>
  <c r="F729" i="13"/>
  <c r="F758" i="13"/>
  <c r="F711" i="13"/>
  <c r="F725" i="13"/>
  <c r="F786" i="13"/>
  <c r="F803" i="13"/>
  <c r="F703" i="13"/>
  <c r="K397" i="17"/>
  <c r="G105" i="15" s="1"/>
  <c r="G108" i="15" s="1"/>
  <c r="N392" i="17"/>
  <c r="Q392" i="17"/>
  <c r="I724" i="1"/>
  <c r="N410" i="17"/>
  <c r="I761" i="1"/>
  <c r="H761" i="1"/>
  <c r="H775" i="1" s="1"/>
  <c r="H776" i="1" s="1"/>
  <c r="F766" i="13"/>
  <c r="H705" i="16"/>
  <c r="J440" i="17"/>
  <c r="M440" i="17" s="1"/>
  <c r="N430" i="17"/>
  <c r="F799" i="13"/>
  <c r="N146" i="14"/>
  <c r="P146" i="14" s="1"/>
  <c r="N147" i="14"/>
  <c r="R147" i="14" s="1"/>
  <c r="N148" i="14"/>
  <c r="P148" i="14" s="1"/>
  <c r="N137" i="14"/>
  <c r="N138" i="14"/>
  <c r="R138" i="14" s="1"/>
  <c r="N139" i="14"/>
  <c r="Q139" i="14" s="1"/>
  <c r="M143" i="14"/>
  <c r="O143" i="14"/>
  <c r="N143" i="14" s="1"/>
  <c r="M145" i="14"/>
  <c r="O145" i="14"/>
  <c r="N145" i="14" s="1"/>
  <c r="P145" i="14" s="1"/>
  <c r="O142" i="14"/>
  <c r="N142" i="14" s="1"/>
  <c r="P142" i="14" s="1"/>
  <c r="O144" i="14"/>
  <c r="N144" i="14" s="1"/>
  <c r="R137" i="14"/>
  <c r="P137" i="14"/>
  <c r="Q137" i="14"/>
  <c r="S137" i="14" s="1"/>
  <c r="O133" i="14"/>
  <c r="N133" i="14" s="1"/>
  <c r="M133" i="14"/>
  <c r="O135" i="14"/>
  <c r="N135" i="14" s="1"/>
  <c r="M135" i="14"/>
  <c r="M137" i="14"/>
  <c r="M138" i="14"/>
  <c r="M139" i="14"/>
  <c r="L141" i="14"/>
  <c r="K141" i="14" s="1"/>
  <c r="C141" i="14"/>
  <c r="R142" i="14"/>
  <c r="R143" i="14"/>
  <c r="P143" i="14"/>
  <c r="R144" i="14"/>
  <c r="P144" i="14"/>
  <c r="Q148" i="14"/>
  <c r="O134" i="14"/>
  <c r="N134" i="14" s="1"/>
  <c r="M134" i="14"/>
  <c r="L136" i="14"/>
  <c r="K136" i="14" s="1"/>
  <c r="C136" i="14"/>
  <c r="O140" i="14"/>
  <c r="N140" i="14" s="1"/>
  <c r="M140" i="14"/>
  <c r="Q143" i="14"/>
  <c r="Q144" i="14"/>
  <c r="M146" i="14"/>
  <c r="M147" i="14"/>
  <c r="M148" i="14"/>
  <c r="F646" i="16"/>
  <c r="F634" i="16"/>
  <c r="E648" i="16"/>
  <c r="I642" i="16"/>
  <c r="I646" i="16" s="1"/>
  <c r="I649" i="16"/>
  <c r="I678" i="16" s="1"/>
  <c r="F641" i="16"/>
  <c r="I635" i="16"/>
  <c r="I641" i="16" s="1"/>
  <c r="H678" i="16"/>
  <c r="E708" i="16"/>
  <c r="I680" i="16"/>
  <c r="I705" i="16" s="1"/>
  <c r="J112" i="15" s="1"/>
  <c r="J114" i="15" s="1"/>
  <c r="J115" i="15" s="1"/>
  <c r="I619" i="16"/>
  <c r="I634" i="16" s="1"/>
  <c r="M442" i="17"/>
  <c r="N442" i="17"/>
  <c r="Q442" i="17"/>
  <c r="J436" i="17"/>
  <c r="M436" i="17" s="1"/>
  <c r="N419" i="17"/>
  <c r="N424" i="17"/>
  <c r="K448" i="17"/>
  <c r="K449" i="17" s="1"/>
  <c r="G112" i="15" s="1"/>
  <c r="G114" i="15" s="1"/>
  <c r="P448" i="17"/>
  <c r="P449" i="17" s="1"/>
  <c r="J422" i="17"/>
  <c r="N422" i="17" s="1"/>
  <c r="P405" i="17"/>
  <c r="J394" i="17"/>
  <c r="M394" i="17" s="1"/>
  <c r="Q395" i="17"/>
  <c r="J395" i="17"/>
  <c r="M395" i="17" s="1"/>
  <c r="F397" i="17"/>
  <c r="L397" i="17"/>
  <c r="Q400" i="17"/>
  <c r="J400" i="17"/>
  <c r="M400" i="17" s="1"/>
  <c r="Q404" i="17"/>
  <c r="J404" i="17"/>
  <c r="M404" i="17" s="1"/>
  <c r="F415" i="17"/>
  <c r="I415" i="17" s="1"/>
  <c r="I414" i="17"/>
  <c r="N411" i="17"/>
  <c r="G450" i="17"/>
  <c r="P397" i="17"/>
  <c r="P406" i="17" s="1"/>
  <c r="Q393" i="17"/>
  <c r="J393" i="17"/>
  <c r="M393" i="17" s="1"/>
  <c r="N395" i="17"/>
  <c r="F405" i="17"/>
  <c r="I405" i="17" s="1"/>
  <c r="Q398" i="17"/>
  <c r="J398" i="17"/>
  <c r="K405" i="17"/>
  <c r="K406" i="17" s="1"/>
  <c r="Q402" i="17"/>
  <c r="J402" i="17"/>
  <c r="M402" i="17" s="1"/>
  <c r="N404" i="17"/>
  <c r="L415" i="17"/>
  <c r="Q411" i="17"/>
  <c r="Q414" i="17" s="1"/>
  <c r="Q415" i="17" s="1"/>
  <c r="H109" i="15" s="1"/>
  <c r="H111" i="15" s="1"/>
  <c r="K414" i="17"/>
  <c r="K415" i="17" s="1"/>
  <c r="G109" i="15" s="1"/>
  <c r="G111" i="15" s="1"/>
  <c r="Q422" i="17"/>
  <c r="Q425" i="17"/>
  <c r="J425" i="17"/>
  <c r="M425" i="17" s="1"/>
  <c r="Q429" i="17"/>
  <c r="Q433" i="17"/>
  <c r="J433" i="17"/>
  <c r="M433" i="17" s="1"/>
  <c r="Q437" i="17"/>
  <c r="J437" i="17"/>
  <c r="M437" i="17" s="1"/>
  <c r="Q441" i="17"/>
  <c r="J441" i="17"/>
  <c r="M441" i="17" s="1"/>
  <c r="Q445" i="17"/>
  <c r="J445" i="17"/>
  <c r="M445" i="17" s="1"/>
  <c r="D450" i="17"/>
  <c r="N398" i="17"/>
  <c r="J407" i="17"/>
  <c r="N407" i="17"/>
  <c r="J409" i="17"/>
  <c r="M409" i="17" s="1"/>
  <c r="J412" i="17"/>
  <c r="M412" i="17" s="1"/>
  <c r="F448" i="17"/>
  <c r="J416" i="17"/>
  <c r="N416" i="17"/>
  <c r="Q416" i="17"/>
  <c r="J418" i="17"/>
  <c r="M418" i="17" s="1"/>
  <c r="Q421" i="17"/>
  <c r="J421" i="17"/>
  <c r="M421" i="17" s="1"/>
  <c r="Q423" i="17"/>
  <c r="J423" i="17"/>
  <c r="M423" i="17" s="1"/>
  <c r="Q427" i="17"/>
  <c r="J427" i="17"/>
  <c r="M427" i="17" s="1"/>
  <c r="Q431" i="17"/>
  <c r="J431" i="17"/>
  <c r="M431" i="17" s="1"/>
  <c r="Q435" i="17"/>
  <c r="J435" i="17"/>
  <c r="M435" i="17" s="1"/>
  <c r="N437" i="17"/>
  <c r="Q439" i="17"/>
  <c r="J439" i="17"/>
  <c r="M439" i="17" s="1"/>
  <c r="Q443" i="17"/>
  <c r="J443" i="17"/>
  <c r="M443" i="17" s="1"/>
  <c r="N445" i="17"/>
  <c r="Q447" i="17"/>
  <c r="J447" i="17"/>
  <c r="M447" i="17" s="1"/>
  <c r="H450" i="17"/>
  <c r="I760" i="13"/>
  <c r="I766" i="13" s="1"/>
  <c r="I768" i="13"/>
  <c r="I771" i="13" s="1"/>
  <c r="I783" i="13"/>
  <c r="I786" i="13" s="1"/>
  <c r="I801" i="13"/>
  <c r="I803" i="13" s="1"/>
  <c r="I699" i="13"/>
  <c r="I703" i="13" s="1"/>
  <c r="I704" i="13"/>
  <c r="I711" i="13" s="1"/>
  <c r="I712" i="13"/>
  <c r="I719" i="13" s="1"/>
  <c r="I720" i="13"/>
  <c r="I725" i="13" s="1"/>
  <c r="I726" i="13"/>
  <c r="I729" i="13" s="1"/>
  <c r="I731" i="13"/>
  <c r="I735" i="13" s="1"/>
  <c r="I736" i="13"/>
  <c r="I745" i="13" s="1"/>
  <c r="I748" i="13"/>
  <c r="I758" i="13" s="1"/>
  <c r="I772" i="13"/>
  <c r="I778" i="13" s="1"/>
  <c r="I787" i="13"/>
  <c r="I791" i="13" s="1"/>
  <c r="I792" i="13"/>
  <c r="I794" i="13" s="1"/>
  <c r="I795" i="13"/>
  <c r="I799" i="13" s="1"/>
  <c r="H802" i="1"/>
  <c r="H803" i="1" s="1"/>
  <c r="H724" i="1"/>
  <c r="H741" i="1" s="1"/>
  <c r="G697" i="1"/>
  <c r="J697" i="1" s="1"/>
  <c r="G713" i="1"/>
  <c r="J713" i="1" s="1"/>
  <c r="G723" i="1"/>
  <c r="J723" i="1" s="1"/>
  <c r="G739" i="1"/>
  <c r="G752" i="1"/>
  <c r="J765" i="1"/>
  <c r="G794" i="1"/>
  <c r="J794" i="1" s="1"/>
  <c r="J789" i="1"/>
  <c r="G801" i="1"/>
  <c r="J801" i="1" s="1"/>
  <c r="E724" i="1"/>
  <c r="G729" i="1"/>
  <c r="J725" i="1"/>
  <c r="I740" i="1"/>
  <c r="I741" i="1" s="1"/>
  <c r="G760" i="1"/>
  <c r="J760" i="1" s="1"/>
  <c r="G772" i="1"/>
  <c r="J772" i="1" s="1"/>
  <c r="J766" i="1"/>
  <c r="E802" i="1"/>
  <c r="E803" i="1" s="1"/>
  <c r="C112" i="15" s="1"/>
  <c r="C114" i="15" s="1"/>
  <c r="G785" i="1"/>
  <c r="J785" i="1" s="1"/>
  <c r="J795" i="1"/>
  <c r="G798" i="1"/>
  <c r="J798" i="1" s="1"/>
  <c r="G780" i="1"/>
  <c r="I802" i="1"/>
  <c r="I803" i="1" s="1"/>
  <c r="G788" i="1"/>
  <c r="J788" i="1" s="1"/>
  <c r="D163" i="14"/>
  <c r="D164" i="14"/>
  <c r="R146" i="14" l="1"/>
  <c r="P138" i="14"/>
  <c r="P139" i="14"/>
  <c r="R145" i="14"/>
  <c r="R139" i="14"/>
  <c r="S139" i="14" s="1"/>
  <c r="T139" i="14" s="1"/>
  <c r="S143" i="14"/>
  <c r="T143" i="14" s="1"/>
  <c r="F807" i="13"/>
  <c r="F808" i="13" s="1"/>
  <c r="F746" i="13"/>
  <c r="E741" i="1"/>
  <c r="C105" i="15"/>
  <c r="C108" i="15" s="1"/>
  <c r="C115" i="15" s="1"/>
  <c r="G724" i="1"/>
  <c r="F767" i="13"/>
  <c r="F781" i="13" s="1"/>
  <c r="F782" i="13" s="1"/>
  <c r="I775" i="1"/>
  <c r="I776" i="1" s="1"/>
  <c r="I767" i="13"/>
  <c r="I746" i="13"/>
  <c r="F730" i="13"/>
  <c r="F747" i="13" s="1"/>
  <c r="F809" i="13" s="1"/>
  <c r="N394" i="17"/>
  <c r="Q397" i="17"/>
  <c r="H105" i="15" s="1"/>
  <c r="H108" i="15" s="1"/>
  <c r="P450" i="17"/>
  <c r="G115" i="15"/>
  <c r="R148" i="14"/>
  <c r="S148" i="14" s="1"/>
  <c r="T148" i="14" s="1"/>
  <c r="Q146" i="14"/>
  <c r="S146" i="14" s="1"/>
  <c r="P147" i="14"/>
  <c r="N440" i="17"/>
  <c r="K450" i="17"/>
  <c r="Q145" i="14"/>
  <c r="Q147" i="14"/>
  <c r="S147" i="14" s="1"/>
  <c r="T137" i="14"/>
  <c r="Q138" i="14"/>
  <c r="S138" i="14" s="1"/>
  <c r="T138" i="14" s="1"/>
  <c r="T146" i="14"/>
  <c r="S144" i="14"/>
  <c r="T144" i="14" s="1"/>
  <c r="Q142" i="14"/>
  <c r="S142" i="14" s="1"/>
  <c r="T142" i="14" s="1"/>
  <c r="Q140" i="14"/>
  <c r="P140" i="14"/>
  <c r="R140" i="14"/>
  <c r="O136" i="14"/>
  <c r="N136" i="14" s="1"/>
  <c r="M136" i="14"/>
  <c r="Q134" i="14"/>
  <c r="P134" i="14"/>
  <c r="R134" i="14"/>
  <c r="Q135" i="14"/>
  <c r="R135" i="14"/>
  <c r="P135" i="14"/>
  <c r="Q133" i="14"/>
  <c r="R133" i="14"/>
  <c r="P133" i="14"/>
  <c r="M141" i="14"/>
  <c r="O141" i="14"/>
  <c r="N141" i="14" s="1"/>
  <c r="F648" i="16"/>
  <c r="F708" i="16" s="1"/>
  <c r="I648" i="16"/>
  <c r="I708" i="16" s="1"/>
  <c r="N436" i="17"/>
  <c r="J397" i="17"/>
  <c r="M397" i="17" s="1"/>
  <c r="M416" i="17"/>
  <c r="N447" i="17"/>
  <c r="N439" i="17"/>
  <c r="N431" i="17"/>
  <c r="N423" i="17"/>
  <c r="N421" i="17"/>
  <c r="Q405" i="17"/>
  <c r="Q406" i="17" s="1"/>
  <c r="N412" i="17"/>
  <c r="I397" i="17"/>
  <c r="F406" i="17"/>
  <c r="I406" i="17" s="1"/>
  <c r="N441" i="17"/>
  <c r="N433" i="17"/>
  <c r="N425" i="17"/>
  <c r="Q448" i="17"/>
  <c r="Q449" i="17" s="1"/>
  <c r="H112" i="15" s="1"/>
  <c r="H114" i="15" s="1"/>
  <c r="H115" i="15" s="1"/>
  <c r="F449" i="17"/>
  <c r="I448" i="17"/>
  <c r="J414" i="17"/>
  <c r="M407" i="17"/>
  <c r="N443" i="17"/>
  <c r="N435" i="17"/>
  <c r="N427" i="17"/>
  <c r="N418" i="17"/>
  <c r="N400" i="17"/>
  <c r="J405" i="17"/>
  <c r="M398" i="17"/>
  <c r="N409" i="17"/>
  <c r="N402" i="17"/>
  <c r="L406" i="17"/>
  <c r="N393" i="17"/>
  <c r="I779" i="13"/>
  <c r="I730" i="13"/>
  <c r="I807" i="13"/>
  <c r="I808" i="13" s="1"/>
  <c r="I804" i="1"/>
  <c r="H804" i="1"/>
  <c r="G802" i="1"/>
  <c r="J780" i="1"/>
  <c r="G740" i="1"/>
  <c r="J729" i="1"/>
  <c r="J752" i="1"/>
  <c r="G761" i="1"/>
  <c r="J724" i="1"/>
  <c r="E804" i="1"/>
  <c r="G773" i="1"/>
  <c r="J773" i="1" s="1"/>
  <c r="D159" i="14"/>
  <c r="F589" i="16"/>
  <c r="I589" i="16" s="1"/>
  <c r="H589" i="16"/>
  <c r="S145" i="14" l="1"/>
  <c r="T145" i="14" s="1"/>
  <c r="S133" i="14"/>
  <c r="T133" i="14" s="1"/>
  <c r="G741" i="1"/>
  <c r="I781" i="13"/>
  <c r="I782" i="13" s="1"/>
  <c r="I747" i="13"/>
  <c r="J406" i="17"/>
  <c r="M406" i="17" s="1"/>
  <c r="N397" i="17"/>
  <c r="T147" i="14"/>
  <c r="S134" i="14"/>
  <c r="T134" i="14" s="1"/>
  <c r="R136" i="14"/>
  <c r="P136" i="14"/>
  <c r="Q136" i="14"/>
  <c r="R141" i="14"/>
  <c r="P141" i="14"/>
  <c r="Q141" i="14"/>
  <c r="S135" i="14"/>
  <c r="T135" i="14" s="1"/>
  <c r="S140" i="14"/>
  <c r="T140" i="14" s="1"/>
  <c r="M414" i="17"/>
  <c r="N414" i="17"/>
  <c r="J415" i="17"/>
  <c r="F450" i="17"/>
  <c r="I450" i="17" s="1"/>
  <c r="I449" i="17"/>
  <c r="N406" i="17"/>
  <c r="M405" i="17"/>
  <c r="N405" i="17"/>
  <c r="Q450" i="17"/>
  <c r="J741" i="1"/>
  <c r="G803" i="1"/>
  <c r="J802" i="1"/>
  <c r="J803" i="1" s="1"/>
  <c r="G775" i="1"/>
  <c r="J761" i="1"/>
  <c r="J739" i="1"/>
  <c r="J740" i="1"/>
  <c r="L171" i="14"/>
  <c r="K171" i="14" s="1"/>
  <c r="O171" i="14" s="1"/>
  <c r="G171" i="14"/>
  <c r="C171" i="14"/>
  <c r="L170" i="14"/>
  <c r="K170" i="14" s="1"/>
  <c r="O170" i="14" s="1"/>
  <c r="G170" i="14"/>
  <c r="C170" i="14"/>
  <c r="L169" i="14"/>
  <c r="K169" i="14" s="1"/>
  <c r="G169" i="14"/>
  <c r="C169" i="14"/>
  <c r="L168" i="14"/>
  <c r="K168" i="14" s="1"/>
  <c r="M168" i="14" s="1"/>
  <c r="G168" i="14"/>
  <c r="C168" i="14"/>
  <c r="L167" i="14"/>
  <c r="K167" i="14" s="1"/>
  <c r="O167" i="14" s="1"/>
  <c r="G167" i="14"/>
  <c r="C167" i="14"/>
  <c r="L166" i="14"/>
  <c r="K166" i="14" s="1"/>
  <c r="O166" i="14" s="1"/>
  <c r="G166" i="14"/>
  <c r="C166" i="14"/>
  <c r="L165" i="14"/>
  <c r="K165" i="14" s="1"/>
  <c r="G165" i="14"/>
  <c r="C165" i="14"/>
  <c r="G164" i="14"/>
  <c r="C164" i="14"/>
  <c r="L163" i="14"/>
  <c r="K163" i="14" s="1"/>
  <c r="G163" i="14"/>
  <c r="C163" i="14"/>
  <c r="L162" i="14"/>
  <c r="K162" i="14" s="1"/>
  <c r="O162" i="14" s="1"/>
  <c r="G162" i="14"/>
  <c r="C162" i="14"/>
  <c r="L161" i="14"/>
  <c r="K161" i="14" s="1"/>
  <c r="O161" i="14" s="1"/>
  <c r="G161" i="14"/>
  <c r="C161" i="14"/>
  <c r="L160" i="14"/>
  <c r="K160" i="14" s="1"/>
  <c r="O160" i="14" s="1"/>
  <c r="G160" i="14"/>
  <c r="C160" i="14"/>
  <c r="L159" i="14"/>
  <c r="K159" i="14" s="1"/>
  <c r="O159" i="14" s="1"/>
  <c r="G159" i="14"/>
  <c r="C159" i="14"/>
  <c r="L158" i="14"/>
  <c r="K158" i="14" s="1"/>
  <c r="O158" i="14" s="1"/>
  <c r="G158" i="14"/>
  <c r="C158" i="14"/>
  <c r="L157" i="14"/>
  <c r="K157" i="14" s="1"/>
  <c r="O157" i="14" s="1"/>
  <c r="G157" i="14"/>
  <c r="C157" i="14"/>
  <c r="L156" i="14"/>
  <c r="K156" i="14" s="1"/>
  <c r="G156" i="14"/>
  <c r="C156" i="14"/>
  <c r="H94" i="15"/>
  <c r="H96" i="15" s="1"/>
  <c r="G94" i="15"/>
  <c r="E98" i="15"/>
  <c r="E95" i="15"/>
  <c r="G96" i="15"/>
  <c r="E92" i="15"/>
  <c r="H612" i="16"/>
  <c r="F612" i="16"/>
  <c r="I612" i="16" s="1"/>
  <c r="I613" i="16" s="1"/>
  <c r="E611" i="16"/>
  <c r="H610" i="16"/>
  <c r="H609" i="16"/>
  <c r="H608" i="16"/>
  <c r="I608" i="16" s="1"/>
  <c r="H607" i="16"/>
  <c r="H606" i="16"/>
  <c r="H605" i="16"/>
  <c r="H604" i="16"/>
  <c r="H603" i="16"/>
  <c r="H602" i="16"/>
  <c r="H601" i="16"/>
  <c r="H600" i="16"/>
  <c r="H599" i="16"/>
  <c r="H598" i="16"/>
  <c r="H597" i="16"/>
  <c r="H596" i="16"/>
  <c r="H595" i="16"/>
  <c r="H594" i="16"/>
  <c r="H593" i="16"/>
  <c r="H592" i="16"/>
  <c r="H591" i="16"/>
  <c r="H590" i="16"/>
  <c r="H588" i="16"/>
  <c r="H587" i="16"/>
  <c r="H586" i="16"/>
  <c r="H585" i="16"/>
  <c r="E584" i="16"/>
  <c r="H583" i="16"/>
  <c r="H582" i="16"/>
  <c r="H581" i="16"/>
  <c r="H580" i="16"/>
  <c r="H579" i="16"/>
  <c r="H578" i="16"/>
  <c r="H577" i="16"/>
  <c r="H576" i="16"/>
  <c r="H575" i="16"/>
  <c r="H574" i="16"/>
  <c r="H573" i="16"/>
  <c r="H572" i="16"/>
  <c r="H571" i="16"/>
  <c r="H570" i="16"/>
  <c r="H569" i="16"/>
  <c r="H568" i="16"/>
  <c r="H567" i="16"/>
  <c r="H566" i="16"/>
  <c r="H565" i="16"/>
  <c r="H564" i="16"/>
  <c r="H563" i="16"/>
  <c r="H562" i="16"/>
  <c r="H561" i="16"/>
  <c r="H560" i="16"/>
  <c r="H559" i="16"/>
  <c r="H558" i="16"/>
  <c r="H557" i="16"/>
  <c r="H556" i="16"/>
  <c r="H555" i="16"/>
  <c r="E552" i="16"/>
  <c r="H551" i="16"/>
  <c r="H550" i="16"/>
  <c r="H549" i="16"/>
  <c r="H548" i="16"/>
  <c r="E547" i="16"/>
  <c r="H546" i="16"/>
  <c r="H545" i="16"/>
  <c r="H544" i="16"/>
  <c r="H543" i="16"/>
  <c r="H542" i="16"/>
  <c r="H541" i="16"/>
  <c r="E540" i="16"/>
  <c r="H539" i="16"/>
  <c r="H538" i="16"/>
  <c r="H537" i="16"/>
  <c r="H536" i="16"/>
  <c r="H535" i="16"/>
  <c r="H534" i="16"/>
  <c r="H533" i="16"/>
  <c r="H532" i="16"/>
  <c r="H531" i="16"/>
  <c r="H530" i="16"/>
  <c r="H529" i="16"/>
  <c r="H528" i="16"/>
  <c r="H527" i="16"/>
  <c r="H526" i="16"/>
  <c r="H525" i="16"/>
  <c r="E387" i="17"/>
  <c r="E386" i="17"/>
  <c r="G385" i="17"/>
  <c r="G386" i="17" s="1"/>
  <c r="D385" i="17"/>
  <c r="D386" i="17" s="1"/>
  <c r="P384" i="17"/>
  <c r="L384" i="17"/>
  <c r="K384" i="17"/>
  <c r="I384" i="17"/>
  <c r="F384" i="17"/>
  <c r="Q383" i="17"/>
  <c r="P383" i="17"/>
  <c r="L383" i="17"/>
  <c r="N383" i="17" s="1"/>
  <c r="K383" i="17"/>
  <c r="J383" i="17"/>
  <c r="M383" i="17" s="1"/>
  <c r="F383" i="17"/>
  <c r="I383" i="17" s="1"/>
  <c r="P382" i="17"/>
  <c r="L382" i="17"/>
  <c r="K382" i="17"/>
  <c r="I382" i="17"/>
  <c r="F382" i="17"/>
  <c r="Q381" i="17"/>
  <c r="P381" i="17"/>
  <c r="N381" i="17"/>
  <c r="L381" i="17"/>
  <c r="K381" i="17"/>
  <c r="J381" i="17"/>
  <c r="M381" i="17" s="1"/>
  <c r="F381" i="17"/>
  <c r="I381" i="17" s="1"/>
  <c r="P380" i="17"/>
  <c r="L380" i="17"/>
  <c r="K380" i="17"/>
  <c r="I380" i="17"/>
  <c r="F380" i="17"/>
  <c r="Q379" i="17"/>
  <c r="P379" i="17"/>
  <c r="L379" i="17"/>
  <c r="N379" i="17" s="1"/>
  <c r="K379" i="17"/>
  <c r="J379" i="17"/>
  <c r="M379" i="17" s="1"/>
  <c r="F379" i="17"/>
  <c r="I379" i="17" s="1"/>
  <c r="P378" i="17"/>
  <c r="L378" i="17"/>
  <c r="K378" i="17"/>
  <c r="I378" i="17"/>
  <c r="F378" i="17"/>
  <c r="L377" i="17"/>
  <c r="P377" i="17"/>
  <c r="F377" i="17"/>
  <c r="I377" i="17" s="1"/>
  <c r="P376" i="17"/>
  <c r="L376" i="17"/>
  <c r="K376" i="17"/>
  <c r="I376" i="17"/>
  <c r="F376" i="17"/>
  <c r="Q375" i="17"/>
  <c r="P375" i="17"/>
  <c r="L375" i="17"/>
  <c r="N375" i="17" s="1"/>
  <c r="K375" i="17"/>
  <c r="J375" i="17"/>
  <c r="M375" i="17" s="1"/>
  <c r="F375" i="17"/>
  <c r="I375" i="17" s="1"/>
  <c r="P374" i="17"/>
  <c r="L374" i="17"/>
  <c r="K374" i="17"/>
  <c r="I374" i="17"/>
  <c r="F374" i="17"/>
  <c r="L373" i="17"/>
  <c r="P373" i="17"/>
  <c r="F373" i="17"/>
  <c r="I373" i="17" s="1"/>
  <c r="P372" i="17"/>
  <c r="L372" i="17"/>
  <c r="K372" i="17"/>
  <c r="F372" i="17"/>
  <c r="I372" i="17" s="1"/>
  <c r="P371" i="17"/>
  <c r="L371" i="17"/>
  <c r="K371" i="17"/>
  <c r="Q371" i="17" s="1"/>
  <c r="F371" i="17"/>
  <c r="I371" i="17" s="1"/>
  <c r="P370" i="17"/>
  <c r="L370" i="17"/>
  <c r="K370" i="17"/>
  <c r="I370" i="17"/>
  <c r="F370" i="17"/>
  <c r="P369" i="17"/>
  <c r="L369" i="17"/>
  <c r="K369" i="17"/>
  <c r="J369" i="17" s="1"/>
  <c r="F369" i="17"/>
  <c r="I369" i="17" s="1"/>
  <c r="P368" i="17"/>
  <c r="L368" i="17"/>
  <c r="K368" i="17"/>
  <c r="I368" i="17"/>
  <c r="F368" i="17"/>
  <c r="P367" i="17"/>
  <c r="F367" i="17"/>
  <c r="I367" i="17" s="1"/>
  <c r="P366" i="17"/>
  <c r="L366" i="17"/>
  <c r="L429" i="17" s="1"/>
  <c r="K366" i="17"/>
  <c r="F366" i="17"/>
  <c r="I366" i="17" s="1"/>
  <c r="P365" i="17"/>
  <c r="L365" i="17"/>
  <c r="N365" i="17" s="1"/>
  <c r="K365" i="17"/>
  <c r="Q365" i="17" s="1"/>
  <c r="J365" i="17"/>
  <c r="M365" i="17" s="1"/>
  <c r="F365" i="17"/>
  <c r="I365" i="17" s="1"/>
  <c r="P364" i="17"/>
  <c r="L364" i="17"/>
  <c r="K364" i="17"/>
  <c r="I364" i="17"/>
  <c r="F364" i="17"/>
  <c r="Q363" i="17"/>
  <c r="P363" i="17"/>
  <c r="L363" i="17"/>
  <c r="K363" i="17"/>
  <c r="J363" i="17"/>
  <c r="M363" i="17" s="1"/>
  <c r="F363" i="17"/>
  <c r="I363" i="17" s="1"/>
  <c r="P362" i="17"/>
  <c r="L362" i="17"/>
  <c r="K362" i="17"/>
  <c r="F362" i="17"/>
  <c r="I362" i="17" s="1"/>
  <c r="P361" i="17"/>
  <c r="L361" i="17"/>
  <c r="N361" i="17" s="1"/>
  <c r="K361" i="17"/>
  <c r="Q361" i="17" s="1"/>
  <c r="J361" i="17"/>
  <c r="M361" i="17" s="1"/>
  <c r="F361" i="17"/>
  <c r="I361" i="17" s="1"/>
  <c r="P360" i="17"/>
  <c r="L360" i="17"/>
  <c r="K360" i="17"/>
  <c r="Q360" i="17" s="1"/>
  <c r="F360" i="17"/>
  <c r="I360" i="17" s="1"/>
  <c r="P359" i="17"/>
  <c r="L359" i="17"/>
  <c r="K359" i="17"/>
  <c r="Q359" i="17" s="1"/>
  <c r="J359" i="17"/>
  <c r="F359" i="17"/>
  <c r="Q358" i="17"/>
  <c r="P358" i="17"/>
  <c r="L358" i="17"/>
  <c r="K358" i="17"/>
  <c r="J358" i="17"/>
  <c r="M358" i="17" s="1"/>
  <c r="F358" i="17"/>
  <c r="I358" i="17" s="1"/>
  <c r="P357" i="17"/>
  <c r="L357" i="17"/>
  <c r="K357" i="17"/>
  <c r="Q357" i="17" s="1"/>
  <c r="F357" i="17"/>
  <c r="I357" i="17" s="1"/>
  <c r="P356" i="17"/>
  <c r="L356" i="17"/>
  <c r="K356" i="17"/>
  <c r="Q356" i="17" s="1"/>
  <c r="F356" i="17"/>
  <c r="I356" i="17" s="1"/>
  <c r="P355" i="17"/>
  <c r="L355" i="17"/>
  <c r="K355" i="17"/>
  <c r="Q355" i="17" s="1"/>
  <c r="I355" i="17"/>
  <c r="F355" i="17"/>
  <c r="Q354" i="17"/>
  <c r="P354" i="17"/>
  <c r="L354" i="17"/>
  <c r="N354" i="17" s="1"/>
  <c r="K354" i="17"/>
  <c r="J354" i="17"/>
  <c r="M354" i="17" s="1"/>
  <c r="F354" i="17"/>
  <c r="I354" i="17" s="1"/>
  <c r="P353" i="17"/>
  <c r="L353" i="17"/>
  <c r="K353" i="17"/>
  <c r="I353" i="17"/>
  <c r="F353" i="17"/>
  <c r="H352" i="17"/>
  <c r="E352" i="17"/>
  <c r="D352" i="17"/>
  <c r="H351" i="17"/>
  <c r="G351" i="17"/>
  <c r="G352" i="17" s="1"/>
  <c r="Q350" i="17"/>
  <c r="P350" i="17"/>
  <c r="L350" i="17"/>
  <c r="N350" i="17" s="1"/>
  <c r="K350" i="17"/>
  <c r="J350" i="17"/>
  <c r="M350" i="17" s="1"/>
  <c r="F350" i="17"/>
  <c r="I350" i="17" s="1"/>
  <c r="P349" i="17"/>
  <c r="L349" i="17"/>
  <c r="K349" i="17"/>
  <c r="Q349" i="17" s="1"/>
  <c r="I349" i="17"/>
  <c r="F349" i="17"/>
  <c r="P348" i="17"/>
  <c r="L348" i="17"/>
  <c r="K348" i="17"/>
  <c r="I348" i="17"/>
  <c r="F348" i="17"/>
  <c r="Q347" i="17"/>
  <c r="P347" i="17"/>
  <c r="L347" i="17"/>
  <c r="N347" i="17" s="1"/>
  <c r="K347" i="17"/>
  <c r="J347" i="17"/>
  <c r="M347" i="17" s="1"/>
  <c r="F347" i="17"/>
  <c r="I347" i="17" s="1"/>
  <c r="P346" i="17"/>
  <c r="L346" i="17"/>
  <c r="K346" i="17"/>
  <c r="I346" i="17"/>
  <c r="F346" i="17"/>
  <c r="Q345" i="17"/>
  <c r="P345" i="17"/>
  <c r="N345" i="17"/>
  <c r="L345" i="17"/>
  <c r="K345" i="17"/>
  <c r="J345" i="17"/>
  <c r="M345" i="17" s="1"/>
  <c r="F345" i="17"/>
  <c r="I345" i="17" s="1"/>
  <c r="P344" i="17"/>
  <c r="L344" i="17"/>
  <c r="K344" i="17"/>
  <c r="I344" i="17"/>
  <c r="F344" i="17"/>
  <c r="F351" i="17" s="1"/>
  <c r="E343" i="17"/>
  <c r="D343" i="17"/>
  <c r="H342" i="17"/>
  <c r="G342" i="17"/>
  <c r="D342" i="17"/>
  <c r="P341" i="17"/>
  <c r="L341" i="17"/>
  <c r="K341" i="17"/>
  <c r="I341" i="17"/>
  <c r="F341" i="17"/>
  <c r="Q340" i="17"/>
  <c r="P340" i="17"/>
  <c r="N340" i="17"/>
  <c r="L340" i="17"/>
  <c r="K340" i="17"/>
  <c r="J340" i="17"/>
  <c r="M340" i="17" s="1"/>
  <c r="F340" i="17"/>
  <c r="I340" i="17" s="1"/>
  <c r="P339" i="17"/>
  <c r="L339" i="17"/>
  <c r="K339" i="17"/>
  <c r="F339" i="17"/>
  <c r="I339" i="17" s="1"/>
  <c r="P338" i="17"/>
  <c r="L338" i="17"/>
  <c r="K338" i="17"/>
  <c r="Q338" i="17" s="1"/>
  <c r="F338" i="17"/>
  <c r="I338" i="17" s="1"/>
  <c r="P337" i="17"/>
  <c r="L337" i="17"/>
  <c r="K337" i="17"/>
  <c r="I337" i="17"/>
  <c r="F337" i="17"/>
  <c r="Q336" i="17"/>
  <c r="P336" i="17"/>
  <c r="N336" i="17"/>
  <c r="L336" i="17"/>
  <c r="K336" i="17"/>
  <c r="J336" i="17"/>
  <c r="M336" i="17" s="1"/>
  <c r="F336" i="17"/>
  <c r="I336" i="17" s="1"/>
  <c r="P335" i="17"/>
  <c r="L335" i="17"/>
  <c r="K335" i="17"/>
  <c r="I335" i="17"/>
  <c r="F335" i="17"/>
  <c r="H334" i="17"/>
  <c r="H343" i="17" s="1"/>
  <c r="G334" i="17"/>
  <c r="D334" i="17"/>
  <c r="Q333" i="17"/>
  <c r="P333" i="17"/>
  <c r="L333" i="17"/>
  <c r="N333" i="17" s="1"/>
  <c r="K333" i="17"/>
  <c r="J333" i="17"/>
  <c r="M333" i="17" s="1"/>
  <c r="F333" i="17"/>
  <c r="I333" i="17" s="1"/>
  <c r="P332" i="17"/>
  <c r="L332" i="17"/>
  <c r="K332" i="17"/>
  <c r="F332" i="17"/>
  <c r="I332" i="17" s="1"/>
  <c r="P331" i="17"/>
  <c r="L331" i="17"/>
  <c r="K331" i="17"/>
  <c r="J331" i="17" s="1"/>
  <c r="F331" i="17"/>
  <c r="I331" i="17" s="1"/>
  <c r="P330" i="17"/>
  <c r="L330" i="17"/>
  <c r="K330" i="17"/>
  <c r="I330" i="17"/>
  <c r="F330" i="17"/>
  <c r="Q329" i="17"/>
  <c r="P329" i="17"/>
  <c r="P334" i="17" s="1"/>
  <c r="L329" i="17"/>
  <c r="L334" i="17" s="1"/>
  <c r="K329" i="17"/>
  <c r="J329" i="17"/>
  <c r="M329" i="17" s="1"/>
  <c r="F329" i="17"/>
  <c r="I329" i="17" s="1"/>
  <c r="F629" i="13"/>
  <c r="I629" i="13" s="1"/>
  <c r="F628" i="13"/>
  <c r="F627" i="13"/>
  <c r="I627" i="13" s="1"/>
  <c r="F626" i="13"/>
  <c r="I626" i="13" s="1"/>
  <c r="F625" i="13"/>
  <c r="I625" i="13" s="1"/>
  <c r="F624" i="13"/>
  <c r="I624" i="13" s="1"/>
  <c r="F623" i="13"/>
  <c r="I623" i="13" s="1"/>
  <c r="F622" i="13"/>
  <c r="I622" i="13" s="1"/>
  <c r="F621" i="13"/>
  <c r="I621" i="13" s="1"/>
  <c r="F619" i="13"/>
  <c r="I619" i="13" s="1"/>
  <c r="F618" i="13"/>
  <c r="I618" i="13" s="1"/>
  <c r="F617" i="13"/>
  <c r="I617" i="13" s="1"/>
  <c r="F616" i="13"/>
  <c r="F613" i="13"/>
  <c r="I613" i="13" s="1"/>
  <c r="F612" i="13"/>
  <c r="I612" i="13" s="1"/>
  <c r="F611" i="13"/>
  <c r="F609" i="13"/>
  <c r="I609" i="13" s="1"/>
  <c r="F606" i="13"/>
  <c r="I606" i="13" s="1"/>
  <c r="F605" i="13"/>
  <c r="F603" i="13"/>
  <c r="I603" i="13" s="1"/>
  <c r="F602" i="13"/>
  <c r="I602" i="13" s="1"/>
  <c r="F601" i="13"/>
  <c r="I601" i="13" s="1"/>
  <c r="F600" i="13"/>
  <c r="I600" i="13" s="1"/>
  <c r="F599" i="13"/>
  <c r="I599" i="13" s="1"/>
  <c r="F598" i="13"/>
  <c r="F597" i="13"/>
  <c r="F595" i="13"/>
  <c r="I595" i="13" s="1"/>
  <c r="F594" i="13"/>
  <c r="I594" i="13" s="1"/>
  <c r="F593" i="13"/>
  <c r="I593" i="13" s="1"/>
  <c r="F592" i="13"/>
  <c r="I592" i="13" s="1"/>
  <c r="F591" i="13"/>
  <c r="I591" i="13" s="1"/>
  <c r="F590" i="13"/>
  <c r="I590" i="13" s="1"/>
  <c r="F589" i="13"/>
  <c r="F587" i="13"/>
  <c r="I587" i="13" s="1"/>
  <c r="F586" i="13"/>
  <c r="I586" i="13" s="1"/>
  <c r="F585" i="13"/>
  <c r="I585" i="13" s="1"/>
  <c r="F584" i="13"/>
  <c r="F665" i="13"/>
  <c r="F662" i="13"/>
  <c r="F661" i="13"/>
  <c r="F660" i="13"/>
  <c r="F659" i="13"/>
  <c r="F658" i="13"/>
  <c r="F657" i="13"/>
  <c r="F655" i="13"/>
  <c r="I655" i="13" s="1"/>
  <c r="F654" i="13"/>
  <c r="F653" i="13"/>
  <c r="I653" i="13" s="1"/>
  <c r="F650" i="13"/>
  <c r="F649" i="13"/>
  <c r="I649" i="13" s="1"/>
  <c r="F648" i="13"/>
  <c r="I648" i="13" s="1"/>
  <c r="F647" i="13"/>
  <c r="I647" i="13" s="1"/>
  <c r="F646" i="13"/>
  <c r="I646" i="13" s="1"/>
  <c r="F645" i="13"/>
  <c r="F644" i="13"/>
  <c r="F642" i="13"/>
  <c r="F641" i="13"/>
  <c r="I641" i="13" s="1"/>
  <c r="F640" i="13"/>
  <c r="I640" i="13" s="1"/>
  <c r="F639" i="13"/>
  <c r="I639" i="13" s="1"/>
  <c r="F638" i="13"/>
  <c r="F637" i="13"/>
  <c r="I637" i="13" s="1"/>
  <c r="F636" i="13"/>
  <c r="I636" i="13" s="1"/>
  <c r="F635" i="13"/>
  <c r="I635" i="13" s="1"/>
  <c r="F634" i="13"/>
  <c r="I634" i="13" s="1"/>
  <c r="F633" i="13"/>
  <c r="F677" i="13"/>
  <c r="F690" i="13"/>
  <c r="F689" i="13"/>
  <c r="F687" i="13"/>
  <c r="I687" i="13" s="1"/>
  <c r="F686" i="13"/>
  <c r="F685" i="13"/>
  <c r="F691" i="13"/>
  <c r="F683" i="13"/>
  <c r="I683" i="13" s="1"/>
  <c r="F682" i="13"/>
  <c r="I682" i="13" s="1"/>
  <c r="F681" i="13"/>
  <c r="I681" i="13" s="1"/>
  <c r="F680" i="13"/>
  <c r="F678" i="13"/>
  <c r="I678" i="13" s="1"/>
  <c r="F675" i="13"/>
  <c r="I675" i="13" s="1"/>
  <c r="F674" i="13"/>
  <c r="I674" i="13" s="1"/>
  <c r="F673" i="13"/>
  <c r="I673" i="13" s="1"/>
  <c r="F672" i="13"/>
  <c r="F670" i="13"/>
  <c r="I670" i="13" s="1"/>
  <c r="F669" i="13"/>
  <c r="I669" i="13" s="1"/>
  <c r="F668" i="13"/>
  <c r="J691" i="13"/>
  <c r="I691" i="13"/>
  <c r="I685" i="13"/>
  <c r="I662" i="13"/>
  <c r="I661" i="13"/>
  <c r="I660" i="13"/>
  <c r="I659" i="13"/>
  <c r="I658" i="13"/>
  <c r="I650" i="13"/>
  <c r="I642" i="13"/>
  <c r="I638" i="13"/>
  <c r="F687" i="1"/>
  <c r="F688" i="1" s="1"/>
  <c r="I686" i="1"/>
  <c r="H686" i="1"/>
  <c r="E686" i="1"/>
  <c r="G685" i="1"/>
  <c r="J685" i="1" s="1"/>
  <c r="G684" i="1"/>
  <c r="J684" i="1" s="1"/>
  <c r="I683" i="1"/>
  <c r="H683" i="1"/>
  <c r="G682" i="1"/>
  <c r="J682" i="1" s="1"/>
  <c r="E682" i="1"/>
  <c r="G681" i="1"/>
  <c r="J681" i="1" s="1"/>
  <c r="E681" i="1"/>
  <c r="E683" i="1" s="1"/>
  <c r="G680" i="1"/>
  <c r="J680" i="1" s="1"/>
  <c r="I679" i="1"/>
  <c r="H679" i="1"/>
  <c r="G678" i="1"/>
  <c r="J678" i="1" s="1"/>
  <c r="G677" i="1"/>
  <c r="J677" i="1" s="1"/>
  <c r="G676" i="1"/>
  <c r="J676" i="1" s="1"/>
  <c r="E676" i="1"/>
  <c r="G675" i="1"/>
  <c r="J675" i="1" s="1"/>
  <c r="G674" i="1"/>
  <c r="E674" i="1"/>
  <c r="E673" i="1"/>
  <c r="I673" i="1"/>
  <c r="H673" i="1"/>
  <c r="G672" i="1"/>
  <c r="J672" i="1" s="1"/>
  <c r="G671" i="1"/>
  <c r="J671" i="1" s="1"/>
  <c r="I670" i="1"/>
  <c r="H670" i="1"/>
  <c r="E670" i="1"/>
  <c r="G669" i="1"/>
  <c r="J669" i="1" s="1"/>
  <c r="G668" i="1"/>
  <c r="J668" i="1" s="1"/>
  <c r="G667" i="1"/>
  <c r="J667" i="1" s="1"/>
  <c r="G666" i="1"/>
  <c r="J666" i="1" s="1"/>
  <c r="I665" i="1"/>
  <c r="E665" i="1"/>
  <c r="G664" i="1"/>
  <c r="J664" i="1" s="1"/>
  <c r="G662" i="1"/>
  <c r="J662" i="1" s="1"/>
  <c r="F660" i="1"/>
  <c r="F661" i="1" s="1"/>
  <c r="G659" i="1"/>
  <c r="J659" i="1" s="1"/>
  <c r="I657" i="1"/>
  <c r="H657" i="1"/>
  <c r="E657" i="1"/>
  <c r="G656" i="1"/>
  <c r="J656" i="1" s="1"/>
  <c r="J655" i="1"/>
  <c r="J654" i="1"/>
  <c r="G654" i="1"/>
  <c r="J653" i="1"/>
  <c r="G652" i="1"/>
  <c r="J652" i="1" s="1"/>
  <c r="G651" i="1"/>
  <c r="J651" i="1" s="1"/>
  <c r="I650" i="1"/>
  <c r="I658" i="1" s="1"/>
  <c r="H650" i="1"/>
  <c r="E650" i="1"/>
  <c r="G649" i="1"/>
  <c r="J649" i="1" s="1"/>
  <c r="G648" i="1"/>
  <c r="J648" i="1" s="1"/>
  <c r="G647" i="1"/>
  <c r="I645" i="1"/>
  <c r="H645" i="1"/>
  <c r="E645" i="1"/>
  <c r="J644" i="1"/>
  <c r="G644" i="1"/>
  <c r="J643" i="1"/>
  <c r="G642" i="1"/>
  <c r="J642" i="1" s="1"/>
  <c r="G641" i="1"/>
  <c r="J641" i="1" s="1"/>
  <c r="G640" i="1"/>
  <c r="J640" i="1" s="1"/>
  <c r="G639" i="1"/>
  <c r="J639" i="1" s="1"/>
  <c r="G638" i="1"/>
  <c r="E637" i="1"/>
  <c r="G636" i="1"/>
  <c r="J636" i="1" s="1"/>
  <c r="G635" i="1"/>
  <c r="J635" i="1" s="1"/>
  <c r="G634" i="1"/>
  <c r="J634" i="1" s="1"/>
  <c r="G633" i="1"/>
  <c r="J633" i="1" s="1"/>
  <c r="G632" i="1"/>
  <c r="J632" i="1" s="1"/>
  <c r="G631" i="1"/>
  <c r="J631" i="1" s="1"/>
  <c r="I637" i="1"/>
  <c r="I646" i="1" s="1"/>
  <c r="I660" i="1" s="1"/>
  <c r="I661" i="1" s="1"/>
  <c r="H637" i="1"/>
  <c r="G629" i="1"/>
  <c r="J629" i="1" s="1"/>
  <c r="G628" i="1"/>
  <c r="J628" i="1" s="1"/>
  <c r="G627" i="1"/>
  <c r="F625" i="1"/>
  <c r="I624" i="1"/>
  <c r="M624" i="1" s="1"/>
  <c r="H624" i="1"/>
  <c r="L624" i="1" s="1"/>
  <c r="E624" i="1"/>
  <c r="G623" i="1"/>
  <c r="J623" i="1" s="1"/>
  <c r="G622" i="1"/>
  <c r="J622" i="1" s="1"/>
  <c r="G621" i="1"/>
  <c r="J621" i="1" s="1"/>
  <c r="G620" i="1"/>
  <c r="J620" i="1" s="1"/>
  <c r="G619" i="1"/>
  <c r="J619" i="1" s="1"/>
  <c r="G618" i="1"/>
  <c r="J618" i="1" s="1"/>
  <c r="G617" i="1"/>
  <c r="J617" i="1" s="1"/>
  <c r="G616" i="1"/>
  <c r="J616" i="1" s="1"/>
  <c r="G615" i="1"/>
  <c r="J615" i="1" s="1"/>
  <c r="I614" i="1"/>
  <c r="I625" i="1" s="1"/>
  <c r="H614" i="1"/>
  <c r="H625" i="1" s="1"/>
  <c r="E614" i="1"/>
  <c r="E625" i="1" s="1"/>
  <c r="C91" i="15" s="1"/>
  <c r="G613" i="1"/>
  <c r="J613" i="1" s="1"/>
  <c r="G612" i="1"/>
  <c r="J612" i="1" s="1"/>
  <c r="G611" i="1"/>
  <c r="J611" i="1" s="1"/>
  <c r="G610" i="1"/>
  <c r="I608" i="1"/>
  <c r="H608" i="1"/>
  <c r="E608" i="1"/>
  <c r="G607" i="1"/>
  <c r="J607" i="1" s="1"/>
  <c r="G606" i="1"/>
  <c r="J606" i="1" s="1"/>
  <c r="G605" i="1"/>
  <c r="J605" i="1" s="1"/>
  <c r="I604" i="1"/>
  <c r="H604" i="1"/>
  <c r="F604" i="1"/>
  <c r="F609" i="1" s="1"/>
  <c r="F626" i="1" s="1"/>
  <c r="E604" i="1"/>
  <c r="G603" i="1"/>
  <c r="G600" i="1"/>
  <c r="J600" i="1" s="1"/>
  <c r="G599" i="1"/>
  <c r="J604" i="1" s="1"/>
  <c r="I598" i="1"/>
  <c r="H598" i="1"/>
  <c r="E598" i="1"/>
  <c r="G597" i="1"/>
  <c r="J597" i="1" s="1"/>
  <c r="G596" i="1"/>
  <c r="J596" i="1" s="1"/>
  <c r="G595" i="1"/>
  <c r="J595" i="1" s="1"/>
  <c r="G594" i="1"/>
  <c r="J594" i="1" s="1"/>
  <c r="G593" i="1"/>
  <c r="J593" i="1" s="1"/>
  <c r="G592" i="1"/>
  <c r="J592" i="1" s="1"/>
  <c r="G591" i="1"/>
  <c r="J591" i="1" s="1"/>
  <c r="I590" i="1"/>
  <c r="E590" i="1"/>
  <c r="G589" i="1"/>
  <c r="J589" i="1" s="1"/>
  <c r="G588" i="1"/>
  <c r="J588" i="1" s="1"/>
  <c r="G587" i="1"/>
  <c r="J587" i="1" s="1"/>
  <c r="G586" i="1"/>
  <c r="J586" i="1" s="1"/>
  <c r="H590" i="1"/>
  <c r="G585" i="1"/>
  <c r="J585" i="1" s="1"/>
  <c r="G584" i="1"/>
  <c r="J584" i="1" s="1"/>
  <c r="G583" i="1"/>
  <c r="I582" i="1"/>
  <c r="H582" i="1"/>
  <c r="E582" i="1"/>
  <c r="G581" i="1"/>
  <c r="J581" i="1" s="1"/>
  <c r="G580" i="1"/>
  <c r="J580" i="1" s="1"/>
  <c r="G579" i="1"/>
  <c r="J579" i="1" s="1"/>
  <c r="G578" i="1"/>
  <c r="S136" i="14" l="1"/>
  <c r="T136" i="14" s="1"/>
  <c r="S141" i="14"/>
  <c r="T141" i="14" s="1"/>
  <c r="L492" i="17"/>
  <c r="J429" i="17"/>
  <c r="L448" i="17"/>
  <c r="L449" i="17" s="1"/>
  <c r="N429" i="17"/>
  <c r="I809" i="13"/>
  <c r="F651" i="13"/>
  <c r="F663" i="13"/>
  <c r="F604" i="13"/>
  <c r="F620" i="13"/>
  <c r="I598" i="13"/>
  <c r="I645" i="13"/>
  <c r="F676" i="13"/>
  <c r="F614" i="13"/>
  <c r="G614" i="1"/>
  <c r="F689" i="1"/>
  <c r="G582" i="1"/>
  <c r="E609" i="1"/>
  <c r="H646" i="1"/>
  <c r="H660" i="1" s="1"/>
  <c r="H661" i="1" s="1"/>
  <c r="G645" i="1"/>
  <c r="J645" i="1" s="1"/>
  <c r="E646" i="1"/>
  <c r="E660" i="1" s="1"/>
  <c r="E661" i="1" s="1"/>
  <c r="C94" i="15" s="1"/>
  <c r="C96" i="15" s="1"/>
  <c r="H658" i="1"/>
  <c r="G657" i="1"/>
  <c r="J657" i="1" s="1"/>
  <c r="E658" i="1"/>
  <c r="E679" i="1"/>
  <c r="G590" i="1"/>
  <c r="J590" i="1" s="1"/>
  <c r="F684" i="13"/>
  <c r="M415" i="17"/>
  <c r="N415" i="17"/>
  <c r="G776" i="1"/>
  <c r="G804" i="1" s="1"/>
  <c r="J804" i="1" s="1"/>
  <c r="J775" i="1"/>
  <c r="J776" i="1" s="1"/>
  <c r="N157" i="14"/>
  <c r="F610" i="13"/>
  <c r="I609" i="1"/>
  <c r="I626" i="1" s="1"/>
  <c r="N171" i="14"/>
  <c r="Q171" i="14" s="1"/>
  <c r="H540" i="16"/>
  <c r="H584" i="16"/>
  <c r="H611" i="16"/>
  <c r="P385" i="17"/>
  <c r="P386" i="17" s="1"/>
  <c r="F679" i="13"/>
  <c r="F643" i="13"/>
  <c r="F652" i="13" s="1"/>
  <c r="N170" i="14"/>
  <c r="P170" i="14" s="1"/>
  <c r="N166" i="14"/>
  <c r="R166" i="14" s="1"/>
  <c r="N167" i="14"/>
  <c r="R167" i="14" s="1"/>
  <c r="N158" i="14"/>
  <c r="P158" i="14" s="1"/>
  <c r="N159" i="14"/>
  <c r="P159" i="14" s="1"/>
  <c r="N160" i="14"/>
  <c r="R160" i="14" s="1"/>
  <c r="N161" i="14"/>
  <c r="P161" i="14" s="1"/>
  <c r="N162" i="14"/>
  <c r="P162" i="14" s="1"/>
  <c r="O165" i="14"/>
  <c r="N165" i="14" s="1"/>
  <c r="M165" i="14"/>
  <c r="R157" i="14"/>
  <c r="P157" i="14"/>
  <c r="Q157" i="14"/>
  <c r="R158" i="14"/>
  <c r="Q158" i="14"/>
  <c r="Q161" i="14"/>
  <c r="P167" i="14"/>
  <c r="O169" i="14"/>
  <c r="N169" i="14" s="1"/>
  <c r="M169" i="14"/>
  <c r="O156" i="14"/>
  <c r="N156" i="14" s="1"/>
  <c r="M156" i="14"/>
  <c r="M157" i="14"/>
  <c r="M158" i="14"/>
  <c r="M159" i="14"/>
  <c r="M160" i="14"/>
  <c r="M161" i="14"/>
  <c r="M162" i="14"/>
  <c r="L164" i="14"/>
  <c r="K164" i="14" s="1"/>
  <c r="M166" i="14"/>
  <c r="M167" i="14"/>
  <c r="O168" i="14"/>
  <c r="N168" i="14" s="1"/>
  <c r="Q170" i="14"/>
  <c r="O163" i="14"/>
  <c r="N163" i="14" s="1"/>
  <c r="M163" i="14"/>
  <c r="M170" i="14"/>
  <c r="M171" i="14"/>
  <c r="E554" i="16"/>
  <c r="E614" i="16" s="1"/>
  <c r="H547" i="16"/>
  <c r="H552" i="16"/>
  <c r="M369" i="17"/>
  <c r="N369" i="17"/>
  <c r="Q369" i="17"/>
  <c r="J371" i="17"/>
  <c r="M371" i="17" s="1"/>
  <c r="N358" i="17"/>
  <c r="N359" i="17"/>
  <c r="N363" i="17"/>
  <c r="J356" i="17"/>
  <c r="M356" i="17" s="1"/>
  <c r="J360" i="17"/>
  <c r="M360" i="17" s="1"/>
  <c r="G343" i="17"/>
  <c r="F342" i="17"/>
  <c r="I342" i="17" s="1"/>
  <c r="P342" i="17"/>
  <c r="J338" i="17"/>
  <c r="M338" i="17" s="1"/>
  <c r="M331" i="17"/>
  <c r="N331" i="17"/>
  <c r="Q331" i="17"/>
  <c r="P343" i="17"/>
  <c r="Q330" i="17"/>
  <c r="J330" i="17"/>
  <c r="M330" i="17" s="1"/>
  <c r="Q335" i="17"/>
  <c r="J335" i="17"/>
  <c r="Q339" i="17"/>
  <c r="J339" i="17"/>
  <c r="M339" i="17" s="1"/>
  <c r="N341" i="17"/>
  <c r="F352" i="17"/>
  <c r="I352" i="17" s="1"/>
  <c r="I351" i="17"/>
  <c r="Q344" i="17"/>
  <c r="J344" i="17"/>
  <c r="K351" i="17"/>
  <c r="K352" i="17" s="1"/>
  <c r="J348" i="17"/>
  <c r="Q348" i="17"/>
  <c r="D387" i="17"/>
  <c r="K334" i="17"/>
  <c r="G90" i="15" s="1"/>
  <c r="N329" i="17"/>
  <c r="N330" i="17"/>
  <c r="Q332" i="17"/>
  <c r="J332" i="17"/>
  <c r="M332" i="17" s="1"/>
  <c r="F334" i="17"/>
  <c r="L342" i="17"/>
  <c r="Q337" i="17"/>
  <c r="J337" i="17"/>
  <c r="M337" i="17" s="1"/>
  <c r="Q341" i="17"/>
  <c r="J341" i="17"/>
  <c r="M341" i="17" s="1"/>
  <c r="K342" i="17"/>
  <c r="G91" i="15" s="1"/>
  <c r="L351" i="17"/>
  <c r="P351" i="17"/>
  <c r="P352" i="17" s="1"/>
  <c r="P387" i="17" s="1"/>
  <c r="Q346" i="17"/>
  <c r="J346" i="17"/>
  <c r="M346" i="17" s="1"/>
  <c r="G387" i="17"/>
  <c r="Q364" i="17"/>
  <c r="J364" i="17"/>
  <c r="M364" i="17" s="1"/>
  <c r="Q368" i="17"/>
  <c r="J368" i="17"/>
  <c r="M368" i="17" s="1"/>
  <c r="Q372" i="17"/>
  <c r="J372" i="17"/>
  <c r="M372" i="17" s="1"/>
  <c r="Q376" i="17"/>
  <c r="J376" i="17"/>
  <c r="M376" i="17" s="1"/>
  <c r="N378" i="17"/>
  <c r="Q380" i="17"/>
  <c r="J380" i="17"/>
  <c r="M380" i="17" s="1"/>
  <c r="Q384" i="17"/>
  <c r="J384" i="17"/>
  <c r="M384" i="17" s="1"/>
  <c r="N335" i="17"/>
  <c r="J349" i="17"/>
  <c r="M349" i="17" s="1"/>
  <c r="F385" i="17"/>
  <c r="J353" i="17"/>
  <c r="N353" i="17"/>
  <c r="Q353" i="17"/>
  <c r="J355" i="17"/>
  <c r="M355" i="17" s="1"/>
  <c r="J357" i="17"/>
  <c r="Q362" i="17"/>
  <c r="J362" i="17"/>
  <c r="M362" i="17" s="1"/>
  <c r="N364" i="17"/>
  <c r="Q366" i="17"/>
  <c r="J366" i="17"/>
  <c r="M366" i="17" s="1"/>
  <c r="H385" i="17"/>
  <c r="H386" i="17" s="1"/>
  <c r="H387" i="17" s="1"/>
  <c r="L367" i="17"/>
  <c r="N368" i="17"/>
  <c r="Q370" i="17"/>
  <c r="J370" i="17"/>
  <c r="M370" i="17" s="1"/>
  <c r="N372" i="17"/>
  <c r="Q374" i="17"/>
  <c r="J374" i="17"/>
  <c r="M374" i="17" s="1"/>
  <c r="N376" i="17"/>
  <c r="Q378" i="17"/>
  <c r="J378" i="17"/>
  <c r="M378" i="17" s="1"/>
  <c r="N380" i="17"/>
  <c r="Q382" i="17"/>
  <c r="J382" i="17"/>
  <c r="M382" i="17" s="1"/>
  <c r="N384" i="17"/>
  <c r="K367" i="17"/>
  <c r="K373" i="17"/>
  <c r="K377" i="17"/>
  <c r="F671" i="13"/>
  <c r="F630" i="13"/>
  <c r="F656" i="13"/>
  <c r="F664" i="13" s="1"/>
  <c r="F588" i="13"/>
  <c r="F596" i="13"/>
  <c r="F688" i="13"/>
  <c r="I628" i="13"/>
  <c r="I630" i="13" s="1"/>
  <c r="I633" i="13"/>
  <c r="I643" i="13" s="1"/>
  <c r="I644" i="13"/>
  <c r="I651" i="13" s="1"/>
  <c r="I654" i="13"/>
  <c r="I656" i="13" s="1"/>
  <c r="I657" i="13"/>
  <c r="I663" i="13" s="1"/>
  <c r="I668" i="13"/>
  <c r="I671" i="13" s="1"/>
  <c r="I686" i="13"/>
  <c r="I688" i="13" s="1"/>
  <c r="I584" i="13"/>
  <c r="I588" i="13" s="1"/>
  <c r="I589" i="13"/>
  <c r="I596" i="13" s="1"/>
  <c r="I597" i="13"/>
  <c r="I604" i="13" s="1"/>
  <c r="I605" i="13"/>
  <c r="I610" i="13" s="1"/>
  <c r="I611" i="13"/>
  <c r="I614" i="13" s="1"/>
  <c r="I616" i="13"/>
  <c r="I620" i="13" s="1"/>
  <c r="I665" i="13"/>
  <c r="I672" i="13"/>
  <c r="I676" i="13" s="1"/>
  <c r="I677" i="13"/>
  <c r="I679" i="13" s="1"/>
  <c r="I680" i="13"/>
  <c r="I684" i="13" s="1"/>
  <c r="J582" i="1"/>
  <c r="H609" i="1"/>
  <c r="H626" i="1" s="1"/>
  <c r="J614" i="1"/>
  <c r="G598" i="1"/>
  <c r="J598" i="1" s="1"/>
  <c r="J599" i="1"/>
  <c r="G608" i="1"/>
  <c r="J608" i="1" s="1"/>
  <c r="G624" i="1"/>
  <c r="G625" i="1" s="1"/>
  <c r="J627" i="1"/>
  <c r="G630" i="1"/>
  <c r="J630" i="1" s="1"/>
  <c r="J638" i="1"/>
  <c r="J583" i="1"/>
  <c r="J610" i="1"/>
  <c r="G650" i="1"/>
  <c r="G658" i="1" s="1"/>
  <c r="J658" i="1" s="1"/>
  <c r="J647" i="1"/>
  <c r="J650" i="1"/>
  <c r="G670" i="1"/>
  <c r="J670" i="1" s="1"/>
  <c r="G673" i="1"/>
  <c r="J673" i="1" s="1"/>
  <c r="G679" i="1"/>
  <c r="J679" i="1" s="1"/>
  <c r="J674" i="1"/>
  <c r="G686" i="1"/>
  <c r="J686" i="1" s="1"/>
  <c r="H665" i="1"/>
  <c r="H687" i="1" s="1"/>
  <c r="H688" i="1" s="1"/>
  <c r="G663" i="1"/>
  <c r="J663" i="1" s="1"/>
  <c r="E687" i="1"/>
  <c r="E688" i="1" s="1"/>
  <c r="I687" i="1"/>
  <c r="I688" i="1" s="1"/>
  <c r="I689" i="1" s="1"/>
  <c r="G683" i="1"/>
  <c r="J683" i="1" s="1"/>
  <c r="D186" i="14"/>
  <c r="C186" i="14" s="1"/>
  <c r="D187" i="14"/>
  <c r="C187" i="14" s="1"/>
  <c r="H187" i="14"/>
  <c r="H180" i="14"/>
  <c r="H472" i="1"/>
  <c r="D192" i="14"/>
  <c r="D191" i="14"/>
  <c r="I192" i="14"/>
  <c r="H192" i="14"/>
  <c r="I191" i="14"/>
  <c r="H191" i="14"/>
  <c r="J192" i="14"/>
  <c r="J191" i="14"/>
  <c r="H314" i="17"/>
  <c r="G314" i="17"/>
  <c r="H310" i="17"/>
  <c r="G310" i="17"/>
  <c r="H304" i="17"/>
  <c r="G304" i="17"/>
  <c r="I557" i="1"/>
  <c r="H557" i="1"/>
  <c r="I548" i="1"/>
  <c r="H548" i="1"/>
  <c r="E188" i="14"/>
  <c r="D188" i="14"/>
  <c r="J188" i="14"/>
  <c r="I515" i="1"/>
  <c r="H515" i="1"/>
  <c r="Q162" i="14" l="1"/>
  <c r="S162" i="14" s="1"/>
  <c r="T162" i="14" s="1"/>
  <c r="R162" i="14"/>
  <c r="P171" i="14"/>
  <c r="R171" i="14"/>
  <c r="S171" i="14" s="1"/>
  <c r="S157" i="14"/>
  <c r="T157" i="14" s="1"/>
  <c r="P166" i="14"/>
  <c r="P160" i="14"/>
  <c r="S158" i="14"/>
  <c r="T158" i="14" s="1"/>
  <c r="Q159" i="14"/>
  <c r="R170" i="14"/>
  <c r="S170" i="14" s="1"/>
  <c r="T170" i="14" s="1"/>
  <c r="R161" i="14"/>
  <c r="S161" i="14" s="1"/>
  <c r="T161" i="14" s="1"/>
  <c r="M429" i="17"/>
  <c r="J448" i="17"/>
  <c r="L450" i="17"/>
  <c r="L555" i="17"/>
  <c r="L511" i="17"/>
  <c r="L512" i="17" s="1"/>
  <c r="J492" i="17"/>
  <c r="N492" i="17" s="1"/>
  <c r="F631" i="13"/>
  <c r="C97" i="15"/>
  <c r="C99" i="15" s="1"/>
  <c r="E626" i="1"/>
  <c r="E689" i="1" s="1"/>
  <c r="C90" i="15"/>
  <c r="C93" i="15" s="1"/>
  <c r="C100" i="15" s="1"/>
  <c r="R159" i="14"/>
  <c r="G93" i="15"/>
  <c r="N339" i="17"/>
  <c r="F692" i="13"/>
  <c r="F693" i="13" s="1"/>
  <c r="F666" i="13"/>
  <c r="F667" i="13" s="1"/>
  <c r="Q166" i="14"/>
  <c r="S166" i="14" s="1"/>
  <c r="Q160" i="14"/>
  <c r="S160" i="14" s="1"/>
  <c r="Q167" i="14"/>
  <c r="S167" i="14" s="1"/>
  <c r="T167" i="14" s="1"/>
  <c r="Q163" i="14"/>
  <c r="P163" i="14"/>
  <c r="R163" i="14"/>
  <c r="O164" i="14"/>
  <c r="N164" i="14" s="1"/>
  <c r="M164" i="14"/>
  <c r="Q156" i="14"/>
  <c r="R156" i="14"/>
  <c r="P156" i="14"/>
  <c r="R169" i="14"/>
  <c r="P169" i="14"/>
  <c r="Q169" i="14"/>
  <c r="R168" i="14"/>
  <c r="P168" i="14"/>
  <c r="Q168" i="14"/>
  <c r="R165" i="14"/>
  <c r="P165" i="14"/>
  <c r="Q165" i="14"/>
  <c r="H554" i="16"/>
  <c r="N370" i="17"/>
  <c r="N371" i="17"/>
  <c r="N362" i="17"/>
  <c r="N360" i="17"/>
  <c r="N356" i="17"/>
  <c r="N338" i="17"/>
  <c r="Q334" i="17"/>
  <c r="H90" i="15" s="1"/>
  <c r="J377" i="17"/>
  <c r="Q377" i="17"/>
  <c r="Q367" i="17"/>
  <c r="J367" i="17"/>
  <c r="M367" i="17" s="1"/>
  <c r="M353" i="17"/>
  <c r="K343" i="17"/>
  <c r="N346" i="17"/>
  <c r="J351" i="17"/>
  <c r="M351" i="17" s="1"/>
  <c r="M344" i="17"/>
  <c r="J342" i="17"/>
  <c r="M342" i="17" s="1"/>
  <c r="M335" i="17"/>
  <c r="J334" i="17"/>
  <c r="J373" i="17"/>
  <c r="Q373" i="17"/>
  <c r="L385" i="17"/>
  <c r="F386" i="17"/>
  <c r="I385" i="17"/>
  <c r="N344" i="17"/>
  <c r="N382" i="17"/>
  <c r="N374" i="17"/>
  <c r="N366" i="17"/>
  <c r="N349" i="17"/>
  <c r="N351" i="17"/>
  <c r="L352" i="17"/>
  <c r="I334" i="17"/>
  <c r="F343" i="17"/>
  <c r="I343" i="17" s="1"/>
  <c r="N355" i="17"/>
  <c r="K385" i="17"/>
  <c r="K386" i="17" s="1"/>
  <c r="G97" i="15" s="1"/>
  <c r="G99" i="15" s="1"/>
  <c r="J352" i="17"/>
  <c r="M352" i="17" s="1"/>
  <c r="N348" i="17"/>
  <c r="Q351" i="17"/>
  <c r="Q352" i="17" s="1"/>
  <c r="N337" i="17"/>
  <c r="Q342" i="17"/>
  <c r="H91" i="15" s="1"/>
  <c r="N332" i="17"/>
  <c r="L343" i="17"/>
  <c r="I664" i="13"/>
  <c r="I652" i="13"/>
  <c r="F615" i="13"/>
  <c r="F632" i="13" s="1"/>
  <c r="I615" i="13"/>
  <c r="I692" i="13"/>
  <c r="I693" i="13" s="1"/>
  <c r="I631" i="13"/>
  <c r="J624" i="1"/>
  <c r="J625" i="1"/>
  <c r="G665" i="1"/>
  <c r="H689" i="1"/>
  <c r="G609" i="1"/>
  <c r="G637" i="1"/>
  <c r="L194" i="14"/>
  <c r="K194" i="14" s="1"/>
  <c r="O194" i="14" s="1"/>
  <c r="G194" i="14"/>
  <c r="C194" i="14"/>
  <c r="L193" i="14"/>
  <c r="K193" i="14" s="1"/>
  <c r="O193" i="14" s="1"/>
  <c r="G193" i="14"/>
  <c r="C193" i="14"/>
  <c r="L192" i="14"/>
  <c r="K192" i="14" s="1"/>
  <c r="O192" i="14" s="1"/>
  <c r="G192" i="14"/>
  <c r="C192" i="14"/>
  <c r="L191" i="14"/>
  <c r="K191" i="14" s="1"/>
  <c r="G191" i="14"/>
  <c r="C191" i="14"/>
  <c r="L190" i="14"/>
  <c r="K190" i="14" s="1"/>
  <c r="O190" i="14" s="1"/>
  <c r="G190" i="14"/>
  <c r="C190" i="14"/>
  <c r="L189" i="14"/>
  <c r="K189" i="14" s="1"/>
  <c r="O189" i="14" s="1"/>
  <c r="G189" i="14"/>
  <c r="C189" i="14"/>
  <c r="L188" i="14"/>
  <c r="K188" i="14" s="1"/>
  <c r="O188" i="14" s="1"/>
  <c r="G188" i="14"/>
  <c r="C188" i="14"/>
  <c r="L187" i="14"/>
  <c r="K187" i="14" s="1"/>
  <c r="O187" i="14" s="1"/>
  <c r="G187" i="14"/>
  <c r="L186" i="14"/>
  <c r="K186" i="14" s="1"/>
  <c r="O186" i="14" s="1"/>
  <c r="G186" i="14"/>
  <c r="L185" i="14"/>
  <c r="K185" i="14" s="1"/>
  <c r="O185" i="14" s="1"/>
  <c r="G185" i="14"/>
  <c r="C185" i="14"/>
  <c r="L184" i="14"/>
  <c r="K184" i="14" s="1"/>
  <c r="O184" i="14" s="1"/>
  <c r="G184" i="14"/>
  <c r="C184" i="14"/>
  <c r="L183" i="14"/>
  <c r="K183" i="14" s="1"/>
  <c r="O183" i="14" s="1"/>
  <c r="G183" i="14"/>
  <c r="C183" i="14"/>
  <c r="G182" i="14"/>
  <c r="L181" i="14"/>
  <c r="K181" i="14" s="1"/>
  <c r="G181" i="14"/>
  <c r="C181" i="14"/>
  <c r="L180" i="14"/>
  <c r="K180" i="14" s="1"/>
  <c r="G180" i="14"/>
  <c r="C180" i="14"/>
  <c r="L179" i="14"/>
  <c r="K179" i="14" s="1"/>
  <c r="G179" i="14"/>
  <c r="C179" i="14"/>
  <c r="H79" i="15"/>
  <c r="H81" i="15" s="1"/>
  <c r="G79" i="15"/>
  <c r="G81" i="15" s="1"/>
  <c r="E83" i="15"/>
  <c r="E80" i="15"/>
  <c r="E77" i="15"/>
  <c r="H518" i="16"/>
  <c r="F518" i="16"/>
  <c r="I518" i="16" s="1"/>
  <c r="I519" i="16" s="1"/>
  <c r="E517" i="16"/>
  <c r="H516" i="16"/>
  <c r="H515" i="16"/>
  <c r="I514" i="16"/>
  <c r="H514" i="16"/>
  <c r="H513" i="16"/>
  <c r="H512" i="16"/>
  <c r="H511" i="16"/>
  <c r="H510" i="16"/>
  <c r="H509" i="16"/>
  <c r="H508" i="16"/>
  <c r="H507" i="16"/>
  <c r="H506" i="16"/>
  <c r="H505" i="16"/>
  <c r="H504" i="16"/>
  <c r="H503" i="16"/>
  <c r="H502" i="16"/>
  <c r="H501" i="16"/>
  <c r="H500" i="16"/>
  <c r="H499" i="16"/>
  <c r="H498" i="16"/>
  <c r="H497" i="16"/>
  <c r="H496" i="16"/>
  <c r="H495" i="16"/>
  <c r="H494" i="16"/>
  <c r="H493" i="16"/>
  <c r="H492" i="16"/>
  <c r="E491" i="16"/>
  <c r="H490" i="16"/>
  <c r="H489" i="16"/>
  <c r="H488" i="16"/>
  <c r="H487" i="16"/>
  <c r="H486" i="16"/>
  <c r="H485" i="16"/>
  <c r="H484" i="16"/>
  <c r="H483" i="16"/>
  <c r="H482" i="16"/>
  <c r="H481" i="16"/>
  <c r="H480" i="16"/>
  <c r="H479" i="16"/>
  <c r="H478" i="16"/>
  <c r="H477" i="16"/>
  <c r="H476" i="16"/>
  <c r="H475" i="16"/>
  <c r="H474" i="16"/>
  <c r="H473" i="16"/>
  <c r="H472" i="16"/>
  <c r="H471" i="16"/>
  <c r="H470" i="16"/>
  <c r="H469" i="16"/>
  <c r="H468" i="16"/>
  <c r="H467" i="16"/>
  <c r="H466" i="16"/>
  <c r="H465" i="16"/>
  <c r="H464" i="16"/>
  <c r="H463" i="16"/>
  <c r="H462" i="16"/>
  <c r="E459" i="16"/>
  <c r="H458" i="16"/>
  <c r="H457" i="16"/>
  <c r="H456" i="16"/>
  <c r="H455" i="16"/>
  <c r="E454" i="16"/>
  <c r="H453" i="16"/>
  <c r="H452" i="16"/>
  <c r="H451" i="16"/>
  <c r="H450" i="16"/>
  <c r="H449" i="16"/>
  <c r="H448" i="16"/>
  <c r="E447" i="16"/>
  <c r="H446" i="16"/>
  <c r="H445" i="16"/>
  <c r="H444" i="16"/>
  <c r="H443" i="16"/>
  <c r="H442" i="16"/>
  <c r="H441" i="16"/>
  <c r="H440" i="16"/>
  <c r="H439" i="16"/>
  <c r="H438" i="16"/>
  <c r="H437" i="16"/>
  <c r="H436" i="16"/>
  <c r="H435" i="16"/>
  <c r="H434" i="16"/>
  <c r="H433" i="16"/>
  <c r="H432" i="16"/>
  <c r="E324" i="17"/>
  <c r="E323" i="17"/>
  <c r="D323" i="17"/>
  <c r="H322" i="17"/>
  <c r="H323" i="17" s="1"/>
  <c r="G322" i="17"/>
  <c r="G323" i="17" s="1"/>
  <c r="D322" i="17"/>
  <c r="P321" i="17"/>
  <c r="L321" i="17"/>
  <c r="K321" i="17"/>
  <c r="I321" i="17"/>
  <c r="F321" i="17"/>
  <c r="Q320" i="17"/>
  <c r="P320" i="17"/>
  <c r="N320" i="17"/>
  <c r="L320" i="17"/>
  <c r="K320" i="17"/>
  <c r="J320" i="17"/>
  <c r="M320" i="17" s="1"/>
  <c r="F320" i="17"/>
  <c r="I320" i="17" s="1"/>
  <c r="P319" i="17"/>
  <c r="L319" i="17"/>
  <c r="K319" i="17"/>
  <c r="I319" i="17"/>
  <c r="F319" i="17"/>
  <c r="Q318" i="17"/>
  <c r="P318" i="17"/>
  <c r="L318" i="17"/>
  <c r="N318" i="17" s="1"/>
  <c r="K318" i="17"/>
  <c r="J318" i="17"/>
  <c r="M318" i="17" s="1"/>
  <c r="F318" i="17"/>
  <c r="I318" i="17" s="1"/>
  <c r="P317" i="17"/>
  <c r="L317" i="17"/>
  <c r="K317" i="17"/>
  <c r="I317" i="17"/>
  <c r="F317" i="17"/>
  <c r="Q316" i="17"/>
  <c r="P316" i="17"/>
  <c r="N316" i="17"/>
  <c r="L316" i="17"/>
  <c r="K316" i="17"/>
  <c r="J316" i="17"/>
  <c r="M316" i="17" s="1"/>
  <c r="F316" i="17"/>
  <c r="I316" i="17" s="1"/>
  <c r="P315" i="17"/>
  <c r="L315" i="17"/>
  <c r="K315" i="17"/>
  <c r="I315" i="17"/>
  <c r="F315" i="17"/>
  <c r="P314" i="17"/>
  <c r="L314" i="17"/>
  <c r="K314" i="17"/>
  <c r="Q314" i="17" s="1"/>
  <c r="F314" i="17"/>
  <c r="I314" i="17" s="1"/>
  <c r="P313" i="17"/>
  <c r="L313" i="17"/>
  <c r="K313" i="17"/>
  <c r="F313" i="17"/>
  <c r="I313" i="17" s="1"/>
  <c r="P312" i="17"/>
  <c r="L312" i="17"/>
  <c r="N312" i="17" s="1"/>
  <c r="K312" i="17"/>
  <c r="Q312" i="17" s="1"/>
  <c r="J312" i="17"/>
  <c r="M312" i="17" s="1"/>
  <c r="F312" i="17"/>
  <c r="I312" i="17" s="1"/>
  <c r="P311" i="17"/>
  <c r="L311" i="17"/>
  <c r="K311" i="17"/>
  <c r="F311" i="17"/>
  <c r="I311" i="17" s="1"/>
  <c r="P310" i="17"/>
  <c r="L310" i="17"/>
  <c r="K310" i="17"/>
  <c r="Q310" i="17" s="1"/>
  <c r="F310" i="17"/>
  <c r="I310" i="17" s="1"/>
  <c r="P309" i="17"/>
  <c r="L309" i="17"/>
  <c r="K309" i="17"/>
  <c r="I309" i="17"/>
  <c r="F309" i="17"/>
  <c r="Q308" i="17"/>
  <c r="P308" i="17"/>
  <c r="N308" i="17"/>
  <c r="L308" i="17"/>
  <c r="K308" i="17"/>
  <c r="J308" i="17"/>
  <c r="M308" i="17" s="1"/>
  <c r="F308" i="17"/>
  <c r="I308" i="17" s="1"/>
  <c r="P307" i="17"/>
  <c r="L307" i="17"/>
  <c r="K307" i="17"/>
  <c r="I307" i="17"/>
  <c r="F307" i="17"/>
  <c r="Q306" i="17"/>
  <c r="P306" i="17"/>
  <c r="L306" i="17"/>
  <c r="N306" i="17" s="1"/>
  <c r="K306" i="17"/>
  <c r="J306" i="17"/>
  <c r="M306" i="17" s="1"/>
  <c r="F306" i="17"/>
  <c r="I306" i="17" s="1"/>
  <c r="P305" i="17"/>
  <c r="L305" i="17"/>
  <c r="K305" i="17"/>
  <c r="I305" i="17"/>
  <c r="F305" i="17"/>
  <c r="P304" i="17"/>
  <c r="L304" i="17"/>
  <c r="K304" i="17"/>
  <c r="Q304" i="17" s="1"/>
  <c r="J304" i="17"/>
  <c r="M304" i="17" s="1"/>
  <c r="F304" i="17"/>
  <c r="I304" i="17" s="1"/>
  <c r="P303" i="17"/>
  <c r="L303" i="17"/>
  <c r="K303" i="17"/>
  <c r="F303" i="17"/>
  <c r="I303" i="17" s="1"/>
  <c r="P302" i="17"/>
  <c r="L302" i="17"/>
  <c r="K302" i="17"/>
  <c r="Q302" i="17" s="1"/>
  <c r="F302" i="17"/>
  <c r="I302" i="17" s="1"/>
  <c r="P301" i="17"/>
  <c r="L301" i="17"/>
  <c r="K301" i="17"/>
  <c r="I301" i="17"/>
  <c r="F301" i="17"/>
  <c r="P300" i="17"/>
  <c r="L300" i="17"/>
  <c r="K300" i="17"/>
  <c r="J300" i="17" s="1"/>
  <c r="F300" i="17"/>
  <c r="I300" i="17" s="1"/>
  <c r="P299" i="17"/>
  <c r="L299" i="17"/>
  <c r="K299" i="17"/>
  <c r="F299" i="17"/>
  <c r="I299" i="17" s="1"/>
  <c r="Q298" i="17"/>
  <c r="P298" i="17"/>
  <c r="L298" i="17"/>
  <c r="K298" i="17"/>
  <c r="J298" i="17"/>
  <c r="M298" i="17" s="1"/>
  <c r="F298" i="17"/>
  <c r="I298" i="17" s="1"/>
  <c r="P297" i="17"/>
  <c r="L297" i="17"/>
  <c r="K297" i="17"/>
  <c r="F297" i="17"/>
  <c r="I297" i="17" s="1"/>
  <c r="P296" i="17"/>
  <c r="L296" i="17"/>
  <c r="K296" i="17"/>
  <c r="F296" i="17"/>
  <c r="P295" i="17"/>
  <c r="L295" i="17"/>
  <c r="K295" i="17"/>
  <c r="I295" i="17"/>
  <c r="F295" i="17"/>
  <c r="Q294" i="17"/>
  <c r="P294" i="17"/>
  <c r="L294" i="17"/>
  <c r="K294" i="17"/>
  <c r="J294" i="17"/>
  <c r="F294" i="17"/>
  <c r="I294" i="17" s="1"/>
  <c r="Q293" i="17"/>
  <c r="P293" i="17"/>
  <c r="L293" i="17"/>
  <c r="K293" i="17"/>
  <c r="J293" i="17"/>
  <c r="M293" i="17" s="1"/>
  <c r="F293" i="17"/>
  <c r="I293" i="17" s="1"/>
  <c r="P292" i="17"/>
  <c r="L292" i="17"/>
  <c r="K292" i="17"/>
  <c r="Q292" i="17" s="1"/>
  <c r="F292" i="17"/>
  <c r="I292" i="17" s="1"/>
  <c r="Q291" i="17"/>
  <c r="P291" i="17"/>
  <c r="L291" i="17"/>
  <c r="N291" i="17" s="1"/>
  <c r="K291" i="17"/>
  <c r="J291" i="17"/>
  <c r="M291" i="17" s="1"/>
  <c r="F291" i="17"/>
  <c r="I291" i="17" s="1"/>
  <c r="P290" i="17"/>
  <c r="L290" i="17"/>
  <c r="K290" i="17"/>
  <c r="I290" i="17"/>
  <c r="F290" i="17"/>
  <c r="H289" i="17"/>
  <c r="E289" i="17"/>
  <c r="D289" i="17"/>
  <c r="H288" i="17"/>
  <c r="G288" i="17"/>
  <c r="G289" i="17" s="1"/>
  <c r="Q287" i="17"/>
  <c r="P287" i="17"/>
  <c r="L287" i="17"/>
  <c r="N287" i="17" s="1"/>
  <c r="K287" i="17"/>
  <c r="J287" i="17"/>
  <c r="M287" i="17" s="1"/>
  <c r="F287" i="17"/>
  <c r="I287" i="17" s="1"/>
  <c r="P286" i="17"/>
  <c r="L286" i="17"/>
  <c r="K286" i="17"/>
  <c r="Q286" i="17" s="1"/>
  <c r="I286" i="17"/>
  <c r="F286" i="17"/>
  <c r="P285" i="17"/>
  <c r="L285" i="17"/>
  <c r="K285" i="17"/>
  <c r="J285" i="17" s="1"/>
  <c r="I285" i="17"/>
  <c r="F285" i="17"/>
  <c r="P284" i="17"/>
  <c r="L284" i="17"/>
  <c r="K284" i="17"/>
  <c r="Q284" i="17" s="1"/>
  <c r="F284" i="17"/>
  <c r="I284" i="17" s="1"/>
  <c r="P283" i="17"/>
  <c r="L283" i="17"/>
  <c r="K283" i="17"/>
  <c r="Q283" i="17" s="1"/>
  <c r="I283" i="17"/>
  <c r="F283" i="17"/>
  <c r="Q282" i="17"/>
  <c r="P282" i="17"/>
  <c r="L282" i="17"/>
  <c r="N282" i="17" s="1"/>
  <c r="K282" i="17"/>
  <c r="J282" i="17"/>
  <c r="M282" i="17" s="1"/>
  <c r="F282" i="17"/>
  <c r="I282" i="17" s="1"/>
  <c r="P281" i="17"/>
  <c r="P288" i="17" s="1"/>
  <c r="P289" i="17" s="1"/>
  <c r="L281" i="17"/>
  <c r="L288" i="17" s="1"/>
  <c r="K281" i="17"/>
  <c r="Q281" i="17" s="1"/>
  <c r="I281" i="17"/>
  <c r="F281" i="17"/>
  <c r="F288" i="17" s="1"/>
  <c r="E280" i="17"/>
  <c r="H279" i="17"/>
  <c r="G279" i="17"/>
  <c r="D279" i="17"/>
  <c r="D280" i="17" s="1"/>
  <c r="P278" i="17"/>
  <c r="L278" i="17"/>
  <c r="K278" i="17"/>
  <c r="I278" i="17"/>
  <c r="F278" i="17"/>
  <c r="Q277" i="17"/>
  <c r="P277" i="17"/>
  <c r="L277" i="17"/>
  <c r="N277" i="17" s="1"/>
  <c r="K277" i="17"/>
  <c r="J277" i="17"/>
  <c r="M277" i="17" s="1"/>
  <c r="F277" i="17"/>
  <c r="I277" i="17" s="1"/>
  <c r="P276" i="17"/>
  <c r="L276" i="17"/>
  <c r="K276" i="17"/>
  <c r="F276" i="17"/>
  <c r="I276" i="17" s="1"/>
  <c r="Q275" i="17"/>
  <c r="P275" i="17"/>
  <c r="N275" i="17"/>
  <c r="L275" i="17"/>
  <c r="K275" i="17"/>
  <c r="J275" i="17"/>
  <c r="M275" i="17" s="1"/>
  <c r="F275" i="17"/>
  <c r="I275" i="17" s="1"/>
  <c r="P274" i="17"/>
  <c r="L274" i="17"/>
  <c r="K274" i="17"/>
  <c r="I274" i="17"/>
  <c r="F274" i="17"/>
  <c r="Q273" i="17"/>
  <c r="P273" i="17"/>
  <c r="L273" i="17"/>
  <c r="N273" i="17" s="1"/>
  <c r="K273" i="17"/>
  <c r="J273" i="17"/>
  <c r="M273" i="17" s="1"/>
  <c r="F273" i="17"/>
  <c r="I273" i="17" s="1"/>
  <c r="P272" i="17"/>
  <c r="L272" i="17"/>
  <c r="L279" i="17" s="1"/>
  <c r="K272" i="17"/>
  <c r="I272" i="17"/>
  <c r="F272" i="17"/>
  <c r="H271" i="17"/>
  <c r="G271" i="17"/>
  <c r="D271" i="17"/>
  <c r="Q270" i="17"/>
  <c r="P270" i="17"/>
  <c r="N270" i="17"/>
  <c r="L270" i="17"/>
  <c r="K270" i="17"/>
  <c r="J270" i="17"/>
  <c r="M270" i="17" s="1"/>
  <c r="F270" i="17"/>
  <c r="I270" i="17" s="1"/>
  <c r="P269" i="17"/>
  <c r="L269" i="17"/>
  <c r="K269" i="17"/>
  <c r="F269" i="17"/>
  <c r="I269" i="17" s="1"/>
  <c r="P268" i="17"/>
  <c r="L268" i="17"/>
  <c r="K268" i="17"/>
  <c r="Q268" i="17" s="1"/>
  <c r="F268" i="17"/>
  <c r="I268" i="17" s="1"/>
  <c r="P267" i="17"/>
  <c r="L267" i="17"/>
  <c r="K267" i="17"/>
  <c r="I267" i="17"/>
  <c r="F267" i="17"/>
  <c r="P266" i="17"/>
  <c r="L266" i="17"/>
  <c r="K266" i="17"/>
  <c r="F266" i="17"/>
  <c r="I266" i="17" s="1"/>
  <c r="F575" i="13"/>
  <c r="F574" i="13"/>
  <c r="F572" i="13"/>
  <c r="I572" i="13" s="1"/>
  <c r="F571" i="13"/>
  <c r="F570" i="13"/>
  <c r="F568" i="13"/>
  <c r="I568" i="13" s="1"/>
  <c r="F567" i="13"/>
  <c r="I567" i="13" s="1"/>
  <c r="F566" i="13"/>
  <c r="I566" i="13" s="1"/>
  <c r="F565" i="13"/>
  <c r="F563" i="13"/>
  <c r="F562" i="13"/>
  <c r="F560" i="13"/>
  <c r="I560" i="13" s="1"/>
  <c r="F559" i="13"/>
  <c r="I559" i="13" s="1"/>
  <c r="F558" i="13"/>
  <c r="F557" i="13"/>
  <c r="F555" i="13"/>
  <c r="I555" i="13" s="1"/>
  <c r="F554" i="13"/>
  <c r="I554" i="13" s="1"/>
  <c r="F553" i="13"/>
  <c r="F550" i="13"/>
  <c r="G550" i="13" s="1"/>
  <c r="J550" i="13" s="1"/>
  <c r="F547" i="13"/>
  <c r="F546" i="13"/>
  <c r="I546" i="13" s="1"/>
  <c r="F545" i="13"/>
  <c r="I545" i="13" s="1"/>
  <c r="F544" i="13"/>
  <c r="I544" i="13" s="1"/>
  <c r="F543" i="13"/>
  <c r="F542" i="13"/>
  <c r="F540" i="13"/>
  <c r="I540" i="13" s="1"/>
  <c r="F539" i="13"/>
  <c r="F538" i="13"/>
  <c r="F535" i="13"/>
  <c r="I535" i="13" s="1"/>
  <c r="F534" i="13"/>
  <c r="F533" i="13"/>
  <c r="I533" i="13" s="1"/>
  <c r="F532" i="13"/>
  <c r="I532" i="13" s="1"/>
  <c r="F531" i="13"/>
  <c r="I531" i="13" s="1"/>
  <c r="F530" i="13"/>
  <c r="F529" i="13"/>
  <c r="F527" i="13"/>
  <c r="F526" i="13"/>
  <c r="I526" i="13" s="1"/>
  <c r="F525" i="13"/>
  <c r="I525" i="13" s="1"/>
  <c r="F524" i="13"/>
  <c r="I524" i="13" s="1"/>
  <c r="F523" i="13"/>
  <c r="F522" i="13"/>
  <c r="I522" i="13" s="1"/>
  <c r="F521" i="13"/>
  <c r="I521" i="13" s="1"/>
  <c r="F520" i="13"/>
  <c r="I520" i="13" s="1"/>
  <c r="F519" i="13"/>
  <c r="I519" i="13" s="1"/>
  <c r="F518" i="13"/>
  <c r="F514" i="13"/>
  <c r="I514" i="13" s="1"/>
  <c r="F513" i="13"/>
  <c r="I513" i="13" s="1"/>
  <c r="F512" i="13"/>
  <c r="I512" i="13" s="1"/>
  <c r="F511" i="13"/>
  <c r="I511" i="13" s="1"/>
  <c r="F510" i="13"/>
  <c r="I510" i="13" s="1"/>
  <c r="F509" i="13"/>
  <c r="I509" i="13" s="1"/>
  <c r="F508" i="13"/>
  <c r="I508" i="13" s="1"/>
  <c r="F507" i="13"/>
  <c r="I507" i="13" s="1"/>
  <c r="F506" i="13"/>
  <c r="F504" i="13"/>
  <c r="I504" i="13" s="1"/>
  <c r="F503" i="13"/>
  <c r="I503" i="13" s="1"/>
  <c r="F502" i="13"/>
  <c r="I502" i="13" s="1"/>
  <c r="F501" i="13"/>
  <c r="F498" i="13"/>
  <c r="I498" i="13" s="1"/>
  <c r="F497" i="13"/>
  <c r="I497" i="13" s="1"/>
  <c r="F496" i="13"/>
  <c r="F494" i="13"/>
  <c r="I494" i="13" s="1"/>
  <c r="F493" i="13"/>
  <c r="I493" i="13" s="1"/>
  <c r="F492" i="13"/>
  <c r="F490" i="13"/>
  <c r="I490" i="13" s="1"/>
  <c r="F489" i="13"/>
  <c r="I489" i="13" s="1"/>
  <c r="F488" i="13"/>
  <c r="I488" i="13" s="1"/>
  <c r="F487" i="13"/>
  <c r="I487" i="13" s="1"/>
  <c r="F486" i="13"/>
  <c r="I486" i="13" s="1"/>
  <c r="F485" i="13"/>
  <c r="I485" i="13" s="1"/>
  <c r="F484" i="13"/>
  <c r="F482" i="13"/>
  <c r="I482" i="13" s="1"/>
  <c r="F481" i="13"/>
  <c r="I481" i="13" s="1"/>
  <c r="F480" i="13"/>
  <c r="I480" i="13" s="1"/>
  <c r="F479" i="13"/>
  <c r="I479" i="13" s="1"/>
  <c r="F478" i="13"/>
  <c r="I478" i="13" s="1"/>
  <c r="F477" i="13"/>
  <c r="I477" i="13" s="1"/>
  <c r="F476" i="13"/>
  <c r="F474" i="13"/>
  <c r="I474" i="13" s="1"/>
  <c r="F473" i="13"/>
  <c r="I473" i="13" s="1"/>
  <c r="F472" i="13"/>
  <c r="I472" i="13" s="1"/>
  <c r="F471" i="13"/>
  <c r="J576" i="13"/>
  <c r="I576" i="13"/>
  <c r="G576" i="13"/>
  <c r="F576" i="13"/>
  <c r="I563" i="13"/>
  <c r="I558" i="13"/>
  <c r="I547" i="13"/>
  <c r="I543" i="13"/>
  <c r="I534" i="13"/>
  <c r="I527" i="13"/>
  <c r="I523" i="13"/>
  <c r="F572" i="1"/>
  <c r="F573" i="1" s="1"/>
  <c r="I571" i="1"/>
  <c r="H571" i="1"/>
  <c r="E571" i="1"/>
  <c r="G570" i="1"/>
  <c r="J570" i="1" s="1"/>
  <c r="G569" i="1"/>
  <c r="J569" i="1" s="1"/>
  <c r="I568" i="1"/>
  <c r="H568" i="1"/>
  <c r="G567" i="1"/>
  <c r="J567" i="1" s="1"/>
  <c r="E567" i="1"/>
  <c r="G566" i="1"/>
  <c r="J566" i="1" s="1"/>
  <c r="E566" i="1"/>
  <c r="E568" i="1" s="1"/>
  <c r="G565" i="1"/>
  <c r="J565" i="1" s="1"/>
  <c r="I564" i="1"/>
  <c r="H564" i="1"/>
  <c r="G563" i="1"/>
  <c r="J563" i="1" s="1"/>
  <c r="G562" i="1"/>
  <c r="J562" i="1" s="1"/>
  <c r="G561" i="1"/>
  <c r="J561" i="1" s="1"/>
  <c r="E561" i="1"/>
  <c r="G560" i="1"/>
  <c r="J560" i="1" s="1"/>
  <c r="G559" i="1"/>
  <c r="E559" i="1"/>
  <c r="I558" i="1"/>
  <c r="H558" i="1"/>
  <c r="E558" i="1"/>
  <c r="G557" i="1"/>
  <c r="J557" i="1" s="1"/>
  <c r="G556" i="1"/>
  <c r="J556" i="1" s="1"/>
  <c r="I555" i="1"/>
  <c r="H555" i="1"/>
  <c r="E555" i="1"/>
  <c r="G554" i="1"/>
  <c r="J554" i="1" s="1"/>
  <c r="G553" i="1"/>
  <c r="J553" i="1" s="1"/>
  <c r="G552" i="1"/>
  <c r="J552" i="1" s="1"/>
  <c r="G551" i="1"/>
  <c r="J551" i="1" s="1"/>
  <c r="I550" i="1"/>
  <c r="H550" i="1"/>
  <c r="E550" i="1"/>
  <c r="G549" i="1"/>
  <c r="J549" i="1" s="1"/>
  <c r="G548" i="1"/>
  <c r="J548" i="1" s="1"/>
  <c r="G547" i="1"/>
  <c r="J547" i="1" s="1"/>
  <c r="F545" i="1"/>
  <c r="F546" i="1" s="1"/>
  <c r="G544" i="1"/>
  <c r="J544" i="1" s="1"/>
  <c r="I542" i="1"/>
  <c r="H542" i="1"/>
  <c r="E542" i="1"/>
  <c r="E543" i="1" s="1"/>
  <c r="G541" i="1"/>
  <c r="J541" i="1" s="1"/>
  <c r="J540" i="1"/>
  <c r="G539" i="1"/>
  <c r="J539" i="1" s="1"/>
  <c r="J538" i="1"/>
  <c r="G537" i="1"/>
  <c r="J537" i="1" s="1"/>
  <c r="G536" i="1"/>
  <c r="I535" i="1"/>
  <c r="H535" i="1"/>
  <c r="H543" i="1" s="1"/>
  <c r="E535" i="1"/>
  <c r="G534" i="1"/>
  <c r="J534" i="1" s="1"/>
  <c r="G533" i="1"/>
  <c r="J533" i="1" s="1"/>
  <c r="G532" i="1"/>
  <c r="I530" i="1"/>
  <c r="H530" i="1"/>
  <c r="E530" i="1"/>
  <c r="G529" i="1"/>
  <c r="J529" i="1" s="1"/>
  <c r="J528" i="1"/>
  <c r="G527" i="1"/>
  <c r="J527" i="1" s="1"/>
  <c r="G526" i="1"/>
  <c r="J526" i="1" s="1"/>
  <c r="G525" i="1"/>
  <c r="J525" i="1" s="1"/>
  <c r="G524" i="1"/>
  <c r="J524" i="1" s="1"/>
  <c r="G523" i="1"/>
  <c r="J523" i="1" s="1"/>
  <c r="I522" i="1"/>
  <c r="I531" i="1" s="1"/>
  <c r="H522" i="1"/>
  <c r="H531" i="1" s="1"/>
  <c r="E522" i="1"/>
  <c r="G521" i="1"/>
  <c r="J521" i="1" s="1"/>
  <c r="G520" i="1"/>
  <c r="J520" i="1" s="1"/>
  <c r="G519" i="1"/>
  <c r="J519" i="1" s="1"/>
  <c r="G518" i="1"/>
  <c r="J518" i="1" s="1"/>
  <c r="G517" i="1"/>
  <c r="J517" i="1" s="1"/>
  <c r="G516" i="1"/>
  <c r="J516" i="1" s="1"/>
  <c r="G515" i="1"/>
  <c r="J515" i="1" s="1"/>
  <c r="G514" i="1"/>
  <c r="J514" i="1" s="1"/>
  <c r="G513" i="1"/>
  <c r="J513" i="1" s="1"/>
  <c r="G512" i="1"/>
  <c r="J512" i="1" s="1"/>
  <c r="F510" i="1"/>
  <c r="I509" i="1"/>
  <c r="M509" i="1" s="1"/>
  <c r="H509" i="1"/>
  <c r="L509" i="1" s="1"/>
  <c r="E509" i="1"/>
  <c r="G508" i="1"/>
  <c r="J508" i="1" s="1"/>
  <c r="G507" i="1"/>
  <c r="J507" i="1" s="1"/>
  <c r="G506" i="1"/>
  <c r="J506" i="1" s="1"/>
  <c r="G505" i="1"/>
  <c r="J505" i="1" s="1"/>
  <c r="G504" i="1"/>
  <c r="J504" i="1" s="1"/>
  <c r="G503" i="1"/>
  <c r="J503" i="1" s="1"/>
  <c r="G502" i="1"/>
  <c r="J502" i="1" s="1"/>
  <c r="G501" i="1"/>
  <c r="J501" i="1" s="1"/>
  <c r="G500" i="1"/>
  <c r="J500" i="1" s="1"/>
  <c r="I499" i="1"/>
  <c r="I510" i="1" s="1"/>
  <c r="H499" i="1"/>
  <c r="H510" i="1" s="1"/>
  <c r="E499" i="1"/>
  <c r="E510" i="1" s="1"/>
  <c r="C76" i="15" s="1"/>
  <c r="G498" i="1"/>
  <c r="J498" i="1" s="1"/>
  <c r="G497" i="1"/>
  <c r="J497" i="1" s="1"/>
  <c r="G496" i="1"/>
  <c r="J496" i="1" s="1"/>
  <c r="G495" i="1"/>
  <c r="I493" i="1"/>
  <c r="H493" i="1"/>
  <c r="E493" i="1"/>
  <c r="G492" i="1"/>
  <c r="J492" i="1" s="1"/>
  <c r="G491" i="1"/>
  <c r="J491" i="1" s="1"/>
  <c r="G490" i="1"/>
  <c r="I489" i="1"/>
  <c r="H489" i="1"/>
  <c r="F489" i="1"/>
  <c r="F494" i="1" s="1"/>
  <c r="F511" i="1" s="1"/>
  <c r="F574" i="1" s="1"/>
  <c r="E489" i="1"/>
  <c r="G488" i="1"/>
  <c r="G487" i="1"/>
  <c r="J487" i="1" s="1"/>
  <c r="G486" i="1"/>
  <c r="G489" i="1" s="1"/>
  <c r="J489" i="1" s="1"/>
  <c r="I485" i="1"/>
  <c r="H485" i="1"/>
  <c r="E485" i="1"/>
  <c r="G484" i="1"/>
  <c r="J484" i="1" s="1"/>
  <c r="G483" i="1"/>
  <c r="J483" i="1" s="1"/>
  <c r="G482" i="1"/>
  <c r="J482" i="1" s="1"/>
  <c r="G481" i="1"/>
  <c r="J481" i="1" s="1"/>
  <c r="G480" i="1"/>
  <c r="J480" i="1" s="1"/>
  <c r="G479" i="1"/>
  <c r="J479" i="1" s="1"/>
  <c r="G478" i="1"/>
  <c r="I477" i="1"/>
  <c r="H477" i="1"/>
  <c r="E477" i="1"/>
  <c r="G476" i="1"/>
  <c r="J476" i="1" s="1"/>
  <c r="G475" i="1"/>
  <c r="J475" i="1" s="1"/>
  <c r="G474" i="1"/>
  <c r="J474" i="1" s="1"/>
  <c r="G473" i="1"/>
  <c r="J473" i="1" s="1"/>
  <c r="G472" i="1"/>
  <c r="J472" i="1" s="1"/>
  <c r="G471" i="1"/>
  <c r="J471" i="1" s="1"/>
  <c r="G470" i="1"/>
  <c r="I469" i="1"/>
  <c r="H469" i="1"/>
  <c r="E469" i="1"/>
  <c r="E494" i="1" s="1"/>
  <c r="E511" i="1" s="1"/>
  <c r="G468" i="1"/>
  <c r="J468" i="1" s="1"/>
  <c r="G467" i="1"/>
  <c r="J467" i="1" s="1"/>
  <c r="G466" i="1"/>
  <c r="J466" i="1" s="1"/>
  <c r="G465" i="1"/>
  <c r="S165" i="14" l="1"/>
  <c r="T171" i="14"/>
  <c r="T160" i="14"/>
  <c r="S168" i="14"/>
  <c r="S169" i="14"/>
  <c r="T166" i="14"/>
  <c r="S159" i="14"/>
  <c r="T159" i="14" s="1"/>
  <c r="S156" i="14"/>
  <c r="T156" i="14" s="1"/>
  <c r="L513" i="17"/>
  <c r="N448" i="17"/>
  <c r="J449" i="17"/>
  <c r="M448" i="17"/>
  <c r="M492" i="17"/>
  <c r="J511" i="17"/>
  <c r="L618" i="17"/>
  <c r="J555" i="17"/>
  <c r="L574" i="17"/>
  <c r="N555" i="17"/>
  <c r="F536" i="13"/>
  <c r="F541" i="13"/>
  <c r="F548" i="13"/>
  <c r="F561" i="13"/>
  <c r="F573" i="13"/>
  <c r="G535" i="1"/>
  <c r="J535" i="1" s="1"/>
  <c r="G542" i="1"/>
  <c r="J542" i="1" s="1"/>
  <c r="F549" i="13"/>
  <c r="F495" i="13"/>
  <c r="I529" i="13"/>
  <c r="I539" i="13"/>
  <c r="I550" i="13"/>
  <c r="I666" i="13"/>
  <c r="I667" i="13" s="1"/>
  <c r="G477" i="1"/>
  <c r="J477" i="1" s="1"/>
  <c r="G485" i="1"/>
  <c r="J485" i="1" s="1"/>
  <c r="G493" i="1"/>
  <c r="J493" i="1" s="1"/>
  <c r="E531" i="1"/>
  <c r="E545" i="1" s="1"/>
  <c r="E546" i="1" s="1"/>
  <c r="C79" i="15" s="1"/>
  <c r="C81" i="15" s="1"/>
  <c r="I543" i="1"/>
  <c r="E564" i="1"/>
  <c r="F556" i="13"/>
  <c r="F505" i="13"/>
  <c r="F515" i="13"/>
  <c r="C75" i="15"/>
  <c r="C78" i="15" s="1"/>
  <c r="G469" i="1"/>
  <c r="J469" i="1" s="1"/>
  <c r="J470" i="1"/>
  <c r="J532" i="1"/>
  <c r="G100" i="15"/>
  <c r="H93" i="15"/>
  <c r="Q343" i="17"/>
  <c r="T168" i="14"/>
  <c r="T169" i="14"/>
  <c r="H491" i="16"/>
  <c r="H517" i="16"/>
  <c r="H454" i="16"/>
  <c r="H447" i="16"/>
  <c r="N367" i="17"/>
  <c r="F694" i="13"/>
  <c r="T165" i="14"/>
  <c r="Q164" i="14"/>
  <c r="R164" i="14"/>
  <c r="P164" i="14"/>
  <c r="S163" i="14"/>
  <c r="T163" i="14" s="1"/>
  <c r="Q385" i="17"/>
  <c r="Q386" i="17" s="1"/>
  <c r="L386" i="17"/>
  <c r="M334" i="17"/>
  <c r="J343" i="17"/>
  <c r="M343" i="17" s="1"/>
  <c r="N334" i="17"/>
  <c r="M377" i="17"/>
  <c r="N377" i="17"/>
  <c r="K387" i="17"/>
  <c r="N352" i="17"/>
  <c r="F387" i="17"/>
  <c r="I387" i="17" s="1"/>
  <c r="I386" i="17"/>
  <c r="M373" i="17"/>
  <c r="N373" i="17"/>
  <c r="N342" i="17"/>
  <c r="J385" i="17"/>
  <c r="F569" i="13"/>
  <c r="I570" i="13"/>
  <c r="I632" i="13"/>
  <c r="G626" i="1"/>
  <c r="J609" i="1"/>
  <c r="J637" i="1"/>
  <c r="G646" i="1"/>
  <c r="G687" i="1"/>
  <c r="J665" i="1"/>
  <c r="H280" i="17"/>
  <c r="G280" i="17"/>
  <c r="K271" i="17"/>
  <c r="G75" i="15" s="1"/>
  <c r="I494" i="1"/>
  <c r="I511" i="1" s="1"/>
  <c r="J486" i="1"/>
  <c r="J314" i="17"/>
  <c r="M314" i="17" s="1"/>
  <c r="F564" i="13"/>
  <c r="N304" i="17"/>
  <c r="F528" i="13"/>
  <c r="F537" i="13" s="1"/>
  <c r="N183" i="14"/>
  <c r="R183" i="14" s="1"/>
  <c r="N184" i="14"/>
  <c r="R184" i="14" s="1"/>
  <c r="N185" i="14"/>
  <c r="P185" i="14" s="1"/>
  <c r="N186" i="14"/>
  <c r="R186" i="14" s="1"/>
  <c r="N187" i="14"/>
  <c r="R187" i="14" s="1"/>
  <c r="N188" i="14"/>
  <c r="R188" i="14" s="1"/>
  <c r="N189" i="14"/>
  <c r="P189" i="14" s="1"/>
  <c r="N190" i="14"/>
  <c r="R190" i="14" s="1"/>
  <c r="N192" i="14"/>
  <c r="R192" i="14" s="1"/>
  <c r="N193" i="14"/>
  <c r="R193" i="14" s="1"/>
  <c r="N194" i="14"/>
  <c r="R194" i="14" s="1"/>
  <c r="O179" i="14"/>
  <c r="N179" i="14" s="1"/>
  <c r="M179" i="14"/>
  <c r="O181" i="14"/>
  <c r="N181" i="14" s="1"/>
  <c r="M181" i="14"/>
  <c r="M183" i="14"/>
  <c r="M184" i="14"/>
  <c r="M185" i="14"/>
  <c r="M186" i="14"/>
  <c r="M187" i="14"/>
  <c r="M188" i="14"/>
  <c r="M189" i="14"/>
  <c r="M190" i="14"/>
  <c r="O191" i="14"/>
  <c r="N191" i="14" s="1"/>
  <c r="M191" i="14"/>
  <c r="O180" i="14"/>
  <c r="N180" i="14" s="1"/>
  <c r="M180" i="14"/>
  <c r="L182" i="14"/>
  <c r="K182" i="14" s="1"/>
  <c r="C182" i="14"/>
  <c r="M192" i="14"/>
  <c r="M193" i="14"/>
  <c r="M194" i="14"/>
  <c r="H459" i="16"/>
  <c r="E461" i="16"/>
  <c r="E520" i="16" s="1"/>
  <c r="J310" i="17"/>
  <c r="M310" i="17" s="1"/>
  <c r="M300" i="17"/>
  <c r="N300" i="17"/>
  <c r="N293" i="17"/>
  <c r="N298" i="17"/>
  <c r="Q300" i="17"/>
  <c r="K322" i="17"/>
  <c r="P322" i="17"/>
  <c r="P323" i="17" s="1"/>
  <c r="J296" i="17"/>
  <c r="N296" i="17" s="1"/>
  <c r="J302" i="17"/>
  <c r="M302" i="17" s="1"/>
  <c r="N302" i="17"/>
  <c r="J284" i="17"/>
  <c r="M284" i="17" s="1"/>
  <c r="N284" i="17"/>
  <c r="P279" i="17"/>
  <c r="Q266" i="17"/>
  <c r="J266" i="17"/>
  <c r="J268" i="17"/>
  <c r="M268" i="17" s="1"/>
  <c r="N268" i="17"/>
  <c r="Q269" i="17"/>
  <c r="J269" i="17"/>
  <c r="M269" i="17" s="1"/>
  <c r="F271" i="17"/>
  <c r="L271" i="17"/>
  <c r="Q274" i="17"/>
  <c r="J274" i="17"/>
  <c r="M274" i="17" s="1"/>
  <c r="Q278" i="17"/>
  <c r="J278" i="17"/>
  <c r="M278" i="17" s="1"/>
  <c r="F289" i="17"/>
  <c r="I289" i="17" s="1"/>
  <c r="I288" i="17"/>
  <c r="N285" i="17"/>
  <c r="G324" i="17"/>
  <c r="P271" i="17"/>
  <c r="P280" i="17" s="1"/>
  <c r="Q267" i="17"/>
  <c r="Q271" i="17" s="1"/>
  <c r="H75" i="15" s="1"/>
  <c r="J267" i="17"/>
  <c r="M267" i="17" s="1"/>
  <c r="N269" i="17"/>
  <c r="F279" i="17"/>
  <c r="I279" i="17" s="1"/>
  <c r="Q272" i="17"/>
  <c r="J272" i="17"/>
  <c r="K279" i="17"/>
  <c r="Q276" i="17"/>
  <c r="J276" i="17"/>
  <c r="M276" i="17" s="1"/>
  <c r="N278" i="17"/>
  <c r="L289" i="17"/>
  <c r="Q285" i="17"/>
  <c r="Q288" i="17" s="1"/>
  <c r="Q289" i="17" s="1"/>
  <c r="K288" i="17"/>
  <c r="K289" i="17" s="1"/>
  <c r="Q296" i="17"/>
  <c r="Q299" i="17"/>
  <c r="J299" i="17"/>
  <c r="M299" i="17" s="1"/>
  <c r="Q303" i="17"/>
  <c r="J303" i="17"/>
  <c r="M303" i="17" s="1"/>
  <c r="Q307" i="17"/>
  <c r="J307" i="17"/>
  <c r="M307" i="17" s="1"/>
  <c r="Q311" i="17"/>
  <c r="J311" i="17"/>
  <c r="M311" i="17" s="1"/>
  <c r="Q315" i="17"/>
  <c r="J315" i="17"/>
  <c r="M315" i="17" s="1"/>
  <c r="Q319" i="17"/>
  <c r="J319" i="17"/>
  <c r="M319" i="17" s="1"/>
  <c r="D324" i="17"/>
  <c r="N272" i="17"/>
  <c r="J281" i="17"/>
  <c r="N281" i="17"/>
  <c r="J283" i="17"/>
  <c r="M283" i="17" s="1"/>
  <c r="J286" i="17"/>
  <c r="M286" i="17" s="1"/>
  <c r="F322" i="17"/>
  <c r="J290" i="17"/>
  <c r="L322" i="17"/>
  <c r="N290" i="17"/>
  <c r="Q290" i="17"/>
  <c r="J292" i="17"/>
  <c r="M292" i="17" s="1"/>
  <c r="Q295" i="17"/>
  <c r="J295" i="17"/>
  <c r="M295" i="17" s="1"/>
  <c r="Q297" i="17"/>
  <c r="J297" i="17"/>
  <c r="M297" i="17" s="1"/>
  <c r="Q301" i="17"/>
  <c r="J301" i="17"/>
  <c r="M301" i="17" s="1"/>
  <c r="Q305" i="17"/>
  <c r="J305" i="17"/>
  <c r="M305" i="17" s="1"/>
  <c r="Q309" i="17"/>
  <c r="J309" i="17"/>
  <c r="M309" i="17" s="1"/>
  <c r="N311" i="17"/>
  <c r="Q313" i="17"/>
  <c r="J313" i="17"/>
  <c r="M313" i="17" s="1"/>
  <c r="Q317" i="17"/>
  <c r="J317" i="17"/>
  <c r="M317" i="17" s="1"/>
  <c r="N319" i="17"/>
  <c r="Q321" i="17"/>
  <c r="J321" i="17"/>
  <c r="M321" i="17" s="1"/>
  <c r="H324" i="17"/>
  <c r="F499" i="13"/>
  <c r="F491" i="13"/>
  <c r="F483" i="13"/>
  <c r="F475" i="13"/>
  <c r="I530" i="13"/>
  <c r="I536" i="13" s="1"/>
  <c r="I538" i="13"/>
  <c r="I541" i="13" s="1"/>
  <c r="I553" i="13"/>
  <c r="I556" i="13" s="1"/>
  <c r="I571" i="13"/>
  <c r="I573" i="13" s="1"/>
  <c r="I471" i="13"/>
  <c r="I475" i="13" s="1"/>
  <c r="I476" i="13"/>
  <c r="I483" i="13" s="1"/>
  <c r="I484" i="13"/>
  <c r="I491" i="13" s="1"/>
  <c r="I492" i="13"/>
  <c r="I495" i="13" s="1"/>
  <c r="I496" i="13"/>
  <c r="I499" i="13" s="1"/>
  <c r="I501" i="13"/>
  <c r="I505" i="13" s="1"/>
  <c r="I506" i="13"/>
  <c r="I515" i="13" s="1"/>
  <c r="I518" i="13"/>
  <c r="I528" i="13" s="1"/>
  <c r="I542" i="13"/>
  <c r="I548" i="13" s="1"/>
  <c r="I557" i="13"/>
  <c r="I561" i="13" s="1"/>
  <c r="I562" i="13"/>
  <c r="I564" i="13" s="1"/>
  <c r="I565" i="13"/>
  <c r="I569" i="13" s="1"/>
  <c r="H572" i="1"/>
  <c r="H573" i="1" s="1"/>
  <c r="H545" i="1"/>
  <c r="H546" i="1" s="1"/>
  <c r="H494" i="1"/>
  <c r="H511" i="1" s="1"/>
  <c r="H574" i="1" s="1"/>
  <c r="J478" i="1"/>
  <c r="J490" i="1"/>
  <c r="G499" i="1"/>
  <c r="J495" i="1"/>
  <c r="I545" i="1"/>
  <c r="I546" i="1" s="1"/>
  <c r="G509" i="1"/>
  <c r="G522" i="1"/>
  <c r="G530" i="1"/>
  <c r="J530" i="1" s="1"/>
  <c r="E572" i="1"/>
  <c r="E573" i="1" s="1"/>
  <c r="G555" i="1"/>
  <c r="J555" i="1" s="1"/>
  <c r="G564" i="1"/>
  <c r="J564" i="1" s="1"/>
  <c r="J559" i="1"/>
  <c r="G571" i="1"/>
  <c r="J571" i="1" s="1"/>
  <c r="J536" i="1"/>
  <c r="G550" i="1"/>
  <c r="I572" i="1"/>
  <c r="I573" i="1" s="1"/>
  <c r="G558" i="1"/>
  <c r="J558" i="1" s="1"/>
  <c r="G568" i="1"/>
  <c r="J568" i="1" s="1"/>
  <c r="P194" i="14" l="1"/>
  <c r="R189" i="14"/>
  <c r="Q185" i="14"/>
  <c r="R185" i="14"/>
  <c r="Q189" i="14"/>
  <c r="S189" i="14" s="1"/>
  <c r="T189" i="14" s="1"/>
  <c r="P183" i="14"/>
  <c r="M555" i="17"/>
  <c r="J574" i="17"/>
  <c r="N574" i="17" s="1"/>
  <c r="N511" i="17"/>
  <c r="M511" i="17"/>
  <c r="J512" i="17"/>
  <c r="L575" i="17"/>
  <c r="J618" i="17"/>
  <c r="L637" i="17"/>
  <c r="N618" i="17"/>
  <c r="M449" i="17"/>
  <c r="J450" i="17"/>
  <c r="N449" i="17"/>
  <c r="F551" i="13"/>
  <c r="F552" i="13" s="1"/>
  <c r="F516" i="13"/>
  <c r="G543" i="1"/>
  <c r="J543" i="1" s="1"/>
  <c r="I694" i="13"/>
  <c r="F577" i="13"/>
  <c r="F578" i="13" s="1"/>
  <c r="G494" i="1"/>
  <c r="J494" i="1" s="1"/>
  <c r="E574" i="1"/>
  <c r="C82" i="15"/>
  <c r="C84" i="15" s="1"/>
  <c r="C85" i="15" s="1"/>
  <c r="H461" i="16"/>
  <c r="Q387" i="17"/>
  <c r="H97" i="15"/>
  <c r="H99" i="15" s="1"/>
  <c r="H100" i="15" s="1"/>
  <c r="S164" i="14"/>
  <c r="T164" i="14" s="1"/>
  <c r="Q194" i="14"/>
  <c r="S194" i="14" s="1"/>
  <c r="T194" i="14" s="1"/>
  <c r="P187" i="14"/>
  <c r="Q183" i="14"/>
  <c r="S183" i="14" s="1"/>
  <c r="L387" i="17"/>
  <c r="J386" i="17"/>
  <c r="N386" i="17" s="1"/>
  <c r="M385" i="17"/>
  <c r="N385" i="17"/>
  <c r="N343" i="17"/>
  <c r="G660" i="1"/>
  <c r="J646" i="1"/>
  <c r="J626" i="1"/>
  <c r="G688" i="1"/>
  <c r="J687" i="1"/>
  <c r="J688" i="1" s="1"/>
  <c r="Q187" i="14"/>
  <c r="S187" i="14" s="1"/>
  <c r="K280" i="17"/>
  <c r="K324" i="17" s="1"/>
  <c r="G76" i="15"/>
  <c r="G78" i="15" s="1"/>
  <c r="P324" i="17"/>
  <c r="F500" i="13"/>
  <c r="F517" i="13" s="1"/>
  <c r="P192" i="14"/>
  <c r="Q192" i="14"/>
  <c r="S192" i="14" s="1"/>
  <c r="N314" i="17"/>
  <c r="N303" i="17"/>
  <c r="K323" i="17"/>
  <c r="G82" i="15"/>
  <c r="G84" i="15" s="1"/>
  <c r="P193" i="14"/>
  <c r="P190" i="14"/>
  <c r="P188" i="14"/>
  <c r="P186" i="14"/>
  <c r="P184" i="14"/>
  <c r="Q193" i="14"/>
  <c r="S193" i="14" s="1"/>
  <c r="Q190" i="14"/>
  <c r="S190" i="14" s="1"/>
  <c r="Q188" i="14"/>
  <c r="S188" i="14" s="1"/>
  <c r="Q186" i="14"/>
  <c r="S186" i="14" s="1"/>
  <c r="Q184" i="14"/>
  <c r="S184" i="14" s="1"/>
  <c r="O182" i="14"/>
  <c r="N182" i="14" s="1"/>
  <c r="M182" i="14"/>
  <c r="Q180" i="14"/>
  <c r="P180" i="14"/>
  <c r="R180" i="14"/>
  <c r="R191" i="14"/>
  <c r="P191" i="14"/>
  <c r="Q191" i="14"/>
  <c r="Q181" i="14"/>
  <c r="R181" i="14"/>
  <c r="P181" i="14"/>
  <c r="Q179" i="14"/>
  <c r="R179" i="14"/>
  <c r="P179" i="14"/>
  <c r="N310" i="17"/>
  <c r="M266" i="17"/>
  <c r="N266" i="17"/>
  <c r="J271" i="17"/>
  <c r="J322" i="17"/>
  <c r="M290" i="17"/>
  <c r="N321" i="17"/>
  <c r="N313" i="17"/>
  <c r="N305" i="17"/>
  <c r="N297" i="17"/>
  <c r="N295" i="17"/>
  <c r="Q279" i="17"/>
  <c r="M271" i="17"/>
  <c r="N286" i="17"/>
  <c r="I271" i="17"/>
  <c r="F280" i="17"/>
  <c r="I280" i="17" s="1"/>
  <c r="N315" i="17"/>
  <c r="N307" i="17"/>
  <c r="N299" i="17"/>
  <c r="Q322" i="17"/>
  <c r="Q323" i="17" s="1"/>
  <c r="H82" i="15" s="1"/>
  <c r="H84" i="15" s="1"/>
  <c r="N322" i="17"/>
  <c r="L323" i="17"/>
  <c r="F323" i="17"/>
  <c r="I322" i="17"/>
  <c r="J288" i="17"/>
  <c r="M281" i="17"/>
  <c r="N317" i="17"/>
  <c r="N309" i="17"/>
  <c r="N301" i="17"/>
  <c r="N292" i="17"/>
  <c r="N274" i="17"/>
  <c r="J279" i="17"/>
  <c r="J280" i="17" s="1"/>
  <c r="M280" i="17" s="1"/>
  <c r="M272" i="17"/>
  <c r="N283" i="17"/>
  <c r="N276" i="17"/>
  <c r="L280" i="17"/>
  <c r="N271" i="17"/>
  <c r="N267" i="17"/>
  <c r="I537" i="13"/>
  <c r="I516" i="13"/>
  <c r="I549" i="13"/>
  <c r="I500" i="13"/>
  <c r="I577" i="13"/>
  <c r="I578" i="13" s="1"/>
  <c r="I574" i="1"/>
  <c r="J522" i="1"/>
  <c r="G531" i="1"/>
  <c r="G510" i="1"/>
  <c r="J499" i="1"/>
  <c r="G572" i="1"/>
  <c r="J550" i="1"/>
  <c r="D204" i="14"/>
  <c r="T187" i="14" l="1"/>
  <c r="T193" i="14"/>
  <c r="S185" i="14"/>
  <c r="T185" i="14" s="1"/>
  <c r="S191" i="14"/>
  <c r="T191" i="14" s="1"/>
  <c r="T183" i="14"/>
  <c r="T184" i="14"/>
  <c r="L638" i="17"/>
  <c r="J575" i="17"/>
  <c r="N575" i="17" s="1"/>
  <c r="M574" i="17"/>
  <c r="M450" i="17"/>
  <c r="N450" i="17"/>
  <c r="M618" i="17"/>
  <c r="J637" i="17"/>
  <c r="L576" i="17"/>
  <c r="M512" i="17"/>
  <c r="J513" i="17"/>
  <c r="N512" i="17"/>
  <c r="G511" i="1"/>
  <c r="J511" i="1" s="1"/>
  <c r="F579" i="13"/>
  <c r="I517" i="13"/>
  <c r="T192" i="14"/>
  <c r="J387" i="17"/>
  <c r="M387" i="17" s="1"/>
  <c r="M386" i="17"/>
  <c r="N387" i="17"/>
  <c r="G661" i="1"/>
  <c r="G689" i="1" s="1"/>
  <c r="J689" i="1" s="1"/>
  <c r="J660" i="1"/>
  <c r="J661" i="1" s="1"/>
  <c r="Q280" i="17"/>
  <c r="Q324" i="17" s="1"/>
  <c r="H76" i="15"/>
  <c r="H78" i="15" s="1"/>
  <c r="H85" i="15" s="1"/>
  <c r="G85" i="15"/>
  <c r="T188" i="14"/>
  <c r="I551" i="13"/>
  <c r="I552" i="13" s="1"/>
  <c r="T186" i="14"/>
  <c r="T190" i="14"/>
  <c r="S181" i="14"/>
  <c r="T181" i="14" s="1"/>
  <c r="S179" i="14"/>
  <c r="T179" i="14" s="1"/>
  <c r="S180" i="14"/>
  <c r="T180" i="14" s="1"/>
  <c r="R182" i="14"/>
  <c r="P182" i="14"/>
  <c r="Q182" i="14"/>
  <c r="M288" i="17"/>
  <c r="N288" i="17"/>
  <c r="J289" i="17"/>
  <c r="F324" i="17"/>
  <c r="I324" i="17" s="1"/>
  <c r="I323" i="17"/>
  <c r="J323" i="17"/>
  <c r="M322" i="17"/>
  <c r="N280" i="17"/>
  <c r="M279" i="17"/>
  <c r="N279" i="17"/>
  <c r="L324" i="17"/>
  <c r="N323" i="17"/>
  <c r="G573" i="1"/>
  <c r="J572" i="1"/>
  <c r="J573" i="1" s="1"/>
  <c r="J509" i="1"/>
  <c r="J510" i="1"/>
  <c r="G545" i="1"/>
  <c r="J531" i="1"/>
  <c r="E422" i="1"/>
  <c r="E429" i="1"/>
  <c r="E458" i="1"/>
  <c r="E454" i="1"/>
  <c r="E448" i="1"/>
  <c r="E446" i="1"/>
  <c r="E453" i="1"/>
  <c r="S182" i="14" l="1"/>
  <c r="T182" i="14" s="1"/>
  <c r="M513" i="17"/>
  <c r="N513" i="17"/>
  <c r="J638" i="17"/>
  <c r="M637" i="17"/>
  <c r="N637" i="17"/>
  <c r="M575" i="17"/>
  <c r="J576" i="17"/>
  <c r="M576" i="17" s="1"/>
  <c r="N638" i="17"/>
  <c r="L639" i="17"/>
  <c r="I579" i="13"/>
  <c r="J324" i="17"/>
  <c r="M324" i="17" s="1"/>
  <c r="M323" i="17"/>
  <c r="N324" i="17"/>
  <c r="M289" i="17"/>
  <c r="N289" i="17"/>
  <c r="G546" i="1"/>
  <c r="G574" i="1" s="1"/>
  <c r="J545" i="1"/>
  <c r="J546" i="1" s="1"/>
  <c r="L216" i="14"/>
  <c r="K216" i="14" s="1"/>
  <c r="O216" i="14" s="1"/>
  <c r="G216" i="14"/>
  <c r="C216" i="14"/>
  <c r="L215" i="14"/>
  <c r="K215" i="14" s="1"/>
  <c r="O215" i="14" s="1"/>
  <c r="G215" i="14"/>
  <c r="C215" i="14"/>
  <c r="L214" i="14"/>
  <c r="K214" i="14" s="1"/>
  <c r="O214" i="14" s="1"/>
  <c r="G214" i="14"/>
  <c r="C214" i="14"/>
  <c r="L213" i="14"/>
  <c r="K213" i="14" s="1"/>
  <c r="O213" i="14" s="1"/>
  <c r="G213" i="14"/>
  <c r="C213" i="14"/>
  <c r="L212" i="14"/>
  <c r="K212" i="14" s="1"/>
  <c r="O212" i="14" s="1"/>
  <c r="G212" i="14"/>
  <c r="C212" i="14"/>
  <c r="L211" i="14"/>
  <c r="K211" i="14" s="1"/>
  <c r="G211" i="14"/>
  <c r="C211" i="14"/>
  <c r="L210" i="14"/>
  <c r="K210" i="14" s="1"/>
  <c r="M210" i="14" s="1"/>
  <c r="G210" i="14"/>
  <c r="C210" i="14"/>
  <c r="L209" i="14"/>
  <c r="K209" i="14" s="1"/>
  <c r="G209" i="14"/>
  <c r="C209" i="14"/>
  <c r="L208" i="14"/>
  <c r="K208" i="14" s="1"/>
  <c r="M208" i="14" s="1"/>
  <c r="G208" i="14"/>
  <c r="C208" i="14"/>
  <c r="L207" i="14"/>
  <c r="K207" i="14" s="1"/>
  <c r="G207" i="14"/>
  <c r="C207" i="14"/>
  <c r="L206" i="14"/>
  <c r="K206" i="14" s="1"/>
  <c r="M206" i="14" s="1"/>
  <c r="G206" i="14"/>
  <c r="C206" i="14"/>
  <c r="L205" i="14"/>
  <c r="K205" i="14" s="1"/>
  <c r="G205" i="14"/>
  <c r="C205" i="14"/>
  <c r="L204" i="14"/>
  <c r="K204" i="14" s="1"/>
  <c r="M204" i="14" s="1"/>
  <c r="G204" i="14"/>
  <c r="C204" i="14"/>
  <c r="L203" i="14"/>
  <c r="K203" i="14" s="1"/>
  <c r="G203" i="14"/>
  <c r="C203" i="14"/>
  <c r="L202" i="14"/>
  <c r="K202" i="14" s="1"/>
  <c r="M202" i="14" s="1"/>
  <c r="G202" i="14"/>
  <c r="C202" i="14"/>
  <c r="L201" i="14"/>
  <c r="K201" i="14" s="1"/>
  <c r="M201" i="14" s="1"/>
  <c r="G201" i="14"/>
  <c r="C201" i="14"/>
  <c r="G45" i="15"/>
  <c r="E68" i="15"/>
  <c r="E65" i="15"/>
  <c r="E62" i="15"/>
  <c r="H425" i="16"/>
  <c r="F425" i="16"/>
  <c r="I425" i="16" s="1"/>
  <c r="I426" i="16" s="1"/>
  <c r="E424" i="16"/>
  <c r="H423" i="16"/>
  <c r="H422" i="16"/>
  <c r="H421" i="16"/>
  <c r="I421" i="16" s="1"/>
  <c r="H420" i="16"/>
  <c r="H419" i="16"/>
  <c r="H418" i="16"/>
  <c r="H417" i="16"/>
  <c r="H416" i="16"/>
  <c r="H415" i="16"/>
  <c r="H414" i="16"/>
  <c r="H413" i="16"/>
  <c r="H412" i="16"/>
  <c r="H411" i="16"/>
  <c r="H410" i="16"/>
  <c r="H409" i="16"/>
  <c r="H408" i="16"/>
  <c r="H407" i="16"/>
  <c r="H406" i="16"/>
  <c r="H405" i="16"/>
  <c r="H404" i="16"/>
  <c r="H403" i="16"/>
  <c r="H402" i="16"/>
  <c r="H401" i="16"/>
  <c r="H400" i="16"/>
  <c r="H399" i="16"/>
  <c r="E398" i="16"/>
  <c r="H397" i="16"/>
  <c r="H396" i="16"/>
  <c r="H395" i="16"/>
  <c r="H394" i="16"/>
  <c r="H393" i="16"/>
  <c r="H392" i="16"/>
  <c r="H391" i="16"/>
  <c r="H390" i="16"/>
  <c r="H389" i="16"/>
  <c r="H388" i="16"/>
  <c r="H387" i="16"/>
  <c r="H386" i="16"/>
  <c r="H385" i="16"/>
  <c r="H384" i="16"/>
  <c r="H383" i="16"/>
  <c r="H382" i="16"/>
  <c r="H381" i="16"/>
  <c r="H380" i="16"/>
  <c r="H379" i="16"/>
  <c r="H378" i="16"/>
  <c r="H377" i="16"/>
  <c r="H376" i="16"/>
  <c r="H375" i="16"/>
  <c r="H374" i="16"/>
  <c r="H373" i="16"/>
  <c r="H372" i="16"/>
  <c r="H371" i="16"/>
  <c r="H370" i="16"/>
  <c r="H369" i="16"/>
  <c r="I367" i="16"/>
  <c r="E366" i="16"/>
  <c r="H365" i="16"/>
  <c r="H364" i="16"/>
  <c r="H363" i="16"/>
  <c r="H362" i="16"/>
  <c r="E361" i="16"/>
  <c r="H360" i="16"/>
  <c r="H359" i="16"/>
  <c r="H358" i="16"/>
  <c r="H357" i="16"/>
  <c r="H356" i="16"/>
  <c r="H355" i="16"/>
  <c r="E354" i="16"/>
  <c r="H353" i="16"/>
  <c r="H352" i="16"/>
  <c r="H351" i="16"/>
  <c r="H350" i="16"/>
  <c r="H349" i="16"/>
  <c r="H348" i="16"/>
  <c r="H347" i="16"/>
  <c r="H346" i="16"/>
  <c r="H345" i="16"/>
  <c r="H344" i="16"/>
  <c r="H343" i="16"/>
  <c r="H342" i="16"/>
  <c r="H341" i="16"/>
  <c r="H340" i="16"/>
  <c r="H339" i="16"/>
  <c r="L207" i="17"/>
  <c r="K207" i="17"/>
  <c r="L206" i="17"/>
  <c r="K206" i="17"/>
  <c r="L205" i="17"/>
  <c r="K205" i="17"/>
  <c r="L204" i="17"/>
  <c r="K204" i="17"/>
  <c r="E261" i="17"/>
  <c r="E260" i="17"/>
  <c r="D260" i="17"/>
  <c r="H259" i="17"/>
  <c r="H260" i="17" s="1"/>
  <c r="G259" i="17"/>
  <c r="G260" i="17" s="1"/>
  <c r="D259" i="17"/>
  <c r="P258" i="17"/>
  <c r="L258" i="17"/>
  <c r="K258" i="17"/>
  <c r="I258" i="17"/>
  <c r="F258" i="17"/>
  <c r="Q257" i="17"/>
  <c r="P257" i="17"/>
  <c r="N257" i="17"/>
  <c r="L257" i="17"/>
  <c r="K257" i="17"/>
  <c r="J257" i="17"/>
  <c r="M257" i="17" s="1"/>
  <c r="F257" i="17"/>
  <c r="I257" i="17" s="1"/>
  <c r="P256" i="17"/>
  <c r="L256" i="17"/>
  <c r="K256" i="17"/>
  <c r="I256" i="17"/>
  <c r="F256" i="17"/>
  <c r="Q255" i="17"/>
  <c r="P255" i="17"/>
  <c r="L255" i="17"/>
  <c r="N255" i="17" s="1"/>
  <c r="K255" i="17"/>
  <c r="J255" i="17"/>
  <c r="M255" i="17" s="1"/>
  <c r="F255" i="17"/>
  <c r="I255" i="17" s="1"/>
  <c r="P254" i="17"/>
  <c r="L254" i="17"/>
  <c r="K254" i="17"/>
  <c r="I254" i="17"/>
  <c r="F254" i="17"/>
  <c r="Q253" i="17"/>
  <c r="P253" i="17"/>
  <c r="N253" i="17"/>
  <c r="L253" i="17"/>
  <c r="K253" i="17"/>
  <c r="J253" i="17"/>
  <c r="M253" i="17" s="1"/>
  <c r="F253" i="17"/>
  <c r="I253" i="17" s="1"/>
  <c r="P252" i="17"/>
  <c r="L252" i="17"/>
  <c r="K252" i="17"/>
  <c r="I252" i="17"/>
  <c r="F252" i="17"/>
  <c r="P251" i="17"/>
  <c r="L251" i="17"/>
  <c r="K251" i="17"/>
  <c r="Q251" i="17" s="1"/>
  <c r="F251" i="17"/>
  <c r="I251" i="17" s="1"/>
  <c r="P250" i="17"/>
  <c r="L250" i="17"/>
  <c r="K250" i="17"/>
  <c r="F250" i="17"/>
  <c r="I250" i="17" s="1"/>
  <c r="P249" i="17"/>
  <c r="L249" i="17"/>
  <c r="N249" i="17" s="1"/>
  <c r="K249" i="17"/>
  <c r="Q249" i="17" s="1"/>
  <c r="J249" i="17"/>
  <c r="M249" i="17" s="1"/>
  <c r="F249" i="17"/>
  <c r="I249" i="17" s="1"/>
  <c r="P248" i="17"/>
  <c r="L248" i="17"/>
  <c r="K248" i="17"/>
  <c r="F248" i="17"/>
  <c r="I248" i="17" s="1"/>
  <c r="P247" i="17"/>
  <c r="L247" i="17"/>
  <c r="K247" i="17"/>
  <c r="Q247" i="17" s="1"/>
  <c r="F247" i="17"/>
  <c r="I247" i="17" s="1"/>
  <c r="P246" i="17"/>
  <c r="L246" i="17"/>
  <c r="K246" i="17"/>
  <c r="I246" i="17"/>
  <c r="F246" i="17"/>
  <c r="Q245" i="17"/>
  <c r="P245" i="17"/>
  <c r="N245" i="17"/>
  <c r="L245" i="17"/>
  <c r="K245" i="17"/>
  <c r="J245" i="17"/>
  <c r="M245" i="17" s="1"/>
  <c r="F245" i="17"/>
  <c r="I245" i="17" s="1"/>
  <c r="P244" i="17"/>
  <c r="L244" i="17"/>
  <c r="K244" i="17"/>
  <c r="I244" i="17"/>
  <c r="F244" i="17"/>
  <c r="Q243" i="17"/>
  <c r="P243" i="17"/>
  <c r="L243" i="17"/>
  <c r="N243" i="17" s="1"/>
  <c r="K243" i="17"/>
  <c r="J243" i="17"/>
  <c r="M243" i="17" s="1"/>
  <c r="F243" i="17"/>
  <c r="I243" i="17" s="1"/>
  <c r="P242" i="17"/>
  <c r="L242" i="17"/>
  <c r="K242" i="17"/>
  <c r="I242" i="17"/>
  <c r="F242" i="17"/>
  <c r="P241" i="17"/>
  <c r="L241" i="17"/>
  <c r="K241" i="17"/>
  <c r="F241" i="17"/>
  <c r="I241" i="17" s="1"/>
  <c r="P240" i="17"/>
  <c r="L240" i="17"/>
  <c r="K240" i="17"/>
  <c r="I240" i="17"/>
  <c r="F240" i="17"/>
  <c r="Q239" i="17"/>
  <c r="P239" i="17"/>
  <c r="L239" i="17"/>
  <c r="K239" i="17"/>
  <c r="J239" i="17"/>
  <c r="M239" i="17" s="1"/>
  <c r="F239" i="17"/>
  <c r="I239" i="17" s="1"/>
  <c r="P238" i="17"/>
  <c r="L238" i="17"/>
  <c r="K238" i="17"/>
  <c r="I238" i="17"/>
  <c r="F238" i="17"/>
  <c r="Q237" i="17"/>
  <c r="P237" i="17"/>
  <c r="N237" i="17"/>
  <c r="L237" i="17"/>
  <c r="K237" i="17"/>
  <c r="J237" i="17"/>
  <c r="M237" i="17" s="1"/>
  <c r="F237" i="17"/>
  <c r="I237" i="17" s="1"/>
  <c r="P236" i="17"/>
  <c r="L236" i="17"/>
  <c r="K236" i="17"/>
  <c r="I236" i="17"/>
  <c r="F236" i="17"/>
  <c r="Q235" i="17"/>
  <c r="P235" i="17"/>
  <c r="L235" i="17"/>
  <c r="N235" i="17" s="1"/>
  <c r="K235" i="17"/>
  <c r="J235" i="17"/>
  <c r="M235" i="17" s="1"/>
  <c r="F235" i="17"/>
  <c r="I235" i="17" s="1"/>
  <c r="P234" i="17"/>
  <c r="L234" i="17"/>
  <c r="K234" i="17"/>
  <c r="I234" i="17"/>
  <c r="F234" i="17"/>
  <c r="P233" i="17"/>
  <c r="L233" i="17"/>
  <c r="K233" i="17"/>
  <c r="J233" i="17" s="1"/>
  <c r="N233" i="17" s="1"/>
  <c r="F233" i="17"/>
  <c r="P232" i="17"/>
  <c r="L232" i="17"/>
  <c r="K232" i="17"/>
  <c r="I232" i="17"/>
  <c r="F232" i="17"/>
  <c r="Q231" i="17"/>
  <c r="P231" i="17"/>
  <c r="L231" i="17"/>
  <c r="K231" i="17"/>
  <c r="J231" i="17"/>
  <c r="F231" i="17"/>
  <c r="I231" i="17" s="1"/>
  <c r="P230" i="17"/>
  <c r="L230" i="17"/>
  <c r="K230" i="17"/>
  <c r="Q230" i="17" s="1"/>
  <c r="F230" i="17"/>
  <c r="I230" i="17" s="1"/>
  <c r="P229" i="17"/>
  <c r="L229" i="17"/>
  <c r="K229" i="17"/>
  <c r="Q229" i="17" s="1"/>
  <c r="F229" i="17"/>
  <c r="I229" i="17" s="1"/>
  <c r="Q228" i="17"/>
  <c r="P228" i="17"/>
  <c r="L228" i="17"/>
  <c r="N228" i="17" s="1"/>
  <c r="K228" i="17"/>
  <c r="J228" i="17"/>
  <c r="M228" i="17" s="1"/>
  <c r="F228" i="17"/>
  <c r="I228" i="17" s="1"/>
  <c r="P227" i="17"/>
  <c r="L227" i="17"/>
  <c r="K227" i="17"/>
  <c r="I227" i="17"/>
  <c r="F227" i="17"/>
  <c r="H226" i="17"/>
  <c r="E226" i="17"/>
  <c r="D226" i="17"/>
  <c r="H225" i="17"/>
  <c r="G225" i="17"/>
  <c r="G226" i="17" s="1"/>
  <c r="Q224" i="17"/>
  <c r="P224" i="17"/>
  <c r="L224" i="17"/>
  <c r="N224" i="17" s="1"/>
  <c r="K224" i="17"/>
  <c r="J224" i="17"/>
  <c r="M224" i="17" s="1"/>
  <c r="F224" i="17"/>
  <c r="I224" i="17" s="1"/>
  <c r="P223" i="17"/>
  <c r="L223" i="17"/>
  <c r="K223" i="17"/>
  <c r="Q223" i="17" s="1"/>
  <c r="I223" i="17"/>
  <c r="F223" i="17"/>
  <c r="P222" i="17"/>
  <c r="L222" i="17"/>
  <c r="K222" i="17"/>
  <c r="J222" i="17" s="1"/>
  <c r="F222" i="17"/>
  <c r="I222" i="17" s="1"/>
  <c r="P221" i="17"/>
  <c r="L221" i="17"/>
  <c r="K221" i="17"/>
  <c r="Q221" i="17" s="1"/>
  <c r="F221" i="17"/>
  <c r="I221" i="17" s="1"/>
  <c r="P220" i="17"/>
  <c r="L220" i="17"/>
  <c r="K220" i="17"/>
  <c r="Q220" i="17" s="1"/>
  <c r="I220" i="17"/>
  <c r="F220" i="17"/>
  <c r="Q219" i="17"/>
  <c r="P219" i="17"/>
  <c r="L219" i="17"/>
  <c r="N219" i="17" s="1"/>
  <c r="K219" i="17"/>
  <c r="J219" i="17"/>
  <c r="M219" i="17" s="1"/>
  <c r="F219" i="17"/>
  <c r="I219" i="17" s="1"/>
  <c r="P218" i="17"/>
  <c r="L218" i="17"/>
  <c r="L225" i="17" s="1"/>
  <c r="K218" i="17"/>
  <c r="Q218" i="17" s="1"/>
  <c r="I218" i="17"/>
  <c r="F218" i="17"/>
  <c r="F225" i="17" s="1"/>
  <c r="E217" i="17"/>
  <c r="H216" i="17"/>
  <c r="G216" i="17"/>
  <c r="D216" i="17"/>
  <c r="D217" i="17" s="1"/>
  <c r="P215" i="17"/>
  <c r="L215" i="17"/>
  <c r="K215" i="17"/>
  <c r="I215" i="17"/>
  <c r="F215" i="17"/>
  <c r="Q214" i="17"/>
  <c r="P214" i="17"/>
  <c r="L214" i="17"/>
  <c r="N214" i="17" s="1"/>
  <c r="K214" i="17"/>
  <c r="J214" i="17"/>
  <c r="M214" i="17" s="1"/>
  <c r="F214" i="17"/>
  <c r="I214" i="17" s="1"/>
  <c r="P213" i="17"/>
  <c r="L213" i="17"/>
  <c r="K213" i="17"/>
  <c r="F213" i="17"/>
  <c r="I213" i="17" s="1"/>
  <c r="P212" i="17"/>
  <c r="L212" i="17"/>
  <c r="N212" i="17" s="1"/>
  <c r="K212" i="17"/>
  <c r="Q212" i="17" s="1"/>
  <c r="J212" i="17"/>
  <c r="M212" i="17" s="1"/>
  <c r="F212" i="17"/>
  <c r="I212" i="17" s="1"/>
  <c r="P211" i="17"/>
  <c r="L211" i="17"/>
  <c r="K211" i="17"/>
  <c r="F211" i="17"/>
  <c r="I211" i="17" s="1"/>
  <c r="P210" i="17"/>
  <c r="L210" i="17"/>
  <c r="K210" i="17"/>
  <c r="Q210" i="17" s="1"/>
  <c r="F210" i="17"/>
  <c r="I210" i="17" s="1"/>
  <c r="P209" i="17"/>
  <c r="L209" i="17"/>
  <c r="K209" i="17"/>
  <c r="I209" i="17"/>
  <c r="F209" i="17"/>
  <c r="H208" i="17"/>
  <c r="H217" i="17" s="1"/>
  <c r="G208" i="17"/>
  <c r="G217" i="17" s="1"/>
  <c r="D208" i="17"/>
  <c r="Q207" i="17"/>
  <c r="P207" i="17"/>
  <c r="N207" i="17"/>
  <c r="J207" i="17"/>
  <c r="M207" i="17" s="1"/>
  <c r="F207" i="17"/>
  <c r="I207" i="17" s="1"/>
  <c r="P206" i="17"/>
  <c r="F206" i="17"/>
  <c r="I206" i="17" s="1"/>
  <c r="Q205" i="17"/>
  <c r="P205" i="17"/>
  <c r="J205" i="17"/>
  <c r="M205" i="17" s="1"/>
  <c r="F205" i="17"/>
  <c r="I205" i="17" s="1"/>
  <c r="P204" i="17"/>
  <c r="I204" i="17"/>
  <c r="F204" i="17"/>
  <c r="P203" i="17"/>
  <c r="L203" i="17"/>
  <c r="K203" i="17"/>
  <c r="Q203" i="17" s="1"/>
  <c r="J203" i="17"/>
  <c r="M203" i="17" s="1"/>
  <c r="F203" i="17"/>
  <c r="I203" i="17" s="1"/>
  <c r="F461" i="13"/>
  <c r="F460" i="13"/>
  <c r="F458" i="13"/>
  <c r="I458" i="13" s="1"/>
  <c r="F457" i="13"/>
  <c r="F456" i="13"/>
  <c r="I457" i="13"/>
  <c r="F454" i="13"/>
  <c r="I454" i="13" s="1"/>
  <c r="F453" i="13"/>
  <c r="I453" i="13" s="1"/>
  <c r="F452" i="13"/>
  <c r="I452" i="13" s="1"/>
  <c r="F451" i="13"/>
  <c r="F449" i="13"/>
  <c r="I449" i="13" s="1"/>
  <c r="F448" i="13"/>
  <c r="F446" i="13"/>
  <c r="I446" i="13" s="1"/>
  <c r="F445" i="13"/>
  <c r="I445" i="13" s="1"/>
  <c r="F444" i="13"/>
  <c r="I444" i="13" s="1"/>
  <c r="F443" i="13"/>
  <c r="F441" i="13"/>
  <c r="I441" i="13" s="1"/>
  <c r="F440" i="13"/>
  <c r="F439" i="13"/>
  <c r="F436" i="13"/>
  <c r="I436" i="13" s="1"/>
  <c r="F433" i="13"/>
  <c r="I433" i="13" s="1"/>
  <c r="F432" i="13"/>
  <c r="I432" i="13" s="1"/>
  <c r="F431" i="13"/>
  <c r="I431" i="13" s="1"/>
  <c r="F430" i="13"/>
  <c r="I430" i="13" s="1"/>
  <c r="F429" i="13"/>
  <c r="I429" i="13" s="1"/>
  <c r="F428" i="13"/>
  <c r="F426" i="13"/>
  <c r="F425" i="13"/>
  <c r="F424" i="13"/>
  <c r="I424" i="13" s="1"/>
  <c r="F421" i="13"/>
  <c r="I421" i="13" s="1"/>
  <c r="F420" i="13"/>
  <c r="F419" i="13"/>
  <c r="I419" i="13" s="1"/>
  <c r="F418" i="13"/>
  <c r="I418" i="13" s="1"/>
  <c r="F417" i="13"/>
  <c r="I417" i="13" s="1"/>
  <c r="F416" i="13"/>
  <c r="F415" i="13"/>
  <c r="F413" i="13"/>
  <c r="I413" i="13" s="1"/>
  <c r="F412" i="13"/>
  <c r="I412" i="13" s="1"/>
  <c r="F411" i="13"/>
  <c r="F410" i="13"/>
  <c r="I410" i="13" s="1"/>
  <c r="F409" i="13"/>
  <c r="I409" i="13" s="1"/>
  <c r="F408" i="13"/>
  <c r="I408" i="13" s="1"/>
  <c r="F407" i="13"/>
  <c r="F406" i="13"/>
  <c r="I406" i="13" s="1"/>
  <c r="F405" i="13"/>
  <c r="I405" i="13" s="1"/>
  <c r="F404" i="13"/>
  <c r="F400" i="13"/>
  <c r="I400" i="13" s="1"/>
  <c r="F399" i="13"/>
  <c r="F398" i="13"/>
  <c r="I398" i="13" s="1"/>
  <c r="F397" i="13"/>
  <c r="I397" i="13" s="1"/>
  <c r="F396" i="13"/>
  <c r="I396" i="13" s="1"/>
  <c r="F395" i="13"/>
  <c r="I395" i="13" s="1"/>
  <c r="F394" i="13"/>
  <c r="I394" i="13" s="1"/>
  <c r="F393" i="13"/>
  <c r="I393" i="13" s="1"/>
  <c r="F392" i="13"/>
  <c r="F390" i="13"/>
  <c r="I390" i="13" s="1"/>
  <c r="F389" i="13"/>
  <c r="I389" i="13" s="1"/>
  <c r="F388" i="13"/>
  <c r="I388" i="13" s="1"/>
  <c r="F387" i="13"/>
  <c r="F384" i="13"/>
  <c r="I384" i="13" s="1"/>
  <c r="F383" i="13"/>
  <c r="I383" i="13" s="1"/>
  <c r="F382" i="13"/>
  <c r="F380" i="13"/>
  <c r="F379" i="13"/>
  <c r="I379" i="13" s="1"/>
  <c r="F378" i="13"/>
  <c r="F376" i="13"/>
  <c r="I376" i="13" s="1"/>
  <c r="F375" i="13"/>
  <c r="I375" i="13" s="1"/>
  <c r="F374" i="13"/>
  <c r="I374" i="13" s="1"/>
  <c r="F373" i="13"/>
  <c r="I373" i="13" s="1"/>
  <c r="F372" i="13"/>
  <c r="I372" i="13" s="1"/>
  <c r="F371" i="13"/>
  <c r="I371" i="13" s="1"/>
  <c r="F370" i="13"/>
  <c r="F368" i="13"/>
  <c r="I368" i="13" s="1"/>
  <c r="F367" i="13"/>
  <c r="I367" i="13" s="1"/>
  <c r="F366" i="13"/>
  <c r="I366" i="13" s="1"/>
  <c r="F365" i="13"/>
  <c r="I365" i="13" s="1"/>
  <c r="F364" i="13"/>
  <c r="I364" i="13" s="1"/>
  <c r="F363" i="13"/>
  <c r="I363" i="13" s="1"/>
  <c r="F362" i="13"/>
  <c r="F360" i="13"/>
  <c r="I360" i="13" s="1"/>
  <c r="F359" i="13"/>
  <c r="I359" i="13" s="1"/>
  <c r="F358" i="13"/>
  <c r="I358" i="13" s="1"/>
  <c r="F357" i="13"/>
  <c r="J462" i="13"/>
  <c r="I462" i="13"/>
  <c r="I426" i="13"/>
  <c r="I420" i="13"/>
  <c r="I416" i="13"/>
  <c r="I411" i="13"/>
  <c r="I407" i="13"/>
  <c r="I380" i="13"/>
  <c r="F459" i="1"/>
  <c r="F460" i="1" s="1"/>
  <c r="I458" i="1"/>
  <c r="H458" i="1"/>
  <c r="G457" i="1"/>
  <c r="J457" i="1" s="1"/>
  <c r="G456" i="1"/>
  <c r="J456" i="1" s="1"/>
  <c r="I455" i="1"/>
  <c r="H455" i="1"/>
  <c r="E455" i="1"/>
  <c r="G454" i="1"/>
  <c r="J454" i="1" s="1"/>
  <c r="G453" i="1"/>
  <c r="J453" i="1" s="1"/>
  <c r="G452" i="1"/>
  <c r="J452" i="1" s="1"/>
  <c r="I451" i="1"/>
  <c r="H451" i="1"/>
  <c r="E451" i="1"/>
  <c r="G450" i="1"/>
  <c r="J450" i="1" s="1"/>
  <c r="G449" i="1"/>
  <c r="J449" i="1" s="1"/>
  <c r="G448" i="1"/>
  <c r="J448" i="1" s="1"/>
  <c r="G447" i="1"/>
  <c r="J447" i="1" s="1"/>
  <c r="G446" i="1"/>
  <c r="J446" i="1" s="1"/>
  <c r="I445" i="1"/>
  <c r="H445" i="1"/>
  <c r="E445" i="1"/>
  <c r="G444" i="1"/>
  <c r="J444" i="1" s="1"/>
  <c r="G443" i="1"/>
  <c r="I442" i="1"/>
  <c r="H442" i="1"/>
  <c r="E442" i="1"/>
  <c r="G441" i="1"/>
  <c r="J441" i="1" s="1"/>
  <c r="G440" i="1"/>
  <c r="J440" i="1" s="1"/>
  <c r="G439" i="1"/>
  <c r="J439" i="1" s="1"/>
  <c r="G438" i="1"/>
  <c r="I437" i="1"/>
  <c r="H437" i="1"/>
  <c r="E437" i="1"/>
  <c r="G436" i="1"/>
  <c r="J436" i="1" s="1"/>
  <c r="G435" i="1"/>
  <c r="J435" i="1" s="1"/>
  <c r="G434" i="1"/>
  <c r="J434" i="1" s="1"/>
  <c r="F432" i="1"/>
  <c r="F433" i="1" s="1"/>
  <c r="G431" i="1"/>
  <c r="J431" i="1" s="1"/>
  <c r="I429" i="1"/>
  <c r="H429" i="1"/>
  <c r="E430" i="1"/>
  <c r="G428" i="1"/>
  <c r="J428" i="1" s="1"/>
  <c r="J427" i="1"/>
  <c r="G426" i="1"/>
  <c r="J426" i="1" s="1"/>
  <c r="J425" i="1"/>
  <c r="G424" i="1"/>
  <c r="J424" i="1" s="1"/>
  <c r="G423" i="1"/>
  <c r="J423" i="1" s="1"/>
  <c r="I422" i="1"/>
  <c r="I430" i="1" s="1"/>
  <c r="H422" i="1"/>
  <c r="G421" i="1"/>
  <c r="J421" i="1" s="1"/>
  <c r="G420" i="1"/>
  <c r="J420" i="1" s="1"/>
  <c r="G419" i="1"/>
  <c r="J419" i="1" s="1"/>
  <c r="I417" i="1"/>
  <c r="H417" i="1"/>
  <c r="E417" i="1"/>
  <c r="G416" i="1"/>
  <c r="J416" i="1" s="1"/>
  <c r="J415" i="1"/>
  <c r="G414" i="1"/>
  <c r="J414" i="1" s="1"/>
  <c r="G413" i="1"/>
  <c r="J413" i="1" s="1"/>
  <c r="G412" i="1"/>
  <c r="J412" i="1" s="1"/>
  <c r="G411" i="1"/>
  <c r="J411" i="1" s="1"/>
  <c r="G410" i="1"/>
  <c r="J410" i="1" s="1"/>
  <c r="I409" i="1"/>
  <c r="H409" i="1"/>
  <c r="H418" i="1" s="1"/>
  <c r="E409" i="1"/>
  <c r="G408" i="1"/>
  <c r="J408" i="1" s="1"/>
  <c r="G407" i="1"/>
  <c r="J407" i="1" s="1"/>
  <c r="G406" i="1"/>
  <c r="J406" i="1" s="1"/>
  <c r="G405" i="1"/>
  <c r="J405" i="1" s="1"/>
  <c r="G404" i="1"/>
  <c r="J404" i="1" s="1"/>
  <c r="G403" i="1"/>
  <c r="J403" i="1" s="1"/>
  <c r="G402" i="1"/>
  <c r="J402" i="1" s="1"/>
  <c r="G401" i="1"/>
  <c r="J401" i="1" s="1"/>
  <c r="G400" i="1"/>
  <c r="J400" i="1" s="1"/>
  <c r="G399" i="1"/>
  <c r="J399" i="1" s="1"/>
  <c r="F397" i="1"/>
  <c r="I396" i="1"/>
  <c r="M396" i="1" s="1"/>
  <c r="H396" i="1"/>
  <c r="L396" i="1" s="1"/>
  <c r="E396" i="1"/>
  <c r="E397" i="1" s="1"/>
  <c r="C61" i="15" s="1"/>
  <c r="G395" i="1"/>
  <c r="J395" i="1" s="1"/>
  <c r="G394" i="1"/>
  <c r="J394" i="1" s="1"/>
  <c r="G393" i="1"/>
  <c r="J393" i="1" s="1"/>
  <c r="G392" i="1"/>
  <c r="J392" i="1" s="1"/>
  <c r="G391" i="1"/>
  <c r="J391" i="1" s="1"/>
  <c r="G390" i="1"/>
  <c r="J390" i="1" s="1"/>
  <c r="G389" i="1"/>
  <c r="J389" i="1" s="1"/>
  <c r="G388" i="1"/>
  <c r="J388" i="1" s="1"/>
  <c r="G387" i="1"/>
  <c r="J387" i="1" s="1"/>
  <c r="I386" i="1"/>
  <c r="H386" i="1"/>
  <c r="H397" i="1" s="1"/>
  <c r="E386" i="1"/>
  <c r="G385" i="1"/>
  <c r="J385" i="1" s="1"/>
  <c r="G384" i="1"/>
  <c r="J384" i="1" s="1"/>
  <c r="G383" i="1"/>
  <c r="J383" i="1" s="1"/>
  <c r="G382" i="1"/>
  <c r="J382" i="1" s="1"/>
  <c r="I380" i="1"/>
  <c r="H380" i="1"/>
  <c r="E380" i="1"/>
  <c r="G379" i="1"/>
  <c r="J379" i="1" s="1"/>
  <c r="G378" i="1"/>
  <c r="J378" i="1" s="1"/>
  <c r="G377" i="1"/>
  <c r="J377" i="1" s="1"/>
  <c r="I376" i="1"/>
  <c r="H376" i="1"/>
  <c r="F376" i="1"/>
  <c r="F381" i="1" s="1"/>
  <c r="F398" i="1" s="1"/>
  <c r="F461" i="1" s="1"/>
  <c r="E376" i="1"/>
  <c r="G375" i="1"/>
  <c r="G374" i="1"/>
  <c r="J374" i="1" s="1"/>
  <c r="G373" i="1"/>
  <c r="J373" i="1" s="1"/>
  <c r="I372" i="1"/>
  <c r="H372" i="1"/>
  <c r="E372" i="1"/>
  <c r="G371" i="1"/>
  <c r="J371" i="1" s="1"/>
  <c r="G370" i="1"/>
  <c r="J370" i="1" s="1"/>
  <c r="G369" i="1"/>
  <c r="J369" i="1" s="1"/>
  <c r="G368" i="1"/>
  <c r="J368" i="1" s="1"/>
  <c r="G367" i="1"/>
  <c r="J367" i="1" s="1"/>
  <c r="G366" i="1"/>
  <c r="J366" i="1" s="1"/>
  <c r="G365" i="1"/>
  <c r="J365" i="1" s="1"/>
  <c r="I364" i="1"/>
  <c r="H364" i="1"/>
  <c r="E364" i="1"/>
  <c r="G363" i="1"/>
  <c r="J363" i="1" s="1"/>
  <c r="G362" i="1"/>
  <c r="J362" i="1" s="1"/>
  <c r="G361" i="1"/>
  <c r="J361" i="1" s="1"/>
  <c r="G360" i="1"/>
  <c r="J360" i="1" s="1"/>
  <c r="G359" i="1"/>
  <c r="J359" i="1" s="1"/>
  <c r="G358" i="1"/>
  <c r="J358" i="1" s="1"/>
  <c r="G357" i="1"/>
  <c r="J357" i="1" s="1"/>
  <c r="I356" i="1"/>
  <c r="H356" i="1"/>
  <c r="E356" i="1"/>
  <c r="G355" i="1"/>
  <c r="J355" i="1" s="1"/>
  <c r="G354" i="1"/>
  <c r="J354" i="1" s="1"/>
  <c r="G353" i="1"/>
  <c r="J353" i="1" s="1"/>
  <c r="G352" i="1"/>
  <c r="J639" i="17" l="1"/>
  <c r="M639" i="17" s="1"/>
  <c r="M638" i="17"/>
  <c r="N639" i="17"/>
  <c r="N576" i="17"/>
  <c r="F377" i="13"/>
  <c r="F385" i="13"/>
  <c r="F427" i="13"/>
  <c r="F434" i="13"/>
  <c r="G356" i="1"/>
  <c r="F361" i="13"/>
  <c r="F442" i="13"/>
  <c r="I397" i="1"/>
  <c r="F369" i="13"/>
  <c r="F381" i="13"/>
  <c r="F391" i="13"/>
  <c r="F401" i="13"/>
  <c r="F447" i="13"/>
  <c r="F450" i="13"/>
  <c r="G437" i="1"/>
  <c r="J437" i="1" s="1"/>
  <c r="F414" i="13"/>
  <c r="F422" i="13"/>
  <c r="I439" i="13"/>
  <c r="F455" i="13"/>
  <c r="J574" i="1"/>
  <c r="J251" i="17"/>
  <c r="M251" i="17" s="1"/>
  <c r="J241" i="17"/>
  <c r="M241" i="17"/>
  <c r="N241" i="17"/>
  <c r="Q241" i="17"/>
  <c r="J230" i="17"/>
  <c r="M230" i="17" s="1"/>
  <c r="N230" i="17"/>
  <c r="H459" i="1"/>
  <c r="H460" i="1" s="1"/>
  <c r="P225" i="17"/>
  <c r="P226" i="17" s="1"/>
  <c r="H430" i="1"/>
  <c r="H432" i="1" s="1"/>
  <c r="H433" i="1" s="1"/>
  <c r="I418" i="1"/>
  <c r="I432" i="1" s="1"/>
  <c r="I433" i="1" s="1"/>
  <c r="L216" i="17"/>
  <c r="N203" i="17"/>
  <c r="G364" i="1"/>
  <c r="J364" i="1" s="1"/>
  <c r="E418" i="1"/>
  <c r="E432" i="1" s="1"/>
  <c r="E433" i="1" s="1"/>
  <c r="C64" i="15" s="1"/>
  <c r="C66" i="15" s="1"/>
  <c r="O201" i="14"/>
  <c r="N201" i="14" s="1"/>
  <c r="R201" i="14" s="1"/>
  <c r="N212" i="14"/>
  <c r="R212" i="14" s="1"/>
  <c r="N213" i="14"/>
  <c r="R213" i="14" s="1"/>
  <c r="N214" i="14"/>
  <c r="R214" i="14" s="1"/>
  <c r="N215" i="14"/>
  <c r="R215" i="14" s="1"/>
  <c r="N216" i="14"/>
  <c r="R216" i="14" s="1"/>
  <c r="M205" i="14"/>
  <c r="O205" i="14"/>
  <c r="N205" i="14" s="1"/>
  <c r="P205" i="14" s="1"/>
  <c r="M209" i="14"/>
  <c r="O209" i="14"/>
  <c r="N209" i="14" s="1"/>
  <c r="P209" i="14" s="1"/>
  <c r="M203" i="14"/>
  <c r="O203" i="14"/>
  <c r="N203" i="14" s="1"/>
  <c r="P203" i="14" s="1"/>
  <c r="M207" i="14"/>
  <c r="O207" i="14"/>
  <c r="N207" i="14" s="1"/>
  <c r="P207" i="14" s="1"/>
  <c r="M211" i="14"/>
  <c r="O211" i="14"/>
  <c r="N211" i="14" s="1"/>
  <c r="P211" i="14" s="1"/>
  <c r="O202" i="14"/>
  <c r="N202" i="14" s="1"/>
  <c r="R202" i="14" s="1"/>
  <c r="O204" i="14"/>
  <c r="N204" i="14" s="1"/>
  <c r="P204" i="14" s="1"/>
  <c r="O206" i="14"/>
  <c r="N206" i="14" s="1"/>
  <c r="P206" i="14" s="1"/>
  <c r="O208" i="14"/>
  <c r="N208" i="14" s="1"/>
  <c r="P208" i="14" s="1"/>
  <c r="O210" i="14"/>
  <c r="N210" i="14" s="1"/>
  <c r="R210" i="14" s="1"/>
  <c r="R205" i="14"/>
  <c r="R206" i="14"/>
  <c r="M212" i="14"/>
  <c r="M213" i="14"/>
  <c r="M214" i="14"/>
  <c r="M215" i="14"/>
  <c r="M216" i="14"/>
  <c r="E368" i="16"/>
  <c r="H354" i="16"/>
  <c r="H398" i="16"/>
  <c r="H361" i="16"/>
  <c r="H424" i="16"/>
  <c r="H366" i="16"/>
  <c r="H368" i="16" s="1"/>
  <c r="E427" i="16"/>
  <c r="N251" i="17"/>
  <c r="K259" i="17"/>
  <c r="K260" i="17" s="1"/>
  <c r="G67" i="15" s="1"/>
  <c r="G69" i="15" s="1"/>
  <c r="P259" i="17"/>
  <c r="P260" i="17" s="1"/>
  <c r="P261" i="17" s="1"/>
  <c r="N239" i="17"/>
  <c r="J247" i="17"/>
  <c r="M247" i="17" s="1"/>
  <c r="N247" i="17"/>
  <c r="J221" i="17"/>
  <c r="M221" i="17" s="1"/>
  <c r="P216" i="17"/>
  <c r="J210" i="17"/>
  <c r="M210" i="17" s="1"/>
  <c r="K208" i="17"/>
  <c r="G60" i="15" s="1"/>
  <c r="N205" i="17"/>
  <c r="Q206" i="17"/>
  <c r="J206" i="17"/>
  <c r="M206" i="17" s="1"/>
  <c r="F208" i="17"/>
  <c r="L208" i="17"/>
  <c r="Q211" i="17"/>
  <c r="J211" i="17"/>
  <c r="M211" i="17" s="1"/>
  <c r="Q215" i="17"/>
  <c r="J215" i="17"/>
  <c r="M215" i="17" s="1"/>
  <c r="F226" i="17"/>
  <c r="I226" i="17" s="1"/>
  <c r="I225" i="17"/>
  <c r="N222" i="17"/>
  <c r="G261" i="17"/>
  <c r="P208" i="17"/>
  <c r="P217" i="17" s="1"/>
  <c r="Q204" i="17"/>
  <c r="J204" i="17"/>
  <c r="M204" i="17" s="1"/>
  <c r="N206" i="17"/>
  <c r="F216" i="17"/>
  <c r="I216" i="17" s="1"/>
  <c r="Q209" i="17"/>
  <c r="J209" i="17"/>
  <c r="K216" i="17"/>
  <c r="Q213" i="17"/>
  <c r="J213" i="17"/>
  <c r="M213" i="17" s="1"/>
  <c r="N215" i="17"/>
  <c r="L226" i="17"/>
  <c r="Q222" i="17"/>
  <c r="Q225" i="17" s="1"/>
  <c r="Q226" i="17" s="1"/>
  <c r="H64" i="15" s="1"/>
  <c r="H66" i="15" s="1"/>
  <c r="K225" i="17"/>
  <c r="K226" i="17" s="1"/>
  <c r="G64" i="15" s="1"/>
  <c r="G66" i="15" s="1"/>
  <c r="Q233" i="17"/>
  <c r="Q236" i="17"/>
  <c r="J236" i="17"/>
  <c r="M236" i="17" s="1"/>
  <c r="Q240" i="17"/>
  <c r="J240" i="17"/>
  <c r="M240" i="17" s="1"/>
  <c r="Q244" i="17"/>
  <c r="J244" i="17"/>
  <c r="M244" i="17" s="1"/>
  <c r="Q248" i="17"/>
  <c r="J248" i="17"/>
  <c r="M248" i="17" s="1"/>
  <c r="Q252" i="17"/>
  <c r="J252" i="17"/>
  <c r="M252" i="17" s="1"/>
  <c r="Q256" i="17"/>
  <c r="J256" i="17"/>
  <c r="M256" i="17" s="1"/>
  <c r="D261" i="17"/>
  <c r="N209" i="17"/>
  <c r="J218" i="17"/>
  <c r="N218" i="17"/>
  <c r="J220" i="17"/>
  <c r="M220" i="17" s="1"/>
  <c r="J223" i="17"/>
  <c r="M223" i="17" s="1"/>
  <c r="F259" i="17"/>
  <c r="J227" i="17"/>
  <c r="L259" i="17"/>
  <c r="N227" i="17"/>
  <c r="Q227" i="17"/>
  <c r="J229" i="17"/>
  <c r="M229" i="17" s="1"/>
  <c r="Q232" i="17"/>
  <c r="J232" i="17"/>
  <c r="M232" i="17" s="1"/>
  <c r="Q234" i="17"/>
  <c r="J234" i="17"/>
  <c r="M234" i="17" s="1"/>
  <c r="Q238" i="17"/>
  <c r="J238" i="17"/>
  <c r="M238" i="17" s="1"/>
  <c r="N240" i="17"/>
  <c r="Q242" i="17"/>
  <c r="J242" i="17"/>
  <c r="M242" i="17" s="1"/>
  <c r="Q246" i="17"/>
  <c r="J246" i="17"/>
  <c r="M246" i="17" s="1"/>
  <c r="N248" i="17"/>
  <c r="Q250" i="17"/>
  <c r="J250" i="17"/>
  <c r="M250" i="17" s="1"/>
  <c r="Q254" i="17"/>
  <c r="J254" i="17"/>
  <c r="M254" i="17" s="1"/>
  <c r="N256" i="17"/>
  <c r="Q258" i="17"/>
  <c r="J258" i="17"/>
  <c r="M258" i="17" s="1"/>
  <c r="H261" i="17"/>
  <c r="I392" i="13"/>
  <c r="I399" i="13"/>
  <c r="I404" i="13"/>
  <c r="I414" i="13" s="1"/>
  <c r="I415" i="13"/>
  <c r="I422" i="13" s="1"/>
  <c r="I425" i="13"/>
  <c r="I427" i="13" s="1"/>
  <c r="I428" i="13"/>
  <c r="I434" i="13" s="1"/>
  <c r="I440" i="13"/>
  <c r="I443" i="13"/>
  <c r="I447" i="13" s="1"/>
  <c r="I448" i="13"/>
  <c r="I450" i="13" s="1"/>
  <c r="I451" i="13"/>
  <c r="I455" i="13" s="1"/>
  <c r="F459" i="13"/>
  <c r="I357" i="13"/>
  <c r="I361" i="13" s="1"/>
  <c r="I362" i="13"/>
  <c r="I369" i="13" s="1"/>
  <c r="I370" i="13"/>
  <c r="I377" i="13" s="1"/>
  <c r="I378" i="13"/>
  <c r="I381" i="13" s="1"/>
  <c r="I382" i="13"/>
  <c r="I385" i="13" s="1"/>
  <c r="I387" i="13"/>
  <c r="I391" i="13" s="1"/>
  <c r="I456" i="13"/>
  <c r="I459" i="13" s="1"/>
  <c r="I381" i="1"/>
  <c r="I398" i="1" s="1"/>
  <c r="J356" i="1"/>
  <c r="E381" i="1"/>
  <c r="H381" i="1"/>
  <c r="H398" i="1" s="1"/>
  <c r="G372" i="1"/>
  <c r="J372" i="1" s="1"/>
  <c r="G376" i="1"/>
  <c r="J376" i="1" s="1"/>
  <c r="G380" i="1"/>
  <c r="J380" i="1" s="1"/>
  <c r="G386" i="1"/>
  <c r="G396" i="1"/>
  <c r="G409" i="1"/>
  <c r="G417" i="1"/>
  <c r="J417" i="1" s="1"/>
  <c r="G422" i="1"/>
  <c r="J422" i="1" s="1"/>
  <c r="G429" i="1"/>
  <c r="J429" i="1" s="1"/>
  <c r="G458" i="1"/>
  <c r="J458" i="1" s="1"/>
  <c r="E459" i="1"/>
  <c r="E460" i="1" s="1"/>
  <c r="C67" i="15" s="1"/>
  <c r="C69" i="15" s="1"/>
  <c r="I459" i="1"/>
  <c r="I460" i="1" s="1"/>
  <c r="G442" i="1"/>
  <c r="J442" i="1" s="1"/>
  <c r="J438" i="1"/>
  <c r="G445" i="1"/>
  <c r="J445" i="1" s="1"/>
  <c r="J443" i="1"/>
  <c r="G451" i="1"/>
  <c r="J451" i="1" s="1"/>
  <c r="G455" i="1"/>
  <c r="J455" i="1" s="1"/>
  <c r="L237" i="14"/>
  <c r="K237" i="14" s="1"/>
  <c r="O237" i="14" s="1"/>
  <c r="G237" i="14"/>
  <c r="C237" i="14"/>
  <c r="L236" i="14"/>
  <c r="K236" i="14" s="1"/>
  <c r="O236" i="14" s="1"/>
  <c r="G236" i="14"/>
  <c r="C236" i="14"/>
  <c r="L235" i="14"/>
  <c r="K235" i="14" s="1"/>
  <c r="O235" i="14" s="1"/>
  <c r="G235" i="14"/>
  <c r="C235" i="14"/>
  <c r="L234" i="14"/>
  <c r="K234" i="14" s="1"/>
  <c r="G234" i="14"/>
  <c r="C234" i="14"/>
  <c r="L233" i="14"/>
  <c r="K233" i="14" s="1"/>
  <c r="O233" i="14" s="1"/>
  <c r="G233" i="14"/>
  <c r="C233" i="14"/>
  <c r="L232" i="14"/>
  <c r="K232" i="14" s="1"/>
  <c r="O232" i="14" s="1"/>
  <c r="G232" i="14"/>
  <c r="C232" i="14"/>
  <c r="L231" i="14"/>
  <c r="K231" i="14" s="1"/>
  <c r="O231" i="14" s="1"/>
  <c r="G231" i="14"/>
  <c r="C231" i="14"/>
  <c r="L230" i="14"/>
  <c r="K230" i="14" s="1"/>
  <c r="O230" i="14" s="1"/>
  <c r="G230" i="14"/>
  <c r="C230" i="14"/>
  <c r="L229" i="14"/>
  <c r="K229" i="14" s="1"/>
  <c r="O229" i="14" s="1"/>
  <c r="G229" i="14"/>
  <c r="C229" i="14"/>
  <c r="L228" i="14"/>
  <c r="K228" i="14" s="1"/>
  <c r="O228" i="14" s="1"/>
  <c r="G228" i="14"/>
  <c r="C228" i="14"/>
  <c r="L227" i="14"/>
  <c r="K227" i="14" s="1"/>
  <c r="O227" i="14" s="1"/>
  <c r="G227" i="14"/>
  <c r="C227" i="14"/>
  <c r="L226" i="14"/>
  <c r="K226" i="14" s="1"/>
  <c r="O226" i="14" s="1"/>
  <c r="G226" i="14"/>
  <c r="C226" i="14"/>
  <c r="G225" i="14"/>
  <c r="L224" i="14"/>
  <c r="K224" i="14" s="1"/>
  <c r="G224" i="14"/>
  <c r="C224" i="14"/>
  <c r="L223" i="14"/>
  <c r="K223" i="14" s="1"/>
  <c r="G223" i="14"/>
  <c r="C223" i="14"/>
  <c r="L222" i="14"/>
  <c r="K222" i="14" s="1"/>
  <c r="G222" i="14"/>
  <c r="C222" i="14"/>
  <c r="E53" i="15"/>
  <c r="E50" i="15"/>
  <c r="E47" i="15"/>
  <c r="H332" i="16"/>
  <c r="F332" i="16"/>
  <c r="I332" i="16" s="1"/>
  <c r="I333" i="16" s="1"/>
  <c r="E331" i="16"/>
  <c r="H330" i="16"/>
  <c r="H329" i="16"/>
  <c r="H328" i="16"/>
  <c r="I328" i="16" s="1"/>
  <c r="H327" i="16"/>
  <c r="H326" i="16"/>
  <c r="H325" i="16"/>
  <c r="H324" i="16"/>
  <c r="H323" i="16"/>
  <c r="H322" i="16"/>
  <c r="H321" i="16"/>
  <c r="H320" i="16"/>
  <c r="H319" i="16"/>
  <c r="H318" i="16"/>
  <c r="H317" i="16"/>
  <c r="H316" i="16"/>
  <c r="H315" i="16"/>
  <c r="H314" i="16"/>
  <c r="H313" i="16"/>
  <c r="H312" i="16"/>
  <c r="H311" i="16"/>
  <c r="H310" i="16"/>
  <c r="H309" i="16"/>
  <c r="H308" i="16"/>
  <c r="H307" i="16"/>
  <c r="H306" i="16"/>
  <c r="E305" i="16"/>
  <c r="H304" i="16"/>
  <c r="H303" i="16"/>
  <c r="H302" i="16"/>
  <c r="H301" i="16"/>
  <c r="H300" i="16"/>
  <c r="H299" i="16"/>
  <c r="H298" i="16"/>
  <c r="H297" i="16"/>
  <c r="H296" i="16"/>
  <c r="H295" i="16"/>
  <c r="H294" i="16"/>
  <c r="H293" i="16"/>
  <c r="H292" i="16"/>
  <c r="H291" i="16"/>
  <c r="H290" i="16"/>
  <c r="H289" i="16"/>
  <c r="H288" i="16"/>
  <c r="H287" i="16"/>
  <c r="H286" i="16"/>
  <c r="H285" i="16"/>
  <c r="H284" i="16"/>
  <c r="H283" i="16"/>
  <c r="H282" i="16"/>
  <c r="H281" i="16"/>
  <c r="H280" i="16"/>
  <c r="H279" i="16"/>
  <c r="H278" i="16"/>
  <c r="H277" i="16"/>
  <c r="H276" i="16"/>
  <c r="H275" i="16"/>
  <c r="H274" i="16"/>
  <c r="H273" i="16"/>
  <c r="I271" i="16"/>
  <c r="E270" i="16"/>
  <c r="H269" i="16"/>
  <c r="H268" i="16"/>
  <c r="H267" i="16"/>
  <c r="H266" i="16"/>
  <c r="H265" i="16"/>
  <c r="H264" i="16"/>
  <c r="H263" i="16"/>
  <c r="E262" i="16"/>
  <c r="H261" i="16"/>
  <c r="H260" i="16"/>
  <c r="H259" i="16"/>
  <c r="H258" i="16"/>
  <c r="H257" i="16"/>
  <c r="H256" i="16"/>
  <c r="H255" i="16"/>
  <c r="H254" i="16"/>
  <c r="H253" i="16"/>
  <c r="H252" i="16"/>
  <c r="H251" i="16"/>
  <c r="H250" i="16"/>
  <c r="H249" i="16"/>
  <c r="H248" i="16"/>
  <c r="E247" i="16"/>
  <c r="H246" i="16"/>
  <c r="H245" i="16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E198" i="17"/>
  <c r="H197" i="17"/>
  <c r="E197" i="17"/>
  <c r="D197" i="17"/>
  <c r="H196" i="17"/>
  <c r="G196" i="17"/>
  <c r="G197" i="17" s="1"/>
  <c r="D196" i="17"/>
  <c r="P195" i="17"/>
  <c r="L195" i="17"/>
  <c r="K195" i="17"/>
  <c r="I195" i="17"/>
  <c r="F195" i="17"/>
  <c r="Q194" i="17"/>
  <c r="P194" i="17"/>
  <c r="N194" i="17"/>
  <c r="L194" i="17"/>
  <c r="K194" i="17"/>
  <c r="J194" i="17"/>
  <c r="M194" i="17" s="1"/>
  <c r="F194" i="17"/>
  <c r="I194" i="17" s="1"/>
  <c r="P193" i="17"/>
  <c r="L193" i="17"/>
  <c r="K193" i="17"/>
  <c r="I193" i="17"/>
  <c r="F193" i="17"/>
  <c r="Q192" i="17"/>
  <c r="P192" i="17"/>
  <c r="L192" i="17"/>
  <c r="N192" i="17" s="1"/>
  <c r="K192" i="17"/>
  <c r="J192" i="17"/>
  <c r="M192" i="17" s="1"/>
  <c r="F192" i="17"/>
  <c r="I192" i="17" s="1"/>
  <c r="P191" i="17"/>
  <c r="L191" i="17"/>
  <c r="K191" i="17"/>
  <c r="I191" i="17"/>
  <c r="F191" i="17"/>
  <c r="Q190" i="17"/>
  <c r="P190" i="17"/>
  <c r="N190" i="17"/>
  <c r="L190" i="17"/>
  <c r="K190" i="17"/>
  <c r="J190" i="17"/>
  <c r="M190" i="17" s="1"/>
  <c r="F190" i="17"/>
  <c r="I190" i="17" s="1"/>
  <c r="P189" i="17"/>
  <c r="L189" i="17"/>
  <c r="K189" i="17"/>
  <c r="I189" i="17"/>
  <c r="F189" i="17"/>
  <c r="Q188" i="17"/>
  <c r="P188" i="17"/>
  <c r="L188" i="17"/>
  <c r="K188" i="17"/>
  <c r="J188" i="17"/>
  <c r="M188" i="17" s="1"/>
  <c r="F188" i="17"/>
  <c r="I188" i="17" s="1"/>
  <c r="P187" i="17"/>
  <c r="L187" i="17"/>
  <c r="K187" i="17"/>
  <c r="F187" i="17"/>
  <c r="I187" i="17" s="1"/>
  <c r="P186" i="17"/>
  <c r="L186" i="17"/>
  <c r="N186" i="17" s="1"/>
  <c r="K186" i="17"/>
  <c r="Q186" i="17" s="1"/>
  <c r="J186" i="17"/>
  <c r="M186" i="17" s="1"/>
  <c r="F186" i="17"/>
  <c r="I186" i="17" s="1"/>
  <c r="P185" i="17"/>
  <c r="L185" i="17"/>
  <c r="K185" i="17"/>
  <c r="F185" i="17"/>
  <c r="I185" i="17" s="1"/>
  <c r="P184" i="17"/>
  <c r="L184" i="17"/>
  <c r="K184" i="17"/>
  <c r="Q184" i="17" s="1"/>
  <c r="F184" i="17"/>
  <c r="I184" i="17" s="1"/>
  <c r="P183" i="17"/>
  <c r="L183" i="17"/>
  <c r="K183" i="17"/>
  <c r="F183" i="17"/>
  <c r="I183" i="17" s="1"/>
  <c r="P182" i="17"/>
  <c r="L182" i="17"/>
  <c r="K182" i="17"/>
  <c r="J182" i="17" s="1"/>
  <c r="F182" i="17"/>
  <c r="I182" i="17" s="1"/>
  <c r="P181" i="17"/>
  <c r="L181" i="17"/>
  <c r="K181" i="17"/>
  <c r="I181" i="17"/>
  <c r="F181" i="17"/>
  <c r="Q180" i="17"/>
  <c r="P180" i="17"/>
  <c r="L180" i="17"/>
  <c r="K180" i="17"/>
  <c r="J180" i="17"/>
  <c r="M180" i="17" s="1"/>
  <c r="F180" i="17"/>
  <c r="I180" i="17" s="1"/>
  <c r="P179" i="17"/>
  <c r="L179" i="17"/>
  <c r="K179" i="17"/>
  <c r="F179" i="17"/>
  <c r="I179" i="17" s="1"/>
  <c r="P178" i="17"/>
  <c r="L178" i="17"/>
  <c r="K178" i="17"/>
  <c r="Q178" i="17" s="1"/>
  <c r="J178" i="17"/>
  <c r="M178" i="17" s="1"/>
  <c r="F178" i="17"/>
  <c r="I178" i="17" s="1"/>
  <c r="P177" i="17"/>
  <c r="L177" i="17"/>
  <c r="K177" i="17"/>
  <c r="F177" i="17"/>
  <c r="I177" i="17" s="1"/>
  <c r="Q176" i="17"/>
  <c r="P176" i="17"/>
  <c r="L176" i="17"/>
  <c r="N176" i="17" s="1"/>
  <c r="K176" i="17"/>
  <c r="J176" i="17"/>
  <c r="M176" i="17" s="1"/>
  <c r="F176" i="17"/>
  <c r="I176" i="17" s="1"/>
  <c r="P175" i="17"/>
  <c r="L175" i="17"/>
  <c r="K175" i="17"/>
  <c r="I175" i="17"/>
  <c r="F175" i="17"/>
  <c r="Q174" i="17"/>
  <c r="P174" i="17"/>
  <c r="N174" i="17"/>
  <c r="L174" i="17"/>
  <c r="K174" i="17"/>
  <c r="J174" i="17"/>
  <c r="M174" i="17" s="1"/>
  <c r="F174" i="17"/>
  <c r="I174" i="17" s="1"/>
  <c r="P173" i="17"/>
  <c r="L173" i="17"/>
  <c r="K173" i="17"/>
  <c r="I173" i="17"/>
  <c r="F173" i="17"/>
  <c r="Q172" i="17"/>
  <c r="P172" i="17"/>
  <c r="L172" i="17"/>
  <c r="N172" i="17" s="1"/>
  <c r="K172" i="17"/>
  <c r="J172" i="17"/>
  <c r="M172" i="17" s="1"/>
  <c r="F172" i="17"/>
  <c r="I172" i="17" s="1"/>
  <c r="P171" i="17"/>
  <c r="L171" i="17"/>
  <c r="K171" i="17"/>
  <c r="F171" i="17"/>
  <c r="I171" i="17" s="1"/>
  <c r="P170" i="17"/>
  <c r="L170" i="17"/>
  <c r="K170" i="17"/>
  <c r="J170" i="17" s="1"/>
  <c r="N170" i="17" s="1"/>
  <c r="F170" i="17"/>
  <c r="P169" i="17"/>
  <c r="L169" i="17"/>
  <c r="K169" i="17"/>
  <c r="I169" i="17"/>
  <c r="F169" i="17"/>
  <c r="Q168" i="17"/>
  <c r="P168" i="17"/>
  <c r="L168" i="17"/>
  <c r="K168" i="17"/>
  <c r="J168" i="17"/>
  <c r="F168" i="17"/>
  <c r="I168" i="17" s="1"/>
  <c r="Q167" i="17"/>
  <c r="P167" i="17"/>
  <c r="L167" i="17"/>
  <c r="K167" i="17"/>
  <c r="J167" i="17"/>
  <c r="M167" i="17" s="1"/>
  <c r="F167" i="17"/>
  <c r="I167" i="17" s="1"/>
  <c r="P166" i="17"/>
  <c r="L166" i="17"/>
  <c r="K166" i="17"/>
  <c r="Q166" i="17" s="1"/>
  <c r="F166" i="17"/>
  <c r="I166" i="17" s="1"/>
  <c r="P165" i="17"/>
  <c r="L165" i="17"/>
  <c r="K165" i="17"/>
  <c r="Q165" i="17" s="1"/>
  <c r="F165" i="17"/>
  <c r="I165" i="17" s="1"/>
  <c r="P164" i="17"/>
  <c r="L164" i="17"/>
  <c r="K164" i="17"/>
  <c r="I164" i="17"/>
  <c r="F164" i="17"/>
  <c r="E163" i="17"/>
  <c r="D163" i="17"/>
  <c r="H162" i="17"/>
  <c r="H163" i="17" s="1"/>
  <c r="G162" i="17"/>
  <c r="G163" i="17" s="1"/>
  <c r="Q161" i="17"/>
  <c r="P161" i="17"/>
  <c r="L161" i="17"/>
  <c r="N161" i="17" s="1"/>
  <c r="K161" i="17"/>
  <c r="J161" i="17"/>
  <c r="M161" i="17" s="1"/>
  <c r="F161" i="17"/>
  <c r="I161" i="17" s="1"/>
  <c r="P160" i="17"/>
  <c r="L160" i="17"/>
  <c r="K160" i="17"/>
  <c r="Q160" i="17" s="1"/>
  <c r="I160" i="17"/>
  <c r="F160" i="17"/>
  <c r="P159" i="17"/>
  <c r="L159" i="17"/>
  <c r="K159" i="17"/>
  <c r="J159" i="17" s="1"/>
  <c r="I159" i="17"/>
  <c r="F159" i="17"/>
  <c r="P158" i="17"/>
  <c r="L158" i="17"/>
  <c r="K158" i="17"/>
  <c r="Q158" i="17" s="1"/>
  <c r="F158" i="17"/>
  <c r="I158" i="17" s="1"/>
  <c r="P157" i="17"/>
  <c r="L157" i="17"/>
  <c r="K157" i="17"/>
  <c r="Q157" i="17" s="1"/>
  <c r="I157" i="17"/>
  <c r="F157" i="17"/>
  <c r="Q156" i="17"/>
  <c r="P156" i="17"/>
  <c r="L156" i="17"/>
  <c r="N156" i="17" s="1"/>
  <c r="K156" i="17"/>
  <c r="J156" i="17"/>
  <c r="M156" i="17" s="1"/>
  <c r="F156" i="17"/>
  <c r="I156" i="17" s="1"/>
  <c r="P155" i="17"/>
  <c r="L155" i="17"/>
  <c r="L162" i="17" s="1"/>
  <c r="K155" i="17"/>
  <c r="Q155" i="17" s="1"/>
  <c r="I155" i="17"/>
  <c r="F155" i="17"/>
  <c r="F162" i="17" s="1"/>
  <c r="E154" i="17"/>
  <c r="H153" i="17"/>
  <c r="G153" i="17"/>
  <c r="D153" i="17"/>
  <c r="D154" i="17" s="1"/>
  <c r="P152" i="17"/>
  <c r="L152" i="17"/>
  <c r="K152" i="17"/>
  <c r="I152" i="17"/>
  <c r="F152" i="17"/>
  <c r="Q151" i="17"/>
  <c r="P151" i="17"/>
  <c r="L151" i="17"/>
  <c r="N151" i="17" s="1"/>
  <c r="K151" i="17"/>
  <c r="J151" i="17"/>
  <c r="M151" i="17" s="1"/>
  <c r="F151" i="17"/>
  <c r="I151" i="17" s="1"/>
  <c r="P150" i="17"/>
  <c r="L150" i="17"/>
  <c r="K150" i="17"/>
  <c r="F150" i="17"/>
  <c r="I150" i="17" s="1"/>
  <c r="Q149" i="17"/>
  <c r="P149" i="17"/>
  <c r="N149" i="17"/>
  <c r="L149" i="17"/>
  <c r="K149" i="17"/>
  <c r="J149" i="17"/>
  <c r="M149" i="17" s="1"/>
  <c r="F149" i="17"/>
  <c r="I149" i="17" s="1"/>
  <c r="P148" i="17"/>
  <c r="L148" i="17"/>
  <c r="K148" i="17"/>
  <c r="I148" i="17"/>
  <c r="F148" i="17"/>
  <c r="Q147" i="17"/>
  <c r="P147" i="17"/>
  <c r="L147" i="17"/>
  <c r="K147" i="17"/>
  <c r="J147" i="17"/>
  <c r="M147" i="17" s="1"/>
  <c r="F147" i="17"/>
  <c r="I147" i="17" s="1"/>
  <c r="P146" i="17"/>
  <c r="L146" i="17"/>
  <c r="L153" i="17" s="1"/>
  <c r="K146" i="17"/>
  <c r="I146" i="17"/>
  <c r="F146" i="17"/>
  <c r="H145" i="17"/>
  <c r="G145" i="17"/>
  <c r="G154" i="17" s="1"/>
  <c r="D145" i="17"/>
  <c r="Q144" i="17"/>
  <c r="P144" i="17"/>
  <c r="N144" i="17"/>
  <c r="L144" i="17"/>
  <c r="K144" i="17"/>
  <c r="J144" i="17"/>
  <c r="M144" i="17" s="1"/>
  <c r="F144" i="17"/>
  <c r="I144" i="17" s="1"/>
  <c r="P143" i="17"/>
  <c r="L143" i="17"/>
  <c r="K143" i="17"/>
  <c r="F143" i="17"/>
  <c r="I143" i="17" s="1"/>
  <c r="P142" i="17"/>
  <c r="L142" i="17"/>
  <c r="K142" i="17"/>
  <c r="Q142" i="17" s="1"/>
  <c r="F142" i="17"/>
  <c r="I142" i="17" s="1"/>
  <c r="P141" i="17"/>
  <c r="L141" i="17"/>
  <c r="K141" i="17"/>
  <c r="I141" i="17"/>
  <c r="F141" i="17"/>
  <c r="Q140" i="17"/>
  <c r="P140" i="17"/>
  <c r="N140" i="17"/>
  <c r="L140" i="17"/>
  <c r="K140" i="17"/>
  <c r="J140" i="17"/>
  <c r="M140" i="17" s="1"/>
  <c r="F140" i="17"/>
  <c r="I140" i="17" s="1"/>
  <c r="F347" i="13"/>
  <c r="F346" i="13"/>
  <c r="F344" i="13"/>
  <c r="I344" i="13" s="1"/>
  <c r="F343" i="13"/>
  <c r="F342" i="13"/>
  <c r="I342" i="13" s="1"/>
  <c r="F340" i="13"/>
  <c r="I340" i="13" s="1"/>
  <c r="F339" i="13"/>
  <c r="F338" i="13"/>
  <c r="I338" i="13" s="1"/>
  <c r="F337" i="13"/>
  <c r="F335" i="13"/>
  <c r="I335" i="13" s="1"/>
  <c r="F334" i="13"/>
  <c r="F332" i="13"/>
  <c r="I332" i="13" s="1"/>
  <c r="F331" i="13"/>
  <c r="I331" i="13" s="1"/>
  <c r="F330" i="13"/>
  <c r="I330" i="13" s="1"/>
  <c r="F329" i="13"/>
  <c r="F327" i="13"/>
  <c r="I327" i="13" s="1"/>
  <c r="F326" i="13"/>
  <c r="I326" i="13" s="1"/>
  <c r="F325" i="13"/>
  <c r="F322" i="13"/>
  <c r="I322" i="13" s="1"/>
  <c r="F319" i="13"/>
  <c r="F318" i="13"/>
  <c r="I318" i="13" s="1"/>
  <c r="F317" i="13"/>
  <c r="I317" i="13" s="1"/>
  <c r="F316" i="13"/>
  <c r="I316" i="13" s="1"/>
  <c r="F315" i="13"/>
  <c r="F314" i="13"/>
  <c r="F312" i="13"/>
  <c r="I312" i="13" s="1"/>
  <c r="F311" i="13"/>
  <c r="F310" i="13"/>
  <c r="F307" i="13"/>
  <c r="I307" i="13" s="1"/>
  <c r="F306" i="13"/>
  <c r="I306" i="13" s="1"/>
  <c r="F305" i="13"/>
  <c r="I305" i="13" s="1"/>
  <c r="F304" i="13"/>
  <c r="I304" i="13" s="1"/>
  <c r="F303" i="13"/>
  <c r="I303" i="13" s="1"/>
  <c r="F302" i="13"/>
  <c r="F301" i="13"/>
  <c r="I301" i="13" s="1"/>
  <c r="F299" i="13"/>
  <c r="I299" i="13" s="1"/>
  <c r="F298" i="13"/>
  <c r="I298" i="13" s="1"/>
  <c r="F297" i="13"/>
  <c r="I297" i="13" s="1"/>
  <c r="F296" i="13"/>
  <c r="I296" i="13" s="1"/>
  <c r="F295" i="13"/>
  <c r="I295" i="13" s="1"/>
  <c r="F294" i="13"/>
  <c r="I294" i="13" s="1"/>
  <c r="F293" i="13"/>
  <c r="I293" i="13" s="1"/>
  <c r="F292" i="13"/>
  <c r="I292" i="13" s="1"/>
  <c r="F291" i="13"/>
  <c r="I291" i="13" s="1"/>
  <c r="F290" i="13"/>
  <c r="F286" i="13"/>
  <c r="I286" i="13" s="1"/>
  <c r="F285" i="13"/>
  <c r="I285" i="13" s="1"/>
  <c r="F284" i="13"/>
  <c r="I284" i="13" s="1"/>
  <c r="F283" i="13"/>
  <c r="I283" i="13" s="1"/>
  <c r="F282" i="13"/>
  <c r="I282" i="13" s="1"/>
  <c r="F281" i="13"/>
  <c r="I281" i="13" s="1"/>
  <c r="F280" i="13"/>
  <c r="I280" i="13" s="1"/>
  <c r="F279" i="13"/>
  <c r="I279" i="13" s="1"/>
  <c r="F278" i="13"/>
  <c r="F276" i="13"/>
  <c r="I276" i="13" s="1"/>
  <c r="F275" i="13"/>
  <c r="I275" i="13" s="1"/>
  <c r="F274" i="13"/>
  <c r="F273" i="13"/>
  <c r="F270" i="13"/>
  <c r="I270" i="13" s="1"/>
  <c r="F269" i="13"/>
  <c r="I269" i="13" s="1"/>
  <c r="F268" i="13"/>
  <c r="F266" i="13"/>
  <c r="I266" i="13" s="1"/>
  <c r="F265" i="13"/>
  <c r="I265" i="13" s="1"/>
  <c r="F264" i="13"/>
  <c r="F262" i="13"/>
  <c r="I262" i="13" s="1"/>
  <c r="F261" i="13"/>
  <c r="I261" i="13" s="1"/>
  <c r="F260" i="13"/>
  <c r="I260" i="13" s="1"/>
  <c r="F259" i="13"/>
  <c r="F258" i="13"/>
  <c r="I258" i="13" s="1"/>
  <c r="F257" i="13"/>
  <c r="I257" i="13" s="1"/>
  <c r="F256" i="13"/>
  <c r="F254" i="13"/>
  <c r="I254" i="13" s="1"/>
  <c r="F253" i="13"/>
  <c r="I253" i="13" s="1"/>
  <c r="F252" i="13"/>
  <c r="I252" i="13" s="1"/>
  <c r="F251" i="13"/>
  <c r="I251" i="13" s="1"/>
  <c r="F250" i="13"/>
  <c r="F249" i="13"/>
  <c r="I249" i="13" s="1"/>
  <c r="F248" i="13"/>
  <c r="F246" i="13"/>
  <c r="I246" i="13" s="1"/>
  <c r="F245" i="13"/>
  <c r="I245" i="13" s="1"/>
  <c r="F244" i="13"/>
  <c r="I244" i="13" s="1"/>
  <c r="F243" i="13"/>
  <c r="J348" i="13"/>
  <c r="I348" i="13"/>
  <c r="I339" i="13"/>
  <c r="I319" i="13"/>
  <c r="I315" i="13"/>
  <c r="I259" i="13"/>
  <c r="I250" i="13"/>
  <c r="F346" i="1"/>
  <c r="F347" i="1" s="1"/>
  <c r="I345" i="1"/>
  <c r="H345" i="1"/>
  <c r="G344" i="1"/>
  <c r="J344" i="1" s="1"/>
  <c r="G343" i="1"/>
  <c r="J343" i="1" s="1"/>
  <c r="I342" i="1"/>
  <c r="H342" i="1"/>
  <c r="E342" i="1"/>
  <c r="G341" i="1"/>
  <c r="J341" i="1" s="1"/>
  <c r="G340" i="1"/>
  <c r="J340" i="1" s="1"/>
  <c r="G339" i="1"/>
  <c r="J339" i="1" s="1"/>
  <c r="I338" i="1"/>
  <c r="H338" i="1"/>
  <c r="E338" i="1"/>
  <c r="G337" i="1"/>
  <c r="J337" i="1" s="1"/>
  <c r="G336" i="1"/>
  <c r="J336" i="1" s="1"/>
  <c r="G335" i="1"/>
  <c r="J335" i="1" s="1"/>
  <c r="G334" i="1"/>
  <c r="J334" i="1" s="1"/>
  <c r="G333" i="1"/>
  <c r="J333" i="1" s="1"/>
  <c r="I332" i="1"/>
  <c r="H332" i="1"/>
  <c r="E332" i="1"/>
  <c r="G331" i="1"/>
  <c r="J331" i="1" s="1"/>
  <c r="G330" i="1"/>
  <c r="I329" i="1"/>
  <c r="H329" i="1"/>
  <c r="E329" i="1"/>
  <c r="G328" i="1"/>
  <c r="J328" i="1" s="1"/>
  <c r="G327" i="1"/>
  <c r="J327" i="1" s="1"/>
  <c r="G326" i="1"/>
  <c r="J326" i="1" s="1"/>
  <c r="G325" i="1"/>
  <c r="I324" i="1"/>
  <c r="H324" i="1"/>
  <c r="E324" i="1"/>
  <c r="E346" i="1" s="1"/>
  <c r="E347" i="1" s="1"/>
  <c r="C52" i="15" s="1"/>
  <c r="C54" i="15" s="1"/>
  <c r="G323" i="1"/>
  <c r="J323" i="1" s="1"/>
  <c r="G322" i="1"/>
  <c r="J322" i="1" s="1"/>
  <c r="G321" i="1"/>
  <c r="J321" i="1" s="1"/>
  <c r="F319" i="1"/>
  <c r="F320" i="1" s="1"/>
  <c r="G318" i="1"/>
  <c r="J318" i="1" s="1"/>
  <c r="I316" i="1"/>
  <c r="H316" i="1"/>
  <c r="E316" i="1"/>
  <c r="E317" i="1" s="1"/>
  <c r="J315" i="1"/>
  <c r="G315" i="1"/>
  <c r="J314" i="1"/>
  <c r="G313" i="1"/>
  <c r="J313" i="1" s="1"/>
  <c r="J312" i="1"/>
  <c r="G311" i="1"/>
  <c r="J311" i="1" s="1"/>
  <c r="G310" i="1"/>
  <c r="I309" i="1"/>
  <c r="I317" i="1" s="1"/>
  <c r="H309" i="1"/>
  <c r="H317" i="1" s="1"/>
  <c r="G308" i="1"/>
  <c r="J308" i="1" s="1"/>
  <c r="G307" i="1"/>
  <c r="J307" i="1" s="1"/>
  <c r="G306" i="1"/>
  <c r="I304" i="1"/>
  <c r="H304" i="1"/>
  <c r="E304" i="1"/>
  <c r="G303" i="1"/>
  <c r="J303" i="1" s="1"/>
  <c r="J302" i="1"/>
  <c r="G301" i="1"/>
  <c r="J301" i="1" s="1"/>
  <c r="G300" i="1"/>
  <c r="J300" i="1" s="1"/>
  <c r="G299" i="1"/>
  <c r="J299" i="1" s="1"/>
  <c r="G298" i="1"/>
  <c r="J298" i="1" s="1"/>
  <c r="G297" i="1"/>
  <c r="I296" i="1"/>
  <c r="H296" i="1"/>
  <c r="E296" i="1"/>
  <c r="G295" i="1"/>
  <c r="J295" i="1" s="1"/>
  <c r="G294" i="1"/>
  <c r="J294" i="1" s="1"/>
  <c r="G293" i="1"/>
  <c r="J293" i="1" s="1"/>
  <c r="G292" i="1"/>
  <c r="J292" i="1" s="1"/>
  <c r="G291" i="1"/>
  <c r="J291" i="1" s="1"/>
  <c r="G290" i="1"/>
  <c r="J290" i="1" s="1"/>
  <c r="G289" i="1"/>
  <c r="J289" i="1" s="1"/>
  <c r="G288" i="1"/>
  <c r="J288" i="1" s="1"/>
  <c r="G287" i="1"/>
  <c r="J287" i="1" s="1"/>
  <c r="G286" i="1"/>
  <c r="F284" i="1"/>
  <c r="I283" i="1"/>
  <c r="M283" i="1" s="1"/>
  <c r="H283" i="1"/>
  <c r="L283" i="1" s="1"/>
  <c r="E283" i="1"/>
  <c r="G282" i="1"/>
  <c r="J282" i="1" s="1"/>
  <c r="G281" i="1"/>
  <c r="J281" i="1" s="1"/>
  <c r="G280" i="1"/>
  <c r="J280" i="1" s="1"/>
  <c r="G279" i="1"/>
  <c r="J279" i="1" s="1"/>
  <c r="G278" i="1"/>
  <c r="J278" i="1" s="1"/>
  <c r="G277" i="1"/>
  <c r="J277" i="1" s="1"/>
  <c r="G276" i="1"/>
  <c r="J276" i="1" s="1"/>
  <c r="G275" i="1"/>
  <c r="J275" i="1" s="1"/>
  <c r="G274" i="1"/>
  <c r="I273" i="1"/>
  <c r="H273" i="1"/>
  <c r="H284" i="1" s="1"/>
  <c r="E273" i="1"/>
  <c r="G272" i="1"/>
  <c r="J272" i="1" s="1"/>
  <c r="G271" i="1"/>
  <c r="J271" i="1" s="1"/>
  <c r="G270" i="1"/>
  <c r="G269" i="1"/>
  <c r="J269" i="1" s="1"/>
  <c r="I267" i="1"/>
  <c r="H267" i="1"/>
  <c r="E267" i="1"/>
  <c r="G266" i="1"/>
  <c r="J266" i="1" s="1"/>
  <c r="G265" i="1"/>
  <c r="J265" i="1" s="1"/>
  <c r="G264" i="1"/>
  <c r="J264" i="1" s="1"/>
  <c r="I263" i="1"/>
  <c r="H263" i="1"/>
  <c r="F263" i="1"/>
  <c r="F268" i="1" s="1"/>
  <c r="F285" i="1" s="1"/>
  <c r="F348" i="1" s="1"/>
  <c r="E263" i="1"/>
  <c r="G262" i="1"/>
  <c r="G261" i="1"/>
  <c r="J261" i="1" s="1"/>
  <c r="G260" i="1"/>
  <c r="G263" i="1" s="1"/>
  <c r="J263" i="1" s="1"/>
  <c r="I259" i="1"/>
  <c r="H259" i="1"/>
  <c r="E259" i="1"/>
  <c r="G258" i="1"/>
  <c r="J258" i="1" s="1"/>
  <c r="G257" i="1"/>
  <c r="J257" i="1" s="1"/>
  <c r="G256" i="1"/>
  <c r="J256" i="1" s="1"/>
  <c r="G255" i="1"/>
  <c r="J255" i="1" s="1"/>
  <c r="G254" i="1"/>
  <c r="J254" i="1" s="1"/>
  <c r="G253" i="1"/>
  <c r="J253" i="1" s="1"/>
  <c r="G252" i="1"/>
  <c r="I251" i="1"/>
  <c r="H251" i="1"/>
  <c r="E251" i="1"/>
  <c r="G250" i="1"/>
  <c r="J250" i="1" s="1"/>
  <c r="G249" i="1"/>
  <c r="J249" i="1" s="1"/>
  <c r="G248" i="1"/>
  <c r="J248" i="1" s="1"/>
  <c r="G247" i="1"/>
  <c r="J247" i="1" s="1"/>
  <c r="G246" i="1"/>
  <c r="J246" i="1" s="1"/>
  <c r="G245" i="1"/>
  <c r="J245" i="1" s="1"/>
  <c r="G244" i="1"/>
  <c r="I243" i="1"/>
  <c r="H243" i="1"/>
  <c r="H268" i="1" s="1"/>
  <c r="H285" i="1" s="1"/>
  <c r="E243" i="1"/>
  <c r="G242" i="1"/>
  <c r="J242" i="1" s="1"/>
  <c r="G241" i="1"/>
  <c r="J241" i="1" s="1"/>
  <c r="G240" i="1"/>
  <c r="J240" i="1" s="1"/>
  <c r="G239" i="1"/>
  <c r="P214" i="14" l="1"/>
  <c r="R208" i="14"/>
  <c r="P212" i="14"/>
  <c r="Q208" i="14"/>
  <c r="S208" i="14" s="1"/>
  <c r="T208" i="14" s="1"/>
  <c r="Q201" i="14"/>
  <c r="S201" i="14" s="1"/>
  <c r="T201" i="14" s="1"/>
  <c r="P215" i="14"/>
  <c r="P201" i="14"/>
  <c r="R211" i="14"/>
  <c r="R203" i="14"/>
  <c r="F435" i="13"/>
  <c r="F271" i="13"/>
  <c r="F300" i="13"/>
  <c r="G251" i="1"/>
  <c r="J251" i="1" s="1"/>
  <c r="F328" i="13"/>
  <c r="I401" i="13"/>
  <c r="F423" i="13"/>
  <c r="F437" i="13" s="1"/>
  <c r="F438" i="13" s="1"/>
  <c r="F402" i="13"/>
  <c r="F386" i="13"/>
  <c r="G283" i="1"/>
  <c r="F263" i="13"/>
  <c r="F277" i="13"/>
  <c r="F287" i="13"/>
  <c r="F313" i="13"/>
  <c r="F320" i="13"/>
  <c r="F333" i="13"/>
  <c r="F341" i="13"/>
  <c r="G259" i="1"/>
  <c r="J259" i="1" s="1"/>
  <c r="G316" i="1"/>
  <c r="J316" i="1" s="1"/>
  <c r="I274" i="13"/>
  <c r="I311" i="13"/>
  <c r="F345" i="13"/>
  <c r="E268" i="1"/>
  <c r="G267" i="1"/>
  <c r="J267" i="1" s="1"/>
  <c r="E284" i="1"/>
  <c r="C46" i="15" s="1"/>
  <c r="I284" i="1"/>
  <c r="J274" i="1"/>
  <c r="G309" i="1"/>
  <c r="G324" i="1"/>
  <c r="F267" i="13"/>
  <c r="G273" i="1"/>
  <c r="G381" i="1"/>
  <c r="J381" i="1" s="1"/>
  <c r="J252" i="1"/>
  <c r="G296" i="1"/>
  <c r="J296" i="1" s="1"/>
  <c r="N232" i="14"/>
  <c r="Q232" i="14" s="1"/>
  <c r="N233" i="14"/>
  <c r="R233" i="14" s="1"/>
  <c r="N237" i="14"/>
  <c r="P237" i="14" s="1"/>
  <c r="Q206" i="14"/>
  <c r="S206" i="14" s="1"/>
  <c r="T206" i="14" s="1"/>
  <c r="Q215" i="14"/>
  <c r="S215" i="14" s="1"/>
  <c r="T215" i="14" s="1"/>
  <c r="P213" i="14"/>
  <c r="P202" i="14"/>
  <c r="G342" i="13"/>
  <c r="I442" i="13"/>
  <c r="I463" i="13" s="1"/>
  <c r="I464" i="13" s="1"/>
  <c r="Q213" i="14"/>
  <c r="S213" i="14" s="1"/>
  <c r="P216" i="14"/>
  <c r="Q210" i="14"/>
  <c r="S210" i="14" s="1"/>
  <c r="P210" i="14"/>
  <c r="H305" i="1"/>
  <c r="H319" i="1" s="1"/>
  <c r="H320" i="1" s="1"/>
  <c r="H461" i="1"/>
  <c r="F462" i="13" s="1"/>
  <c r="F463" i="13" s="1"/>
  <c r="F464" i="13" s="1"/>
  <c r="Q202" i="14"/>
  <c r="S202" i="14" s="1"/>
  <c r="T202" i="14" s="1"/>
  <c r="Q204" i="14"/>
  <c r="K217" i="17"/>
  <c r="G61" i="15"/>
  <c r="G63" i="15" s="1"/>
  <c r="G70" i="15" s="1"/>
  <c r="E398" i="1"/>
  <c r="E461" i="1" s="1"/>
  <c r="C60" i="15"/>
  <c r="Q216" i="14"/>
  <c r="S216" i="14" s="1"/>
  <c r="Q214" i="14"/>
  <c r="S214" i="14" s="1"/>
  <c r="T214" i="14" s="1"/>
  <c r="Q212" i="14"/>
  <c r="S212" i="14" s="1"/>
  <c r="R209" i="14"/>
  <c r="R207" i="14"/>
  <c r="R204" i="14"/>
  <c r="Q211" i="14"/>
  <c r="Q209" i="14"/>
  <c r="S209" i="14" s="1"/>
  <c r="T209" i="14" s="1"/>
  <c r="Q207" i="14"/>
  <c r="S207" i="14" s="1"/>
  <c r="T207" i="14" s="1"/>
  <c r="Q205" i="14"/>
  <c r="S205" i="14" s="1"/>
  <c r="T205" i="14" s="1"/>
  <c r="Q203" i="14"/>
  <c r="T213" i="14"/>
  <c r="H331" i="16"/>
  <c r="H262" i="16"/>
  <c r="H247" i="16"/>
  <c r="E272" i="16"/>
  <c r="H305" i="16"/>
  <c r="N221" i="17"/>
  <c r="N210" i="17"/>
  <c r="J208" i="17"/>
  <c r="M208" i="17" s="1"/>
  <c r="K261" i="17"/>
  <c r="Q208" i="17"/>
  <c r="H60" i="15" s="1"/>
  <c r="J259" i="17"/>
  <c r="N259" i="17" s="1"/>
  <c r="M227" i="17"/>
  <c r="N258" i="17"/>
  <c r="N250" i="17"/>
  <c r="N242" i="17"/>
  <c r="N234" i="17"/>
  <c r="N232" i="17"/>
  <c r="Q216" i="17"/>
  <c r="N223" i="17"/>
  <c r="I208" i="17"/>
  <c r="F217" i="17"/>
  <c r="I217" i="17" s="1"/>
  <c r="N252" i="17"/>
  <c r="N244" i="17"/>
  <c r="N236" i="17"/>
  <c r="Q259" i="17"/>
  <c r="Q260" i="17" s="1"/>
  <c r="H67" i="15" s="1"/>
  <c r="H69" i="15" s="1"/>
  <c r="L260" i="17"/>
  <c r="F260" i="17"/>
  <c r="I259" i="17"/>
  <c r="J225" i="17"/>
  <c r="M218" i="17"/>
  <c r="N254" i="17"/>
  <c r="N246" i="17"/>
  <c r="N238" i="17"/>
  <c r="N229" i="17"/>
  <c r="N211" i="17"/>
  <c r="J216" i="17"/>
  <c r="M209" i="17"/>
  <c r="N220" i="17"/>
  <c r="N213" i="17"/>
  <c r="L217" i="17"/>
  <c r="N204" i="17"/>
  <c r="I402" i="13"/>
  <c r="I435" i="13"/>
  <c r="I386" i="13"/>
  <c r="I423" i="13"/>
  <c r="I437" i="13" s="1"/>
  <c r="I438" i="13" s="1"/>
  <c r="I461" i="1"/>
  <c r="G459" i="1"/>
  <c r="G430" i="1"/>
  <c r="J430" i="1" s="1"/>
  <c r="J409" i="1"/>
  <c r="G418" i="1"/>
  <c r="J386" i="1"/>
  <c r="G397" i="1"/>
  <c r="G398" i="1" s="1"/>
  <c r="N147" i="17"/>
  <c r="H154" i="17"/>
  <c r="P153" i="17"/>
  <c r="K145" i="17"/>
  <c r="G243" i="1"/>
  <c r="J243" i="1" s="1"/>
  <c r="P162" i="17"/>
  <c r="P163" i="17" s="1"/>
  <c r="I305" i="1"/>
  <c r="I319" i="1" s="1"/>
  <c r="I320" i="1" s="1"/>
  <c r="G304" i="1"/>
  <c r="J304" i="1" s="1"/>
  <c r="N178" i="17"/>
  <c r="I346" i="1"/>
  <c r="I347" i="1" s="1"/>
  <c r="H346" i="1"/>
  <c r="H347" i="1" s="1"/>
  <c r="F348" i="13" s="1"/>
  <c r="F336" i="13"/>
  <c r="N235" i="14"/>
  <c r="R235" i="14" s="1"/>
  <c r="N236" i="14"/>
  <c r="P236" i="14" s="1"/>
  <c r="N226" i="14"/>
  <c r="P226" i="14" s="1"/>
  <c r="N227" i="14"/>
  <c r="R227" i="14" s="1"/>
  <c r="N228" i="14"/>
  <c r="P228" i="14" s="1"/>
  <c r="N229" i="14"/>
  <c r="P229" i="14" s="1"/>
  <c r="N230" i="14"/>
  <c r="P230" i="14" s="1"/>
  <c r="N231" i="14"/>
  <c r="R231" i="14" s="1"/>
  <c r="O222" i="14"/>
  <c r="N222" i="14" s="1"/>
  <c r="M222" i="14"/>
  <c r="O224" i="14"/>
  <c r="N224" i="14" s="1"/>
  <c r="M224" i="14"/>
  <c r="M226" i="14"/>
  <c r="M227" i="14"/>
  <c r="M228" i="14"/>
  <c r="M229" i="14"/>
  <c r="M230" i="14"/>
  <c r="M231" i="14"/>
  <c r="M232" i="14"/>
  <c r="M233" i="14"/>
  <c r="O234" i="14"/>
  <c r="N234" i="14" s="1"/>
  <c r="M234" i="14"/>
  <c r="R237" i="14"/>
  <c r="Q237" i="14"/>
  <c r="O223" i="14"/>
  <c r="N223" i="14" s="1"/>
  <c r="M223" i="14"/>
  <c r="L225" i="14"/>
  <c r="K225" i="14" s="1"/>
  <c r="C225" i="14"/>
  <c r="M235" i="14"/>
  <c r="M236" i="14"/>
  <c r="M237" i="14"/>
  <c r="H270" i="16"/>
  <c r="E334" i="16"/>
  <c r="M182" i="17"/>
  <c r="N182" i="17"/>
  <c r="N180" i="17"/>
  <c r="Q182" i="17"/>
  <c r="N188" i="17"/>
  <c r="J184" i="17"/>
  <c r="M184" i="17" s="1"/>
  <c r="N167" i="17"/>
  <c r="K196" i="17"/>
  <c r="K197" i="17" s="1"/>
  <c r="G52" i="15" s="1"/>
  <c r="G54" i="15" s="1"/>
  <c r="P196" i="17"/>
  <c r="P197" i="17" s="1"/>
  <c r="J165" i="17"/>
  <c r="M165" i="17" s="1"/>
  <c r="J158" i="17"/>
  <c r="M158" i="17" s="1"/>
  <c r="N158" i="17"/>
  <c r="J142" i="17"/>
  <c r="M142" i="17" s="1"/>
  <c r="Q143" i="17"/>
  <c r="J143" i="17"/>
  <c r="M143" i="17" s="1"/>
  <c r="F145" i="17"/>
  <c r="L145" i="17"/>
  <c r="Q148" i="17"/>
  <c r="J148" i="17"/>
  <c r="M148" i="17" s="1"/>
  <c r="Q152" i="17"/>
  <c r="J152" i="17"/>
  <c r="M152" i="17" s="1"/>
  <c r="F163" i="17"/>
  <c r="I163" i="17" s="1"/>
  <c r="I162" i="17"/>
  <c r="N159" i="17"/>
  <c r="G198" i="17"/>
  <c r="P145" i="17"/>
  <c r="P154" i="17" s="1"/>
  <c r="Q141" i="17"/>
  <c r="Q145" i="17" s="1"/>
  <c r="H45" i="15" s="1"/>
  <c r="J141" i="17"/>
  <c r="M141" i="17" s="1"/>
  <c r="N143" i="17"/>
  <c r="F153" i="17"/>
  <c r="I153" i="17" s="1"/>
  <c r="Q146" i="17"/>
  <c r="J146" i="17"/>
  <c r="K153" i="17"/>
  <c r="Q150" i="17"/>
  <c r="J150" i="17"/>
  <c r="M150" i="17" s="1"/>
  <c r="N152" i="17"/>
  <c r="L163" i="17"/>
  <c r="P198" i="17"/>
  <c r="Q159" i="17"/>
  <c r="Q162" i="17" s="1"/>
  <c r="Q163" i="17" s="1"/>
  <c r="H49" i="15" s="1"/>
  <c r="H51" i="15" s="1"/>
  <c r="K162" i="17"/>
  <c r="K163" i="17" s="1"/>
  <c r="G49" i="15" s="1"/>
  <c r="G51" i="15" s="1"/>
  <c r="Q170" i="17"/>
  <c r="Q173" i="17"/>
  <c r="J173" i="17"/>
  <c r="M173" i="17" s="1"/>
  <c r="Q177" i="17"/>
  <c r="J177" i="17"/>
  <c r="M177" i="17" s="1"/>
  <c r="Q181" i="17"/>
  <c r="J181" i="17"/>
  <c r="M181" i="17" s="1"/>
  <c r="Q185" i="17"/>
  <c r="J185" i="17"/>
  <c r="M185" i="17" s="1"/>
  <c r="Q189" i="17"/>
  <c r="J189" i="17"/>
  <c r="M189" i="17" s="1"/>
  <c r="Q193" i="17"/>
  <c r="J193" i="17"/>
  <c r="M193" i="17" s="1"/>
  <c r="D198" i="17"/>
  <c r="N146" i="17"/>
  <c r="J155" i="17"/>
  <c r="N155" i="17"/>
  <c r="J157" i="17"/>
  <c r="M157" i="17" s="1"/>
  <c r="J160" i="17"/>
  <c r="M160" i="17" s="1"/>
  <c r="F196" i="17"/>
  <c r="J164" i="17"/>
  <c r="L196" i="17"/>
  <c r="N164" i="17"/>
  <c r="Q164" i="17"/>
  <c r="J166" i="17"/>
  <c r="M166" i="17" s="1"/>
  <c r="Q169" i="17"/>
  <c r="J169" i="17"/>
  <c r="M169" i="17" s="1"/>
  <c r="Q171" i="17"/>
  <c r="J171" i="17"/>
  <c r="M171" i="17" s="1"/>
  <c r="Q175" i="17"/>
  <c r="J175" i="17"/>
  <c r="M175" i="17" s="1"/>
  <c r="Q179" i="17"/>
  <c r="J179" i="17"/>
  <c r="M179" i="17" s="1"/>
  <c r="Q183" i="17"/>
  <c r="J183" i="17"/>
  <c r="M183" i="17" s="1"/>
  <c r="N185" i="17"/>
  <c r="Q187" i="17"/>
  <c r="J187" i="17"/>
  <c r="M187" i="17" s="1"/>
  <c r="Q191" i="17"/>
  <c r="J191" i="17"/>
  <c r="M191" i="17" s="1"/>
  <c r="N193" i="17"/>
  <c r="Q195" i="17"/>
  <c r="J195" i="17"/>
  <c r="M195" i="17" s="1"/>
  <c r="H198" i="17"/>
  <c r="F308" i="13"/>
  <c r="F309" i="13" s="1"/>
  <c r="F247" i="13"/>
  <c r="F255" i="13"/>
  <c r="I302" i="13"/>
  <c r="I308" i="13" s="1"/>
  <c r="I310" i="13"/>
  <c r="I313" i="13" s="1"/>
  <c r="I325" i="13"/>
  <c r="I328" i="13" s="1"/>
  <c r="I343" i="13"/>
  <c r="I345" i="13" s="1"/>
  <c r="I243" i="13"/>
  <c r="I247" i="13" s="1"/>
  <c r="I248" i="13"/>
  <c r="I255" i="13" s="1"/>
  <c r="I256" i="13"/>
  <c r="I263" i="13" s="1"/>
  <c r="I264" i="13"/>
  <c r="I267" i="13" s="1"/>
  <c r="I268" i="13"/>
  <c r="I271" i="13" s="1"/>
  <c r="I273" i="13"/>
  <c r="I278" i="13"/>
  <c r="I287" i="13" s="1"/>
  <c r="I290" i="13"/>
  <c r="I300" i="13" s="1"/>
  <c r="I314" i="13"/>
  <c r="I320" i="13" s="1"/>
  <c r="I329" i="13"/>
  <c r="I333" i="13" s="1"/>
  <c r="I334" i="13"/>
  <c r="I336" i="13" s="1"/>
  <c r="I337" i="13"/>
  <c r="I341" i="13" s="1"/>
  <c r="J342" i="13"/>
  <c r="I268" i="1"/>
  <c r="J273" i="1"/>
  <c r="J244" i="1"/>
  <c r="J260" i="1"/>
  <c r="J270" i="1"/>
  <c r="J286" i="1"/>
  <c r="E305" i="1"/>
  <c r="E319" i="1" s="1"/>
  <c r="E320" i="1" s="1"/>
  <c r="J297" i="1"/>
  <c r="J306" i="1"/>
  <c r="J310" i="1"/>
  <c r="J324" i="1"/>
  <c r="G345" i="1"/>
  <c r="J345" i="1" s="1"/>
  <c r="G329" i="1"/>
  <c r="J329" i="1" s="1"/>
  <c r="J325" i="1"/>
  <c r="G332" i="1"/>
  <c r="J332" i="1" s="1"/>
  <c r="J330" i="1"/>
  <c r="G338" i="1"/>
  <c r="J338" i="1" s="1"/>
  <c r="G342" i="1"/>
  <c r="J342" i="1" s="1"/>
  <c r="D246" i="14"/>
  <c r="T212" i="14" l="1"/>
  <c r="P232" i="14"/>
  <c r="R229" i="14"/>
  <c r="S203" i="14"/>
  <c r="T203" i="14" s="1"/>
  <c r="R226" i="14"/>
  <c r="P233" i="14"/>
  <c r="Q235" i="14"/>
  <c r="S235" i="14" s="1"/>
  <c r="R232" i="14"/>
  <c r="S232" i="14" s="1"/>
  <c r="Q228" i="14"/>
  <c r="T216" i="14"/>
  <c r="S237" i="14"/>
  <c r="T237" i="14" s="1"/>
  <c r="P235" i="14"/>
  <c r="Q230" i="14"/>
  <c r="R228" i="14"/>
  <c r="R230" i="14"/>
  <c r="Q226" i="14"/>
  <c r="S211" i="14"/>
  <c r="T211" i="14" s="1"/>
  <c r="G284" i="1"/>
  <c r="F321" i="13"/>
  <c r="F403" i="13"/>
  <c r="F465" i="13"/>
  <c r="G317" i="1"/>
  <c r="J317" i="1" s="1"/>
  <c r="F323" i="13"/>
  <c r="F324" i="13" s="1"/>
  <c r="F288" i="13"/>
  <c r="J309" i="1"/>
  <c r="I277" i="13"/>
  <c r="I288" i="13" s="1"/>
  <c r="C49" i="15"/>
  <c r="C51" i="15" s="1"/>
  <c r="G268" i="1"/>
  <c r="G285" i="1" s="1"/>
  <c r="I285" i="1"/>
  <c r="E285" i="1"/>
  <c r="E348" i="1" s="1"/>
  <c r="C45" i="15"/>
  <c r="C48" i="15" s="1"/>
  <c r="C55" i="15" s="1"/>
  <c r="R236" i="14"/>
  <c r="Q233" i="14"/>
  <c r="S233" i="14" s="1"/>
  <c r="P231" i="14"/>
  <c r="P227" i="14"/>
  <c r="T210" i="14"/>
  <c r="F349" i="13"/>
  <c r="F350" i="13" s="1"/>
  <c r="S204" i="14"/>
  <c r="T204" i="14" s="1"/>
  <c r="Q217" i="17"/>
  <c r="Q261" i="17" s="1"/>
  <c r="H61" i="15"/>
  <c r="H63" i="15" s="1"/>
  <c r="H70" i="15" s="1"/>
  <c r="J217" i="17"/>
  <c r="M217" i="17" s="1"/>
  <c r="N208" i="17"/>
  <c r="C63" i="15"/>
  <c r="H272" i="16"/>
  <c r="M225" i="17"/>
  <c r="N225" i="17"/>
  <c r="J226" i="17"/>
  <c r="F261" i="17"/>
  <c r="I260" i="17"/>
  <c r="J260" i="17"/>
  <c r="N260" i="17" s="1"/>
  <c r="M259" i="17"/>
  <c r="M216" i="17"/>
  <c r="N216" i="17"/>
  <c r="L261" i="17"/>
  <c r="I403" i="13"/>
  <c r="I465" i="13" s="1"/>
  <c r="J397" i="1"/>
  <c r="J396" i="1"/>
  <c r="J418" i="1"/>
  <c r="G432" i="1"/>
  <c r="G460" i="1"/>
  <c r="J459" i="1"/>
  <c r="J460" i="1" s="1"/>
  <c r="J398" i="1"/>
  <c r="Q229" i="14"/>
  <c r="S229" i="14" s="1"/>
  <c r="T229" i="14" s="1"/>
  <c r="K154" i="17"/>
  <c r="G46" i="15"/>
  <c r="N142" i="17"/>
  <c r="G305" i="1"/>
  <c r="J305" i="1" s="1"/>
  <c r="Q236" i="14"/>
  <c r="S236" i="14" s="1"/>
  <c r="T236" i="14" s="1"/>
  <c r="N184" i="17"/>
  <c r="N177" i="17"/>
  <c r="I348" i="1"/>
  <c r="H348" i="1"/>
  <c r="Q231" i="14"/>
  <c r="S231" i="14" s="1"/>
  <c r="Q227" i="14"/>
  <c r="S227" i="14" s="1"/>
  <c r="O225" i="14"/>
  <c r="N225" i="14" s="1"/>
  <c r="M225" i="14"/>
  <c r="Q223" i="14"/>
  <c r="P223" i="14"/>
  <c r="R223" i="14"/>
  <c r="R234" i="14"/>
  <c r="P234" i="14"/>
  <c r="Q234" i="14"/>
  <c r="Q224" i="14"/>
  <c r="R224" i="14"/>
  <c r="P224" i="14"/>
  <c r="Q222" i="14"/>
  <c r="R222" i="14"/>
  <c r="P222" i="14"/>
  <c r="N165" i="17"/>
  <c r="J145" i="17"/>
  <c r="M145" i="17" s="1"/>
  <c r="J196" i="17"/>
  <c r="N196" i="17" s="1"/>
  <c r="M164" i="17"/>
  <c r="N195" i="17"/>
  <c r="N187" i="17"/>
  <c r="N179" i="17"/>
  <c r="N171" i="17"/>
  <c r="N169" i="17"/>
  <c r="Q153" i="17"/>
  <c r="N160" i="17"/>
  <c r="I145" i="17"/>
  <c r="F154" i="17"/>
  <c r="I154" i="17" s="1"/>
  <c r="N189" i="17"/>
  <c r="N181" i="17"/>
  <c r="N173" i="17"/>
  <c r="Q196" i="17"/>
  <c r="Q197" i="17" s="1"/>
  <c r="H52" i="15" s="1"/>
  <c r="H54" i="15" s="1"/>
  <c r="L197" i="17"/>
  <c r="F197" i="17"/>
  <c r="I196" i="17"/>
  <c r="J162" i="17"/>
  <c r="M155" i="17"/>
  <c r="N191" i="17"/>
  <c r="N183" i="17"/>
  <c r="N175" i="17"/>
  <c r="N166" i="17"/>
  <c r="N148" i="17"/>
  <c r="J153" i="17"/>
  <c r="M146" i="17"/>
  <c r="N157" i="17"/>
  <c r="N150" i="17"/>
  <c r="L154" i="17"/>
  <c r="N141" i="17"/>
  <c r="I309" i="13"/>
  <c r="F272" i="13"/>
  <c r="I321" i="13"/>
  <c r="I272" i="13"/>
  <c r="I349" i="13"/>
  <c r="I350" i="13" s="1"/>
  <c r="G346" i="1"/>
  <c r="J268" i="1"/>
  <c r="J283" i="1"/>
  <c r="J284" i="1"/>
  <c r="L258" i="14"/>
  <c r="K258" i="14" s="1"/>
  <c r="O258" i="14" s="1"/>
  <c r="G258" i="14"/>
  <c r="C258" i="14"/>
  <c r="L257" i="14"/>
  <c r="K257" i="14" s="1"/>
  <c r="O257" i="14" s="1"/>
  <c r="G257" i="14"/>
  <c r="C257" i="14"/>
  <c r="L256" i="14"/>
  <c r="K256" i="14" s="1"/>
  <c r="O256" i="14" s="1"/>
  <c r="G256" i="14"/>
  <c r="C256" i="14"/>
  <c r="L255" i="14"/>
  <c r="K255" i="14" s="1"/>
  <c r="G255" i="14"/>
  <c r="C255" i="14"/>
  <c r="L254" i="14"/>
  <c r="K254" i="14" s="1"/>
  <c r="G254" i="14"/>
  <c r="C254" i="14"/>
  <c r="L253" i="14"/>
  <c r="K253" i="14" s="1"/>
  <c r="G253" i="14"/>
  <c r="C253" i="14"/>
  <c r="L252" i="14"/>
  <c r="K252" i="14" s="1"/>
  <c r="M252" i="14" s="1"/>
  <c r="G252" i="14"/>
  <c r="C252" i="14"/>
  <c r="G251" i="14"/>
  <c r="L250" i="14"/>
  <c r="K250" i="14" s="1"/>
  <c r="G250" i="14"/>
  <c r="C250" i="14"/>
  <c r="L249" i="14"/>
  <c r="K249" i="14" s="1"/>
  <c r="O249" i="14" s="1"/>
  <c r="G249" i="14"/>
  <c r="C249" i="14"/>
  <c r="L248" i="14"/>
  <c r="K248" i="14" s="1"/>
  <c r="O248" i="14" s="1"/>
  <c r="G248" i="14"/>
  <c r="C248" i="14"/>
  <c r="L247" i="14"/>
  <c r="K247" i="14" s="1"/>
  <c r="O247" i="14" s="1"/>
  <c r="G247" i="14"/>
  <c r="C247" i="14"/>
  <c r="G246" i="14"/>
  <c r="L245" i="14"/>
  <c r="K245" i="14" s="1"/>
  <c r="G245" i="14"/>
  <c r="C245" i="14"/>
  <c r="L244" i="14"/>
  <c r="K244" i="14" s="1"/>
  <c r="G244" i="14"/>
  <c r="C244" i="14"/>
  <c r="L243" i="14"/>
  <c r="K243" i="14" s="1"/>
  <c r="G243" i="14"/>
  <c r="C243" i="14"/>
  <c r="E38" i="15"/>
  <c r="E35" i="15"/>
  <c r="E32" i="15"/>
  <c r="H224" i="16"/>
  <c r="F224" i="16"/>
  <c r="I224" i="16" s="1"/>
  <c r="I225" i="16" s="1"/>
  <c r="E223" i="16"/>
  <c r="H222" i="16"/>
  <c r="H221" i="16"/>
  <c r="H220" i="16"/>
  <c r="I220" i="16" s="1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E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I163" i="16"/>
  <c r="E162" i="16"/>
  <c r="H161" i="16"/>
  <c r="H160" i="16"/>
  <c r="H159" i="16"/>
  <c r="H158" i="16"/>
  <c r="H157" i="16"/>
  <c r="H156" i="16"/>
  <c r="H155" i="16"/>
  <c r="E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E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L132" i="17"/>
  <c r="K132" i="17"/>
  <c r="L131" i="17"/>
  <c r="K131" i="17"/>
  <c r="Q131" i="17" s="1"/>
  <c r="L130" i="17"/>
  <c r="K130" i="17"/>
  <c r="L129" i="17"/>
  <c r="K129" i="17"/>
  <c r="Q129" i="17" s="1"/>
  <c r="L128" i="17"/>
  <c r="K128" i="17"/>
  <c r="L127" i="17"/>
  <c r="K127" i="17"/>
  <c r="Q127" i="17" s="1"/>
  <c r="L126" i="17"/>
  <c r="K126" i="17"/>
  <c r="L125" i="17"/>
  <c r="K125" i="17"/>
  <c r="Q125" i="17" s="1"/>
  <c r="L124" i="17"/>
  <c r="K124" i="17"/>
  <c r="L123" i="17"/>
  <c r="K123" i="17"/>
  <c r="Q123" i="17" s="1"/>
  <c r="L122" i="17"/>
  <c r="K122" i="17"/>
  <c r="L121" i="17"/>
  <c r="K121" i="17"/>
  <c r="Q121" i="17" s="1"/>
  <c r="L120" i="17"/>
  <c r="K120" i="17"/>
  <c r="L119" i="17"/>
  <c r="K119" i="17"/>
  <c r="Q119" i="17" s="1"/>
  <c r="L118" i="17"/>
  <c r="K118" i="17"/>
  <c r="L117" i="17"/>
  <c r="K117" i="17"/>
  <c r="Q117" i="17" s="1"/>
  <c r="L116" i="17"/>
  <c r="K116" i="17"/>
  <c r="L115" i="17"/>
  <c r="K115" i="17"/>
  <c r="Q115" i="17" s="1"/>
  <c r="L114" i="17"/>
  <c r="K114" i="17"/>
  <c r="L113" i="17"/>
  <c r="K113" i="17"/>
  <c r="Q113" i="17" s="1"/>
  <c r="L112" i="17"/>
  <c r="K112" i="17"/>
  <c r="L111" i="17"/>
  <c r="K111" i="17"/>
  <c r="Q111" i="17" s="1"/>
  <c r="L110" i="17"/>
  <c r="K110" i="17"/>
  <c r="L109" i="17"/>
  <c r="K109" i="17"/>
  <c r="Q109" i="17" s="1"/>
  <c r="L108" i="17"/>
  <c r="K108" i="17"/>
  <c r="L107" i="17"/>
  <c r="K107" i="17"/>
  <c r="J107" i="17" s="1"/>
  <c r="N107" i="17" s="1"/>
  <c r="L106" i="17"/>
  <c r="K106" i="17"/>
  <c r="L105" i="17"/>
  <c r="K105" i="17"/>
  <c r="Q105" i="17" s="1"/>
  <c r="L104" i="17"/>
  <c r="K104" i="17"/>
  <c r="Q104" i="17" s="1"/>
  <c r="L103" i="17"/>
  <c r="K103" i="17"/>
  <c r="Q103" i="17" s="1"/>
  <c r="L102" i="17"/>
  <c r="K102" i="17"/>
  <c r="J102" i="17" s="1"/>
  <c r="L101" i="17"/>
  <c r="K101" i="17"/>
  <c r="L98" i="17"/>
  <c r="K98" i="17"/>
  <c r="Q98" i="17" s="1"/>
  <c r="L97" i="17"/>
  <c r="K97" i="17"/>
  <c r="Q97" i="17" s="1"/>
  <c r="L96" i="17"/>
  <c r="K96" i="17"/>
  <c r="J96" i="17" s="1"/>
  <c r="L95" i="17"/>
  <c r="K95" i="17"/>
  <c r="J95" i="17" s="1"/>
  <c r="L94" i="17"/>
  <c r="K94" i="17"/>
  <c r="L93" i="17"/>
  <c r="K93" i="17"/>
  <c r="Q93" i="17" s="1"/>
  <c r="L92" i="17"/>
  <c r="K92" i="17"/>
  <c r="Q92" i="17" s="1"/>
  <c r="L89" i="17"/>
  <c r="K89" i="17"/>
  <c r="L88" i="17"/>
  <c r="K88" i="17"/>
  <c r="J88" i="17" s="1"/>
  <c r="L87" i="17"/>
  <c r="K87" i="17"/>
  <c r="L86" i="17"/>
  <c r="K86" i="17"/>
  <c r="J86" i="17" s="1"/>
  <c r="L85" i="17"/>
  <c r="K85" i="17"/>
  <c r="L84" i="17"/>
  <c r="K84" i="17"/>
  <c r="J84" i="17" s="1"/>
  <c r="L83" i="17"/>
  <c r="K83" i="17"/>
  <c r="L81" i="17"/>
  <c r="K81" i="17"/>
  <c r="Q81" i="17" s="1"/>
  <c r="L80" i="17"/>
  <c r="K80" i="17"/>
  <c r="L79" i="17"/>
  <c r="K79" i="17"/>
  <c r="Q79" i="17" s="1"/>
  <c r="L77" i="17"/>
  <c r="K77" i="17"/>
  <c r="E134" i="17"/>
  <c r="H133" i="17"/>
  <c r="H134" i="17" s="1"/>
  <c r="G133" i="17"/>
  <c r="G134" i="17" s="1"/>
  <c r="D133" i="17"/>
  <c r="D134" i="17" s="1"/>
  <c r="P132" i="17"/>
  <c r="F132" i="17"/>
  <c r="I132" i="17" s="1"/>
  <c r="P131" i="17"/>
  <c r="F131" i="17"/>
  <c r="I131" i="17" s="1"/>
  <c r="P130" i="17"/>
  <c r="F130" i="17"/>
  <c r="I130" i="17" s="1"/>
  <c r="P129" i="17"/>
  <c r="J129" i="17"/>
  <c r="M129" i="17" s="1"/>
  <c r="F129" i="17"/>
  <c r="I129" i="17" s="1"/>
  <c r="P128" i="17"/>
  <c r="F128" i="17"/>
  <c r="I128" i="17" s="1"/>
  <c r="P127" i="17"/>
  <c r="F127" i="17"/>
  <c r="I127" i="17" s="1"/>
  <c r="P126" i="17"/>
  <c r="F126" i="17"/>
  <c r="I126" i="17" s="1"/>
  <c r="P125" i="17"/>
  <c r="F125" i="17"/>
  <c r="I125" i="17" s="1"/>
  <c r="P124" i="17"/>
  <c r="F124" i="17"/>
  <c r="I124" i="17" s="1"/>
  <c r="P123" i="17"/>
  <c r="F123" i="17"/>
  <c r="I123" i="17" s="1"/>
  <c r="P122" i="17"/>
  <c r="F122" i="17"/>
  <c r="I122" i="17" s="1"/>
  <c r="P121" i="17"/>
  <c r="J121" i="17"/>
  <c r="M121" i="17" s="1"/>
  <c r="F121" i="17"/>
  <c r="I121" i="17" s="1"/>
  <c r="P120" i="17"/>
  <c r="F120" i="17"/>
  <c r="I120" i="17" s="1"/>
  <c r="P119" i="17"/>
  <c r="F119" i="17"/>
  <c r="I119" i="17" s="1"/>
  <c r="P118" i="17"/>
  <c r="F118" i="17"/>
  <c r="I118" i="17" s="1"/>
  <c r="P117" i="17"/>
  <c r="F117" i="17"/>
  <c r="I117" i="17" s="1"/>
  <c r="P116" i="17"/>
  <c r="F116" i="17"/>
  <c r="I116" i="17" s="1"/>
  <c r="P115" i="17"/>
  <c r="F115" i="17"/>
  <c r="I115" i="17" s="1"/>
  <c r="P114" i="17"/>
  <c r="F114" i="17"/>
  <c r="I114" i="17" s="1"/>
  <c r="P113" i="17"/>
  <c r="F113" i="17"/>
  <c r="I113" i="17" s="1"/>
  <c r="P112" i="17"/>
  <c r="F112" i="17"/>
  <c r="I112" i="17" s="1"/>
  <c r="P111" i="17"/>
  <c r="J111" i="17"/>
  <c r="M111" i="17" s="1"/>
  <c r="F111" i="17"/>
  <c r="I111" i="17" s="1"/>
  <c r="P110" i="17"/>
  <c r="F110" i="17"/>
  <c r="I110" i="17" s="1"/>
  <c r="P109" i="17"/>
  <c r="F109" i="17"/>
  <c r="I109" i="17" s="1"/>
  <c r="P108" i="17"/>
  <c r="F108" i="17"/>
  <c r="I108" i="17" s="1"/>
  <c r="P107" i="17"/>
  <c r="F107" i="17"/>
  <c r="P106" i="17"/>
  <c r="F106" i="17"/>
  <c r="I106" i="17" s="1"/>
  <c r="P105" i="17"/>
  <c r="F105" i="17"/>
  <c r="I105" i="17" s="1"/>
  <c r="P104" i="17"/>
  <c r="F104" i="17"/>
  <c r="I104" i="17" s="1"/>
  <c r="P103" i="17"/>
  <c r="F103" i="17"/>
  <c r="I103" i="17" s="1"/>
  <c r="P102" i="17"/>
  <c r="F102" i="17"/>
  <c r="I102" i="17" s="1"/>
  <c r="P101" i="17"/>
  <c r="I101" i="17"/>
  <c r="F101" i="17"/>
  <c r="E100" i="17"/>
  <c r="D100" i="17"/>
  <c r="H99" i="17"/>
  <c r="H100" i="17" s="1"/>
  <c r="G99" i="17"/>
  <c r="G100" i="17" s="1"/>
  <c r="P98" i="17"/>
  <c r="F98" i="17"/>
  <c r="I98" i="17" s="1"/>
  <c r="P97" i="17"/>
  <c r="F97" i="17"/>
  <c r="I97" i="17" s="1"/>
  <c r="P96" i="17"/>
  <c r="F96" i="17"/>
  <c r="I96" i="17" s="1"/>
  <c r="P95" i="17"/>
  <c r="F95" i="17"/>
  <c r="I95" i="17" s="1"/>
  <c r="P94" i="17"/>
  <c r="Q94" i="17"/>
  <c r="F94" i="17"/>
  <c r="I94" i="17" s="1"/>
  <c r="P93" i="17"/>
  <c r="F93" i="17"/>
  <c r="I93" i="17" s="1"/>
  <c r="P92" i="17"/>
  <c r="L99" i="17"/>
  <c r="F92" i="17"/>
  <c r="F99" i="17" s="1"/>
  <c r="E91" i="17"/>
  <c r="H90" i="17"/>
  <c r="G90" i="17"/>
  <c r="D90" i="17"/>
  <c r="P89" i="17"/>
  <c r="I89" i="17"/>
  <c r="F89" i="17"/>
  <c r="Q88" i="17"/>
  <c r="P88" i="17"/>
  <c r="F88" i="17"/>
  <c r="I88" i="17" s="1"/>
  <c r="P87" i="17"/>
  <c r="I87" i="17"/>
  <c r="F87" i="17"/>
  <c r="Q86" i="17"/>
  <c r="P86" i="17"/>
  <c r="F86" i="17"/>
  <c r="I86" i="17" s="1"/>
  <c r="P85" i="17"/>
  <c r="I85" i="17"/>
  <c r="F85" i="17"/>
  <c r="Q84" i="17"/>
  <c r="P84" i="17"/>
  <c r="F84" i="17"/>
  <c r="I84" i="17" s="1"/>
  <c r="P83" i="17"/>
  <c r="P90" i="17" s="1"/>
  <c r="L90" i="17"/>
  <c r="F83" i="17"/>
  <c r="I83" i="17" s="1"/>
  <c r="H82" i="17"/>
  <c r="G82" i="17"/>
  <c r="G91" i="17" s="1"/>
  <c r="D82" i="17"/>
  <c r="P81" i="17"/>
  <c r="F81" i="17"/>
  <c r="I81" i="17" s="1"/>
  <c r="P80" i="17"/>
  <c r="F80" i="17"/>
  <c r="I80" i="17" s="1"/>
  <c r="P79" i="17"/>
  <c r="F79" i="17"/>
  <c r="I79" i="17" s="1"/>
  <c r="P78" i="17"/>
  <c r="I78" i="17"/>
  <c r="F78" i="17"/>
  <c r="Q77" i="17"/>
  <c r="P77" i="17"/>
  <c r="J77" i="17"/>
  <c r="M77" i="17" s="1"/>
  <c r="F77" i="17"/>
  <c r="I77" i="17" s="1"/>
  <c r="F233" i="13"/>
  <c r="F232" i="13"/>
  <c r="F230" i="13"/>
  <c r="F229" i="13"/>
  <c r="F228" i="13"/>
  <c r="F226" i="13"/>
  <c r="F225" i="13"/>
  <c r="F224" i="13"/>
  <c r="F223" i="13"/>
  <c r="F221" i="13"/>
  <c r="F220" i="13"/>
  <c r="F218" i="13"/>
  <c r="I218" i="13" s="1"/>
  <c r="F217" i="13"/>
  <c r="F216" i="13"/>
  <c r="F215" i="13"/>
  <c r="F213" i="13"/>
  <c r="I213" i="13" s="1"/>
  <c r="F212" i="13"/>
  <c r="I212" i="13" s="1"/>
  <c r="F211" i="13"/>
  <c r="F208" i="13"/>
  <c r="I208" i="13" s="1"/>
  <c r="F205" i="13"/>
  <c r="I205" i="13" s="1"/>
  <c r="F204" i="13"/>
  <c r="I204" i="13" s="1"/>
  <c r="F203" i="13"/>
  <c r="I203" i="13" s="1"/>
  <c r="F202" i="13"/>
  <c r="I202" i="13" s="1"/>
  <c r="F201" i="13"/>
  <c r="I201" i="13" s="1"/>
  <c r="F200" i="13"/>
  <c r="F198" i="13"/>
  <c r="I198" i="13" s="1"/>
  <c r="F197" i="13"/>
  <c r="I197" i="13" s="1"/>
  <c r="F196" i="13"/>
  <c r="F193" i="13"/>
  <c r="I193" i="13" s="1"/>
  <c r="F192" i="13"/>
  <c r="I192" i="13" s="1"/>
  <c r="F191" i="13"/>
  <c r="I191" i="13" s="1"/>
  <c r="F190" i="13"/>
  <c r="I190" i="13" s="1"/>
  <c r="F189" i="13"/>
  <c r="I189" i="13" s="1"/>
  <c r="F188" i="13"/>
  <c r="F187" i="13"/>
  <c r="I187" i="13" s="1"/>
  <c r="F185" i="13"/>
  <c r="I185" i="13" s="1"/>
  <c r="F184" i="13"/>
  <c r="I184" i="13" s="1"/>
  <c r="F183" i="13"/>
  <c r="I183" i="13" s="1"/>
  <c r="F182" i="13"/>
  <c r="I182" i="13" s="1"/>
  <c r="F181" i="13"/>
  <c r="I181" i="13" s="1"/>
  <c r="F180" i="13"/>
  <c r="F179" i="13"/>
  <c r="I179" i="13" s="1"/>
  <c r="F178" i="13"/>
  <c r="I178" i="13" s="1"/>
  <c r="F177" i="13"/>
  <c r="F176" i="13"/>
  <c r="F172" i="13"/>
  <c r="I172" i="13" s="1"/>
  <c r="F171" i="13"/>
  <c r="I171" i="13" s="1"/>
  <c r="F170" i="13"/>
  <c r="I170" i="13" s="1"/>
  <c r="F169" i="13"/>
  <c r="I169" i="13" s="1"/>
  <c r="F168" i="13"/>
  <c r="I168" i="13" s="1"/>
  <c r="F167" i="13"/>
  <c r="I167" i="13" s="1"/>
  <c r="F166" i="13"/>
  <c r="I166" i="13" s="1"/>
  <c r="F165" i="13"/>
  <c r="I165" i="13" s="1"/>
  <c r="F164" i="13"/>
  <c r="F162" i="13"/>
  <c r="I162" i="13" s="1"/>
  <c r="F161" i="13"/>
  <c r="I161" i="13" s="1"/>
  <c r="F160" i="13"/>
  <c r="I160" i="13" s="1"/>
  <c r="F159" i="13"/>
  <c r="F156" i="13"/>
  <c r="I156" i="13" s="1"/>
  <c r="F155" i="13"/>
  <c r="I155" i="13" s="1"/>
  <c r="F154" i="13"/>
  <c r="F152" i="13"/>
  <c r="I152" i="13" s="1"/>
  <c r="F151" i="13"/>
  <c r="I151" i="13" s="1"/>
  <c r="F150" i="13"/>
  <c r="F148" i="13"/>
  <c r="I148" i="13" s="1"/>
  <c r="F147" i="13"/>
  <c r="I147" i="13" s="1"/>
  <c r="F146" i="13"/>
  <c r="I146" i="13" s="1"/>
  <c r="F145" i="13"/>
  <c r="I145" i="13" s="1"/>
  <c r="F144" i="13"/>
  <c r="I144" i="13" s="1"/>
  <c r="F143" i="13"/>
  <c r="I143" i="13" s="1"/>
  <c r="F142" i="13"/>
  <c r="F140" i="13"/>
  <c r="I140" i="13" s="1"/>
  <c r="F139" i="13"/>
  <c r="I139" i="13" s="1"/>
  <c r="F138" i="13"/>
  <c r="I138" i="13" s="1"/>
  <c r="F137" i="13"/>
  <c r="I137" i="13" s="1"/>
  <c r="F136" i="13"/>
  <c r="I136" i="13" s="1"/>
  <c r="F135" i="13"/>
  <c r="I135" i="13" s="1"/>
  <c r="F134" i="13"/>
  <c r="F132" i="13"/>
  <c r="I132" i="13" s="1"/>
  <c r="F131" i="13"/>
  <c r="I131" i="13" s="1"/>
  <c r="F130" i="13"/>
  <c r="I130" i="13" s="1"/>
  <c r="F129" i="13"/>
  <c r="J234" i="13"/>
  <c r="I234" i="13"/>
  <c r="I230" i="13"/>
  <c r="I226" i="13"/>
  <c r="I225" i="13"/>
  <c r="I224" i="13"/>
  <c r="I217" i="13"/>
  <c r="I180" i="13"/>
  <c r="L126" i="1"/>
  <c r="L13" i="1"/>
  <c r="M13" i="1"/>
  <c r="M126" i="1" s="1"/>
  <c r="L14" i="1"/>
  <c r="L127" i="1" s="1"/>
  <c r="M14" i="1"/>
  <c r="M127" i="1" s="1"/>
  <c r="M240" i="1" s="1"/>
  <c r="L15" i="1"/>
  <c r="L128" i="1" s="1"/>
  <c r="M15" i="1"/>
  <c r="M128" i="1" s="1"/>
  <c r="M241" i="1" s="1"/>
  <c r="M354" i="1" s="1"/>
  <c r="L16" i="1"/>
  <c r="L129" i="1" s="1"/>
  <c r="M16" i="1"/>
  <c r="M129" i="1" s="1"/>
  <c r="M242" i="1" s="1"/>
  <c r="L18" i="1"/>
  <c r="L131" i="1" s="1"/>
  <c r="M18" i="1"/>
  <c r="M131" i="1" s="1"/>
  <c r="M244" i="1" s="1"/>
  <c r="L19" i="1"/>
  <c r="L132" i="1" s="1"/>
  <c r="M19" i="1"/>
  <c r="M132" i="1" s="1"/>
  <c r="M245" i="1" s="1"/>
  <c r="L20" i="1"/>
  <c r="L133" i="1" s="1"/>
  <c r="M20" i="1"/>
  <c r="M133" i="1" s="1"/>
  <c r="M246" i="1" s="1"/>
  <c r="L21" i="1"/>
  <c r="L134" i="1" s="1"/>
  <c r="M21" i="1"/>
  <c r="M134" i="1" s="1"/>
  <c r="M247" i="1" s="1"/>
  <c r="L22" i="1"/>
  <c r="L135" i="1" s="1"/>
  <c r="M22" i="1"/>
  <c r="M135" i="1" s="1"/>
  <c r="M248" i="1" s="1"/>
  <c r="L23" i="1"/>
  <c r="L136" i="1" s="1"/>
  <c r="M23" i="1"/>
  <c r="M136" i="1" s="1"/>
  <c r="M249" i="1" s="1"/>
  <c r="L24" i="1"/>
  <c r="L137" i="1" s="1"/>
  <c r="M24" i="1"/>
  <c r="M137" i="1" s="1"/>
  <c r="M250" i="1" s="1"/>
  <c r="L26" i="1"/>
  <c r="L139" i="1" s="1"/>
  <c r="M26" i="1"/>
  <c r="M139" i="1" s="1"/>
  <c r="M252" i="1" s="1"/>
  <c r="L27" i="1"/>
  <c r="L140" i="1" s="1"/>
  <c r="M27" i="1"/>
  <c r="M140" i="1" s="1"/>
  <c r="M253" i="1" s="1"/>
  <c r="L28" i="1"/>
  <c r="L141" i="1" s="1"/>
  <c r="M28" i="1"/>
  <c r="M141" i="1" s="1"/>
  <c r="M254" i="1" s="1"/>
  <c r="L29" i="1"/>
  <c r="L142" i="1" s="1"/>
  <c r="M29" i="1"/>
  <c r="M142" i="1" s="1"/>
  <c r="M255" i="1" s="1"/>
  <c r="L30" i="1"/>
  <c r="L143" i="1" s="1"/>
  <c r="M30" i="1"/>
  <c r="M143" i="1" s="1"/>
  <c r="M256" i="1" s="1"/>
  <c r="L31" i="1"/>
  <c r="L144" i="1" s="1"/>
  <c r="M31" i="1"/>
  <c r="M144" i="1" s="1"/>
  <c r="M257" i="1" s="1"/>
  <c r="L32" i="1"/>
  <c r="L145" i="1" s="1"/>
  <c r="M32" i="1"/>
  <c r="M145" i="1" s="1"/>
  <c r="M258" i="1" s="1"/>
  <c r="L34" i="1"/>
  <c r="L147" i="1" s="1"/>
  <c r="M34" i="1"/>
  <c r="M147" i="1" s="1"/>
  <c r="L35" i="1"/>
  <c r="L148" i="1" s="1"/>
  <c r="L261" i="1" s="1"/>
  <c r="M35" i="1"/>
  <c r="M148" i="1" s="1"/>
  <c r="M261" i="1" s="1"/>
  <c r="M374" i="1" s="1"/>
  <c r="L36" i="1"/>
  <c r="L149" i="1" s="1"/>
  <c r="M36" i="1"/>
  <c r="M149" i="1" s="1"/>
  <c r="M262" i="1" s="1"/>
  <c r="L38" i="1"/>
  <c r="L151" i="1" s="1"/>
  <c r="M38" i="1"/>
  <c r="M151" i="1" s="1"/>
  <c r="L39" i="1"/>
  <c r="L152" i="1" s="1"/>
  <c r="M39" i="1"/>
  <c r="M152" i="1" s="1"/>
  <c r="M265" i="1" s="1"/>
  <c r="L40" i="1"/>
  <c r="L153" i="1" s="1"/>
  <c r="M40" i="1"/>
  <c r="M153" i="1" s="1"/>
  <c r="M266" i="1" s="1"/>
  <c r="L43" i="1"/>
  <c r="L156" i="1" s="1"/>
  <c r="M43" i="1"/>
  <c r="M156" i="1" s="1"/>
  <c r="M269" i="1" s="1"/>
  <c r="L44" i="1"/>
  <c r="L157" i="1" s="1"/>
  <c r="M44" i="1"/>
  <c r="M157" i="1" s="1"/>
  <c r="M270" i="1" s="1"/>
  <c r="L45" i="1"/>
  <c r="L158" i="1" s="1"/>
  <c r="M45" i="1"/>
  <c r="M158" i="1" s="1"/>
  <c r="M271" i="1" s="1"/>
  <c r="L46" i="1"/>
  <c r="L159" i="1" s="1"/>
  <c r="M46" i="1"/>
  <c r="M159" i="1" s="1"/>
  <c r="M272" i="1" s="1"/>
  <c r="L48" i="1"/>
  <c r="L161" i="1" s="1"/>
  <c r="M48" i="1"/>
  <c r="M161" i="1" s="1"/>
  <c r="M274" i="1" s="1"/>
  <c r="L49" i="1"/>
  <c r="L162" i="1" s="1"/>
  <c r="M49" i="1"/>
  <c r="M162" i="1" s="1"/>
  <c r="M275" i="1" s="1"/>
  <c r="L50" i="1"/>
  <c r="L163" i="1" s="1"/>
  <c r="M50" i="1"/>
  <c r="M163" i="1" s="1"/>
  <c r="M276" i="1" s="1"/>
  <c r="L51" i="1"/>
  <c r="L164" i="1" s="1"/>
  <c r="M51" i="1"/>
  <c r="M164" i="1" s="1"/>
  <c r="M277" i="1" s="1"/>
  <c r="L52" i="1"/>
  <c r="L165" i="1" s="1"/>
  <c r="M52" i="1"/>
  <c r="M165" i="1" s="1"/>
  <c r="M278" i="1" s="1"/>
  <c r="L53" i="1"/>
  <c r="L166" i="1" s="1"/>
  <c r="M53" i="1"/>
  <c r="M166" i="1" s="1"/>
  <c r="M279" i="1" s="1"/>
  <c r="L54" i="1"/>
  <c r="L167" i="1" s="1"/>
  <c r="M54" i="1"/>
  <c r="M167" i="1" s="1"/>
  <c r="M280" i="1" s="1"/>
  <c r="L55" i="1"/>
  <c r="L168" i="1" s="1"/>
  <c r="M55" i="1"/>
  <c r="M168" i="1" s="1"/>
  <c r="M281" i="1" s="1"/>
  <c r="M394" i="1" s="1"/>
  <c r="M507" i="1" s="1"/>
  <c r="M622" i="1" s="1"/>
  <c r="M737" i="1" s="1"/>
  <c r="M852" i="1" s="1"/>
  <c r="M968" i="1" s="1"/>
  <c r="M1085" i="1" s="1"/>
  <c r="L56" i="1"/>
  <c r="L169" i="1" s="1"/>
  <c r="M56" i="1"/>
  <c r="M169" i="1" s="1"/>
  <c r="M282" i="1" s="1"/>
  <c r="F233" i="1"/>
  <c r="F234" i="1" s="1"/>
  <c r="I232" i="1"/>
  <c r="H232" i="1"/>
  <c r="G231" i="1"/>
  <c r="J231" i="1" s="1"/>
  <c r="G230" i="1"/>
  <c r="J230" i="1" s="1"/>
  <c r="I229" i="1"/>
  <c r="H229" i="1"/>
  <c r="E229" i="1"/>
  <c r="G228" i="1"/>
  <c r="J228" i="1" s="1"/>
  <c r="G227" i="1"/>
  <c r="J227" i="1" s="1"/>
  <c r="G226" i="1"/>
  <c r="J226" i="1" s="1"/>
  <c r="I225" i="1"/>
  <c r="H225" i="1"/>
  <c r="E225" i="1"/>
  <c r="G224" i="1"/>
  <c r="J224" i="1" s="1"/>
  <c r="G223" i="1"/>
  <c r="J223" i="1" s="1"/>
  <c r="G222" i="1"/>
  <c r="J222" i="1" s="1"/>
  <c r="G221" i="1"/>
  <c r="J221" i="1" s="1"/>
  <c r="G220" i="1"/>
  <c r="J220" i="1" s="1"/>
  <c r="I219" i="1"/>
  <c r="H219" i="1"/>
  <c r="E219" i="1"/>
  <c r="G218" i="1"/>
  <c r="J218" i="1" s="1"/>
  <c r="G217" i="1"/>
  <c r="I216" i="1"/>
  <c r="H216" i="1"/>
  <c r="E216" i="1"/>
  <c r="G215" i="1"/>
  <c r="J215" i="1" s="1"/>
  <c r="G214" i="1"/>
  <c r="J214" i="1" s="1"/>
  <c r="G213" i="1"/>
  <c r="J213" i="1" s="1"/>
  <c r="G212" i="1"/>
  <c r="I211" i="1"/>
  <c r="H211" i="1"/>
  <c r="E211" i="1"/>
  <c r="G210" i="1"/>
  <c r="J210" i="1" s="1"/>
  <c r="G209" i="1"/>
  <c r="J209" i="1" s="1"/>
  <c r="G208" i="1"/>
  <c r="F206" i="1"/>
  <c r="F207" i="1" s="1"/>
  <c r="G205" i="1"/>
  <c r="J205" i="1" s="1"/>
  <c r="I203" i="1"/>
  <c r="H203" i="1"/>
  <c r="E203" i="1"/>
  <c r="E204" i="1" s="1"/>
  <c r="G202" i="1"/>
  <c r="J202" i="1" s="1"/>
  <c r="J201" i="1"/>
  <c r="G200" i="1"/>
  <c r="J200" i="1" s="1"/>
  <c r="J199" i="1"/>
  <c r="G198" i="1"/>
  <c r="J198" i="1" s="1"/>
  <c r="G197" i="1"/>
  <c r="J197" i="1" s="1"/>
  <c r="I196" i="1"/>
  <c r="H196" i="1"/>
  <c r="H204" i="1" s="1"/>
  <c r="G195" i="1"/>
  <c r="J195" i="1" s="1"/>
  <c r="G194" i="1"/>
  <c r="J194" i="1" s="1"/>
  <c r="G193" i="1"/>
  <c r="J193" i="1" s="1"/>
  <c r="I191" i="1"/>
  <c r="H191" i="1"/>
  <c r="E191" i="1"/>
  <c r="G190" i="1"/>
  <c r="J190" i="1" s="1"/>
  <c r="J189" i="1"/>
  <c r="G188" i="1"/>
  <c r="J188" i="1" s="1"/>
  <c r="G187" i="1"/>
  <c r="J187" i="1" s="1"/>
  <c r="G186" i="1"/>
  <c r="J186" i="1" s="1"/>
  <c r="G185" i="1"/>
  <c r="J185" i="1" s="1"/>
  <c r="G184" i="1"/>
  <c r="J184" i="1" s="1"/>
  <c r="I183" i="1"/>
  <c r="I192" i="1" s="1"/>
  <c r="H183" i="1"/>
  <c r="E183" i="1"/>
  <c r="G182" i="1"/>
  <c r="J182" i="1" s="1"/>
  <c r="G181" i="1"/>
  <c r="J181" i="1" s="1"/>
  <c r="G180" i="1"/>
  <c r="J180" i="1" s="1"/>
  <c r="G179" i="1"/>
  <c r="J179" i="1" s="1"/>
  <c r="G178" i="1"/>
  <c r="J178" i="1" s="1"/>
  <c r="G177" i="1"/>
  <c r="J177" i="1" s="1"/>
  <c r="G176" i="1"/>
  <c r="J176" i="1" s="1"/>
  <c r="G175" i="1"/>
  <c r="J175" i="1" s="1"/>
  <c r="G174" i="1"/>
  <c r="J174" i="1" s="1"/>
  <c r="G173" i="1"/>
  <c r="J173" i="1" s="1"/>
  <c r="F171" i="1"/>
  <c r="I170" i="1"/>
  <c r="M170" i="1" s="1"/>
  <c r="H170" i="1"/>
  <c r="L170" i="1" s="1"/>
  <c r="E170" i="1"/>
  <c r="G169" i="1"/>
  <c r="J169" i="1" s="1"/>
  <c r="G168" i="1"/>
  <c r="J168" i="1" s="1"/>
  <c r="G167" i="1"/>
  <c r="J167" i="1" s="1"/>
  <c r="G166" i="1"/>
  <c r="J166" i="1" s="1"/>
  <c r="G165" i="1"/>
  <c r="J165" i="1" s="1"/>
  <c r="G164" i="1"/>
  <c r="J164" i="1" s="1"/>
  <c r="G163" i="1"/>
  <c r="J163" i="1" s="1"/>
  <c r="G162" i="1"/>
  <c r="J162" i="1" s="1"/>
  <c r="G161" i="1"/>
  <c r="I160" i="1"/>
  <c r="I171" i="1" s="1"/>
  <c r="H160" i="1"/>
  <c r="H171" i="1" s="1"/>
  <c r="E160" i="1"/>
  <c r="G159" i="1"/>
  <c r="J159" i="1" s="1"/>
  <c r="G158" i="1"/>
  <c r="J158" i="1" s="1"/>
  <c r="G157" i="1"/>
  <c r="J157" i="1" s="1"/>
  <c r="G156" i="1"/>
  <c r="J156" i="1" s="1"/>
  <c r="I154" i="1"/>
  <c r="H154" i="1"/>
  <c r="E154" i="1"/>
  <c r="G153" i="1"/>
  <c r="J153" i="1" s="1"/>
  <c r="G152" i="1"/>
  <c r="J152" i="1" s="1"/>
  <c r="G151" i="1"/>
  <c r="I150" i="1"/>
  <c r="H150" i="1"/>
  <c r="F150" i="1"/>
  <c r="F155" i="1" s="1"/>
  <c r="F172" i="1" s="1"/>
  <c r="F235" i="1" s="1"/>
  <c r="E150" i="1"/>
  <c r="G149" i="1"/>
  <c r="G148" i="1"/>
  <c r="J148" i="1" s="1"/>
  <c r="G147" i="1"/>
  <c r="G150" i="1" s="1"/>
  <c r="J150" i="1" s="1"/>
  <c r="I146" i="1"/>
  <c r="H146" i="1"/>
  <c r="E146" i="1"/>
  <c r="G145" i="1"/>
  <c r="J145" i="1" s="1"/>
  <c r="G144" i="1"/>
  <c r="J144" i="1" s="1"/>
  <c r="G143" i="1"/>
  <c r="J143" i="1" s="1"/>
  <c r="G142" i="1"/>
  <c r="J142" i="1" s="1"/>
  <c r="G141" i="1"/>
  <c r="J141" i="1" s="1"/>
  <c r="G140" i="1"/>
  <c r="J140" i="1" s="1"/>
  <c r="G139" i="1"/>
  <c r="J139" i="1" s="1"/>
  <c r="I138" i="1"/>
  <c r="H138" i="1"/>
  <c r="E138" i="1"/>
  <c r="G137" i="1"/>
  <c r="J137" i="1" s="1"/>
  <c r="G136" i="1"/>
  <c r="J136" i="1" s="1"/>
  <c r="G135" i="1"/>
  <c r="J135" i="1" s="1"/>
  <c r="G134" i="1"/>
  <c r="J134" i="1" s="1"/>
  <c r="G133" i="1"/>
  <c r="J133" i="1" s="1"/>
  <c r="G132" i="1"/>
  <c r="J132" i="1" s="1"/>
  <c r="G131" i="1"/>
  <c r="I130" i="1"/>
  <c r="H130" i="1"/>
  <c r="E130" i="1"/>
  <c r="G129" i="1"/>
  <c r="J129" i="1" s="1"/>
  <c r="G128" i="1"/>
  <c r="J128" i="1" s="1"/>
  <c r="G127" i="1"/>
  <c r="J127" i="1" s="1"/>
  <c r="G126" i="1"/>
  <c r="S228" i="14" l="1"/>
  <c r="T228" i="14" s="1"/>
  <c r="S226" i="14"/>
  <c r="T226" i="14" s="1"/>
  <c r="T232" i="14"/>
  <c r="T231" i="14"/>
  <c r="T233" i="14"/>
  <c r="T235" i="14"/>
  <c r="T227" i="14"/>
  <c r="S230" i="14"/>
  <c r="T230" i="14" s="1"/>
  <c r="S234" i="14"/>
  <c r="T234" i="14" s="1"/>
  <c r="F214" i="13"/>
  <c r="F219" i="13"/>
  <c r="F222" i="13"/>
  <c r="F227" i="13"/>
  <c r="J147" i="1"/>
  <c r="G170" i="1"/>
  <c r="G211" i="1"/>
  <c r="J211" i="1" s="1"/>
  <c r="I216" i="13"/>
  <c r="F289" i="13"/>
  <c r="I221" i="13"/>
  <c r="F149" i="13"/>
  <c r="F157" i="13"/>
  <c r="F206" i="13"/>
  <c r="I323" i="13"/>
  <c r="I324" i="13" s="1"/>
  <c r="G138" i="1"/>
  <c r="J138" i="1" s="1"/>
  <c r="G154" i="1"/>
  <c r="J154" i="1" s="1"/>
  <c r="I204" i="1"/>
  <c r="I206" i="1" s="1"/>
  <c r="I207" i="1" s="1"/>
  <c r="M264" i="1"/>
  <c r="M267" i="1" s="1"/>
  <c r="M154" i="1"/>
  <c r="M260" i="1"/>
  <c r="M373" i="1" s="1"/>
  <c r="M150" i="1"/>
  <c r="M239" i="1"/>
  <c r="M130" i="1"/>
  <c r="L239" i="1"/>
  <c r="G129" i="13"/>
  <c r="J129" i="13" s="1"/>
  <c r="G130" i="1"/>
  <c r="J130" i="1" s="1"/>
  <c r="E155" i="1"/>
  <c r="C30" i="15" s="1"/>
  <c r="E171" i="1"/>
  <c r="C31" i="15" s="1"/>
  <c r="H192" i="1"/>
  <c r="E192" i="1"/>
  <c r="E206" i="1" s="1"/>
  <c r="E207" i="1" s="1"/>
  <c r="C34" i="15" s="1"/>
  <c r="C36" i="15" s="1"/>
  <c r="F163" i="13"/>
  <c r="F173" i="13"/>
  <c r="F199" i="13"/>
  <c r="F207" i="13" s="1"/>
  <c r="F231" i="13"/>
  <c r="I289" i="13"/>
  <c r="L282" i="1"/>
  <c r="G172" i="13"/>
  <c r="J172" i="13" s="1"/>
  <c r="K169" i="1"/>
  <c r="N169" i="1" s="1"/>
  <c r="K168" i="1"/>
  <c r="L281" i="1"/>
  <c r="G171" i="13"/>
  <c r="J171" i="13" s="1"/>
  <c r="K167" i="1"/>
  <c r="N167" i="1" s="1"/>
  <c r="L280" i="1"/>
  <c r="G170" i="13"/>
  <c r="J170" i="13" s="1"/>
  <c r="K166" i="1"/>
  <c r="N166" i="1" s="1"/>
  <c r="L279" i="1"/>
  <c r="G169" i="13"/>
  <c r="J169" i="13" s="1"/>
  <c r="K165" i="1"/>
  <c r="N165" i="1" s="1"/>
  <c r="L278" i="1"/>
  <c r="G168" i="13"/>
  <c r="J168" i="13" s="1"/>
  <c r="K164" i="1"/>
  <c r="N164" i="1" s="1"/>
  <c r="L277" i="1"/>
  <c r="G167" i="13"/>
  <c r="J167" i="13" s="1"/>
  <c r="K163" i="1"/>
  <c r="N163" i="1" s="1"/>
  <c r="L276" i="1"/>
  <c r="G166" i="13"/>
  <c r="J166" i="13" s="1"/>
  <c r="K162" i="1"/>
  <c r="N162" i="1" s="1"/>
  <c r="L275" i="1"/>
  <c r="G165" i="13"/>
  <c r="J165" i="13" s="1"/>
  <c r="K161" i="1"/>
  <c r="N161" i="1" s="1"/>
  <c r="L274" i="1"/>
  <c r="G164" i="13"/>
  <c r="J164" i="13" s="1"/>
  <c r="L272" i="1"/>
  <c r="G162" i="13"/>
  <c r="J162" i="13" s="1"/>
  <c r="K159" i="1"/>
  <c r="N159" i="1" s="1"/>
  <c r="K158" i="1"/>
  <c r="N158" i="1" s="1"/>
  <c r="L271" i="1"/>
  <c r="G161" i="13"/>
  <c r="J161" i="13" s="1"/>
  <c r="K157" i="1"/>
  <c r="O157" i="1" s="1"/>
  <c r="L270" i="1"/>
  <c r="G160" i="13"/>
  <c r="J160" i="13" s="1"/>
  <c r="L269" i="1"/>
  <c r="G159" i="13"/>
  <c r="L266" i="1"/>
  <c r="G156" i="13"/>
  <c r="J156" i="13" s="1"/>
  <c r="K153" i="1"/>
  <c r="N153" i="1" s="1"/>
  <c r="L265" i="1"/>
  <c r="G155" i="13"/>
  <c r="J155" i="13" s="1"/>
  <c r="K152" i="1"/>
  <c r="N152" i="1" s="1"/>
  <c r="K151" i="1"/>
  <c r="O151" i="1" s="1"/>
  <c r="L264" i="1"/>
  <c r="G154" i="13"/>
  <c r="J154" i="13" s="1"/>
  <c r="L154" i="1"/>
  <c r="L262" i="1"/>
  <c r="G152" i="13"/>
  <c r="J152" i="13" s="1"/>
  <c r="K149" i="1"/>
  <c r="N149" i="1" s="1"/>
  <c r="L374" i="1"/>
  <c r="K261" i="1"/>
  <c r="N261" i="1" s="1"/>
  <c r="G265" i="13"/>
  <c r="J265" i="13" s="1"/>
  <c r="L260" i="1"/>
  <c r="K147" i="1"/>
  <c r="N147" i="1" s="1"/>
  <c r="G150" i="13"/>
  <c r="J150" i="13" s="1"/>
  <c r="K145" i="1"/>
  <c r="O145" i="1" s="1"/>
  <c r="L258" i="1"/>
  <c r="G148" i="13"/>
  <c r="J148" i="13" s="1"/>
  <c r="L257" i="1"/>
  <c r="G147" i="13"/>
  <c r="J147" i="13" s="1"/>
  <c r="K144" i="1"/>
  <c r="N144" i="1" s="1"/>
  <c r="L256" i="1"/>
  <c r="K143" i="1"/>
  <c r="N143" i="1" s="1"/>
  <c r="G146" i="13"/>
  <c r="J146" i="13" s="1"/>
  <c r="K142" i="1"/>
  <c r="O142" i="1" s="1"/>
  <c r="L255" i="1"/>
  <c r="G145" i="13"/>
  <c r="J145" i="13" s="1"/>
  <c r="K141" i="1"/>
  <c r="O141" i="1" s="1"/>
  <c r="L254" i="1"/>
  <c r="G144" i="13"/>
  <c r="J144" i="13" s="1"/>
  <c r="L253" i="1"/>
  <c r="G143" i="13"/>
  <c r="J143" i="13" s="1"/>
  <c r="K140" i="1"/>
  <c r="N140" i="1" s="1"/>
  <c r="K139" i="1"/>
  <c r="N139" i="1" s="1"/>
  <c r="L252" i="1"/>
  <c r="G142" i="13"/>
  <c r="L146" i="1"/>
  <c r="K137" i="1"/>
  <c r="N137" i="1" s="1"/>
  <c r="L250" i="1"/>
  <c r="G140" i="13"/>
  <c r="J140" i="13" s="1"/>
  <c r="K136" i="1"/>
  <c r="N136" i="1" s="1"/>
  <c r="L249" i="1"/>
  <c r="G139" i="13"/>
  <c r="J139" i="13" s="1"/>
  <c r="K135" i="1"/>
  <c r="N135" i="1" s="1"/>
  <c r="L248" i="1"/>
  <c r="G138" i="13"/>
  <c r="J138" i="13" s="1"/>
  <c r="K134" i="1"/>
  <c r="N134" i="1" s="1"/>
  <c r="L247" i="1"/>
  <c r="G137" i="13"/>
  <c r="J137" i="13" s="1"/>
  <c r="G136" i="13"/>
  <c r="J136" i="13" s="1"/>
  <c r="L246" i="1"/>
  <c r="K132" i="1"/>
  <c r="N132" i="1" s="1"/>
  <c r="L245" i="1"/>
  <c r="G135" i="13"/>
  <c r="J135" i="13" s="1"/>
  <c r="K131" i="1"/>
  <c r="O131" i="1" s="1"/>
  <c r="L244" i="1"/>
  <c r="G134" i="13"/>
  <c r="J134" i="13" s="1"/>
  <c r="L242" i="1"/>
  <c r="G132" i="13"/>
  <c r="J132" i="13" s="1"/>
  <c r="K129" i="1"/>
  <c r="N129" i="1" s="1"/>
  <c r="K128" i="1"/>
  <c r="N128" i="1" s="1"/>
  <c r="L241" i="1"/>
  <c r="G131" i="13"/>
  <c r="J131" i="13" s="1"/>
  <c r="K127" i="1"/>
  <c r="N127" i="1" s="1"/>
  <c r="L240" i="1"/>
  <c r="G130" i="13"/>
  <c r="J130" i="13" s="1"/>
  <c r="G232" i="1"/>
  <c r="J232" i="1" s="1"/>
  <c r="M353" i="1"/>
  <c r="M243" i="1"/>
  <c r="M467" i="1"/>
  <c r="M355" i="1"/>
  <c r="M251" i="1"/>
  <c r="M357" i="1"/>
  <c r="M358" i="1"/>
  <c r="M359" i="1"/>
  <c r="M360" i="1"/>
  <c r="M361" i="1"/>
  <c r="M362" i="1"/>
  <c r="M363" i="1"/>
  <c r="M259" i="1"/>
  <c r="M365" i="1"/>
  <c r="M366" i="1"/>
  <c r="M367" i="1"/>
  <c r="M368" i="1"/>
  <c r="M369" i="1"/>
  <c r="M370" i="1"/>
  <c r="M371" i="1"/>
  <c r="M487" i="1"/>
  <c r="M375" i="1"/>
  <c r="M378" i="1"/>
  <c r="M379" i="1"/>
  <c r="M273" i="1"/>
  <c r="M284" i="1" s="1"/>
  <c r="M382" i="1"/>
  <c r="M383" i="1"/>
  <c r="M384" i="1"/>
  <c r="M385" i="1"/>
  <c r="M387" i="1"/>
  <c r="M388" i="1"/>
  <c r="M389" i="1"/>
  <c r="M390" i="1"/>
  <c r="M391" i="1"/>
  <c r="M392" i="1"/>
  <c r="M393" i="1"/>
  <c r="M395" i="1"/>
  <c r="J131" i="1"/>
  <c r="M146" i="1"/>
  <c r="M160" i="1"/>
  <c r="M171" i="1" s="1"/>
  <c r="J161" i="1"/>
  <c r="J208" i="1"/>
  <c r="F351" i="13"/>
  <c r="G319" i="1"/>
  <c r="G320" i="1" s="1"/>
  <c r="N217" i="17"/>
  <c r="C70" i="15"/>
  <c r="H223" i="16"/>
  <c r="H139" i="16"/>
  <c r="H154" i="16"/>
  <c r="H197" i="16"/>
  <c r="I261" i="17"/>
  <c r="J261" i="17"/>
  <c r="M260" i="17"/>
  <c r="N261" i="17"/>
  <c r="M226" i="17"/>
  <c r="N226" i="17"/>
  <c r="G433" i="1"/>
  <c r="G461" i="1" s="1"/>
  <c r="J461" i="1" s="1"/>
  <c r="J432" i="1"/>
  <c r="J433" i="1" s="1"/>
  <c r="K198" i="17"/>
  <c r="Q154" i="17"/>
  <c r="H46" i="15"/>
  <c r="H48" i="15" s="1"/>
  <c r="H55" i="15" s="1"/>
  <c r="G48" i="15"/>
  <c r="G55" i="15" s="1"/>
  <c r="J154" i="17"/>
  <c r="M154" i="17" s="1"/>
  <c r="N145" i="17"/>
  <c r="S224" i="14"/>
  <c r="T224" i="14" s="1"/>
  <c r="S222" i="14"/>
  <c r="T222" i="14" s="1"/>
  <c r="S223" i="14"/>
  <c r="T223" i="14" s="1"/>
  <c r="R225" i="14"/>
  <c r="P225" i="14"/>
  <c r="Q225" i="14"/>
  <c r="M162" i="17"/>
  <c r="N162" i="17"/>
  <c r="J163" i="17"/>
  <c r="F198" i="17"/>
  <c r="I198" i="17" s="1"/>
  <c r="I197" i="17"/>
  <c r="J197" i="17"/>
  <c r="M196" i="17"/>
  <c r="M153" i="17"/>
  <c r="N153" i="17"/>
  <c r="L198" i="17"/>
  <c r="N197" i="17"/>
  <c r="Q198" i="17"/>
  <c r="D91" i="17"/>
  <c r="E135" i="17"/>
  <c r="J93" i="17"/>
  <c r="M93" i="17" s="1"/>
  <c r="J117" i="17"/>
  <c r="M117" i="17" s="1"/>
  <c r="J125" i="17"/>
  <c r="M125" i="17" s="1"/>
  <c r="H91" i="17"/>
  <c r="I92" i="17"/>
  <c r="J98" i="17"/>
  <c r="M98" i="17" s="1"/>
  <c r="P133" i="17"/>
  <c r="P134" i="17" s="1"/>
  <c r="J104" i="17"/>
  <c r="M104" i="17" s="1"/>
  <c r="J109" i="17"/>
  <c r="M109" i="17" s="1"/>
  <c r="J113" i="17"/>
  <c r="M113" i="17" s="1"/>
  <c r="J119" i="17"/>
  <c r="M119" i="17" s="1"/>
  <c r="J123" i="17"/>
  <c r="M123" i="17" s="1"/>
  <c r="J127" i="17"/>
  <c r="M127" i="17" s="1"/>
  <c r="J131" i="17"/>
  <c r="M131" i="17" s="1"/>
  <c r="F186" i="13"/>
  <c r="I177" i="13"/>
  <c r="I228" i="13"/>
  <c r="F153" i="13"/>
  <c r="F194" i="13"/>
  <c r="J285" i="1"/>
  <c r="G347" i="1"/>
  <c r="J346" i="1"/>
  <c r="J347" i="1" s="1"/>
  <c r="E164" i="16"/>
  <c r="F141" i="13"/>
  <c r="K148" i="1"/>
  <c r="N148" i="1" s="1"/>
  <c r="G151" i="13"/>
  <c r="J115" i="17"/>
  <c r="M115" i="17" s="1"/>
  <c r="M253" i="14"/>
  <c r="O253" i="14"/>
  <c r="N253" i="14" s="1"/>
  <c r="R253" i="14" s="1"/>
  <c r="M254" i="14"/>
  <c r="O254" i="14"/>
  <c r="N254" i="14" s="1"/>
  <c r="R254" i="14" s="1"/>
  <c r="O252" i="14"/>
  <c r="N252" i="14" s="1"/>
  <c r="R252" i="14" s="1"/>
  <c r="M255" i="14"/>
  <c r="O255" i="14"/>
  <c r="N255" i="14" s="1"/>
  <c r="R255" i="14" s="1"/>
  <c r="N256" i="14"/>
  <c r="P256" i="14" s="1"/>
  <c r="N257" i="14"/>
  <c r="P257" i="14" s="1"/>
  <c r="N258" i="14"/>
  <c r="P258" i="14" s="1"/>
  <c r="N247" i="14"/>
  <c r="R247" i="14" s="1"/>
  <c r="N248" i="14"/>
  <c r="R248" i="14" s="1"/>
  <c r="N249" i="14"/>
  <c r="R249" i="14" s="1"/>
  <c r="O243" i="14"/>
  <c r="N243" i="14" s="1"/>
  <c r="M243" i="14"/>
  <c r="O245" i="14"/>
  <c r="N245" i="14" s="1"/>
  <c r="M245" i="14"/>
  <c r="M247" i="14"/>
  <c r="M248" i="14"/>
  <c r="M249" i="14"/>
  <c r="L251" i="14"/>
  <c r="K251" i="14" s="1"/>
  <c r="C251" i="14"/>
  <c r="O244" i="14"/>
  <c r="N244" i="14" s="1"/>
  <c r="M244" i="14"/>
  <c r="L246" i="14"/>
  <c r="K246" i="14" s="1"/>
  <c r="C246" i="14"/>
  <c r="O250" i="14"/>
  <c r="N250" i="14" s="1"/>
  <c r="M250" i="14"/>
  <c r="M256" i="14"/>
  <c r="M257" i="14"/>
  <c r="M258" i="14"/>
  <c r="H162" i="16"/>
  <c r="E226" i="16"/>
  <c r="P99" i="17"/>
  <c r="P100" i="17" s="1"/>
  <c r="Q95" i="17"/>
  <c r="K133" i="17"/>
  <c r="K134" i="17" s="1"/>
  <c r="G37" i="15" s="1"/>
  <c r="G39" i="15" s="1"/>
  <c r="Q102" i="17"/>
  <c r="M102" i="17"/>
  <c r="N102" i="17"/>
  <c r="N104" i="17"/>
  <c r="J105" i="17"/>
  <c r="N111" i="17"/>
  <c r="N115" i="17"/>
  <c r="N119" i="17"/>
  <c r="N121" i="17"/>
  <c r="N123" i="17"/>
  <c r="N125" i="17"/>
  <c r="N127" i="17"/>
  <c r="N129" i="17"/>
  <c r="N131" i="17"/>
  <c r="M95" i="17"/>
  <c r="N95" i="17"/>
  <c r="N93" i="17"/>
  <c r="N98" i="17"/>
  <c r="M84" i="17"/>
  <c r="N84" i="17"/>
  <c r="M86" i="17"/>
  <c r="N86" i="17"/>
  <c r="M88" i="17"/>
  <c r="N88" i="17"/>
  <c r="J79" i="17"/>
  <c r="M79" i="17" s="1"/>
  <c r="N77" i="17"/>
  <c r="J81" i="17"/>
  <c r="N79" i="17"/>
  <c r="Q80" i="17"/>
  <c r="J80" i="17"/>
  <c r="M80" i="17" s="1"/>
  <c r="F82" i="17"/>
  <c r="Q85" i="17"/>
  <c r="J85" i="17"/>
  <c r="M85" i="17" s="1"/>
  <c r="Q89" i="17"/>
  <c r="J89" i="17"/>
  <c r="M89" i="17" s="1"/>
  <c r="F100" i="17"/>
  <c r="I100" i="17" s="1"/>
  <c r="I99" i="17"/>
  <c r="N96" i="17"/>
  <c r="G135" i="17"/>
  <c r="P82" i="17"/>
  <c r="P91" i="17" s="1"/>
  <c r="F90" i="17"/>
  <c r="I90" i="17" s="1"/>
  <c r="Q83" i="17"/>
  <c r="J83" i="17"/>
  <c r="N83" i="17" s="1"/>
  <c r="K90" i="17"/>
  <c r="G31" i="15" s="1"/>
  <c r="Q87" i="17"/>
  <c r="J87" i="17"/>
  <c r="M87" i="17" s="1"/>
  <c r="L100" i="17"/>
  <c r="Q96" i="17"/>
  <c r="K99" i="17"/>
  <c r="K100" i="17" s="1"/>
  <c r="G34" i="15" s="1"/>
  <c r="G36" i="15" s="1"/>
  <c r="Q107" i="17"/>
  <c r="Q110" i="17"/>
  <c r="J110" i="17"/>
  <c r="M110" i="17" s="1"/>
  <c r="Q114" i="17"/>
  <c r="J114" i="17"/>
  <c r="M114" i="17" s="1"/>
  <c r="Q118" i="17"/>
  <c r="J118" i="17"/>
  <c r="M118" i="17" s="1"/>
  <c r="Q122" i="17"/>
  <c r="J122" i="17"/>
  <c r="M122" i="17" s="1"/>
  <c r="Q126" i="17"/>
  <c r="J126" i="17"/>
  <c r="M126" i="17" s="1"/>
  <c r="Q130" i="17"/>
  <c r="J130" i="17"/>
  <c r="M130" i="17" s="1"/>
  <c r="D135" i="17"/>
  <c r="J92" i="17"/>
  <c r="N92" i="17" s="1"/>
  <c r="J94" i="17"/>
  <c r="M94" i="17" s="1"/>
  <c r="J97" i="17"/>
  <c r="M97" i="17" s="1"/>
  <c r="F133" i="17"/>
  <c r="J101" i="17"/>
  <c r="L133" i="17"/>
  <c r="N101" i="17"/>
  <c r="Q101" i="17"/>
  <c r="J103" i="17"/>
  <c r="M103" i="17" s="1"/>
  <c r="Q106" i="17"/>
  <c r="J106" i="17"/>
  <c r="M106" i="17" s="1"/>
  <c r="Q108" i="17"/>
  <c r="J108" i="17"/>
  <c r="M108" i="17" s="1"/>
  <c r="Q112" i="17"/>
  <c r="J112" i="17"/>
  <c r="M112" i="17" s="1"/>
  <c r="Q116" i="17"/>
  <c r="J116" i="17"/>
  <c r="M116" i="17" s="1"/>
  <c r="Q120" i="17"/>
  <c r="J120" i="17"/>
  <c r="M120" i="17" s="1"/>
  <c r="N122" i="17"/>
  <c r="Q124" i="17"/>
  <c r="J124" i="17"/>
  <c r="M124" i="17" s="1"/>
  <c r="Q128" i="17"/>
  <c r="J128" i="17"/>
  <c r="M128" i="17" s="1"/>
  <c r="Q132" i="17"/>
  <c r="J132" i="17"/>
  <c r="M132" i="17" s="1"/>
  <c r="H135" i="17"/>
  <c r="F133" i="13"/>
  <c r="I188" i="13"/>
  <c r="I194" i="13" s="1"/>
  <c r="I196" i="13"/>
  <c r="I199" i="13" s="1"/>
  <c r="I211" i="13"/>
  <c r="I214" i="13" s="1"/>
  <c r="I229" i="13"/>
  <c r="I129" i="13"/>
  <c r="I133" i="13" s="1"/>
  <c r="I134" i="13"/>
  <c r="I141" i="13" s="1"/>
  <c r="I142" i="13"/>
  <c r="I149" i="13" s="1"/>
  <c r="I150" i="13"/>
  <c r="I153" i="13" s="1"/>
  <c r="I154" i="13"/>
  <c r="I157" i="13" s="1"/>
  <c r="I159" i="13"/>
  <c r="I163" i="13" s="1"/>
  <c r="I164" i="13"/>
  <c r="I173" i="13" s="1"/>
  <c r="I176" i="13"/>
  <c r="I200" i="13"/>
  <c r="I206" i="13" s="1"/>
  <c r="I215" i="13"/>
  <c r="I220" i="13"/>
  <c r="I223" i="13"/>
  <c r="I227" i="13" s="1"/>
  <c r="H233" i="1"/>
  <c r="O169" i="1"/>
  <c r="O134" i="1"/>
  <c r="L130" i="1"/>
  <c r="M138" i="1"/>
  <c r="K133" i="1"/>
  <c r="N133" i="1" s="1"/>
  <c r="I155" i="1"/>
  <c r="I172" i="1" s="1"/>
  <c r="O133" i="1"/>
  <c r="L138" i="1"/>
  <c r="G146" i="1"/>
  <c r="J146" i="1" s="1"/>
  <c r="L150" i="1"/>
  <c r="G160" i="1"/>
  <c r="G183" i="1"/>
  <c r="K126" i="1"/>
  <c r="H155" i="1"/>
  <c r="H172" i="1" s="1"/>
  <c r="J151" i="1"/>
  <c r="L160" i="1"/>
  <c r="L171" i="1" s="1"/>
  <c r="K156" i="1"/>
  <c r="H206" i="1"/>
  <c r="H207" i="1" s="1"/>
  <c r="G191" i="1"/>
  <c r="J191" i="1" s="1"/>
  <c r="G196" i="1"/>
  <c r="G203" i="1"/>
  <c r="J203" i="1" s="1"/>
  <c r="E233" i="1"/>
  <c r="E234" i="1" s="1"/>
  <c r="C37" i="15" s="1"/>
  <c r="C39" i="15" s="1"/>
  <c r="I233" i="1"/>
  <c r="I234" i="1" s="1"/>
  <c r="G216" i="1"/>
  <c r="J216" i="1" s="1"/>
  <c r="J212" i="1"/>
  <c r="G219" i="1"/>
  <c r="J219" i="1" s="1"/>
  <c r="J217" i="1"/>
  <c r="G225" i="1"/>
  <c r="J225" i="1" s="1"/>
  <c r="G229" i="1"/>
  <c r="J229" i="1" s="1"/>
  <c r="D270" i="14"/>
  <c r="D271" i="14"/>
  <c r="D266" i="14"/>
  <c r="Q253" i="14" l="1"/>
  <c r="S253" i="14" s="1"/>
  <c r="T253" i="14" s="1"/>
  <c r="R258" i="14"/>
  <c r="P253" i="14"/>
  <c r="R256" i="14"/>
  <c r="S256" i="14" s="1"/>
  <c r="T256" i="14" s="1"/>
  <c r="Q258" i="14"/>
  <c r="Q254" i="14"/>
  <c r="P254" i="14"/>
  <c r="P248" i="14"/>
  <c r="Q256" i="14"/>
  <c r="S225" i="14"/>
  <c r="T225" i="14" s="1"/>
  <c r="P255" i="14"/>
  <c r="P247" i="14"/>
  <c r="Q257" i="14"/>
  <c r="P249" i="14"/>
  <c r="N141" i="1"/>
  <c r="O162" i="1"/>
  <c r="F195" i="13"/>
  <c r="F209" i="13" s="1"/>
  <c r="F210" i="13" s="1"/>
  <c r="I222" i="13"/>
  <c r="O163" i="1"/>
  <c r="O128" i="1"/>
  <c r="O140" i="1"/>
  <c r="O148" i="1"/>
  <c r="O261" i="1"/>
  <c r="M377" i="1"/>
  <c r="M380" i="1" s="1"/>
  <c r="O167" i="1"/>
  <c r="O153" i="1"/>
  <c r="N131" i="1"/>
  <c r="O136" i="1"/>
  <c r="O144" i="1"/>
  <c r="N142" i="1"/>
  <c r="O149" i="1"/>
  <c r="O158" i="1"/>
  <c r="M263" i="1"/>
  <c r="O165" i="1"/>
  <c r="O161" i="1"/>
  <c r="N151" i="1"/>
  <c r="O143" i="1"/>
  <c r="I219" i="13"/>
  <c r="J133" i="13"/>
  <c r="J141" i="13"/>
  <c r="G149" i="13"/>
  <c r="G163" i="13"/>
  <c r="I351" i="13"/>
  <c r="F174" i="13"/>
  <c r="C33" i="15"/>
  <c r="C40" i="15" s="1"/>
  <c r="G204" i="1"/>
  <c r="J204" i="1" s="1"/>
  <c r="O147" i="1"/>
  <c r="K154" i="1"/>
  <c r="N154" i="1" s="1"/>
  <c r="K146" i="1"/>
  <c r="N146" i="1" s="1"/>
  <c r="O139" i="1"/>
  <c r="O127" i="1"/>
  <c r="K150" i="1"/>
  <c r="N150" i="1" s="1"/>
  <c r="K138" i="1"/>
  <c r="N138" i="1" s="1"/>
  <c r="N157" i="1"/>
  <c r="O166" i="1"/>
  <c r="G141" i="13"/>
  <c r="O137" i="1"/>
  <c r="E172" i="1"/>
  <c r="O129" i="1"/>
  <c r="O132" i="1"/>
  <c r="N145" i="1"/>
  <c r="O159" i="1"/>
  <c r="O164" i="1"/>
  <c r="J159" i="13"/>
  <c r="J163" i="13" s="1"/>
  <c r="G133" i="13"/>
  <c r="L352" i="1"/>
  <c r="G243" i="13"/>
  <c r="J243" i="13" s="1"/>
  <c r="K239" i="1"/>
  <c r="N239" i="1" s="1"/>
  <c r="M352" i="1"/>
  <c r="O239" i="1"/>
  <c r="M508" i="1"/>
  <c r="M506" i="1"/>
  <c r="M504" i="1"/>
  <c r="M502" i="1"/>
  <c r="M497" i="1"/>
  <c r="M600" i="1"/>
  <c r="M484" i="1"/>
  <c r="M483" i="1"/>
  <c r="M482" i="1"/>
  <c r="M481" i="1"/>
  <c r="M480" i="1"/>
  <c r="M479" i="1"/>
  <c r="M372" i="1"/>
  <c r="M478" i="1"/>
  <c r="M476" i="1"/>
  <c r="M474" i="1"/>
  <c r="M580" i="1"/>
  <c r="M466" i="1"/>
  <c r="M356" i="1"/>
  <c r="G245" i="13"/>
  <c r="J245" i="13" s="1"/>
  <c r="L354" i="1"/>
  <c r="K241" i="1"/>
  <c r="K242" i="1"/>
  <c r="L355" i="1"/>
  <c r="G246" i="13"/>
  <c r="J246" i="13" s="1"/>
  <c r="L357" i="1"/>
  <c r="K244" i="1"/>
  <c r="G248" i="13"/>
  <c r="L251" i="1"/>
  <c r="K247" i="1"/>
  <c r="L360" i="1"/>
  <c r="G251" i="13"/>
  <c r="J251" i="13" s="1"/>
  <c r="K249" i="1"/>
  <c r="L362" i="1"/>
  <c r="G253" i="13"/>
  <c r="J253" i="13" s="1"/>
  <c r="L368" i="1"/>
  <c r="G259" i="13"/>
  <c r="J259" i="13" s="1"/>
  <c r="K255" i="1"/>
  <c r="K256" i="1"/>
  <c r="L369" i="1"/>
  <c r="G260" i="13"/>
  <c r="J260" i="13" s="1"/>
  <c r="L487" i="1"/>
  <c r="G379" i="13"/>
  <c r="J379" i="13" s="1"/>
  <c r="K374" i="1"/>
  <c r="L267" i="1"/>
  <c r="L377" i="1"/>
  <c r="G268" i="13"/>
  <c r="K264" i="1"/>
  <c r="L378" i="1"/>
  <c r="G269" i="13"/>
  <c r="J269" i="13" s="1"/>
  <c r="K265" i="1"/>
  <c r="K271" i="1"/>
  <c r="L384" i="1"/>
  <c r="G275" i="13"/>
  <c r="J275" i="13" s="1"/>
  <c r="L385" i="1"/>
  <c r="K272" i="1"/>
  <c r="G276" i="13"/>
  <c r="J276" i="13" s="1"/>
  <c r="K274" i="1"/>
  <c r="L387" i="1"/>
  <c r="G278" i="13"/>
  <c r="K276" i="1"/>
  <c r="L389" i="1"/>
  <c r="G280" i="13"/>
  <c r="J280" i="13" s="1"/>
  <c r="K278" i="1"/>
  <c r="L391" i="1"/>
  <c r="G282" i="13"/>
  <c r="J282" i="13" s="1"/>
  <c r="K280" i="1"/>
  <c r="L393" i="1"/>
  <c r="G284" i="13"/>
  <c r="J284" i="13" s="1"/>
  <c r="O152" i="1"/>
  <c r="O135" i="1"/>
  <c r="G155" i="1"/>
  <c r="J155" i="1" s="1"/>
  <c r="M155" i="1"/>
  <c r="M172" i="1" s="1"/>
  <c r="I231" i="13"/>
  <c r="J173" i="13"/>
  <c r="J157" i="13"/>
  <c r="J142" i="13"/>
  <c r="J149" i="13" s="1"/>
  <c r="M505" i="1"/>
  <c r="M503" i="1"/>
  <c r="M501" i="1"/>
  <c r="M500" i="1"/>
  <c r="M498" i="1"/>
  <c r="M386" i="1"/>
  <c r="M496" i="1"/>
  <c r="M495" i="1"/>
  <c r="M492" i="1"/>
  <c r="M491" i="1"/>
  <c r="M490" i="1"/>
  <c r="M488" i="1"/>
  <c r="M601" i="1" s="1"/>
  <c r="M376" i="1"/>
  <c r="M486" i="1"/>
  <c r="M475" i="1"/>
  <c r="M473" i="1"/>
  <c r="M472" i="1"/>
  <c r="M471" i="1"/>
  <c r="M470" i="1"/>
  <c r="M364" i="1"/>
  <c r="M468" i="1"/>
  <c r="M268" i="1"/>
  <c r="M285" i="1" s="1"/>
  <c r="L243" i="1"/>
  <c r="L353" i="1"/>
  <c r="G244" i="13"/>
  <c r="K240" i="1"/>
  <c r="K245" i="1"/>
  <c r="L358" i="1"/>
  <c r="G249" i="13"/>
  <c r="J249" i="13" s="1"/>
  <c r="K246" i="1"/>
  <c r="L359" i="1"/>
  <c r="G250" i="13"/>
  <c r="J250" i="13" s="1"/>
  <c r="L361" i="1"/>
  <c r="G252" i="13"/>
  <c r="J252" i="13" s="1"/>
  <c r="K248" i="1"/>
  <c r="L363" i="1"/>
  <c r="G254" i="13"/>
  <c r="J254" i="13" s="1"/>
  <c r="K250" i="1"/>
  <c r="L259" i="1"/>
  <c r="L365" i="1"/>
  <c r="G256" i="13"/>
  <c r="K252" i="1"/>
  <c r="L366" i="1"/>
  <c r="G257" i="13"/>
  <c r="J257" i="13" s="1"/>
  <c r="K253" i="1"/>
  <c r="K254" i="1"/>
  <c r="L367" i="1"/>
  <c r="G258" i="13"/>
  <c r="J258" i="13" s="1"/>
  <c r="L370" i="1"/>
  <c r="G261" i="13"/>
  <c r="J261" i="13" s="1"/>
  <c r="K257" i="1"/>
  <c r="K258" i="1"/>
  <c r="L371" i="1"/>
  <c r="G262" i="13"/>
  <c r="J262" i="13" s="1"/>
  <c r="L373" i="1"/>
  <c r="G264" i="13"/>
  <c r="K260" i="1"/>
  <c r="L263" i="1"/>
  <c r="K262" i="1"/>
  <c r="L375" i="1"/>
  <c r="G266" i="13"/>
  <c r="J266" i="13" s="1"/>
  <c r="G157" i="13"/>
  <c r="K266" i="1"/>
  <c r="L379" i="1"/>
  <c r="G270" i="13"/>
  <c r="J270" i="13" s="1"/>
  <c r="L273" i="1"/>
  <c r="L284" i="1" s="1"/>
  <c r="L382" i="1"/>
  <c r="G273" i="13"/>
  <c r="K269" i="1"/>
  <c r="L383" i="1"/>
  <c r="K270" i="1"/>
  <c r="G274" i="13"/>
  <c r="J274" i="13" s="1"/>
  <c r="G173" i="13"/>
  <c r="K170" i="1"/>
  <c r="L388" i="1"/>
  <c r="G279" i="13"/>
  <c r="J279" i="13" s="1"/>
  <c r="K275" i="1"/>
  <c r="L390" i="1"/>
  <c r="G281" i="13"/>
  <c r="J281" i="13" s="1"/>
  <c r="K277" i="1"/>
  <c r="L392" i="1"/>
  <c r="G283" i="13"/>
  <c r="J283" i="13" s="1"/>
  <c r="K279" i="1"/>
  <c r="L394" i="1"/>
  <c r="G285" i="13"/>
  <c r="J285" i="13" s="1"/>
  <c r="K281" i="1"/>
  <c r="K282" i="1"/>
  <c r="L395" i="1"/>
  <c r="G286" i="13"/>
  <c r="J286" i="13" s="1"/>
  <c r="S254" i="14"/>
  <c r="T254" i="14" s="1"/>
  <c r="Q252" i="14"/>
  <c r="R257" i="14"/>
  <c r="P252" i="14"/>
  <c r="Q249" i="14"/>
  <c r="S249" i="14" s="1"/>
  <c r="Q247" i="14"/>
  <c r="S247" i="14" s="1"/>
  <c r="J319" i="1"/>
  <c r="J320" i="1" s="1"/>
  <c r="H164" i="16"/>
  <c r="M261" i="17"/>
  <c r="N154" i="17"/>
  <c r="J198" i="17"/>
  <c r="M198" i="17" s="1"/>
  <c r="M197" i="17"/>
  <c r="N198" i="17"/>
  <c r="M163" i="17"/>
  <c r="N163" i="17"/>
  <c r="N130" i="17"/>
  <c r="N114" i="17"/>
  <c r="N117" i="17"/>
  <c r="N113" i="17"/>
  <c r="N80" i="17"/>
  <c r="N109" i="17"/>
  <c r="P135" i="17"/>
  <c r="F158" i="13"/>
  <c r="I186" i="13"/>
  <c r="I195" i="13" s="1"/>
  <c r="G348" i="1"/>
  <c r="J348" i="1" s="1"/>
  <c r="J151" i="13"/>
  <c r="G153" i="13"/>
  <c r="J153" i="13"/>
  <c r="S252" i="14"/>
  <c r="Q255" i="14"/>
  <c r="S255" i="14" s="1"/>
  <c r="T255" i="14" s="1"/>
  <c r="H234" i="1"/>
  <c r="H235" i="1" s="1"/>
  <c r="F234" i="13"/>
  <c r="F235" i="13" s="1"/>
  <c r="F236" i="13" s="1"/>
  <c r="Q248" i="14"/>
  <c r="S248" i="14" s="1"/>
  <c r="Q250" i="14"/>
  <c r="P250" i="14"/>
  <c r="R250" i="14"/>
  <c r="O246" i="14"/>
  <c r="N246" i="14" s="1"/>
  <c r="M246" i="14"/>
  <c r="Q244" i="14"/>
  <c r="P244" i="14"/>
  <c r="R244" i="14"/>
  <c r="Q245" i="14"/>
  <c r="R245" i="14"/>
  <c r="P245" i="14"/>
  <c r="Q243" i="14"/>
  <c r="R243" i="14"/>
  <c r="P243" i="14"/>
  <c r="M251" i="14"/>
  <c r="O251" i="14"/>
  <c r="N251" i="14" s="1"/>
  <c r="Q99" i="17"/>
  <c r="Q100" i="17" s="1"/>
  <c r="H34" i="15" s="1"/>
  <c r="H36" i="15" s="1"/>
  <c r="N89" i="17"/>
  <c r="M81" i="17"/>
  <c r="N81" i="17"/>
  <c r="J133" i="17"/>
  <c r="N133" i="17" s="1"/>
  <c r="M101" i="17"/>
  <c r="N132" i="17"/>
  <c r="N124" i="17"/>
  <c r="N116" i="17"/>
  <c r="N108" i="17"/>
  <c r="N106" i="17"/>
  <c r="Q90" i="17"/>
  <c r="H31" i="15" s="1"/>
  <c r="N97" i="17"/>
  <c r="I82" i="17"/>
  <c r="F91" i="17"/>
  <c r="I91" i="17" s="1"/>
  <c r="N126" i="17"/>
  <c r="N118" i="17"/>
  <c r="N110" i="17"/>
  <c r="Q133" i="17"/>
  <c r="Q134" i="17" s="1"/>
  <c r="H37" i="15" s="1"/>
  <c r="H39" i="15" s="1"/>
  <c r="L134" i="17"/>
  <c r="F134" i="17"/>
  <c r="I133" i="17"/>
  <c r="J99" i="17"/>
  <c r="M92" i="17"/>
  <c r="N128" i="17"/>
  <c r="N120" i="17"/>
  <c r="N112" i="17"/>
  <c r="N103" i="17"/>
  <c r="N85" i="17"/>
  <c r="J90" i="17"/>
  <c r="M83" i="17"/>
  <c r="N94" i="17"/>
  <c r="N87" i="17"/>
  <c r="I174" i="13"/>
  <c r="I207" i="13"/>
  <c r="I158" i="13"/>
  <c r="I235" i="1"/>
  <c r="L155" i="1"/>
  <c r="L172" i="1" s="1"/>
  <c r="K160" i="1"/>
  <c r="N156" i="1"/>
  <c r="K130" i="1"/>
  <c r="N126" i="1"/>
  <c r="J183" i="1"/>
  <c r="G192" i="1"/>
  <c r="J160" i="1"/>
  <c r="G171" i="1"/>
  <c r="J196" i="1"/>
  <c r="G233" i="1"/>
  <c r="O156" i="1"/>
  <c r="E235" i="1"/>
  <c r="O126" i="1"/>
  <c r="F116" i="16"/>
  <c r="F114" i="16"/>
  <c r="F222" i="16" s="1"/>
  <c r="F113" i="16"/>
  <c r="F221" i="16" s="1"/>
  <c r="F112" i="16"/>
  <c r="F220" i="16" s="1"/>
  <c r="F328" i="16" s="1"/>
  <c r="F421" i="16" s="1"/>
  <c r="F514" i="16" s="1"/>
  <c r="F608" i="16" s="1"/>
  <c r="F111" i="16"/>
  <c r="F219" i="16" s="1"/>
  <c r="F110" i="16"/>
  <c r="F218" i="16" s="1"/>
  <c r="F109" i="16"/>
  <c r="F217" i="16" s="1"/>
  <c r="F108" i="16"/>
  <c r="F216" i="16" s="1"/>
  <c r="F107" i="16"/>
  <c r="F215" i="16" s="1"/>
  <c r="F106" i="16"/>
  <c r="F214" i="16" s="1"/>
  <c r="F105" i="16"/>
  <c r="F213" i="16" s="1"/>
  <c r="F104" i="16"/>
  <c r="F212" i="16" s="1"/>
  <c r="F103" i="16"/>
  <c r="F211" i="16" s="1"/>
  <c r="F102" i="16"/>
  <c r="F210" i="16" s="1"/>
  <c r="F101" i="16"/>
  <c r="F209" i="16" s="1"/>
  <c r="F100" i="16"/>
  <c r="F208" i="16" s="1"/>
  <c r="F99" i="16"/>
  <c r="F207" i="16" s="1"/>
  <c r="F98" i="16"/>
  <c r="F206" i="16" s="1"/>
  <c r="F97" i="16"/>
  <c r="F205" i="16" s="1"/>
  <c r="F96" i="16"/>
  <c r="F204" i="16" s="1"/>
  <c r="F95" i="16"/>
  <c r="F203" i="16" s="1"/>
  <c r="F94" i="16"/>
  <c r="F202" i="16" s="1"/>
  <c r="F93" i="16"/>
  <c r="F201" i="16" s="1"/>
  <c r="F92" i="16"/>
  <c r="F200" i="16" s="1"/>
  <c r="F91" i="16"/>
  <c r="F199" i="16" s="1"/>
  <c r="F90" i="16"/>
  <c r="F198" i="16" s="1"/>
  <c r="F88" i="16"/>
  <c r="F196" i="16" s="1"/>
  <c r="F87" i="16"/>
  <c r="F195" i="16" s="1"/>
  <c r="F86" i="16"/>
  <c r="F194" i="16" s="1"/>
  <c r="F85" i="16"/>
  <c r="F193" i="16" s="1"/>
  <c r="F84" i="16"/>
  <c r="F192" i="16" s="1"/>
  <c r="F83" i="16"/>
  <c r="F191" i="16" s="1"/>
  <c r="F82" i="16"/>
  <c r="F190" i="16" s="1"/>
  <c r="F81" i="16"/>
  <c r="F189" i="16" s="1"/>
  <c r="F80" i="16"/>
  <c r="F188" i="16" s="1"/>
  <c r="F79" i="16"/>
  <c r="F187" i="16" s="1"/>
  <c r="F78" i="16"/>
  <c r="F186" i="16" s="1"/>
  <c r="F77" i="16"/>
  <c r="F185" i="16" s="1"/>
  <c r="F76" i="16"/>
  <c r="F184" i="16" s="1"/>
  <c r="F75" i="16"/>
  <c r="F183" i="16" s="1"/>
  <c r="F74" i="16"/>
  <c r="F182" i="16" s="1"/>
  <c r="F73" i="16"/>
  <c r="F181" i="16" s="1"/>
  <c r="F72" i="16"/>
  <c r="F180" i="16" s="1"/>
  <c r="F71" i="16"/>
  <c r="F179" i="16" s="1"/>
  <c r="F70" i="16"/>
  <c r="F178" i="16" s="1"/>
  <c r="F69" i="16"/>
  <c r="F177" i="16" s="1"/>
  <c r="F68" i="16"/>
  <c r="F176" i="16" s="1"/>
  <c r="F67" i="16"/>
  <c r="F175" i="16" s="1"/>
  <c r="F66" i="16"/>
  <c r="F174" i="16" s="1"/>
  <c r="F65" i="16"/>
  <c r="F173" i="16" s="1"/>
  <c r="F64" i="16"/>
  <c r="F172" i="16" s="1"/>
  <c r="F63" i="16"/>
  <c r="F171" i="16" s="1"/>
  <c r="F62" i="16"/>
  <c r="F170" i="16" s="1"/>
  <c r="F61" i="16"/>
  <c r="F169" i="16" s="1"/>
  <c r="F60" i="16"/>
  <c r="F168" i="16" s="1"/>
  <c r="F59" i="16"/>
  <c r="F167" i="16" s="1"/>
  <c r="F58" i="16"/>
  <c r="F166" i="16" s="1"/>
  <c r="F57" i="16"/>
  <c r="F165" i="16" s="1"/>
  <c r="F53" i="16"/>
  <c r="F161" i="16" s="1"/>
  <c r="F52" i="16"/>
  <c r="F160" i="16" s="1"/>
  <c r="F51" i="16"/>
  <c r="F159" i="16" s="1"/>
  <c r="F50" i="16"/>
  <c r="F158" i="16" s="1"/>
  <c r="F49" i="16"/>
  <c r="F157" i="16" s="1"/>
  <c r="F48" i="16"/>
  <c r="F156" i="16" s="1"/>
  <c r="F47" i="16"/>
  <c r="F155" i="16" s="1"/>
  <c r="F45" i="16"/>
  <c r="F153" i="16" s="1"/>
  <c r="F44" i="16"/>
  <c r="F152" i="16" s="1"/>
  <c r="F43" i="16"/>
  <c r="F151" i="16" s="1"/>
  <c r="F42" i="16"/>
  <c r="F150" i="16" s="1"/>
  <c r="F41" i="16"/>
  <c r="F149" i="16" s="1"/>
  <c r="F40" i="16"/>
  <c r="F148" i="16" s="1"/>
  <c r="F39" i="16"/>
  <c r="F147" i="16" s="1"/>
  <c r="F38" i="16"/>
  <c r="F146" i="16" s="1"/>
  <c r="F37" i="16"/>
  <c r="F145" i="16" s="1"/>
  <c r="F36" i="16"/>
  <c r="F144" i="16" s="1"/>
  <c r="F35" i="16"/>
  <c r="F143" i="16" s="1"/>
  <c r="F34" i="16"/>
  <c r="F142" i="16" s="1"/>
  <c r="F33" i="16"/>
  <c r="F141" i="16" s="1"/>
  <c r="F32" i="16"/>
  <c r="F140" i="16" s="1"/>
  <c r="F30" i="16"/>
  <c r="F138" i="16" s="1"/>
  <c r="F29" i="16"/>
  <c r="F137" i="16" s="1"/>
  <c r="F28" i="16"/>
  <c r="F136" i="16" s="1"/>
  <c r="F27" i="16"/>
  <c r="F135" i="16" s="1"/>
  <c r="F26" i="16"/>
  <c r="F134" i="16" s="1"/>
  <c r="F25" i="16"/>
  <c r="F133" i="16" s="1"/>
  <c r="F24" i="16"/>
  <c r="F132" i="16" s="1"/>
  <c r="F23" i="16"/>
  <c r="F131" i="16" s="1"/>
  <c r="F239" i="16" s="1"/>
  <c r="F22" i="16"/>
  <c r="F130" i="16" s="1"/>
  <c r="F21" i="16"/>
  <c r="F129" i="16" s="1"/>
  <c r="F20" i="16"/>
  <c r="F128" i="16" s="1"/>
  <c r="F19" i="16"/>
  <c r="F127" i="16" s="1"/>
  <c r="F18" i="16"/>
  <c r="F126" i="16" s="1"/>
  <c r="F17" i="16"/>
  <c r="F125" i="16" s="1"/>
  <c r="F16" i="16"/>
  <c r="F124" i="16" s="1"/>
  <c r="F15" i="16"/>
  <c r="F123" i="16" s="1"/>
  <c r="L69" i="17"/>
  <c r="K69" i="17"/>
  <c r="L68" i="17"/>
  <c r="K68" i="17"/>
  <c r="L67" i="17"/>
  <c r="K67" i="17"/>
  <c r="L66" i="17"/>
  <c r="K66" i="17"/>
  <c r="L65" i="17"/>
  <c r="K65" i="17"/>
  <c r="L64" i="17"/>
  <c r="K64" i="17"/>
  <c r="L63" i="17"/>
  <c r="K63" i="17"/>
  <c r="L62" i="17"/>
  <c r="K62" i="17"/>
  <c r="L61" i="17"/>
  <c r="K61" i="17"/>
  <c r="L60" i="17"/>
  <c r="K60" i="17"/>
  <c r="L59" i="17"/>
  <c r="K59" i="17"/>
  <c r="L58" i="17"/>
  <c r="K58" i="17"/>
  <c r="L57" i="17"/>
  <c r="K57" i="17"/>
  <c r="L56" i="17"/>
  <c r="K56" i="17"/>
  <c r="L55" i="17"/>
  <c r="K55" i="17"/>
  <c r="L54" i="17"/>
  <c r="K54" i="17"/>
  <c r="L53" i="17"/>
  <c r="K53" i="17"/>
  <c r="L52" i="17"/>
  <c r="K52" i="17"/>
  <c r="L51" i="17"/>
  <c r="K51" i="17"/>
  <c r="L50" i="17"/>
  <c r="K50" i="17"/>
  <c r="L49" i="17"/>
  <c r="K49" i="17"/>
  <c r="L48" i="17"/>
  <c r="K48" i="17"/>
  <c r="L47" i="17"/>
  <c r="K47" i="17"/>
  <c r="L46" i="17"/>
  <c r="K46" i="17"/>
  <c r="L45" i="17"/>
  <c r="K45" i="17"/>
  <c r="L44" i="17"/>
  <c r="K44" i="17"/>
  <c r="L43" i="17"/>
  <c r="K43" i="17"/>
  <c r="L42" i="17"/>
  <c r="K42" i="17"/>
  <c r="L41" i="17"/>
  <c r="K41" i="17"/>
  <c r="L40" i="17"/>
  <c r="K40" i="17"/>
  <c r="L39" i="17"/>
  <c r="K39" i="17"/>
  <c r="L38" i="17"/>
  <c r="K38" i="17"/>
  <c r="L35" i="17"/>
  <c r="K35" i="17"/>
  <c r="L34" i="17"/>
  <c r="K34" i="17"/>
  <c r="L33" i="17"/>
  <c r="K33" i="17"/>
  <c r="L32" i="17"/>
  <c r="K32" i="17"/>
  <c r="L31" i="17"/>
  <c r="K31" i="17"/>
  <c r="L30" i="17"/>
  <c r="K30" i="17"/>
  <c r="L29" i="17"/>
  <c r="K29" i="17"/>
  <c r="L26" i="17"/>
  <c r="K26" i="17"/>
  <c r="L25" i="17"/>
  <c r="K25" i="17"/>
  <c r="L24" i="17"/>
  <c r="K24" i="17"/>
  <c r="L23" i="17"/>
  <c r="K23" i="17"/>
  <c r="L22" i="17"/>
  <c r="K22" i="17"/>
  <c r="L21" i="17"/>
  <c r="K21" i="17"/>
  <c r="L20" i="17"/>
  <c r="K20" i="17"/>
  <c r="L18" i="17"/>
  <c r="K18" i="17"/>
  <c r="L17" i="17"/>
  <c r="K17" i="17"/>
  <c r="L16" i="17"/>
  <c r="K16" i="17"/>
  <c r="L15" i="17"/>
  <c r="L78" i="17" s="1"/>
  <c r="L82" i="17" s="1"/>
  <c r="L91" i="17" s="1"/>
  <c r="K15" i="17"/>
  <c r="K78" i="17" s="1"/>
  <c r="L14" i="17"/>
  <c r="K14" i="17"/>
  <c r="L47" i="1"/>
  <c r="L33" i="1"/>
  <c r="M17" i="1"/>
  <c r="L17" i="1"/>
  <c r="M118" i="1"/>
  <c r="M231" i="1" s="1"/>
  <c r="L118" i="1"/>
  <c r="L231" i="1" s="1"/>
  <c r="M117" i="1"/>
  <c r="M230" i="1" s="1"/>
  <c r="L117" i="1"/>
  <c r="L230" i="1" s="1"/>
  <c r="M115" i="1"/>
  <c r="M228" i="1" s="1"/>
  <c r="L115" i="1"/>
  <c r="L228" i="1" s="1"/>
  <c r="M114" i="1"/>
  <c r="M227" i="1" s="1"/>
  <c r="L114" i="1"/>
  <c r="L227" i="1" s="1"/>
  <c r="M113" i="1"/>
  <c r="M226" i="1" s="1"/>
  <c r="L113" i="1"/>
  <c r="L226" i="1" s="1"/>
  <c r="M111" i="1"/>
  <c r="M224" i="1" s="1"/>
  <c r="L111" i="1"/>
  <c r="L224" i="1" s="1"/>
  <c r="M110" i="1"/>
  <c r="M223" i="1" s="1"/>
  <c r="L110" i="1"/>
  <c r="L223" i="1" s="1"/>
  <c r="M109" i="1"/>
  <c r="M222" i="1" s="1"/>
  <c r="L109" i="1"/>
  <c r="L222" i="1" s="1"/>
  <c r="M108" i="1"/>
  <c r="M221" i="1" s="1"/>
  <c r="L108" i="1"/>
  <c r="L221" i="1" s="1"/>
  <c r="M107" i="1"/>
  <c r="M220" i="1" s="1"/>
  <c r="L107" i="1"/>
  <c r="L220" i="1" s="1"/>
  <c r="M105" i="1"/>
  <c r="M218" i="1" s="1"/>
  <c r="L105" i="1"/>
  <c r="L218" i="1" s="1"/>
  <c r="M104" i="1"/>
  <c r="M217" i="1" s="1"/>
  <c r="L104" i="1"/>
  <c r="L217" i="1" s="1"/>
  <c r="M102" i="1"/>
  <c r="M215" i="1" s="1"/>
  <c r="L102" i="1"/>
  <c r="L215" i="1" s="1"/>
  <c r="M101" i="1"/>
  <c r="M214" i="1" s="1"/>
  <c r="L101" i="1"/>
  <c r="L214" i="1" s="1"/>
  <c r="M100" i="1"/>
  <c r="M213" i="1" s="1"/>
  <c r="L100" i="1"/>
  <c r="L213" i="1" s="1"/>
  <c r="M99" i="1"/>
  <c r="M212" i="1" s="1"/>
  <c r="L99" i="1"/>
  <c r="L212" i="1" s="1"/>
  <c r="M97" i="1"/>
  <c r="M210" i="1" s="1"/>
  <c r="L97" i="1"/>
  <c r="L210" i="1" s="1"/>
  <c r="M96" i="1"/>
  <c r="M209" i="1" s="1"/>
  <c r="L96" i="1"/>
  <c r="L209" i="1" s="1"/>
  <c r="M95" i="1"/>
  <c r="M208" i="1" s="1"/>
  <c r="L95" i="1"/>
  <c r="L208" i="1" s="1"/>
  <c r="M92" i="1"/>
  <c r="M205" i="1" s="1"/>
  <c r="L92" i="1"/>
  <c r="L205" i="1" s="1"/>
  <c r="M89" i="1"/>
  <c r="M202" i="1" s="1"/>
  <c r="L89" i="1"/>
  <c r="L202" i="1" s="1"/>
  <c r="M88" i="1"/>
  <c r="M201" i="1" s="1"/>
  <c r="L88" i="1"/>
  <c r="L201" i="1" s="1"/>
  <c r="M87" i="1"/>
  <c r="M200" i="1" s="1"/>
  <c r="L87" i="1"/>
  <c r="L200" i="1" s="1"/>
  <c r="M86" i="1"/>
  <c r="M199" i="1" s="1"/>
  <c r="L86" i="1"/>
  <c r="L199" i="1" s="1"/>
  <c r="M85" i="1"/>
  <c r="M198" i="1" s="1"/>
  <c r="L85" i="1"/>
  <c r="L198" i="1" s="1"/>
  <c r="M84" i="1"/>
  <c r="M197" i="1" s="1"/>
  <c r="L84" i="1"/>
  <c r="L197" i="1" s="1"/>
  <c r="M82" i="1"/>
  <c r="M195" i="1" s="1"/>
  <c r="L82" i="1"/>
  <c r="L195" i="1" s="1"/>
  <c r="M81" i="1"/>
  <c r="M194" i="1" s="1"/>
  <c r="L81" i="1"/>
  <c r="L194" i="1" s="1"/>
  <c r="M80" i="1"/>
  <c r="M193" i="1" s="1"/>
  <c r="L80" i="1"/>
  <c r="L193" i="1" s="1"/>
  <c r="M77" i="1"/>
  <c r="M190" i="1" s="1"/>
  <c r="L77" i="1"/>
  <c r="L190" i="1" s="1"/>
  <c r="M76" i="1"/>
  <c r="M189" i="1" s="1"/>
  <c r="M302" i="1" s="1"/>
  <c r="M415" i="1" s="1"/>
  <c r="M528" i="1" s="1"/>
  <c r="M643" i="1" s="1"/>
  <c r="M758" i="1" s="1"/>
  <c r="M873" i="1" s="1"/>
  <c r="M989" i="1" s="1"/>
  <c r="M1106" i="1" s="1"/>
  <c r="L76" i="1"/>
  <c r="L189" i="1" s="1"/>
  <c r="M75" i="1"/>
  <c r="M188" i="1" s="1"/>
  <c r="L75" i="1"/>
  <c r="L188" i="1" s="1"/>
  <c r="M74" i="1"/>
  <c r="M187" i="1" s="1"/>
  <c r="M300" i="1" s="1"/>
  <c r="M413" i="1" s="1"/>
  <c r="M526" i="1" s="1"/>
  <c r="M641" i="1" s="1"/>
  <c r="M756" i="1" s="1"/>
  <c r="M871" i="1" s="1"/>
  <c r="M987" i="1" s="1"/>
  <c r="M1104" i="1" s="1"/>
  <c r="L74" i="1"/>
  <c r="L187" i="1" s="1"/>
  <c r="M73" i="1"/>
  <c r="M186" i="1" s="1"/>
  <c r="L73" i="1"/>
  <c r="L186" i="1" s="1"/>
  <c r="M72" i="1"/>
  <c r="M185" i="1" s="1"/>
  <c r="L72" i="1"/>
  <c r="L185" i="1" s="1"/>
  <c r="M71" i="1"/>
  <c r="M184" i="1" s="1"/>
  <c r="M297" i="1" s="1"/>
  <c r="L71" i="1"/>
  <c r="L184" i="1" s="1"/>
  <c r="M69" i="1"/>
  <c r="M182" i="1" s="1"/>
  <c r="L69" i="1"/>
  <c r="L182" i="1" s="1"/>
  <c r="M68" i="1"/>
  <c r="M181" i="1" s="1"/>
  <c r="L68" i="1"/>
  <c r="L181" i="1" s="1"/>
  <c r="M67" i="1"/>
  <c r="M180" i="1" s="1"/>
  <c r="L67" i="1"/>
  <c r="L180" i="1" s="1"/>
  <c r="M66" i="1"/>
  <c r="M179" i="1" s="1"/>
  <c r="L66" i="1"/>
  <c r="L179" i="1" s="1"/>
  <c r="M65" i="1"/>
  <c r="M178" i="1" s="1"/>
  <c r="L65" i="1"/>
  <c r="L178" i="1" s="1"/>
  <c r="M64" i="1"/>
  <c r="M177" i="1" s="1"/>
  <c r="L64" i="1"/>
  <c r="L177" i="1" s="1"/>
  <c r="M63" i="1"/>
  <c r="M176" i="1" s="1"/>
  <c r="L63" i="1"/>
  <c r="L176" i="1" s="1"/>
  <c r="M62" i="1"/>
  <c r="M175" i="1" s="1"/>
  <c r="L62" i="1"/>
  <c r="L175" i="1" s="1"/>
  <c r="M61" i="1"/>
  <c r="M174" i="1" s="1"/>
  <c r="L61" i="1"/>
  <c r="L174" i="1" s="1"/>
  <c r="M60" i="1"/>
  <c r="M173" i="1" s="1"/>
  <c r="L60" i="1"/>
  <c r="L173" i="1" s="1"/>
  <c r="L25" i="1"/>
  <c r="J86" i="1"/>
  <c r="J88" i="1"/>
  <c r="J76" i="1"/>
  <c r="S243" i="14" l="1"/>
  <c r="T248" i="14"/>
  <c r="T247" i="14"/>
  <c r="S258" i="14"/>
  <c r="T258" i="14" s="1"/>
  <c r="T252" i="14"/>
  <c r="T249" i="14"/>
  <c r="S257" i="14"/>
  <c r="T257" i="14" s="1"/>
  <c r="T243" i="14"/>
  <c r="M716" i="1"/>
  <c r="I235" i="13"/>
  <c r="I236" i="13" s="1"/>
  <c r="O154" i="1"/>
  <c r="G172" i="1"/>
  <c r="J172" i="1" s="1"/>
  <c r="O150" i="1"/>
  <c r="G158" i="13"/>
  <c r="F30" i="15" s="1"/>
  <c r="F175" i="13"/>
  <c r="G174" i="13"/>
  <c r="F31" i="15" s="1"/>
  <c r="J174" i="13"/>
  <c r="I31" i="15" s="1"/>
  <c r="O138" i="1"/>
  <c r="O146" i="1"/>
  <c r="M318" i="1"/>
  <c r="L465" i="1"/>
  <c r="G357" i="13"/>
  <c r="J357" i="13" s="1"/>
  <c r="K352" i="1"/>
  <c r="N352" i="1" s="1"/>
  <c r="L318" i="1"/>
  <c r="G208" i="13"/>
  <c r="J208" i="13" s="1"/>
  <c r="K205" i="1"/>
  <c r="N205" i="1" s="1"/>
  <c r="M465" i="1"/>
  <c r="O352" i="1"/>
  <c r="K173" i="1"/>
  <c r="O173" i="1" s="1"/>
  <c r="L286" i="1"/>
  <c r="G176" i="13"/>
  <c r="L183" i="1"/>
  <c r="L287" i="1"/>
  <c r="G177" i="13"/>
  <c r="J177" i="13" s="1"/>
  <c r="K174" i="1"/>
  <c r="N174" i="1" s="1"/>
  <c r="K175" i="1"/>
  <c r="O175" i="1" s="1"/>
  <c r="L288" i="1"/>
  <c r="G178" i="13"/>
  <c r="J178" i="13" s="1"/>
  <c r="K176" i="1"/>
  <c r="O176" i="1" s="1"/>
  <c r="L289" i="1"/>
  <c r="G179" i="13"/>
  <c r="J179" i="13" s="1"/>
  <c r="K177" i="1"/>
  <c r="O177" i="1" s="1"/>
  <c r="L290" i="1"/>
  <c r="G180" i="13"/>
  <c r="J180" i="13" s="1"/>
  <c r="K178" i="1"/>
  <c r="O178" i="1" s="1"/>
  <c r="L291" i="1"/>
  <c r="G181" i="13"/>
  <c r="J181" i="13" s="1"/>
  <c r="K179" i="1"/>
  <c r="O179" i="1" s="1"/>
  <c r="L292" i="1"/>
  <c r="G182" i="13"/>
  <c r="J182" i="13" s="1"/>
  <c r="K180" i="1"/>
  <c r="O180" i="1" s="1"/>
  <c r="L293" i="1"/>
  <c r="G183" i="13"/>
  <c r="J183" i="13" s="1"/>
  <c r="K181" i="1"/>
  <c r="O181" i="1" s="1"/>
  <c r="L294" i="1"/>
  <c r="G184" i="13"/>
  <c r="J184" i="13" s="1"/>
  <c r="K182" i="1"/>
  <c r="N182" i="1" s="1"/>
  <c r="L295" i="1"/>
  <c r="G185" i="13"/>
  <c r="J185" i="13" s="1"/>
  <c r="L297" i="1"/>
  <c r="G187" i="13"/>
  <c r="K184" i="1"/>
  <c r="L191" i="1"/>
  <c r="G188" i="13"/>
  <c r="J188" i="13" s="1"/>
  <c r="L298" i="1"/>
  <c r="K185" i="1"/>
  <c r="N185" i="1" s="1"/>
  <c r="K186" i="1"/>
  <c r="N186" i="1" s="1"/>
  <c r="L299" i="1"/>
  <c r="G189" i="13"/>
  <c r="J189" i="13" s="1"/>
  <c r="K187" i="1"/>
  <c r="L300" i="1"/>
  <c r="G190" i="13"/>
  <c r="J190" i="13" s="1"/>
  <c r="K188" i="1"/>
  <c r="N188" i="1" s="1"/>
  <c r="L301" i="1"/>
  <c r="G191" i="13"/>
  <c r="J191" i="13" s="1"/>
  <c r="L302" i="1"/>
  <c r="G192" i="13"/>
  <c r="J192" i="13" s="1"/>
  <c r="K189" i="1"/>
  <c r="L303" i="1"/>
  <c r="G193" i="13"/>
  <c r="J193" i="13" s="1"/>
  <c r="K190" i="1"/>
  <c r="N190" i="1" s="1"/>
  <c r="L306" i="1"/>
  <c r="G196" i="13"/>
  <c r="L196" i="1"/>
  <c r="K193" i="1"/>
  <c r="L307" i="1"/>
  <c r="G197" i="13"/>
  <c r="J197" i="13" s="1"/>
  <c r="K194" i="1"/>
  <c r="N194" i="1" s="1"/>
  <c r="L308" i="1"/>
  <c r="G198" i="13"/>
  <c r="J198" i="13" s="1"/>
  <c r="K195" i="1"/>
  <c r="N195" i="1" s="1"/>
  <c r="L310" i="1"/>
  <c r="G200" i="13"/>
  <c r="L203" i="1"/>
  <c r="K197" i="1"/>
  <c r="K198" i="1"/>
  <c r="N198" i="1" s="1"/>
  <c r="L311" i="1"/>
  <c r="G201" i="13"/>
  <c r="J201" i="13" s="1"/>
  <c r="K199" i="1"/>
  <c r="N199" i="1" s="1"/>
  <c r="L312" i="1"/>
  <c r="G202" i="13"/>
  <c r="J202" i="13" s="1"/>
  <c r="K200" i="1"/>
  <c r="N200" i="1" s="1"/>
  <c r="L313" i="1"/>
  <c r="G203" i="13"/>
  <c r="J203" i="13" s="1"/>
  <c r="K201" i="1"/>
  <c r="N201" i="1" s="1"/>
  <c r="L314" i="1"/>
  <c r="G204" i="13"/>
  <c r="J204" i="13" s="1"/>
  <c r="K202" i="1"/>
  <c r="N202" i="1" s="1"/>
  <c r="L315" i="1"/>
  <c r="G205" i="13"/>
  <c r="J205" i="13" s="1"/>
  <c r="L321" i="1"/>
  <c r="G211" i="13"/>
  <c r="K208" i="1"/>
  <c r="L211" i="1"/>
  <c r="L322" i="1"/>
  <c r="G212" i="13"/>
  <c r="J212" i="13" s="1"/>
  <c r="K209" i="1"/>
  <c r="N209" i="1" s="1"/>
  <c r="K210" i="1"/>
  <c r="N210" i="1" s="1"/>
  <c r="L323" i="1"/>
  <c r="G213" i="13"/>
  <c r="J213" i="13" s="1"/>
  <c r="L325" i="1"/>
  <c r="K212" i="1"/>
  <c r="G215" i="13"/>
  <c r="L216" i="1"/>
  <c r="L326" i="1"/>
  <c r="G216" i="13"/>
  <c r="J216" i="13" s="1"/>
  <c r="K213" i="1"/>
  <c r="N213" i="1" s="1"/>
  <c r="L327" i="1"/>
  <c r="K214" i="1"/>
  <c r="N214" i="1" s="1"/>
  <c r="G217" i="13"/>
  <c r="J217" i="13" s="1"/>
  <c r="K215" i="1"/>
  <c r="N215" i="1" s="1"/>
  <c r="L328" i="1"/>
  <c r="G218" i="13"/>
  <c r="J218" i="13" s="1"/>
  <c r="L330" i="1"/>
  <c r="G220" i="13"/>
  <c r="K217" i="1"/>
  <c r="L219" i="1"/>
  <c r="L331" i="1"/>
  <c r="G221" i="13"/>
  <c r="J221" i="13" s="1"/>
  <c r="K218" i="1"/>
  <c r="N218" i="1" s="1"/>
  <c r="L333" i="1"/>
  <c r="G223" i="13"/>
  <c r="K220" i="1"/>
  <c r="O220" i="1" s="1"/>
  <c r="L225" i="1"/>
  <c r="L334" i="1"/>
  <c r="G224" i="13"/>
  <c r="J224" i="13" s="1"/>
  <c r="K221" i="1"/>
  <c r="N221" i="1" s="1"/>
  <c r="L335" i="1"/>
  <c r="G225" i="13"/>
  <c r="J225" i="13" s="1"/>
  <c r="K222" i="1"/>
  <c r="N222" i="1" s="1"/>
  <c r="K223" i="1"/>
  <c r="N223" i="1" s="1"/>
  <c r="L336" i="1"/>
  <c r="G226" i="13"/>
  <c r="J226" i="13" s="1"/>
  <c r="K224" i="1"/>
  <c r="N224" i="1" s="1"/>
  <c r="L337" i="1"/>
  <c r="L229" i="1"/>
  <c r="L339" i="1"/>
  <c r="G228" i="13"/>
  <c r="K226" i="1"/>
  <c r="L340" i="1"/>
  <c r="K227" i="1"/>
  <c r="N227" i="1" s="1"/>
  <c r="G229" i="13"/>
  <c r="J229" i="13" s="1"/>
  <c r="L341" i="1"/>
  <c r="G230" i="13"/>
  <c r="J230" i="13" s="1"/>
  <c r="K228" i="1"/>
  <c r="N228" i="1" s="1"/>
  <c r="L232" i="1"/>
  <c r="L343" i="1"/>
  <c r="K230" i="1"/>
  <c r="O230" i="1" s="1"/>
  <c r="G232" i="13"/>
  <c r="K231" i="1"/>
  <c r="N231" i="1" s="1"/>
  <c r="L344" i="1"/>
  <c r="G233" i="13"/>
  <c r="N282" i="1"/>
  <c r="O282" i="1"/>
  <c r="N279" i="1"/>
  <c r="O279" i="1"/>
  <c r="L505" i="1"/>
  <c r="K392" i="1"/>
  <c r="G397" i="13"/>
  <c r="J397" i="13" s="1"/>
  <c r="N275" i="1"/>
  <c r="O275" i="1"/>
  <c r="L501" i="1"/>
  <c r="K388" i="1"/>
  <c r="G393" i="13"/>
  <c r="J393" i="13" s="1"/>
  <c r="N270" i="1"/>
  <c r="O270" i="1"/>
  <c r="K273" i="1"/>
  <c r="N269" i="1"/>
  <c r="O269" i="1"/>
  <c r="L495" i="1"/>
  <c r="G387" i="13"/>
  <c r="K382" i="1"/>
  <c r="L386" i="1"/>
  <c r="L397" i="1" s="1"/>
  <c r="N266" i="1"/>
  <c r="O266" i="1"/>
  <c r="N262" i="1"/>
  <c r="O262" i="1"/>
  <c r="K263" i="1"/>
  <c r="N260" i="1"/>
  <c r="O260" i="1"/>
  <c r="L486" i="1"/>
  <c r="G378" i="13"/>
  <c r="K373" i="1"/>
  <c r="L376" i="1"/>
  <c r="K371" i="1"/>
  <c r="L484" i="1"/>
  <c r="G376" i="13"/>
  <c r="J376" i="13" s="1"/>
  <c r="N257" i="1"/>
  <c r="O257" i="1"/>
  <c r="L483" i="1"/>
  <c r="G375" i="13"/>
  <c r="J375" i="13" s="1"/>
  <c r="K370" i="1"/>
  <c r="K367" i="1"/>
  <c r="L480" i="1"/>
  <c r="G372" i="13"/>
  <c r="J372" i="13" s="1"/>
  <c r="N253" i="1"/>
  <c r="O253" i="1"/>
  <c r="L479" i="1"/>
  <c r="G371" i="13"/>
  <c r="J371" i="13" s="1"/>
  <c r="K366" i="1"/>
  <c r="G263" i="13"/>
  <c r="J256" i="13"/>
  <c r="J263" i="13" s="1"/>
  <c r="N248" i="1"/>
  <c r="O248" i="1"/>
  <c r="K361" i="1"/>
  <c r="L474" i="1"/>
  <c r="G366" i="13"/>
  <c r="J366" i="13" s="1"/>
  <c r="G364" i="13"/>
  <c r="J364" i="13" s="1"/>
  <c r="L472" i="1"/>
  <c r="K359" i="1"/>
  <c r="N245" i="1"/>
  <c r="O245" i="1"/>
  <c r="J244" i="13"/>
  <c r="J247" i="13" s="1"/>
  <c r="G247" i="13"/>
  <c r="M581" i="1"/>
  <c r="M477" i="1"/>
  <c r="M583" i="1"/>
  <c r="M584" i="1"/>
  <c r="M585" i="1"/>
  <c r="M489" i="1"/>
  <c r="M599" i="1"/>
  <c r="M606" i="1"/>
  <c r="M607" i="1"/>
  <c r="M397" i="1"/>
  <c r="M616" i="1"/>
  <c r="M618" i="1"/>
  <c r="M620" i="1"/>
  <c r="N280" i="1"/>
  <c r="O280" i="1"/>
  <c r="K391" i="1"/>
  <c r="L504" i="1"/>
  <c r="G396" i="13"/>
  <c r="J396" i="13" s="1"/>
  <c r="N276" i="1"/>
  <c r="O276" i="1"/>
  <c r="K387" i="1"/>
  <c r="L500" i="1"/>
  <c r="G392" i="13"/>
  <c r="L498" i="1"/>
  <c r="G390" i="13"/>
  <c r="J390" i="13" s="1"/>
  <c r="K385" i="1"/>
  <c r="K384" i="1"/>
  <c r="L497" i="1"/>
  <c r="G389" i="13"/>
  <c r="J389" i="13" s="1"/>
  <c r="O264" i="1"/>
  <c r="K267" i="1"/>
  <c r="N264" i="1"/>
  <c r="L380" i="1"/>
  <c r="L490" i="1"/>
  <c r="G382" i="13"/>
  <c r="K377" i="1"/>
  <c r="N374" i="1"/>
  <c r="O374" i="1"/>
  <c r="L600" i="1"/>
  <c r="G493" i="13"/>
  <c r="J493" i="13" s="1"/>
  <c r="K487" i="1"/>
  <c r="N256" i="1"/>
  <c r="O256" i="1"/>
  <c r="N249" i="1"/>
  <c r="O249" i="1"/>
  <c r="L473" i="1"/>
  <c r="G365" i="13"/>
  <c r="J365" i="13" s="1"/>
  <c r="K360" i="1"/>
  <c r="L268" i="1"/>
  <c r="L285" i="1" s="1"/>
  <c r="N244" i="1"/>
  <c r="K251" i="1"/>
  <c r="O244" i="1"/>
  <c r="N242" i="1"/>
  <c r="O242" i="1"/>
  <c r="K354" i="1"/>
  <c r="L467" i="1"/>
  <c r="G359" i="13"/>
  <c r="J359" i="13" s="1"/>
  <c r="M579" i="1"/>
  <c r="M469" i="1"/>
  <c r="M695" i="1"/>
  <c r="M810" i="1" s="1"/>
  <c r="M592" i="1"/>
  <c r="M594" i="1"/>
  <c r="M596" i="1"/>
  <c r="M715" i="1"/>
  <c r="M830" i="1" s="1"/>
  <c r="M612" i="1"/>
  <c r="M623" i="1"/>
  <c r="M286" i="1"/>
  <c r="M183" i="1"/>
  <c r="M287" i="1"/>
  <c r="M288" i="1"/>
  <c r="M289" i="1"/>
  <c r="M290" i="1"/>
  <c r="M291" i="1"/>
  <c r="M292" i="1"/>
  <c r="M293" i="1"/>
  <c r="M294" i="1"/>
  <c r="M295" i="1"/>
  <c r="M410" i="1"/>
  <c r="M523" i="1" s="1"/>
  <c r="M191" i="1"/>
  <c r="M298" i="1"/>
  <c r="M299" i="1"/>
  <c r="M301" i="1"/>
  <c r="M303" i="1"/>
  <c r="M306" i="1"/>
  <c r="M196" i="1"/>
  <c r="M307" i="1"/>
  <c r="M308" i="1"/>
  <c r="M310" i="1"/>
  <c r="M203" i="1"/>
  <c r="M311" i="1"/>
  <c r="M312" i="1"/>
  <c r="M313" i="1"/>
  <c r="M314" i="1"/>
  <c r="M315" i="1"/>
  <c r="M321" i="1"/>
  <c r="M211" i="1"/>
  <c r="M322" i="1"/>
  <c r="M323" i="1"/>
  <c r="M325" i="1"/>
  <c r="M216" i="1"/>
  <c r="M326" i="1"/>
  <c r="M327" i="1"/>
  <c r="M328" i="1"/>
  <c r="M330" i="1"/>
  <c r="M219" i="1"/>
  <c r="M331" i="1"/>
  <c r="M333" i="1"/>
  <c r="M225" i="1"/>
  <c r="M334" i="1"/>
  <c r="M335" i="1"/>
  <c r="M336" i="1"/>
  <c r="M337" i="1"/>
  <c r="M339" i="1"/>
  <c r="M229" i="1"/>
  <c r="M340" i="1"/>
  <c r="M341" i="1"/>
  <c r="M343" i="1"/>
  <c r="M232" i="1"/>
  <c r="M344" i="1"/>
  <c r="J158" i="13"/>
  <c r="J175" i="13" s="1"/>
  <c r="K395" i="1"/>
  <c r="L508" i="1"/>
  <c r="G400" i="13"/>
  <c r="J400" i="13" s="1"/>
  <c r="L507" i="1"/>
  <c r="G399" i="13"/>
  <c r="J399" i="13" s="1"/>
  <c r="K394" i="1"/>
  <c r="N277" i="1"/>
  <c r="O277" i="1"/>
  <c r="L503" i="1"/>
  <c r="G395" i="13"/>
  <c r="J395" i="13" s="1"/>
  <c r="K390" i="1"/>
  <c r="N170" i="1"/>
  <c r="O170" i="1"/>
  <c r="L496" i="1"/>
  <c r="G388" i="13"/>
  <c r="J388" i="13" s="1"/>
  <c r="K383" i="1"/>
  <c r="G277" i="13"/>
  <c r="J273" i="13"/>
  <c r="J277" i="13" s="1"/>
  <c r="K379" i="1"/>
  <c r="L492" i="1"/>
  <c r="G384" i="13"/>
  <c r="J384" i="13" s="1"/>
  <c r="K375" i="1"/>
  <c r="L488" i="1"/>
  <c r="L601" i="1" s="1"/>
  <c r="G380" i="13"/>
  <c r="J380" i="13" s="1"/>
  <c r="J264" i="13"/>
  <c r="J267" i="13" s="1"/>
  <c r="G267" i="13"/>
  <c r="N258" i="1"/>
  <c r="O258" i="1"/>
  <c r="N254" i="1"/>
  <c r="O254" i="1"/>
  <c r="N252" i="1"/>
  <c r="K259" i="1"/>
  <c r="O252" i="1"/>
  <c r="K365" i="1"/>
  <c r="L478" i="1"/>
  <c r="G370" i="13"/>
  <c r="L372" i="1"/>
  <c r="N250" i="1"/>
  <c r="O250" i="1"/>
  <c r="K363" i="1"/>
  <c r="L476" i="1"/>
  <c r="G368" i="13"/>
  <c r="J368" i="13" s="1"/>
  <c r="N246" i="1"/>
  <c r="O246" i="1"/>
  <c r="G363" i="13"/>
  <c r="J363" i="13" s="1"/>
  <c r="L471" i="1"/>
  <c r="K358" i="1"/>
  <c r="N240" i="1"/>
  <c r="K243" i="1"/>
  <c r="O240" i="1"/>
  <c r="L466" i="1"/>
  <c r="G358" i="13"/>
  <c r="L356" i="1"/>
  <c r="K353" i="1"/>
  <c r="M586" i="1"/>
  <c r="M588" i="1"/>
  <c r="M603" i="1"/>
  <c r="M493" i="1"/>
  <c r="M605" i="1"/>
  <c r="M499" i="1"/>
  <c r="M610" i="1"/>
  <c r="M611" i="1"/>
  <c r="M613" i="1"/>
  <c r="M615" i="1"/>
  <c r="K393" i="1"/>
  <c r="L506" i="1"/>
  <c r="G398" i="13"/>
  <c r="J398" i="13" s="1"/>
  <c r="N278" i="1"/>
  <c r="O278" i="1"/>
  <c r="K389" i="1"/>
  <c r="L502" i="1"/>
  <c r="G394" i="13"/>
  <c r="J394" i="13" s="1"/>
  <c r="G287" i="13"/>
  <c r="J278" i="13"/>
  <c r="J287" i="13" s="1"/>
  <c r="N274" i="1"/>
  <c r="K283" i="1"/>
  <c r="O274" i="1"/>
  <c r="N272" i="1"/>
  <c r="O272" i="1"/>
  <c r="N271" i="1"/>
  <c r="O271" i="1"/>
  <c r="N265" i="1"/>
  <c r="O265" i="1"/>
  <c r="L491" i="1"/>
  <c r="K378" i="1"/>
  <c r="G383" i="13"/>
  <c r="J383" i="13" s="1"/>
  <c r="G271" i="13"/>
  <c r="J268" i="13"/>
  <c r="J271" i="13" s="1"/>
  <c r="K369" i="1"/>
  <c r="L482" i="1"/>
  <c r="G374" i="13"/>
  <c r="J374" i="13" s="1"/>
  <c r="N255" i="1"/>
  <c r="O255" i="1"/>
  <c r="L481" i="1"/>
  <c r="G373" i="13"/>
  <c r="J373" i="13" s="1"/>
  <c r="K368" i="1"/>
  <c r="L475" i="1"/>
  <c r="G367" i="13"/>
  <c r="J367" i="13" s="1"/>
  <c r="K362" i="1"/>
  <c r="N247" i="1"/>
  <c r="O247" i="1"/>
  <c r="J248" i="13"/>
  <c r="J255" i="13" s="1"/>
  <c r="G255" i="13"/>
  <c r="L470" i="1"/>
  <c r="G362" i="13"/>
  <c r="L364" i="1"/>
  <c r="K357" i="1"/>
  <c r="L468" i="1"/>
  <c r="G360" i="13"/>
  <c r="J360" i="13" s="1"/>
  <c r="K355" i="1"/>
  <c r="N241" i="1"/>
  <c r="O241" i="1"/>
  <c r="M381" i="1"/>
  <c r="M587" i="1"/>
  <c r="M589" i="1"/>
  <c r="M485" i="1"/>
  <c r="M591" i="1"/>
  <c r="M593" i="1"/>
  <c r="M595" i="1"/>
  <c r="M597" i="1"/>
  <c r="M617" i="1"/>
  <c r="M619" i="1"/>
  <c r="M621" i="1"/>
  <c r="F237" i="13"/>
  <c r="F231" i="16"/>
  <c r="I123" i="16"/>
  <c r="I125" i="16"/>
  <c r="F233" i="16"/>
  <c r="I127" i="16"/>
  <c r="F235" i="16"/>
  <c r="I129" i="16"/>
  <c r="F237" i="16"/>
  <c r="I239" i="16"/>
  <c r="F346" i="16"/>
  <c r="I133" i="16"/>
  <c r="F241" i="16"/>
  <c r="I135" i="16"/>
  <c r="F243" i="16"/>
  <c r="I137" i="16"/>
  <c r="F245" i="16"/>
  <c r="F248" i="16"/>
  <c r="I140" i="16"/>
  <c r="F154" i="16"/>
  <c r="F250" i="16"/>
  <c r="I142" i="16"/>
  <c r="F252" i="16"/>
  <c r="I144" i="16"/>
  <c r="F254" i="16"/>
  <c r="I146" i="16"/>
  <c r="F256" i="16"/>
  <c r="I148" i="16"/>
  <c r="F258" i="16"/>
  <c r="I150" i="16"/>
  <c r="F260" i="16"/>
  <c r="I152" i="16"/>
  <c r="F263" i="16"/>
  <c r="F162" i="16"/>
  <c r="I155" i="16"/>
  <c r="F265" i="16"/>
  <c r="I157" i="16"/>
  <c r="F267" i="16"/>
  <c r="I159" i="16"/>
  <c r="F269" i="16"/>
  <c r="I161" i="16"/>
  <c r="F274" i="16"/>
  <c r="I166" i="16"/>
  <c r="F276" i="16"/>
  <c r="I168" i="16"/>
  <c r="F278" i="16"/>
  <c r="I170" i="16"/>
  <c r="F280" i="16"/>
  <c r="I172" i="16"/>
  <c r="F282" i="16"/>
  <c r="I174" i="16"/>
  <c r="F284" i="16"/>
  <c r="I176" i="16"/>
  <c r="F286" i="16"/>
  <c r="I178" i="16"/>
  <c r="F288" i="16"/>
  <c r="I180" i="16"/>
  <c r="F290" i="16"/>
  <c r="I182" i="16"/>
  <c r="F292" i="16"/>
  <c r="I184" i="16"/>
  <c r="F294" i="16"/>
  <c r="I186" i="16"/>
  <c r="F296" i="16"/>
  <c r="I188" i="16"/>
  <c r="F298" i="16"/>
  <c r="I190" i="16"/>
  <c r="F300" i="16"/>
  <c r="I192" i="16"/>
  <c r="F302" i="16"/>
  <c r="I194" i="16"/>
  <c r="F304" i="16"/>
  <c r="I196" i="16"/>
  <c r="I199" i="16"/>
  <c r="F307" i="16"/>
  <c r="I201" i="16"/>
  <c r="F309" i="16"/>
  <c r="I203" i="16"/>
  <c r="F311" i="16"/>
  <c r="I205" i="16"/>
  <c r="F313" i="16"/>
  <c r="I207" i="16"/>
  <c r="F315" i="16"/>
  <c r="I209" i="16"/>
  <c r="F317" i="16"/>
  <c r="I211" i="16"/>
  <c r="F319" i="16"/>
  <c r="I213" i="16"/>
  <c r="F321" i="16"/>
  <c r="I215" i="16"/>
  <c r="F323" i="16"/>
  <c r="I217" i="16"/>
  <c r="F325" i="16"/>
  <c r="I219" i="16"/>
  <c r="F327" i="16"/>
  <c r="I221" i="16"/>
  <c r="F329" i="16"/>
  <c r="F232" i="16"/>
  <c r="I124" i="16"/>
  <c r="F234" i="16"/>
  <c r="I126" i="16"/>
  <c r="F236" i="16"/>
  <c r="I128" i="16"/>
  <c r="F238" i="16"/>
  <c r="I238" i="16" s="1"/>
  <c r="I130" i="16"/>
  <c r="F240" i="16"/>
  <c r="I132" i="16"/>
  <c r="F242" i="16"/>
  <c r="I134" i="16"/>
  <c r="F244" i="16"/>
  <c r="I136" i="16"/>
  <c r="F246" i="16"/>
  <c r="I138" i="16"/>
  <c r="F249" i="16"/>
  <c r="I141" i="16"/>
  <c r="F251" i="16"/>
  <c r="I143" i="16"/>
  <c r="F253" i="16"/>
  <c r="I145" i="16"/>
  <c r="F255" i="16"/>
  <c r="I147" i="16"/>
  <c r="F257" i="16"/>
  <c r="I149" i="16"/>
  <c r="F259" i="16"/>
  <c r="I151" i="16"/>
  <c r="F261" i="16"/>
  <c r="I153" i="16"/>
  <c r="F264" i="16"/>
  <c r="I156" i="16"/>
  <c r="F266" i="16"/>
  <c r="I158" i="16"/>
  <c r="F268" i="16"/>
  <c r="I160" i="16"/>
  <c r="F273" i="16"/>
  <c r="F197" i="16"/>
  <c r="I165" i="16"/>
  <c r="F275" i="16"/>
  <c r="I167" i="16"/>
  <c r="F277" i="16"/>
  <c r="I169" i="16"/>
  <c r="F279" i="16"/>
  <c r="I171" i="16"/>
  <c r="F281" i="16"/>
  <c r="I173" i="16"/>
  <c r="F283" i="16"/>
  <c r="I175" i="16"/>
  <c r="F285" i="16"/>
  <c r="I177" i="16"/>
  <c r="F287" i="16"/>
  <c r="I179" i="16"/>
  <c r="F289" i="16"/>
  <c r="I181" i="16"/>
  <c r="F291" i="16"/>
  <c r="I183" i="16"/>
  <c r="F293" i="16"/>
  <c r="I185" i="16"/>
  <c r="F295" i="16"/>
  <c r="I187" i="16"/>
  <c r="F297" i="16"/>
  <c r="I189" i="16"/>
  <c r="F299" i="16"/>
  <c r="I191" i="16"/>
  <c r="F301" i="16"/>
  <c r="I193" i="16"/>
  <c r="F303" i="16"/>
  <c r="I195" i="16"/>
  <c r="F306" i="16"/>
  <c r="F223" i="16"/>
  <c r="I198" i="16"/>
  <c r="F308" i="16"/>
  <c r="I200" i="16"/>
  <c r="F310" i="16"/>
  <c r="I202" i="16"/>
  <c r="F312" i="16"/>
  <c r="I204" i="16"/>
  <c r="F314" i="16"/>
  <c r="I206" i="16"/>
  <c r="F316" i="16"/>
  <c r="I208" i="16"/>
  <c r="F318" i="16"/>
  <c r="I210" i="16"/>
  <c r="F320" i="16"/>
  <c r="I212" i="16"/>
  <c r="F322" i="16"/>
  <c r="I214" i="16"/>
  <c r="F324" i="16"/>
  <c r="I216" i="16"/>
  <c r="F326" i="16"/>
  <c r="I218" i="16"/>
  <c r="F330" i="16"/>
  <c r="I222" i="16"/>
  <c r="I175" i="13"/>
  <c r="I131" i="16"/>
  <c r="F139" i="16"/>
  <c r="F164" i="16" s="1"/>
  <c r="F226" i="16" s="1"/>
  <c r="K82" i="17"/>
  <c r="J78" i="17"/>
  <c r="Q78" i="17"/>
  <c r="Q82" i="17" s="1"/>
  <c r="H30" i="15" s="1"/>
  <c r="H33" i="15" s="1"/>
  <c r="H40" i="15" s="1"/>
  <c r="I209" i="13"/>
  <c r="I210" i="13" s="1"/>
  <c r="S244" i="14"/>
  <c r="T244" i="14" s="1"/>
  <c r="R246" i="14"/>
  <c r="P246" i="14"/>
  <c r="Q246" i="14"/>
  <c r="R251" i="14"/>
  <c r="P251" i="14"/>
  <c r="Q251" i="14"/>
  <c r="S245" i="14"/>
  <c r="T245" i="14" s="1"/>
  <c r="S250" i="14"/>
  <c r="T250" i="14" s="1"/>
  <c r="M99" i="17"/>
  <c r="N99" i="17"/>
  <c r="J100" i="17"/>
  <c r="F135" i="17"/>
  <c r="I135" i="17" s="1"/>
  <c r="I134" i="17"/>
  <c r="J134" i="17"/>
  <c r="N134" i="17" s="1"/>
  <c r="M133" i="17"/>
  <c r="M90" i="17"/>
  <c r="N90" i="17"/>
  <c r="L135" i="17"/>
  <c r="G234" i="1"/>
  <c r="J233" i="1"/>
  <c r="J234" i="1" s="1"/>
  <c r="J171" i="1"/>
  <c r="J170" i="1"/>
  <c r="J192" i="1"/>
  <c r="G206" i="1"/>
  <c r="N130" i="1"/>
  <c r="K155" i="1"/>
  <c r="D30" i="15" s="1"/>
  <c r="O130" i="1"/>
  <c r="N160" i="1"/>
  <c r="K171" i="1"/>
  <c r="D31" i="15" s="1"/>
  <c r="E31" i="15" s="1"/>
  <c r="O160" i="1"/>
  <c r="H27" i="16"/>
  <c r="I27" i="16"/>
  <c r="H112" i="16"/>
  <c r="I112" i="16" s="1"/>
  <c r="H101" i="16"/>
  <c r="I101" i="16"/>
  <c r="H62" i="16"/>
  <c r="H63" i="16"/>
  <c r="H64" i="16"/>
  <c r="I62" i="16"/>
  <c r="H61" i="16"/>
  <c r="H60" i="16"/>
  <c r="I64" i="16"/>
  <c r="H79" i="16"/>
  <c r="I79" i="16"/>
  <c r="H78" i="16"/>
  <c r="I78" i="16"/>
  <c r="H77" i="16"/>
  <c r="I77" i="16"/>
  <c r="H74" i="16"/>
  <c r="H75" i="16"/>
  <c r="H76" i="16"/>
  <c r="I75" i="16"/>
  <c r="I76" i="16"/>
  <c r="I74" i="16"/>
  <c r="F76" i="13"/>
  <c r="I76" i="13" s="1"/>
  <c r="G76" i="13"/>
  <c r="J76" i="13" s="1"/>
  <c r="G74" i="1"/>
  <c r="J74" i="1" s="1"/>
  <c r="F67" i="13"/>
  <c r="F63" i="13"/>
  <c r="F64" i="13"/>
  <c r="F65" i="13"/>
  <c r="F66" i="13"/>
  <c r="F68" i="13"/>
  <c r="F69" i="13"/>
  <c r="F70" i="13"/>
  <c r="F71" i="13"/>
  <c r="G85" i="1"/>
  <c r="J85" i="1" s="1"/>
  <c r="F90" i="13"/>
  <c r="I90" i="13" s="1"/>
  <c r="G90" i="13"/>
  <c r="J90" i="13" s="1"/>
  <c r="F78" i="13"/>
  <c r="I78" i="13" s="1"/>
  <c r="G78" i="13"/>
  <c r="J78" i="13" s="1"/>
  <c r="S251" i="14" l="1"/>
  <c r="S246" i="14"/>
  <c r="M604" i="1"/>
  <c r="G175" i="13"/>
  <c r="L716" i="1"/>
  <c r="G607" i="13"/>
  <c r="J607" i="13" s="1"/>
  <c r="K601" i="1"/>
  <c r="O195" i="1"/>
  <c r="M945" i="1"/>
  <c r="M1061" i="1" s="1"/>
  <c r="M925" i="1"/>
  <c r="M1041" i="1" s="1"/>
  <c r="M831" i="1"/>
  <c r="F33" i="15"/>
  <c r="O215" i="1"/>
  <c r="O214" i="1"/>
  <c r="O213" i="1"/>
  <c r="O223" i="1"/>
  <c r="O201" i="1"/>
  <c r="O182" i="1"/>
  <c r="O174" i="1"/>
  <c r="I30" i="15"/>
  <c r="I33" i="15" s="1"/>
  <c r="O228" i="1"/>
  <c r="O227" i="1"/>
  <c r="O221" i="1"/>
  <c r="O209" i="1"/>
  <c r="O199" i="1"/>
  <c r="O190" i="1"/>
  <c r="O188" i="1"/>
  <c r="O186" i="1"/>
  <c r="L431" i="1"/>
  <c r="G322" i="13"/>
  <c r="J322" i="13" s="1"/>
  <c r="K318" i="1"/>
  <c r="N318" i="1" s="1"/>
  <c r="O205" i="1"/>
  <c r="I237" i="13"/>
  <c r="J288" i="13"/>
  <c r="I46" i="15" s="1"/>
  <c r="O231" i="1"/>
  <c r="M578" i="1"/>
  <c r="M693" i="1" s="1"/>
  <c r="M808" i="1" s="1"/>
  <c r="L578" i="1"/>
  <c r="G471" i="13"/>
  <c r="J471" i="13" s="1"/>
  <c r="K465" i="1"/>
  <c r="N465" i="1" s="1"/>
  <c r="O318" i="1"/>
  <c r="M431" i="1"/>
  <c r="M598" i="1"/>
  <c r="M706" i="1"/>
  <c r="M821" i="1" s="1"/>
  <c r="M704" i="1"/>
  <c r="M819" i="1" s="1"/>
  <c r="M702" i="1"/>
  <c r="M817" i="1" s="1"/>
  <c r="N355" i="1"/>
  <c r="O355" i="1"/>
  <c r="L581" i="1"/>
  <c r="G474" i="13"/>
  <c r="J474" i="13" s="1"/>
  <c r="K468" i="1"/>
  <c r="L477" i="1"/>
  <c r="L583" i="1"/>
  <c r="G476" i="13"/>
  <c r="K470" i="1"/>
  <c r="N368" i="1"/>
  <c r="O368" i="1"/>
  <c r="K481" i="1"/>
  <c r="L594" i="1"/>
  <c r="G487" i="13"/>
  <c r="J487" i="13" s="1"/>
  <c r="L595" i="1"/>
  <c r="G488" i="13"/>
  <c r="J488" i="13" s="1"/>
  <c r="K482" i="1"/>
  <c r="N378" i="1"/>
  <c r="O378" i="1"/>
  <c r="L617" i="1"/>
  <c r="G508" i="13"/>
  <c r="J508" i="13" s="1"/>
  <c r="K502" i="1"/>
  <c r="N393" i="1"/>
  <c r="O393" i="1"/>
  <c r="M728" i="1"/>
  <c r="M843" i="1" s="1"/>
  <c r="M726" i="1"/>
  <c r="M841" i="1" s="1"/>
  <c r="M614" i="1"/>
  <c r="M725" i="1"/>
  <c r="M840" i="1" s="1"/>
  <c r="M718" i="1"/>
  <c r="M833" i="1" s="1"/>
  <c r="N353" i="1"/>
  <c r="K356" i="1"/>
  <c r="O353" i="1"/>
  <c r="J358" i="13"/>
  <c r="J361" i="13" s="1"/>
  <c r="G361" i="13"/>
  <c r="L584" i="1"/>
  <c r="K471" i="1"/>
  <c r="G477" i="13"/>
  <c r="J477" i="13" s="1"/>
  <c r="N363" i="1"/>
  <c r="O363" i="1"/>
  <c r="G377" i="13"/>
  <c r="J370" i="13"/>
  <c r="J377" i="13" s="1"/>
  <c r="K372" i="1"/>
  <c r="N365" i="1"/>
  <c r="O365" i="1"/>
  <c r="O259" i="1"/>
  <c r="N259" i="1"/>
  <c r="G272" i="13"/>
  <c r="N375" i="1"/>
  <c r="O375" i="1"/>
  <c r="L607" i="1"/>
  <c r="G498" i="13"/>
  <c r="J498" i="13" s="1"/>
  <c r="K492" i="1"/>
  <c r="N383" i="1"/>
  <c r="O383" i="1"/>
  <c r="K496" i="1"/>
  <c r="L611" i="1"/>
  <c r="G502" i="13"/>
  <c r="J502" i="13" s="1"/>
  <c r="K507" i="1"/>
  <c r="L622" i="1"/>
  <c r="G513" i="13"/>
  <c r="J513" i="13" s="1"/>
  <c r="L623" i="1"/>
  <c r="G514" i="13"/>
  <c r="J514" i="13" s="1"/>
  <c r="K508" i="1"/>
  <c r="M456" i="1"/>
  <c r="M345" i="1"/>
  <c r="M454" i="1"/>
  <c r="M453" i="1"/>
  <c r="M342" i="1"/>
  <c r="M452" i="1"/>
  <c r="M450" i="1"/>
  <c r="M449" i="1"/>
  <c r="M448" i="1"/>
  <c r="M447" i="1"/>
  <c r="M338" i="1"/>
  <c r="M446" i="1"/>
  <c r="M444" i="1"/>
  <c r="M329" i="1"/>
  <c r="M438" i="1"/>
  <c r="M436" i="1"/>
  <c r="M435" i="1"/>
  <c r="M324" i="1"/>
  <c r="M434" i="1"/>
  <c r="M428" i="1"/>
  <c r="M427" i="1"/>
  <c r="M426" i="1"/>
  <c r="M425" i="1"/>
  <c r="M424" i="1"/>
  <c r="M423" i="1"/>
  <c r="M316" i="1"/>
  <c r="M421" i="1"/>
  <c r="M420" i="1"/>
  <c r="M419" i="1"/>
  <c r="M309" i="1"/>
  <c r="M416" i="1"/>
  <c r="M414" i="1"/>
  <c r="M412" i="1"/>
  <c r="M411" i="1"/>
  <c r="M638" i="1"/>
  <c r="M408" i="1"/>
  <c r="M407" i="1"/>
  <c r="M406" i="1"/>
  <c r="M405" i="1"/>
  <c r="M404" i="1"/>
  <c r="M403" i="1"/>
  <c r="M402" i="1"/>
  <c r="M401" i="1"/>
  <c r="M400" i="1"/>
  <c r="M727" i="1"/>
  <c r="M842" i="1" s="1"/>
  <c r="M494" i="1"/>
  <c r="N354" i="1"/>
  <c r="O354" i="1"/>
  <c r="N251" i="1"/>
  <c r="O251" i="1"/>
  <c r="N487" i="1"/>
  <c r="O487" i="1"/>
  <c r="L715" i="1"/>
  <c r="L830" i="1" s="1"/>
  <c r="K600" i="1"/>
  <c r="G606" i="13"/>
  <c r="J606" i="13" s="1"/>
  <c r="G385" i="13"/>
  <c r="J382" i="13"/>
  <c r="J385" i="13" s="1"/>
  <c r="N267" i="1"/>
  <c r="O267" i="1"/>
  <c r="N384" i="1"/>
  <c r="O384" i="1"/>
  <c r="G401" i="13"/>
  <c r="J392" i="13"/>
  <c r="J401" i="13" s="1"/>
  <c r="N387" i="1"/>
  <c r="K396" i="1"/>
  <c r="O387" i="1"/>
  <c r="L619" i="1"/>
  <c r="G510" i="13"/>
  <c r="J510" i="13" s="1"/>
  <c r="K504" i="1"/>
  <c r="M722" i="1"/>
  <c r="M837" i="1" s="1"/>
  <c r="M721" i="1"/>
  <c r="M836" i="1" s="1"/>
  <c r="M700" i="1"/>
  <c r="M815" i="1" s="1"/>
  <c r="M699" i="1"/>
  <c r="M814" i="1" s="1"/>
  <c r="M590" i="1"/>
  <c r="M698" i="1"/>
  <c r="M813" i="1" s="1"/>
  <c r="M696" i="1"/>
  <c r="M811" i="1" s="1"/>
  <c r="N359" i="1"/>
  <c r="O359" i="1"/>
  <c r="K474" i="1"/>
  <c r="L587" i="1"/>
  <c r="G480" i="13"/>
  <c r="J480" i="13" s="1"/>
  <c r="N366" i="1"/>
  <c r="O366" i="1"/>
  <c r="K479" i="1"/>
  <c r="L592" i="1"/>
  <c r="G485" i="13"/>
  <c r="J485" i="13" s="1"/>
  <c r="L593" i="1"/>
  <c r="G486" i="13"/>
  <c r="J486" i="13" s="1"/>
  <c r="K480" i="1"/>
  <c r="N370" i="1"/>
  <c r="O370" i="1"/>
  <c r="K483" i="1"/>
  <c r="L596" i="1"/>
  <c r="G489" i="13"/>
  <c r="J489" i="13" s="1"/>
  <c r="L597" i="1"/>
  <c r="G490" i="13"/>
  <c r="J490" i="13" s="1"/>
  <c r="K484" i="1"/>
  <c r="L381" i="1"/>
  <c r="L398" i="1" s="1"/>
  <c r="J378" i="13"/>
  <c r="J381" i="13" s="1"/>
  <c r="G381" i="13"/>
  <c r="N263" i="1"/>
  <c r="O263" i="1"/>
  <c r="K386" i="1"/>
  <c r="N382" i="1"/>
  <c r="O382" i="1"/>
  <c r="L610" i="1"/>
  <c r="K495" i="1"/>
  <c r="G501" i="13"/>
  <c r="L499" i="1"/>
  <c r="L510" i="1" s="1"/>
  <c r="K501" i="1"/>
  <c r="L616" i="1"/>
  <c r="G507" i="13"/>
  <c r="J507" i="13" s="1"/>
  <c r="N392" i="1"/>
  <c r="O392" i="1"/>
  <c r="N230" i="1"/>
  <c r="K232" i="1"/>
  <c r="N232" i="1" s="1"/>
  <c r="L453" i="1"/>
  <c r="G343" i="13"/>
  <c r="K340" i="1"/>
  <c r="N340" i="1" s="1"/>
  <c r="G231" i="13"/>
  <c r="J228" i="13"/>
  <c r="J231" i="13" s="1"/>
  <c r="K336" i="1"/>
  <c r="N336" i="1" s="1"/>
  <c r="L449" i="1"/>
  <c r="G340" i="13"/>
  <c r="J340" i="13" s="1"/>
  <c r="L448" i="1"/>
  <c r="G339" i="13"/>
  <c r="J339" i="13" s="1"/>
  <c r="K335" i="1"/>
  <c r="N335" i="1" s="1"/>
  <c r="G227" i="13"/>
  <c r="J223" i="13"/>
  <c r="J227" i="13" s="1"/>
  <c r="K331" i="1"/>
  <c r="N331" i="1" s="1"/>
  <c r="L444" i="1"/>
  <c r="G335" i="13"/>
  <c r="J335" i="13" s="1"/>
  <c r="N217" i="1"/>
  <c r="K219" i="1"/>
  <c r="N219" i="1" s="1"/>
  <c r="L443" i="1"/>
  <c r="G334" i="13"/>
  <c r="K330" i="1"/>
  <c r="O330" i="1" s="1"/>
  <c r="L332" i="1"/>
  <c r="K328" i="1"/>
  <c r="N328" i="1" s="1"/>
  <c r="L441" i="1"/>
  <c r="G332" i="13"/>
  <c r="J332" i="13" s="1"/>
  <c r="L440" i="1"/>
  <c r="K327" i="1"/>
  <c r="N327" i="1" s="1"/>
  <c r="G331" i="13"/>
  <c r="J331" i="13" s="1"/>
  <c r="N212" i="1"/>
  <c r="K216" i="1"/>
  <c r="N216" i="1" s="1"/>
  <c r="L233" i="1"/>
  <c r="J211" i="13"/>
  <c r="J214" i="13" s="1"/>
  <c r="G214" i="13"/>
  <c r="L427" i="1"/>
  <c r="G318" i="13"/>
  <c r="J318" i="13" s="1"/>
  <c r="K314" i="1"/>
  <c r="N314" i="1" s="1"/>
  <c r="K312" i="1"/>
  <c r="N312" i="1" s="1"/>
  <c r="L425" i="1"/>
  <c r="G316" i="13"/>
  <c r="J316" i="13" s="1"/>
  <c r="L316" i="1"/>
  <c r="L423" i="1"/>
  <c r="G314" i="13"/>
  <c r="K310" i="1"/>
  <c r="O310" i="1" s="1"/>
  <c r="K307" i="1"/>
  <c r="N307" i="1" s="1"/>
  <c r="L420" i="1"/>
  <c r="G311" i="13"/>
  <c r="J311" i="13" s="1"/>
  <c r="L204" i="1"/>
  <c r="L309" i="1"/>
  <c r="L317" i="1" s="1"/>
  <c r="L419" i="1"/>
  <c r="G310" i="13"/>
  <c r="K306" i="1"/>
  <c r="L415" i="1"/>
  <c r="G306" i="13"/>
  <c r="J306" i="13" s="1"/>
  <c r="K302" i="1"/>
  <c r="K301" i="1"/>
  <c r="N301" i="1" s="1"/>
  <c r="L414" i="1"/>
  <c r="G305" i="13"/>
  <c r="J305" i="13" s="1"/>
  <c r="G303" i="13"/>
  <c r="J303" i="13" s="1"/>
  <c r="K299" i="1"/>
  <c r="N299" i="1" s="1"/>
  <c r="L412" i="1"/>
  <c r="K191" i="1"/>
  <c r="N184" i="1"/>
  <c r="O184" i="1"/>
  <c r="L304" i="1"/>
  <c r="L410" i="1"/>
  <c r="G301" i="13"/>
  <c r="K297" i="1"/>
  <c r="L408" i="1"/>
  <c r="G299" i="13"/>
  <c r="J299" i="13" s="1"/>
  <c r="K295" i="1"/>
  <c r="N295" i="1" s="1"/>
  <c r="L406" i="1"/>
  <c r="G297" i="13"/>
  <c r="J297" i="13" s="1"/>
  <c r="K293" i="1"/>
  <c r="O293" i="1" s="1"/>
  <c r="L404" i="1"/>
  <c r="G295" i="13"/>
  <c r="J295" i="13" s="1"/>
  <c r="K291" i="1"/>
  <c r="O291" i="1" s="1"/>
  <c r="L402" i="1"/>
  <c r="G293" i="13"/>
  <c r="J293" i="13" s="1"/>
  <c r="K289" i="1"/>
  <c r="O289" i="1" s="1"/>
  <c r="L296" i="1"/>
  <c r="L399" i="1"/>
  <c r="G290" i="13"/>
  <c r="J290" i="13" s="1"/>
  <c r="K286" i="1"/>
  <c r="M736" i="1"/>
  <c r="M851" i="1" s="1"/>
  <c r="M734" i="1"/>
  <c r="M849" i="1" s="1"/>
  <c r="M732" i="1"/>
  <c r="M847" i="1" s="1"/>
  <c r="M712" i="1"/>
  <c r="M827" i="1" s="1"/>
  <c r="M710" i="1"/>
  <c r="M825" i="1" s="1"/>
  <c r="M708" i="1"/>
  <c r="M823" i="1" s="1"/>
  <c r="M398" i="1"/>
  <c r="N357" i="1"/>
  <c r="K364" i="1"/>
  <c r="O357" i="1"/>
  <c r="G369" i="13"/>
  <c r="J362" i="13"/>
  <c r="J369" i="13" s="1"/>
  <c r="N362" i="1"/>
  <c r="O362" i="1"/>
  <c r="L588" i="1"/>
  <c r="G481" i="13"/>
  <c r="J481" i="13" s="1"/>
  <c r="K475" i="1"/>
  <c r="N369" i="1"/>
  <c r="O369" i="1"/>
  <c r="K491" i="1"/>
  <c r="L606" i="1"/>
  <c r="G497" i="13"/>
  <c r="J497" i="13" s="1"/>
  <c r="N283" i="1"/>
  <c r="O283" i="1"/>
  <c r="N389" i="1"/>
  <c r="O389" i="1"/>
  <c r="L621" i="1"/>
  <c r="G512" i="13"/>
  <c r="J512" i="13" s="1"/>
  <c r="K506" i="1"/>
  <c r="M730" i="1"/>
  <c r="M845" i="1" s="1"/>
  <c r="M510" i="1"/>
  <c r="M608" i="1"/>
  <c r="M720" i="1"/>
  <c r="M835" i="1" s="1"/>
  <c r="M703" i="1"/>
  <c r="M818" i="1" s="1"/>
  <c r="M701" i="1"/>
  <c r="M816" i="1" s="1"/>
  <c r="L579" i="1"/>
  <c r="G472" i="13"/>
  <c r="L469" i="1"/>
  <c r="K466" i="1"/>
  <c r="O243" i="1"/>
  <c r="N243" i="1"/>
  <c r="K268" i="1"/>
  <c r="N358" i="1"/>
  <c r="O358" i="1"/>
  <c r="K476" i="1"/>
  <c r="L589" i="1"/>
  <c r="G482" i="13"/>
  <c r="J482" i="13" s="1"/>
  <c r="L485" i="1"/>
  <c r="L591" i="1"/>
  <c r="G484" i="13"/>
  <c r="K478" i="1"/>
  <c r="J272" i="13"/>
  <c r="L603" i="1"/>
  <c r="G494" i="13"/>
  <c r="J494" i="13" s="1"/>
  <c r="K488" i="1"/>
  <c r="N379" i="1"/>
  <c r="O379" i="1"/>
  <c r="G288" i="13"/>
  <c r="F46" i="15" s="1"/>
  <c r="N390" i="1"/>
  <c r="O390" i="1"/>
  <c r="K503" i="1"/>
  <c r="L618" i="1"/>
  <c r="G509" i="13"/>
  <c r="J509" i="13" s="1"/>
  <c r="N395" i="1"/>
  <c r="O395" i="1"/>
  <c r="M457" i="1"/>
  <c r="O224" i="1"/>
  <c r="O222" i="1"/>
  <c r="O218" i="1"/>
  <c r="O217" i="1"/>
  <c r="M332" i="1"/>
  <c r="M443" i="1"/>
  <c r="M441" i="1"/>
  <c r="M440" i="1"/>
  <c r="M439" i="1"/>
  <c r="O212" i="1"/>
  <c r="O210" i="1"/>
  <c r="M233" i="1"/>
  <c r="O202" i="1"/>
  <c r="O200" i="1"/>
  <c r="O198" i="1"/>
  <c r="O194" i="1"/>
  <c r="M204" i="1"/>
  <c r="O185" i="1"/>
  <c r="M304" i="1"/>
  <c r="M192" i="1"/>
  <c r="M399" i="1"/>
  <c r="M296" i="1"/>
  <c r="M738" i="1"/>
  <c r="M853" i="1" s="1"/>
  <c r="M711" i="1"/>
  <c r="M826" i="1" s="1"/>
  <c r="M709" i="1"/>
  <c r="M824" i="1" s="1"/>
  <c r="M707" i="1"/>
  <c r="M822" i="1" s="1"/>
  <c r="M694" i="1"/>
  <c r="M809" i="1" s="1"/>
  <c r="M582" i="1"/>
  <c r="K467" i="1"/>
  <c r="L580" i="1"/>
  <c r="G473" i="13"/>
  <c r="J473" i="13" s="1"/>
  <c r="N360" i="1"/>
  <c r="O360" i="1"/>
  <c r="L586" i="1"/>
  <c r="G479" i="13"/>
  <c r="J479" i="13" s="1"/>
  <c r="K473" i="1"/>
  <c r="K380" i="1"/>
  <c r="N377" i="1"/>
  <c r="O377" i="1"/>
  <c r="L493" i="1"/>
  <c r="L605" i="1"/>
  <c r="G496" i="13"/>
  <c r="K490" i="1"/>
  <c r="L612" i="1"/>
  <c r="K497" i="1"/>
  <c r="G503" i="13"/>
  <c r="J503" i="13" s="1"/>
  <c r="N385" i="1"/>
  <c r="O385" i="1"/>
  <c r="K498" i="1"/>
  <c r="L613" i="1"/>
  <c r="G504" i="13"/>
  <c r="J504" i="13" s="1"/>
  <c r="L615" i="1"/>
  <c r="G506" i="13"/>
  <c r="K500" i="1"/>
  <c r="N391" i="1"/>
  <c r="O391" i="1"/>
  <c r="M735" i="1"/>
  <c r="M850" i="1" s="1"/>
  <c r="M733" i="1"/>
  <c r="M848" i="1" s="1"/>
  <c r="M731" i="1"/>
  <c r="M846" i="1" s="1"/>
  <c r="M714" i="1"/>
  <c r="G478" i="13"/>
  <c r="J478" i="13" s="1"/>
  <c r="L585" i="1"/>
  <c r="K472" i="1"/>
  <c r="N361" i="1"/>
  <c r="O361" i="1"/>
  <c r="N367" i="1"/>
  <c r="O367" i="1"/>
  <c r="N371" i="1"/>
  <c r="O371" i="1"/>
  <c r="N373" i="1"/>
  <c r="K376" i="1"/>
  <c r="O373" i="1"/>
  <c r="L489" i="1"/>
  <c r="L599" i="1"/>
  <c r="G492" i="13"/>
  <c r="K486" i="1"/>
  <c r="G391" i="13"/>
  <c r="J387" i="13"/>
  <c r="J391" i="13" s="1"/>
  <c r="K284" i="1"/>
  <c r="N273" i="1"/>
  <c r="O273" i="1"/>
  <c r="N388" i="1"/>
  <c r="O388" i="1"/>
  <c r="K505" i="1"/>
  <c r="L620" i="1"/>
  <c r="G511" i="13"/>
  <c r="J511" i="13" s="1"/>
  <c r="K344" i="1"/>
  <c r="N344" i="1" s="1"/>
  <c r="L457" i="1"/>
  <c r="G347" i="13"/>
  <c r="L345" i="1"/>
  <c r="L456" i="1"/>
  <c r="G346" i="13"/>
  <c r="K343" i="1"/>
  <c r="K341" i="1"/>
  <c r="N341" i="1" s="1"/>
  <c r="L454" i="1"/>
  <c r="G344" i="13"/>
  <c r="J344" i="13" s="1"/>
  <c r="K229" i="1"/>
  <c r="N229" i="1" s="1"/>
  <c r="N226" i="1"/>
  <c r="O226" i="1"/>
  <c r="K339" i="1"/>
  <c r="L452" i="1"/>
  <c r="L342" i="1"/>
  <c r="L450" i="1"/>
  <c r="K337" i="1"/>
  <c r="N337" i="1" s="1"/>
  <c r="K334" i="1"/>
  <c r="N334" i="1" s="1"/>
  <c r="L447" i="1"/>
  <c r="G338" i="13"/>
  <c r="J338" i="13" s="1"/>
  <c r="N220" i="1"/>
  <c r="K225" i="1"/>
  <c r="N225" i="1" s="1"/>
  <c r="L338" i="1"/>
  <c r="L446" i="1"/>
  <c r="K333" i="1"/>
  <c r="G337" i="13"/>
  <c r="G222" i="13"/>
  <c r="J220" i="13"/>
  <c r="J222" i="13" s="1"/>
  <c r="K326" i="1"/>
  <c r="N326" i="1" s="1"/>
  <c r="L439" i="1"/>
  <c r="G330" i="13"/>
  <c r="J330" i="13" s="1"/>
  <c r="G219" i="13"/>
  <c r="J215" i="13"/>
  <c r="J219" i="13" s="1"/>
  <c r="L438" i="1"/>
  <c r="K325" i="1"/>
  <c r="G329" i="13"/>
  <c r="L329" i="1"/>
  <c r="K323" i="1"/>
  <c r="N323" i="1" s="1"/>
  <c r="L436" i="1"/>
  <c r="G327" i="13"/>
  <c r="J327" i="13" s="1"/>
  <c r="G326" i="13"/>
  <c r="J326" i="13" s="1"/>
  <c r="L435" i="1"/>
  <c r="K322" i="1"/>
  <c r="N322" i="1" s="1"/>
  <c r="O208" i="1"/>
  <c r="K211" i="1"/>
  <c r="N208" i="1"/>
  <c r="K321" i="1"/>
  <c r="L434" i="1"/>
  <c r="G325" i="13"/>
  <c r="L324" i="1"/>
  <c r="K315" i="1"/>
  <c r="N315" i="1" s="1"/>
  <c r="L428" i="1"/>
  <c r="G319" i="13"/>
  <c r="J319" i="13" s="1"/>
  <c r="L426" i="1"/>
  <c r="G317" i="13"/>
  <c r="J317" i="13" s="1"/>
  <c r="K313" i="1"/>
  <c r="N313" i="1" s="1"/>
  <c r="K311" i="1"/>
  <c r="N311" i="1" s="1"/>
  <c r="L424" i="1"/>
  <c r="G315" i="13"/>
  <c r="J315" i="13" s="1"/>
  <c r="N197" i="1"/>
  <c r="K203" i="1"/>
  <c r="O197" i="1"/>
  <c r="G206" i="13"/>
  <c r="J200" i="13"/>
  <c r="J206" i="13" s="1"/>
  <c r="L421" i="1"/>
  <c r="G312" i="13"/>
  <c r="J312" i="13" s="1"/>
  <c r="K308" i="1"/>
  <c r="N308" i="1" s="1"/>
  <c r="O193" i="1"/>
  <c r="K196" i="1"/>
  <c r="N193" i="1"/>
  <c r="G199" i="13"/>
  <c r="G207" i="13" s="1"/>
  <c r="J196" i="13"/>
  <c r="J199" i="13" s="1"/>
  <c r="J207" i="13" s="1"/>
  <c r="K303" i="1"/>
  <c r="N303" i="1" s="1"/>
  <c r="L416" i="1"/>
  <c r="G307" i="13"/>
  <c r="J307" i="13" s="1"/>
  <c r="L413" i="1"/>
  <c r="G304" i="13"/>
  <c r="J304" i="13" s="1"/>
  <c r="K300" i="1"/>
  <c r="L411" i="1"/>
  <c r="K298" i="1"/>
  <c r="N298" i="1" s="1"/>
  <c r="G302" i="13"/>
  <c r="J302" i="13" s="1"/>
  <c r="L192" i="1"/>
  <c r="L206" i="1" s="1"/>
  <c r="L207" i="1" s="1"/>
  <c r="G194" i="13"/>
  <c r="J187" i="13"/>
  <c r="J194" i="13" s="1"/>
  <c r="L407" i="1"/>
  <c r="G298" i="13"/>
  <c r="J298" i="13" s="1"/>
  <c r="K294" i="1"/>
  <c r="O294" i="1" s="1"/>
  <c r="L405" i="1"/>
  <c r="G296" i="13"/>
  <c r="J296" i="13" s="1"/>
  <c r="K292" i="1"/>
  <c r="O292" i="1" s="1"/>
  <c r="L403" i="1"/>
  <c r="G294" i="13"/>
  <c r="J294" i="13" s="1"/>
  <c r="K290" i="1"/>
  <c r="O290" i="1" s="1"/>
  <c r="K288" i="1"/>
  <c r="O288" i="1" s="1"/>
  <c r="G292" i="13"/>
  <c r="L401" i="1"/>
  <c r="L400" i="1"/>
  <c r="G291" i="13"/>
  <c r="J291" i="13" s="1"/>
  <c r="K287" i="1"/>
  <c r="N287" i="1" s="1"/>
  <c r="J176" i="13"/>
  <c r="J186" i="13" s="1"/>
  <c r="J195" i="13" s="1"/>
  <c r="J209" i="13" s="1"/>
  <c r="J210" i="13" s="1"/>
  <c r="I34" i="15" s="1"/>
  <c r="I36" i="15" s="1"/>
  <c r="G186" i="13"/>
  <c r="G195" i="13" s="1"/>
  <c r="G209" i="13" s="1"/>
  <c r="G210" i="13" s="1"/>
  <c r="F34" i="15" s="1"/>
  <c r="F36" i="15" s="1"/>
  <c r="N173" i="1"/>
  <c r="K183" i="1"/>
  <c r="I346" i="16"/>
  <c r="F439" i="16"/>
  <c r="I139" i="16"/>
  <c r="J30" i="15" s="1"/>
  <c r="I223" i="16"/>
  <c r="J37" i="15" s="1"/>
  <c r="J39" i="15" s="1"/>
  <c r="F331" i="16"/>
  <c r="F399" i="16"/>
  <c r="F492" i="16" s="1"/>
  <c r="I306" i="16"/>
  <c r="I303" i="16"/>
  <c r="F396" i="16"/>
  <c r="I301" i="16"/>
  <c r="F394" i="16"/>
  <c r="I299" i="16"/>
  <c r="F392" i="16"/>
  <c r="I297" i="16"/>
  <c r="F390" i="16"/>
  <c r="I295" i="16"/>
  <c r="F388" i="16"/>
  <c r="I293" i="16"/>
  <c r="F386" i="16"/>
  <c r="I291" i="16"/>
  <c r="F384" i="16"/>
  <c r="I289" i="16"/>
  <c r="F382" i="16"/>
  <c r="I287" i="16"/>
  <c r="F380" i="16"/>
  <c r="I285" i="16"/>
  <c r="F379" i="16"/>
  <c r="I283" i="16"/>
  <c r="F377" i="16"/>
  <c r="I281" i="16"/>
  <c r="F375" i="16"/>
  <c r="I279" i="16"/>
  <c r="F373" i="16"/>
  <c r="I277" i="16"/>
  <c r="F372" i="16"/>
  <c r="I275" i="16"/>
  <c r="F371" i="16"/>
  <c r="I329" i="16"/>
  <c r="F422" i="16"/>
  <c r="I327" i="16"/>
  <c r="F420" i="16"/>
  <c r="I325" i="16"/>
  <c r="F418" i="16"/>
  <c r="I323" i="16"/>
  <c r="F416" i="16"/>
  <c r="I321" i="16"/>
  <c r="F414" i="16"/>
  <c r="I319" i="16"/>
  <c r="F412" i="16"/>
  <c r="I317" i="16"/>
  <c r="F410" i="16"/>
  <c r="I315" i="16"/>
  <c r="F408" i="16"/>
  <c r="I313" i="16"/>
  <c r="F406" i="16"/>
  <c r="I311" i="16"/>
  <c r="F404" i="16"/>
  <c r="I309" i="16"/>
  <c r="F402" i="16"/>
  <c r="I307" i="16"/>
  <c r="F400" i="16"/>
  <c r="I162" i="16"/>
  <c r="J32" i="15" s="1"/>
  <c r="F270" i="16"/>
  <c r="I263" i="16"/>
  <c r="I260" i="16"/>
  <c r="I258" i="16"/>
  <c r="I256" i="16"/>
  <c r="I254" i="16"/>
  <c r="F359" i="16"/>
  <c r="I252" i="16"/>
  <c r="F357" i="16"/>
  <c r="I250" i="16"/>
  <c r="I154" i="16"/>
  <c r="J31" i="15" s="1"/>
  <c r="I245" i="16"/>
  <c r="F352" i="16"/>
  <c r="I243" i="16"/>
  <c r="F350" i="16"/>
  <c r="I241" i="16"/>
  <c r="F348" i="16"/>
  <c r="I237" i="16"/>
  <c r="F345" i="16"/>
  <c r="I235" i="16"/>
  <c r="F343" i="16"/>
  <c r="I233" i="16"/>
  <c r="F341" i="16"/>
  <c r="I330" i="16"/>
  <c r="F423" i="16"/>
  <c r="I326" i="16"/>
  <c r="F419" i="16"/>
  <c r="I324" i="16"/>
  <c r="F417" i="16"/>
  <c r="I322" i="16"/>
  <c r="F415" i="16"/>
  <c r="I320" i="16"/>
  <c r="F413" i="16"/>
  <c r="I318" i="16"/>
  <c r="F411" i="16"/>
  <c r="I316" i="16"/>
  <c r="F409" i="16"/>
  <c r="I314" i="16"/>
  <c r="F407" i="16"/>
  <c r="I312" i="16"/>
  <c r="F405" i="16"/>
  <c r="I310" i="16"/>
  <c r="F403" i="16"/>
  <c r="I308" i="16"/>
  <c r="F401" i="16"/>
  <c r="I197" i="16"/>
  <c r="J34" i="15" s="1"/>
  <c r="J36" i="15" s="1"/>
  <c r="F305" i="16"/>
  <c r="F369" i="16"/>
  <c r="F462" i="16" s="1"/>
  <c r="I273" i="16"/>
  <c r="I268" i="16"/>
  <c r="F364" i="16"/>
  <c r="I266" i="16"/>
  <c r="F362" i="16"/>
  <c r="I264" i="16"/>
  <c r="I261" i="16"/>
  <c r="I259" i="16"/>
  <c r="I257" i="16"/>
  <c r="I255" i="16"/>
  <c r="F360" i="16"/>
  <c r="I253" i="16"/>
  <c r="F358" i="16"/>
  <c r="I251" i="16"/>
  <c r="F356" i="16"/>
  <c r="I249" i="16"/>
  <c r="I246" i="16"/>
  <c r="F353" i="16"/>
  <c r="I244" i="16"/>
  <c r="F351" i="16"/>
  <c r="I242" i="16"/>
  <c r="F349" i="16"/>
  <c r="I240" i="16"/>
  <c r="F347" i="16"/>
  <c r="I236" i="16"/>
  <c r="F344" i="16"/>
  <c r="I234" i="16"/>
  <c r="F342" i="16"/>
  <c r="I232" i="16"/>
  <c r="F340" i="16"/>
  <c r="I304" i="16"/>
  <c r="F397" i="16"/>
  <c r="I302" i="16"/>
  <c r="F395" i="16"/>
  <c r="I300" i="16"/>
  <c r="F393" i="16"/>
  <c r="I298" i="16"/>
  <c r="F391" i="16"/>
  <c r="I296" i="16"/>
  <c r="F389" i="16"/>
  <c r="I294" i="16"/>
  <c r="F387" i="16"/>
  <c r="I292" i="16"/>
  <c r="F385" i="16"/>
  <c r="I290" i="16"/>
  <c r="F383" i="16"/>
  <c r="I288" i="16"/>
  <c r="F381" i="16"/>
  <c r="I286" i="16"/>
  <c r="I284" i="16"/>
  <c r="F378" i="16"/>
  <c r="I282" i="16"/>
  <c r="F376" i="16"/>
  <c r="I280" i="16"/>
  <c r="F374" i="16"/>
  <c r="I278" i="16"/>
  <c r="I276" i="16"/>
  <c r="I274" i="16"/>
  <c r="F370" i="16"/>
  <c r="I269" i="16"/>
  <c r="F365" i="16"/>
  <c r="I267" i="16"/>
  <c r="F363" i="16"/>
  <c r="I265" i="16"/>
  <c r="F355" i="16"/>
  <c r="F448" i="16" s="1"/>
  <c r="F262" i="16"/>
  <c r="I248" i="16"/>
  <c r="F339" i="16"/>
  <c r="F432" i="16" s="1"/>
  <c r="F247" i="16"/>
  <c r="I231" i="16"/>
  <c r="T246" i="14"/>
  <c r="T251" i="14"/>
  <c r="G30" i="15"/>
  <c r="G33" i="15" s="1"/>
  <c r="G40" i="15" s="1"/>
  <c r="K91" i="17"/>
  <c r="K135" i="17" s="1"/>
  <c r="Q91" i="17"/>
  <c r="Q135" i="17" s="1"/>
  <c r="M78" i="17"/>
  <c r="N78" i="17"/>
  <c r="J82" i="17"/>
  <c r="D33" i="15"/>
  <c r="E33" i="15" s="1"/>
  <c r="E30" i="15"/>
  <c r="M134" i="17"/>
  <c r="M100" i="17"/>
  <c r="N100" i="17"/>
  <c r="N171" i="1"/>
  <c r="O171" i="1"/>
  <c r="K172" i="1"/>
  <c r="N155" i="1"/>
  <c r="O155" i="1"/>
  <c r="G207" i="1"/>
  <c r="G235" i="1" s="1"/>
  <c r="J235" i="1" s="1"/>
  <c r="J206" i="1"/>
  <c r="J207" i="1" s="1"/>
  <c r="K88" i="1"/>
  <c r="N88" i="1" s="1"/>
  <c r="K76" i="1"/>
  <c r="K74" i="1"/>
  <c r="M966" i="1" l="1"/>
  <c r="M1083" i="1" s="1"/>
  <c r="M939" i="1"/>
  <c r="M1055" i="1" s="1"/>
  <c r="M838" i="1"/>
  <c r="M951" i="1"/>
  <c r="M1068" i="1" s="1"/>
  <c r="M940" i="1"/>
  <c r="M1056" i="1" s="1"/>
  <c r="M967" i="1"/>
  <c r="M1084" i="1" s="1"/>
  <c r="M926" i="1"/>
  <c r="M1042" i="1" s="1"/>
  <c r="M930" i="1"/>
  <c r="M1046" i="1" s="1"/>
  <c r="M953" i="1"/>
  <c r="M1070" i="1" s="1"/>
  <c r="M949" i="1"/>
  <c r="M1066" i="1" s="1"/>
  <c r="M959" i="1"/>
  <c r="M1076" i="1" s="1"/>
  <c r="L604" i="1"/>
  <c r="M829" i="1"/>
  <c r="M719" i="1"/>
  <c r="M964" i="1"/>
  <c r="M1081" i="1" s="1"/>
  <c r="M937" i="1"/>
  <c r="M1053" i="1" s="1"/>
  <c r="M941" i="1"/>
  <c r="M1057" i="1" s="1"/>
  <c r="M933" i="1"/>
  <c r="M1049" i="1" s="1"/>
  <c r="M961" i="1"/>
  <c r="M1078" i="1" s="1"/>
  <c r="M938" i="1"/>
  <c r="M1054" i="1" s="1"/>
  <c r="M942" i="1"/>
  <c r="M1058" i="1" s="1"/>
  <c r="M965" i="1"/>
  <c r="M1082" i="1" s="1"/>
  <c r="M820" i="1"/>
  <c r="M928" i="1"/>
  <c r="M1044" i="1" s="1"/>
  <c r="M929" i="1"/>
  <c r="M1045" i="1" s="1"/>
  <c r="M952" i="1"/>
  <c r="M1069" i="1" s="1"/>
  <c r="K830" i="1"/>
  <c r="L945" i="1"/>
  <c r="L1061" i="1" s="1"/>
  <c r="G836" i="13"/>
  <c r="J836" i="13" s="1"/>
  <c r="M958" i="1"/>
  <c r="M1075" i="1" s="1"/>
  <c r="M844" i="1"/>
  <c r="M956" i="1"/>
  <c r="M1073" i="1" s="1"/>
  <c r="M1077" i="1" s="1"/>
  <c r="M1088" i="1" s="1"/>
  <c r="M957" i="1"/>
  <c r="M1074" i="1" s="1"/>
  <c r="M932" i="1"/>
  <c r="M1048" i="1" s="1"/>
  <c r="M828" i="1"/>
  <c r="M936" i="1"/>
  <c r="M1052" i="1" s="1"/>
  <c r="M962" i="1"/>
  <c r="M1079" i="1" s="1"/>
  <c r="M924" i="1"/>
  <c r="M1040" i="1" s="1"/>
  <c r="M969" i="1"/>
  <c r="M1086" i="1" s="1"/>
  <c r="M931" i="1"/>
  <c r="M1047" i="1" s="1"/>
  <c r="M963" i="1"/>
  <c r="M1080" i="1" s="1"/>
  <c r="M934" i="1"/>
  <c r="M1050" i="1" s="1"/>
  <c r="M812" i="1"/>
  <c r="M923" i="1"/>
  <c r="M1039" i="1" s="1"/>
  <c r="M946" i="1"/>
  <c r="M1062" i="1" s="1"/>
  <c r="N601" i="1"/>
  <c r="O601" i="1"/>
  <c r="L831" i="1"/>
  <c r="K716" i="1"/>
  <c r="G722" i="13"/>
  <c r="J722" i="13" s="1"/>
  <c r="M305" i="1"/>
  <c r="O301" i="1"/>
  <c r="J402" i="13"/>
  <c r="I61" i="15" s="1"/>
  <c r="O328" i="1"/>
  <c r="O229" i="1"/>
  <c r="J235" i="13"/>
  <c r="J236" i="13" s="1"/>
  <c r="I37" i="15" s="1"/>
  <c r="I39" i="15" s="1"/>
  <c r="I40" i="15" s="1"/>
  <c r="O313" i="1"/>
  <c r="O323" i="1"/>
  <c r="O331" i="1"/>
  <c r="M544" i="1"/>
  <c r="O431" i="1"/>
  <c r="L693" i="1"/>
  <c r="L808" i="1" s="1"/>
  <c r="G584" i="13"/>
  <c r="J584" i="13" s="1"/>
  <c r="K578" i="1"/>
  <c r="O88" i="1"/>
  <c r="O232" i="1"/>
  <c r="O219" i="1"/>
  <c r="O465" i="1"/>
  <c r="K431" i="1"/>
  <c r="N431" i="1" s="1"/>
  <c r="L544" i="1"/>
  <c r="G436" i="13"/>
  <c r="J436" i="13" s="1"/>
  <c r="N183" i="1"/>
  <c r="K192" i="1"/>
  <c r="L513" i="1"/>
  <c r="G405" i="13"/>
  <c r="J405" i="13" s="1"/>
  <c r="K400" i="1"/>
  <c r="N400" i="1" s="1"/>
  <c r="G300" i="13"/>
  <c r="J292" i="13"/>
  <c r="J300" i="13" s="1"/>
  <c r="L516" i="1"/>
  <c r="G408" i="13"/>
  <c r="J408" i="13" s="1"/>
  <c r="K403" i="1"/>
  <c r="N403" i="1" s="1"/>
  <c r="L520" i="1"/>
  <c r="G412" i="13"/>
  <c r="J412" i="13" s="1"/>
  <c r="K407" i="1"/>
  <c r="N407" i="1" s="1"/>
  <c r="L524" i="1"/>
  <c r="K411" i="1"/>
  <c r="N411" i="1" s="1"/>
  <c r="G416" i="13"/>
  <c r="J416" i="13" s="1"/>
  <c r="K204" i="1"/>
  <c r="N196" i="1"/>
  <c r="O196" i="1"/>
  <c r="K421" i="1"/>
  <c r="N421" i="1" s="1"/>
  <c r="L534" i="1"/>
  <c r="G426" i="13"/>
  <c r="J426" i="13" s="1"/>
  <c r="N203" i="1"/>
  <c r="O203" i="1"/>
  <c r="J325" i="13"/>
  <c r="J328" i="13" s="1"/>
  <c r="G328" i="13"/>
  <c r="K324" i="1"/>
  <c r="N321" i="1"/>
  <c r="O211" i="1"/>
  <c r="K233" i="1"/>
  <c r="O233" i="1" s="1"/>
  <c r="O234" i="1" s="1"/>
  <c r="N211" i="1"/>
  <c r="K436" i="1"/>
  <c r="N436" i="1" s="1"/>
  <c r="L549" i="1"/>
  <c r="G441" i="13"/>
  <c r="J441" i="13" s="1"/>
  <c r="K329" i="1"/>
  <c r="N329" i="1" s="1"/>
  <c r="N325" i="1"/>
  <c r="N333" i="1"/>
  <c r="K338" i="1"/>
  <c r="N338" i="1" s="1"/>
  <c r="K447" i="1"/>
  <c r="N447" i="1" s="1"/>
  <c r="L560" i="1"/>
  <c r="G452" i="13"/>
  <c r="J452" i="13" s="1"/>
  <c r="K342" i="1"/>
  <c r="N342" i="1" s="1"/>
  <c r="N339" i="1"/>
  <c r="K457" i="1"/>
  <c r="N457" i="1" s="1"/>
  <c r="L570" i="1"/>
  <c r="G461" i="13"/>
  <c r="N505" i="1"/>
  <c r="O505" i="1"/>
  <c r="K489" i="1"/>
  <c r="N486" i="1"/>
  <c r="O486" i="1"/>
  <c r="L714" i="1"/>
  <c r="G605" i="13"/>
  <c r="K599" i="1"/>
  <c r="L700" i="1"/>
  <c r="L815" i="1" s="1"/>
  <c r="K585" i="1"/>
  <c r="G591" i="13"/>
  <c r="J591" i="13" s="1"/>
  <c r="M609" i="1"/>
  <c r="G515" i="13"/>
  <c r="J506" i="13"/>
  <c r="J515" i="13" s="1"/>
  <c r="N498" i="1"/>
  <c r="O498" i="1"/>
  <c r="N497" i="1"/>
  <c r="O497" i="1"/>
  <c r="K493" i="1"/>
  <c r="N490" i="1"/>
  <c r="O490" i="1"/>
  <c r="L608" i="1"/>
  <c r="L720" i="1"/>
  <c r="L835" i="1" s="1"/>
  <c r="G611" i="13"/>
  <c r="K605" i="1"/>
  <c r="N380" i="1"/>
  <c r="O380" i="1"/>
  <c r="N467" i="1"/>
  <c r="O467" i="1"/>
  <c r="O183" i="1"/>
  <c r="O326" i="1"/>
  <c r="M553" i="1"/>
  <c r="M570" i="1"/>
  <c r="N503" i="1"/>
  <c r="O503" i="1"/>
  <c r="N488" i="1"/>
  <c r="O488" i="1"/>
  <c r="L718" i="1"/>
  <c r="L833" i="1" s="1"/>
  <c r="G609" i="13"/>
  <c r="J609" i="13" s="1"/>
  <c r="K603" i="1"/>
  <c r="K485" i="1"/>
  <c r="N478" i="1"/>
  <c r="O478" i="1"/>
  <c r="L598" i="1"/>
  <c r="L706" i="1"/>
  <c r="L821" i="1" s="1"/>
  <c r="K591" i="1"/>
  <c r="G597" i="13"/>
  <c r="N476" i="1"/>
  <c r="O476" i="1"/>
  <c r="N466" i="1"/>
  <c r="K469" i="1"/>
  <c r="O466" i="1"/>
  <c r="J472" i="13"/>
  <c r="J475" i="13" s="1"/>
  <c r="G475" i="13"/>
  <c r="N491" i="1"/>
  <c r="O491" i="1"/>
  <c r="K296" i="1"/>
  <c r="N286" i="1"/>
  <c r="L512" i="1"/>
  <c r="K399" i="1"/>
  <c r="O399" i="1" s="1"/>
  <c r="G404" i="13"/>
  <c r="L409" i="1"/>
  <c r="L517" i="1"/>
  <c r="G409" i="13"/>
  <c r="J409" i="13" s="1"/>
  <c r="K404" i="1"/>
  <c r="N404" i="1" s="1"/>
  <c r="L521" i="1"/>
  <c r="G413" i="13"/>
  <c r="J413" i="13" s="1"/>
  <c r="K408" i="1"/>
  <c r="N408" i="1" s="1"/>
  <c r="G308" i="13"/>
  <c r="J301" i="13"/>
  <c r="J308" i="13" s="1"/>
  <c r="L525" i="1"/>
  <c r="G417" i="13"/>
  <c r="J417" i="13" s="1"/>
  <c r="K412" i="1"/>
  <c r="N412" i="1" s="1"/>
  <c r="K414" i="1"/>
  <c r="N414" i="1" s="1"/>
  <c r="L527" i="1"/>
  <c r="G419" i="13"/>
  <c r="J419" i="13" s="1"/>
  <c r="K415" i="1"/>
  <c r="L528" i="1"/>
  <c r="G420" i="13"/>
  <c r="J420" i="13" s="1"/>
  <c r="G313" i="13"/>
  <c r="J310" i="13"/>
  <c r="J313" i="13" s="1"/>
  <c r="G320" i="13"/>
  <c r="J314" i="13"/>
  <c r="J320" i="13" s="1"/>
  <c r="L538" i="1"/>
  <c r="G430" i="13"/>
  <c r="J430" i="13" s="1"/>
  <c r="K425" i="1"/>
  <c r="N425" i="1" s="1"/>
  <c r="K427" i="1"/>
  <c r="N427" i="1" s="1"/>
  <c r="L540" i="1"/>
  <c r="G432" i="13"/>
  <c r="J432" i="13" s="1"/>
  <c r="N330" i="1"/>
  <c r="K332" i="1"/>
  <c r="N332" i="1" s="1"/>
  <c r="L556" i="1"/>
  <c r="G448" i="13"/>
  <c r="K443" i="1"/>
  <c r="L445" i="1"/>
  <c r="K444" i="1"/>
  <c r="N444" i="1" s="1"/>
  <c r="L557" i="1"/>
  <c r="G449" i="13"/>
  <c r="J449" i="13" s="1"/>
  <c r="G453" i="13"/>
  <c r="J453" i="13" s="1"/>
  <c r="L561" i="1"/>
  <c r="K448" i="1"/>
  <c r="N448" i="1" s="1"/>
  <c r="K449" i="1"/>
  <c r="N449" i="1" s="1"/>
  <c r="L562" i="1"/>
  <c r="G454" i="13"/>
  <c r="J454" i="13" s="1"/>
  <c r="L566" i="1"/>
  <c r="K453" i="1"/>
  <c r="N453" i="1" s="1"/>
  <c r="G457" i="13"/>
  <c r="J457" i="13" s="1"/>
  <c r="K616" i="1"/>
  <c r="L731" i="1"/>
  <c r="L846" i="1" s="1"/>
  <c r="G622" i="13"/>
  <c r="J622" i="13" s="1"/>
  <c r="N495" i="1"/>
  <c r="K499" i="1"/>
  <c r="O495" i="1"/>
  <c r="N386" i="1"/>
  <c r="K397" i="1"/>
  <c r="O386" i="1"/>
  <c r="J386" i="13"/>
  <c r="N484" i="1"/>
  <c r="O484" i="1"/>
  <c r="L712" i="1"/>
  <c r="L827" i="1" s="1"/>
  <c r="K597" i="1"/>
  <c r="G603" i="13"/>
  <c r="J603" i="13" s="1"/>
  <c r="K596" i="1"/>
  <c r="L711" i="1"/>
  <c r="L826" i="1" s="1"/>
  <c r="G602" i="13"/>
  <c r="J602" i="13" s="1"/>
  <c r="N480" i="1"/>
  <c r="O480" i="1"/>
  <c r="L708" i="1"/>
  <c r="L823" i="1" s="1"/>
  <c r="K593" i="1"/>
  <c r="G599" i="13"/>
  <c r="J599" i="13" s="1"/>
  <c r="K592" i="1"/>
  <c r="L707" i="1"/>
  <c r="L822" i="1" s="1"/>
  <c r="G598" i="13"/>
  <c r="J598" i="13" s="1"/>
  <c r="N474" i="1"/>
  <c r="O474" i="1"/>
  <c r="M705" i="1"/>
  <c r="N600" i="1"/>
  <c r="O600" i="1"/>
  <c r="M511" i="1"/>
  <c r="O287" i="1"/>
  <c r="M515" i="1"/>
  <c r="M516" i="1"/>
  <c r="M517" i="1"/>
  <c r="M518" i="1"/>
  <c r="M519" i="1"/>
  <c r="M520" i="1"/>
  <c r="M521" i="1"/>
  <c r="M753" i="1"/>
  <c r="M868" i="1" s="1"/>
  <c r="M417" i="1"/>
  <c r="M524" i="1"/>
  <c r="M525" i="1"/>
  <c r="M529" i="1"/>
  <c r="M532" i="1"/>
  <c r="M422" i="1"/>
  <c r="M533" i="1"/>
  <c r="M534" i="1"/>
  <c r="O311" i="1"/>
  <c r="M538" i="1"/>
  <c r="O314" i="1"/>
  <c r="M541" i="1"/>
  <c r="M547" i="1"/>
  <c r="M437" i="1"/>
  <c r="O322" i="1"/>
  <c r="O325" i="1"/>
  <c r="O333" i="1"/>
  <c r="M560" i="1"/>
  <c r="O335" i="1"/>
  <c r="M562" i="1"/>
  <c r="O337" i="1"/>
  <c r="M455" i="1"/>
  <c r="M565" i="1"/>
  <c r="O340" i="1"/>
  <c r="M567" i="1"/>
  <c r="M569" i="1"/>
  <c r="M458" i="1"/>
  <c r="K611" i="1"/>
  <c r="L726" i="1"/>
  <c r="L841" i="1" s="1"/>
  <c r="G617" i="13"/>
  <c r="J617" i="13" s="1"/>
  <c r="N492" i="1"/>
  <c r="O492" i="1"/>
  <c r="L722" i="1"/>
  <c r="L837" i="1" s="1"/>
  <c r="G613" i="13"/>
  <c r="J613" i="13" s="1"/>
  <c r="K607" i="1"/>
  <c r="N372" i="1"/>
  <c r="O372" i="1"/>
  <c r="N471" i="1"/>
  <c r="O471" i="1"/>
  <c r="M625" i="1"/>
  <c r="N482" i="1"/>
  <c r="O482" i="1"/>
  <c r="L710" i="1"/>
  <c r="L825" i="1" s="1"/>
  <c r="K595" i="1"/>
  <c r="G601" i="13"/>
  <c r="J601" i="13" s="1"/>
  <c r="K594" i="1"/>
  <c r="L709" i="1"/>
  <c r="L824" i="1" s="1"/>
  <c r="G600" i="13"/>
  <c r="J600" i="13" s="1"/>
  <c r="K477" i="1"/>
  <c r="N470" i="1"/>
  <c r="O470" i="1"/>
  <c r="L590" i="1"/>
  <c r="L698" i="1"/>
  <c r="L813" i="1" s="1"/>
  <c r="G589" i="13"/>
  <c r="K583" i="1"/>
  <c r="N468" i="1"/>
  <c r="O468" i="1"/>
  <c r="K581" i="1"/>
  <c r="L696" i="1"/>
  <c r="L811" i="1" s="1"/>
  <c r="G587" i="13"/>
  <c r="J587" i="13" s="1"/>
  <c r="M713" i="1"/>
  <c r="L514" i="1"/>
  <c r="G406" i="13"/>
  <c r="J406" i="13" s="1"/>
  <c r="K401" i="1"/>
  <c r="N401" i="1" s="1"/>
  <c r="L518" i="1"/>
  <c r="G410" i="13"/>
  <c r="J410" i="13" s="1"/>
  <c r="K405" i="1"/>
  <c r="N405" i="1" s="1"/>
  <c r="L526" i="1"/>
  <c r="K413" i="1"/>
  <c r="G418" i="13"/>
  <c r="J418" i="13" s="1"/>
  <c r="L529" i="1"/>
  <c r="G421" i="13"/>
  <c r="J421" i="13" s="1"/>
  <c r="K416" i="1"/>
  <c r="N416" i="1" s="1"/>
  <c r="L537" i="1"/>
  <c r="G429" i="13"/>
  <c r="J429" i="13" s="1"/>
  <c r="K424" i="1"/>
  <c r="N424" i="1" s="1"/>
  <c r="K426" i="1"/>
  <c r="N426" i="1" s="1"/>
  <c r="L539" i="1"/>
  <c r="G431" i="13"/>
  <c r="J431" i="13" s="1"/>
  <c r="L541" i="1"/>
  <c r="G433" i="13"/>
  <c r="J433" i="13" s="1"/>
  <c r="K428" i="1"/>
  <c r="N428" i="1" s="1"/>
  <c r="L346" i="1"/>
  <c r="L347" i="1" s="1"/>
  <c r="G348" i="13" s="1"/>
  <c r="K434" i="1"/>
  <c r="O434" i="1" s="1"/>
  <c r="L547" i="1"/>
  <c r="G439" i="13"/>
  <c r="L437" i="1"/>
  <c r="K435" i="1"/>
  <c r="N435" i="1" s="1"/>
  <c r="L548" i="1"/>
  <c r="G440" i="13"/>
  <c r="J440" i="13" s="1"/>
  <c r="G333" i="13"/>
  <c r="J329" i="13"/>
  <c r="J333" i="13" s="1"/>
  <c r="L551" i="1"/>
  <c r="G443" i="13"/>
  <c r="K438" i="1"/>
  <c r="L442" i="1"/>
  <c r="K439" i="1"/>
  <c r="N439" i="1" s="1"/>
  <c r="L552" i="1"/>
  <c r="G444" i="13"/>
  <c r="J444" i="13" s="1"/>
  <c r="G341" i="13"/>
  <c r="J337" i="13"/>
  <c r="J341" i="13" s="1"/>
  <c r="L559" i="1"/>
  <c r="G451" i="13"/>
  <c r="K446" i="1"/>
  <c r="L451" i="1"/>
  <c r="L563" i="1"/>
  <c r="K450" i="1"/>
  <c r="N450" i="1" s="1"/>
  <c r="K452" i="1"/>
  <c r="O452" i="1" s="1"/>
  <c r="L565" i="1"/>
  <c r="G456" i="13"/>
  <c r="L455" i="1"/>
  <c r="K454" i="1"/>
  <c r="N454" i="1" s="1"/>
  <c r="L567" i="1"/>
  <c r="G458" i="13"/>
  <c r="J458" i="13" s="1"/>
  <c r="N343" i="1"/>
  <c r="K345" i="1"/>
  <c r="N345" i="1" s="1"/>
  <c r="L458" i="1"/>
  <c r="L569" i="1"/>
  <c r="G460" i="13"/>
  <c r="K456" i="1"/>
  <c r="O456" i="1" s="1"/>
  <c r="K620" i="1"/>
  <c r="L735" i="1"/>
  <c r="L850" i="1" s="1"/>
  <c r="G626" i="13"/>
  <c r="J626" i="13" s="1"/>
  <c r="D46" i="15"/>
  <c r="E46" i="15" s="1"/>
  <c r="O284" i="1"/>
  <c r="N284" i="1"/>
  <c r="G402" i="13"/>
  <c r="F61" i="15" s="1"/>
  <c r="G495" i="13"/>
  <c r="J492" i="13"/>
  <c r="J495" i="13" s="1"/>
  <c r="N376" i="1"/>
  <c r="O376" i="1"/>
  <c r="N472" i="1"/>
  <c r="O472" i="1"/>
  <c r="N500" i="1"/>
  <c r="K509" i="1"/>
  <c r="O500" i="1"/>
  <c r="L730" i="1"/>
  <c r="L845" i="1" s="1"/>
  <c r="G621" i="13"/>
  <c r="K615" i="1"/>
  <c r="K613" i="1"/>
  <c r="L728" i="1"/>
  <c r="L843" i="1" s="1"/>
  <c r="G619" i="13"/>
  <c r="J619" i="13" s="1"/>
  <c r="L727" i="1"/>
  <c r="L842" i="1" s="1"/>
  <c r="K612" i="1"/>
  <c r="G618" i="13"/>
  <c r="J618" i="13" s="1"/>
  <c r="G499" i="13"/>
  <c r="J496" i="13"/>
  <c r="J499" i="13" s="1"/>
  <c r="N473" i="1"/>
  <c r="O473" i="1"/>
  <c r="L701" i="1"/>
  <c r="L816" i="1" s="1"/>
  <c r="K586" i="1"/>
  <c r="G592" i="13"/>
  <c r="J592" i="13" s="1"/>
  <c r="G586" i="13"/>
  <c r="J586" i="13" s="1"/>
  <c r="L695" i="1"/>
  <c r="L810" i="1" s="1"/>
  <c r="K580" i="1"/>
  <c r="M697" i="1"/>
  <c r="O286" i="1"/>
  <c r="M512" i="1"/>
  <c r="M409" i="1"/>
  <c r="M206" i="1"/>
  <c r="M207" i="1" s="1"/>
  <c r="M234" i="1"/>
  <c r="M552" i="1"/>
  <c r="O327" i="1"/>
  <c r="M554" i="1"/>
  <c r="M445" i="1"/>
  <c r="M556" i="1"/>
  <c r="M671" i="1" s="1"/>
  <c r="O443" i="1"/>
  <c r="O225" i="1"/>
  <c r="O344" i="1"/>
  <c r="K618" i="1"/>
  <c r="L733" i="1"/>
  <c r="L848" i="1" s="1"/>
  <c r="G624" i="13"/>
  <c r="J624" i="13" s="1"/>
  <c r="I45" i="15"/>
  <c r="I48" i="15" s="1"/>
  <c r="J289" i="13"/>
  <c r="G491" i="13"/>
  <c r="J484" i="13"/>
  <c r="J491" i="13" s="1"/>
  <c r="K589" i="1"/>
  <c r="L704" i="1"/>
  <c r="L819" i="1" s="1"/>
  <c r="G595" i="13"/>
  <c r="J595" i="13" s="1"/>
  <c r="D45" i="15"/>
  <c r="N268" i="1"/>
  <c r="K285" i="1"/>
  <c r="O268" i="1"/>
  <c r="L494" i="1"/>
  <c r="L511" i="1" s="1"/>
  <c r="K579" i="1"/>
  <c r="L694" i="1"/>
  <c r="L809" i="1" s="1"/>
  <c r="G585" i="13"/>
  <c r="L582" i="1"/>
  <c r="M723" i="1"/>
  <c r="N506" i="1"/>
  <c r="O506" i="1"/>
  <c r="L736" i="1"/>
  <c r="L851" i="1" s="1"/>
  <c r="K621" i="1"/>
  <c r="G627" i="13"/>
  <c r="J627" i="13" s="1"/>
  <c r="K606" i="1"/>
  <c r="L721" i="1"/>
  <c r="L836" i="1" s="1"/>
  <c r="G612" i="13"/>
  <c r="J612" i="13" s="1"/>
  <c r="N475" i="1"/>
  <c r="O475" i="1"/>
  <c r="L703" i="1"/>
  <c r="L818" i="1" s="1"/>
  <c r="K588" i="1"/>
  <c r="G594" i="13"/>
  <c r="J594" i="13" s="1"/>
  <c r="N364" i="1"/>
  <c r="O364" i="1"/>
  <c r="L305" i="1"/>
  <c r="L319" i="1" s="1"/>
  <c r="L320" i="1" s="1"/>
  <c r="L515" i="1"/>
  <c r="G407" i="13"/>
  <c r="J407" i="13" s="1"/>
  <c r="K402" i="1"/>
  <c r="N402" i="1" s="1"/>
  <c r="L519" i="1"/>
  <c r="G411" i="13"/>
  <c r="J411" i="13" s="1"/>
  <c r="K406" i="1"/>
  <c r="N406" i="1" s="1"/>
  <c r="N297" i="1"/>
  <c r="K304" i="1"/>
  <c r="N304" i="1" s="1"/>
  <c r="O297" i="1"/>
  <c r="L523" i="1"/>
  <c r="G415" i="13"/>
  <c r="K410" i="1"/>
  <c r="L417" i="1"/>
  <c r="O191" i="1"/>
  <c r="N191" i="1"/>
  <c r="K309" i="1"/>
  <c r="O309" i="1" s="1"/>
  <c r="N306" i="1"/>
  <c r="L532" i="1"/>
  <c r="G424" i="13"/>
  <c r="L422" i="1"/>
  <c r="K419" i="1"/>
  <c r="O419" i="1" s="1"/>
  <c r="L533" i="1"/>
  <c r="G425" i="13"/>
  <c r="J425" i="13" s="1"/>
  <c r="K420" i="1"/>
  <c r="N420" i="1" s="1"/>
  <c r="K316" i="1"/>
  <c r="N316" i="1" s="1"/>
  <c r="N310" i="1"/>
  <c r="L429" i="1"/>
  <c r="L536" i="1"/>
  <c r="G428" i="13"/>
  <c r="K423" i="1"/>
  <c r="G234" i="13"/>
  <c r="G235" i="13" s="1"/>
  <c r="G236" i="13" s="1"/>
  <c r="L234" i="1"/>
  <c r="L235" i="1" s="1"/>
  <c r="L553" i="1"/>
  <c r="G445" i="13"/>
  <c r="J445" i="13" s="1"/>
  <c r="K440" i="1"/>
  <c r="N440" i="1" s="1"/>
  <c r="K441" i="1"/>
  <c r="N441" i="1" s="1"/>
  <c r="L554" i="1"/>
  <c r="G446" i="13"/>
  <c r="J446" i="13" s="1"/>
  <c r="J334" i="13"/>
  <c r="G336" i="13"/>
  <c r="J336" i="13"/>
  <c r="J343" i="13"/>
  <c r="J345" i="13" s="1"/>
  <c r="G345" i="13"/>
  <c r="N501" i="1"/>
  <c r="O501" i="1"/>
  <c r="G505" i="13"/>
  <c r="J501" i="13"/>
  <c r="J505" i="13" s="1"/>
  <c r="L614" i="1"/>
  <c r="L625" i="1" s="1"/>
  <c r="L725" i="1"/>
  <c r="L840" i="1" s="1"/>
  <c r="K610" i="1"/>
  <c r="G616" i="13"/>
  <c r="G386" i="13"/>
  <c r="N483" i="1"/>
  <c r="O483" i="1"/>
  <c r="N479" i="1"/>
  <c r="O479" i="1"/>
  <c r="K587" i="1"/>
  <c r="L702" i="1"/>
  <c r="L817" i="1" s="1"/>
  <c r="G593" i="13"/>
  <c r="J593" i="13" s="1"/>
  <c r="N504" i="1"/>
  <c r="O504" i="1"/>
  <c r="L734" i="1"/>
  <c r="L849" i="1" s="1"/>
  <c r="G625" i="13"/>
  <c r="J625" i="13" s="1"/>
  <c r="K619" i="1"/>
  <c r="N396" i="1"/>
  <c r="O396" i="1"/>
  <c r="G721" i="13"/>
  <c r="J721" i="13" s="1"/>
  <c r="K715" i="1"/>
  <c r="M513" i="1"/>
  <c r="M514" i="1"/>
  <c r="O401" i="1"/>
  <c r="O295" i="1"/>
  <c r="O298" i="1"/>
  <c r="O299" i="1"/>
  <c r="M527" i="1"/>
  <c r="O303" i="1"/>
  <c r="M317" i="1"/>
  <c r="M319" i="1" s="1"/>
  <c r="O306" i="1"/>
  <c r="O307" i="1"/>
  <c r="O308" i="1"/>
  <c r="M536" i="1"/>
  <c r="M429" i="1"/>
  <c r="M537" i="1"/>
  <c r="O424" i="1"/>
  <c r="O312" i="1"/>
  <c r="M539" i="1"/>
  <c r="M540" i="1"/>
  <c r="O315" i="1"/>
  <c r="O321" i="1"/>
  <c r="M346" i="1"/>
  <c r="M548" i="1"/>
  <c r="M549" i="1"/>
  <c r="M442" i="1"/>
  <c r="M551" i="1"/>
  <c r="O216" i="1"/>
  <c r="M557" i="1"/>
  <c r="M451" i="1"/>
  <c r="M559" i="1"/>
  <c r="O446" i="1"/>
  <c r="O334" i="1"/>
  <c r="M561" i="1"/>
  <c r="O336" i="1"/>
  <c r="M563" i="1"/>
  <c r="O339" i="1"/>
  <c r="O342" i="1"/>
  <c r="M566" i="1"/>
  <c r="O453" i="1"/>
  <c r="O341" i="1"/>
  <c r="O343" i="1"/>
  <c r="N508" i="1"/>
  <c r="O508" i="1"/>
  <c r="L738" i="1"/>
  <c r="L853" i="1" s="1"/>
  <c r="K623" i="1"/>
  <c r="G629" i="13"/>
  <c r="J629" i="13" s="1"/>
  <c r="L737" i="1"/>
  <c r="L852" i="1" s="1"/>
  <c r="K622" i="1"/>
  <c r="G628" i="13"/>
  <c r="J628" i="13" s="1"/>
  <c r="N496" i="1"/>
  <c r="O496" i="1"/>
  <c r="F45" i="15"/>
  <c r="F48" i="15" s="1"/>
  <c r="G289" i="13"/>
  <c r="K584" i="1"/>
  <c r="L699" i="1"/>
  <c r="L814" i="1" s="1"/>
  <c r="G590" i="13"/>
  <c r="J590" i="13" s="1"/>
  <c r="K381" i="1"/>
  <c r="N356" i="1"/>
  <c r="O356" i="1"/>
  <c r="M729" i="1"/>
  <c r="N502" i="1"/>
  <c r="O502" i="1"/>
  <c r="L732" i="1"/>
  <c r="L847" i="1" s="1"/>
  <c r="G623" i="13"/>
  <c r="J623" i="13" s="1"/>
  <c r="K617" i="1"/>
  <c r="N481" i="1"/>
  <c r="O481" i="1"/>
  <c r="J476" i="13"/>
  <c r="J483" i="13" s="1"/>
  <c r="G483" i="13"/>
  <c r="F525" i="16"/>
  <c r="I525" i="16" s="1"/>
  <c r="I432" i="16"/>
  <c r="F541" i="16"/>
  <c r="I541" i="16" s="1"/>
  <c r="I448" i="16"/>
  <c r="I363" i="16"/>
  <c r="F456" i="16"/>
  <c r="I365" i="16"/>
  <c r="F458" i="16"/>
  <c r="I370" i="16"/>
  <c r="F463" i="16"/>
  <c r="I374" i="16"/>
  <c r="F467" i="16"/>
  <c r="I376" i="16"/>
  <c r="F469" i="16"/>
  <c r="I378" i="16"/>
  <c r="F471" i="16"/>
  <c r="I356" i="16"/>
  <c r="F449" i="16"/>
  <c r="I358" i="16"/>
  <c r="F451" i="16"/>
  <c r="I360" i="16"/>
  <c r="F453" i="16"/>
  <c r="I362" i="16"/>
  <c r="F455" i="16"/>
  <c r="I364" i="16"/>
  <c r="F457" i="16"/>
  <c r="I401" i="16"/>
  <c r="F494" i="16"/>
  <c r="I403" i="16"/>
  <c r="F496" i="16"/>
  <c r="I405" i="16"/>
  <c r="F498" i="16"/>
  <c r="I407" i="16"/>
  <c r="F500" i="16"/>
  <c r="I409" i="16"/>
  <c r="F502" i="16"/>
  <c r="I411" i="16"/>
  <c r="F504" i="16"/>
  <c r="I413" i="16"/>
  <c r="F506" i="16"/>
  <c r="I415" i="16"/>
  <c r="F508" i="16"/>
  <c r="I417" i="16"/>
  <c r="F510" i="16"/>
  <c r="I419" i="16"/>
  <c r="F512" i="16"/>
  <c r="I423" i="16"/>
  <c r="F516" i="16"/>
  <c r="I341" i="16"/>
  <c r="F434" i="16"/>
  <c r="I343" i="16"/>
  <c r="F436" i="16"/>
  <c r="I345" i="16"/>
  <c r="F438" i="16"/>
  <c r="I348" i="16"/>
  <c r="F441" i="16"/>
  <c r="I350" i="16"/>
  <c r="F443" i="16"/>
  <c r="I352" i="16"/>
  <c r="F445" i="16"/>
  <c r="I357" i="16"/>
  <c r="F450" i="16"/>
  <c r="I359" i="16"/>
  <c r="F452" i="16"/>
  <c r="I400" i="16"/>
  <c r="F493" i="16"/>
  <c r="I402" i="16"/>
  <c r="F495" i="16"/>
  <c r="I404" i="16"/>
  <c r="F497" i="16"/>
  <c r="I406" i="16"/>
  <c r="F499" i="16"/>
  <c r="I408" i="16"/>
  <c r="F501" i="16"/>
  <c r="I410" i="16"/>
  <c r="F503" i="16"/>
  <c r="I412" i="16"/>
  <c r="F505" i="16"/>
  <c r="I414" i="16"/>
  <c r="F507" i="16"/>
  <c r="I416" i="16"/>
  <c r="F509" i="16"/>
  <c r="I418" i="16"/>
  <c r="F511" i="16"/>
  <c r="I420" i="16"/>
  <c r="F513" i="16"/>
  <c r="I422" i="16"/>
  <c r="F515" i="16"/>
  <c r="I371" i="16"/>
  <c r="F464" i="16"/>
  <c r="I372" i="16"/>
  <c r="F465" i="16"/>
  <c r="I373" i="16"/>
  <c r="F466" i="16"/>
  <c r="I375" i="16"/>
  <c r="F468" i="16"/>
  <c r="I377" i="16"/>
  <c r="F470" i="16"/>
  <c r="I379" i="16"/>
  <c r="F472" i="16"/>
  <c r="I380" i="16"/>
  <c r="F473" i="16"/>
  <c r="I382" i="16"/>
  <c r="F475" i="16"/>
  <c r="I384" i="16"/>
  <c r="F477" i="16"/>
  <c r="I386" i="16"/>
  <c r="F479" i="16"/>
  <c r="I388" i="16"/>
  <c r="F481" i="16"/>
  <c r="I390" i="16"/>
  <c r="F483" i="16"/>
  <c r="I392" i="16"/>
  <c r="F485" i="16"/>
  <c r="I394" i="16"/>
  <c r="F487" i="16"/>
  <c r="I396" i="16"/>
  <c r="F489" i="16"/>
  <c r="F532" i="16"/>
  <c r="I532" i="16" s="1"/>
  <c r="I439" i="16"/>
  <c r="I381" i="16"/>
  <c r="F474" i="16"/>
  <c r="I383" i="16"/>
  <c r="F476" i="16"/>
  <c r="I385" i="16"/>
  <c r="F478" i="16"/>
  <c r="I387" i="16"/>
  <c r="F480" i="16"/>
  <c r="I389" i="16"/>
  <c r="F482" i="16"/>
  <c r="I391" i="16"/>
  <c r="F484" i="16"/>
  <c r="I393" i="16"/>
  <c r="F486" i="16"/>
  <c r="I395" i="16"/>
  <c r="F488" i="16"/>
  <c r="I397" i="16"/>
  <c r="F490" i="16"/>
  <c r="I340" i="16"/>
  <c r="F433" i="16"/>
  <c r="I342" i="16"/>
  <c r="F435" i="16"/>
  <c r="I344" i="16"/>
  <c r="F437" i="16"/>
  <c r="I347" i="16"/>
  <c r="F440" i="16"/>
  <c r="I349" i="16"/>
  <c r="F442" i="16"/>
  <c r="I351" i="16"/>
  <c r="F444" i="16"/>
  <c r="I353" i="16"/>
  <c r="F446" i="16"/>
  <c r="F555" i="16"/>
  <c r="F491" i="16"/>
  <c r="I462" i="16"/>
  <c r="F517" i="16"/>
  <c r="F585" i="16"/>
  <c r="I492" i="16"/>
  <c r="J33" i="15"/>
  <c r="J40" i="15" s="1"/>
  <c r="I247" i="16"/>
  <c r="J45" i="15" s="1"/>
  <c r="F272" i="16"/>
  <c r="F334" i="16" s="1"/>
  <c r="I164" i="16"/>
  <c r="I226" i="16" s="1"/>
  <c r="I262" i="16"/>
  <c r="J46" i="15" s="1"/>
  <c r="F361" i="16"/>
  <c r="I355" i="16"/>
  <c r="I361" i="16" s="1"/>
  <c r="J61" i="15" s="1"/>
  <c r="F398" i="16"/>
  <c r="I369" i="16"/>
  <c r="I398" i="16" s="1"/>
  <c r="J64" i="15" s="1"/>
  <c r="J66" i="15" s="1"/>
  <c r="I270" i="16"/>
  <c r="J47" i="15" s="1"/>
  <c r="I331" i="16"/>
  <c r="F354" i="16"/>
  <c r="I339" i="16"/>
  <c r="I354" i="16" s="1"/>
  <c r="J60" i="15" s="1"/>
  <c r="I305" i="16"/>
  <c r="J49" i="15" s="1"/>
  <c r="J51" i="15" s="1"/>
  <c r="F366" i="16"/>
  <c r="F424" i="16"/>
  <c r="I399" i="16"/>
  <c r="M82" i="17"/>
  <c r="J91" i="17"/>
  <c r="N82" i="17"/>
  <c r="N172" i="1"/>
  <c r="O172" i="1"/>
  <c r="F57" i="13"/>
  <c r="I57" i="13" s="1"/>
  <c r="G57" i="13"/>
  <c r="J57" i="13" s="1"/>
  <c r="G55" i="1"/>
  <c r="J55" i="1" s="1"/>
  <c r="L278" i="14"/>
  <c r="K278" i="14" s="1"/>
  <c r="O278" i="14" s="1"/>
  <c r="G278" i="14"/>
  <c r="C278" i="14"/>
  <c r="L277" i="14"/>
  <c r="K277" i="14" s="1"/>
  <c r="O277" i="14" s="1"/>
  <c r="G277" i="14"/>
  <c r="C277" i="14"/>
  <c r="L276" i="14"/>
  <c r="K276" i="14" s="1"/>
  <c r="O276" i="14" s="1"/>
  <c r="G276" i="14"/>
  <c r="C276" i="14"/>
  <c r="L275" i="14"/>
  <c r="K275" i="14" s="1"/>
  <c r="G275" i="14"/>
  <c r="C275" i="14"/>
  <c r="L274" i="14"/>
  <c r="K274" i="14" s="1"/>
  <c r="O274" i="14" s="1"/>
  <c r="G274" i="14"/>
  <c r="C274" i="14"/>
  <c r="L273" i="14"/>
  <c r="K273" i="14" s="1"/>
  <c r="O273" i="14" s="1"/>
  <c r="G273" i="14"/>
  <c r="C273" i="14"/>
  <c r="L272" i="14"/>
  <c r="K272" i="14" s="1"/>
  <c r="O272" i="14" s="1"/>
  <c r="G272" i="14"/>
  <c r="C272" i="14"/>
  <c r="L271" i="14"/>
  <c r="K271" i="14" s="1"/>
  <c r="O271" i="14" s="1"/>
  <c r="G271" i="14"/>
  <c r="C271" i="14"/>
  <c r="L270" i="14"/>
  <c r="K270" i="14" s="1"/>
  <c r="O270" i="14" s="1"/>
  <c r="G270" i="14"/>
  <c r="C270" i="14"/>
  <c r="L269" i="14"/>
  <c r="K269" i="14" s="1"/>
  <c r="O269" i="14" s="1"/>
  <c r="G269" i="14"/>
  <c r="C269" i="14"/>
  <c r="L268" i="14"/>
  <c r="K268" i="14" s="1"/>
  <c r="O268" i="14" s="1"/>
  <c r="G268" i="14"/>
  <c r="C268" i="14"/>
  <c r="L267" i="14"/>
  <c r="K267" i="14" s="1"/>
  <c r="O267" i="14" s="1"/>
  <c r="G267" i="14"/>
  <c r="C267" i="14"/>
  <c r="G266" i="14"/>
  <c r="L265" i="14"/>
  <c r="K265" i="14" s="1"/>
  <c r="G265" i="14"/>
  <c r="C265" i="14"/>
  <c r="L264" i="14"/>
  <c r="K264" i="14" s="1"/>
  <c r="G264" i="14"/>
  <c r="C264" i="14"/>
  <c r="L263" i="14"/>
  <c r="K263" i="14" s="1"/>
  <c r="G263" i="14"/>
  <c r="C263" i="14"/>
  <c r="E23" i="15"/>
  <c r="E20" i="15"/>
  <c r="E17" i="15"/>
  <c r="H116" i="16"/>
  <c r="E115" i="16"/>
  <c r="H114" i="16"/>
  <c r="H113" i="16"/>
  <c r="H111" i="16"/>
  <c r="H110" i="16"/>
  <c r="H109" i="16"/>
  <c r="H108" i="16"/>
  <c r="H107" i="16"/>
  <c r="H106" i="16"/>
  <c r="H105" i="16"/>
  <c r="H104" i="16"/>
  <c r="H103" i="16"/>
  <c r="H102" i="16"/>
  <c r="H100" i="16"/>
  <c r="H99" i="16"/>
  <c r="H98" i="16"/>
  <c r="H97" i="16"/>
  <c r="H96" i="16"/>
  <c r="H95" i="16"/>
  <c r="H94" i="16"/>
  <c r="H93" i="16"/>
  <c r="H92" i="16"/>
  <c r="H91" i="16"/>
  <c r="H90" i="16"/>
  <c r="E89" i="16"/>
  <c r="H88" i="16"/>
  <c r="H87" i="16"/>
  <c r="H86" i="16"/>
  <c r="H85" i="16"/>
  <c r="H84" i="16"/>
  <c r="H83" i="16"/>
  <c r="H82" i="16"/>
  <c r="H81" i="16"/>
  <c r="H80" i="16"/>
  <c r="H73" i="16"/>
  <c r="H72" i="16"/>
  <c r="H71" i="16"/>
  <c r="H70" i="16"/>
  <c r="H69" i="16"/>
  <c r="H68" i="16"/>
  <c r="H67" i="16"/>
  <c r="H66" i="16"/>
  <c r="H65" i="16"/>
  <c r="H59" i="16"/>
  <c r="H58" i="16"/>
  <c r="H57" i="16"/>
  <c r="I55" i="16"/>
  <c r="E54" i="16"/>
  <c r="H53" i="16"/>
  <c r="H52" i="16"/>
  <c r="H51" i="16"/>
  <c r="H50" i="16"/>
  <c r="H49" i="16"/>
  <c r="H48" i="16"/>
  <c r="H47" i="16"/>
  <c r="E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E31" i="16"/>
  <c r="H30" i="16"/>
  <c r="H29" i="16"/>
  <c r="H28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E72" i="17"/>
  <c r="E71" i="17"/>
  <c r="D71" i="17"/>
  <c r="H70" i="17"/>
  <c r="H71" i="17" s="1"/>
  <c r="G70" i="17"/>
  <c r="G71" i="17" s="1"/>
  <c r="D70" i="17"/>
  <c r="P69" i="17"/>
  <c r="F69" i="17"/>
  <c r="I69" i="17" s="1"/>
  <c r="P68" i="17"/>
  <c r="F68" i="17"/>
  <c r="I68" i="17" s="1"/>
  <c r="P67" i="17"/>
  <c r="I67" i="17"/>
  <c r="F67" i="17"/>
  <c r="Q66" i="17"/>
  <c r="P66" i="17"/>
  <c r="J66" i="17"/>
  <c r="M66" i="17" s="1"/>
  <c r="F66" i="17"/>
  <c r="I66" i="17" s="1"/>
  <c r="P65" i="17"/>
  <c r="F65" i="17"/>
  <c r="I65" i="17" s="1"/>
  <c r="P64" i="17"/>
  <c r="Q64" i="17"/>
  <c r="J64" i="17"/>
  <c r="M64" i="17" s="1"/>
  <c r="F64" i="17"/>
  <c r="I64" i="17" s="1"/>
  <c r="P63" i="17"/>
  <c r="F63" i="17"/>
  <c r="I63" i="17" s="1"/>
  <c r="P62" i="17"/>
  <c r="Q62" i="17"/>
  <c r="F62" i="17"/>
  <c r="I62" i="17" s="1"/>
  <c r="P61" i="17"/>
  <c r="F61" i="17"/>
  <c r="I61" i="17" s="1"/>
  <c r="P60" i="17"/>
  <c r="Q60" i="17"/>
  <c r="J60" i="17"/>
  <c r="M60" i="17" s="1"/>
  <c r="F60" i="17"/>
  <c r="I60" i="17" s="1"/>
  <c r="P59" i="17"/>
  <c r="F59" i="17"/>
  <c r="I59" i="17" s="1"/>
  <c r="P58" i="17"/>
  <c r="Q58" i="17"/>
  <c r="F58" i="17"/>
  <c r="I58" i="17" s="1"/>
  <c r="P57" i="17"/>
  <c r="F57" i="17"/>
  <c r="I57" i="17" s="1"/>
  <c r="P56" i="17"/>
  <c r="Q56" i="17"/>
  <c r="J56" i="17"/>
  <c r="M56" i="17" s="1"/>
  <c r="F56" i="17"/>
  <c r="I56" i="17" s="1"/>
  <c r="P55" i="17"/>
  <c r="F55" i="17"/>
  <c r="I55" i="17" s="1"/>
  <c r="P54" i="17"/>
  <c r="Q54" i="17"/>
  <c r="F54" i="17"/>
  <c r="I54" i="17" s="1"/>
  <c r="P53" i="17"/>
  <c r="F53" i="17"/>
  <c r="I53" i="17" s="1"/>
  <c r="P52" i="17"/>
  <c r="Q52" i="17"/>
  <c r="F52" i="17"/>
  <c r="I52" i="17" s="1"/>
  <c r="P51" i="17"/>
  <c r="F51" i="17"/>
  <c r="I51" i="17" s="1"/>
  <c r="P50" i="17"/>
  <c r="Q50" i="17"/>
  <c r="F50" i="17"/>
  <c r="I50" i="17" s="1"/>
  <c r="P49" i="17"/>
  <c r="F49" i="17"/>
  <c r="I49" i="17" s="1"/>
  <c r="P48" i="17"/>
  <c r="J48" i="17"/>
  <c r="F48" i="17"/>
  <c r="I48" i="17" s="1"/>
  <c r="P47" i="17"/>
  <c r="F47" i="17"/>
  <c r="I47" i="17" s="1"/>
  <c r="P46" i="17"/>
  <c r="Q46" i="17"/>
  <c r="F46" i="17"/>
  <c r="I46" i="17" s="1"/>
  <c r="P45" i="17"/>
  <c r="F45" i="17"/>
  <c r="I45" i="17" s="1"/>
  <c r="P44" i="17"/>
  <c r="F44" i="17"/>
  <c r="P43" i="17"/>
  <c r="I43" i="17"/>
  <c r="F43" i="17"/>
  <c r="Q42" i="17"/>
  <c r="P42" i="17"/>
  <c r="J42" i="17"/>
  <c r="F42" i="17"/>
  <c r="I42" i="17" s="1"/>
  <c r="Q41" i="17"/>
  <c r="P41" i="17"/>
  <c r="J41" i="17"/>
  <c r="M41" i="17" s="1"/>
  <c r="F41" i="17"/>
  <c r="I41" i="17" s="1"/>
  <c r="P40" i="17"/>
  <c r="Q40" i="17"/>
  <c r="F40" i="17"/>
  <c r="I40" i="17" s="1"/>
  <c r="P39" i="17"/>
  <c r="Q39" i="17"/>
  <c r="F39" i="17"/>
  <c r="I39" i="17" s="1"/>
  <c r="P38" i="17"/>
  <c r="F38" i="17"/>
  <c r="I38" i="17" s="1"/>
  <c r="E37" i="17"/>
  <c r="D37" i="17"/>
  <c r="H36" i="17"/>
  <c r="H37" i="17" s="1"/>
  <c r="G36" i="17"/>
  <c r="G37" i="17" s="1"/>
  <c r="P35" i="17"/>
  <c r="Q35" i="17"/>
  <c r="F35" i="17"/>
  <c r="I35" i="17" s="1"/>
  <c r="P34" i="17"/>
  <c r="Q34" i="17"/>
  <c r="I34" i="17"/>
  <c r="F34" i="17"/>
  <c r="P33" i="17"/>
  <c r="J33" i="17"/>
  <c r="F33" i="17"/>
  <c r="I33" i="17" s="1"/>
  <c r="P32" i="17"/>
  <c r="Q32" i="17"/>
  <c r="F32" i="17"/>
  <c r="I32" i="17" s="1"/>
  <c r="P31" i="17"/>
  <c r="Q31" i="17"/>
  <c r="I31" i="17"/>
  <c r="F31" i="17"/>
  <c r="Q30" i="17"/>
  <c r="P30" i="17"/>
  <c r="J30" i="17"/>
  <c r="M30" i="17" s="1"/>
  <c r="F30" i="17"/>
  <c r="I30" i="17" s="1"/>
  <c r="P29" i="17"/>
  <c r="L36" i="17"/>
  <c r="Q29" i="17"/>
  <c r="F29" i="17"/>
  <c r="E28" i="17"/>
  <c r="H27" i="17"/>
  <c r="G27" i="17"/>
  <c r="D27" i="17"/>
  <c r="D28" i="17" s="1"/>
  <c r="P26" i="17"/>
  <c r="I26" i="17"/>
  <c r="F26" i="17"/>
  <c r="Q25" i="17"/>
  <c r="P25" i="17"/>
  <c r="J25" i="17"/>
  <c r="M25" i="17" s="1"/>
  <c r="F25" i="17"/>
  <c r="I25" i="17" s="1"/>
  <c r="P24" i="17"/>
  <c r="F24" i="17"/>
  <c r="I24" i="17" s="1"/>
  <c r="P23" i="17"/>
  <c r="J23" i="17"/>
  <c r="F23" i="17"/>
  <c r="I23" i="17" s="1"/>
  <c r="P22" i="17"/>
  <c r="I22" i="17"/>
  <c r="F22" i="17"/>
  <c r="Q21" i="17"/>
  <c r="P21" i="17"/>
  <c r="J21" i="17"/>
  <c r="M21" i="17" s="1"/>
  <c r="F21" i="17"/>
  <c r="I21" i="17" s="1"/>
  <c r="P20" i="17"/>
  <c r="L27" i="17"/>
  <c r="F20" i="17"/>
  <c r="I20" i="17" s="1"/>
  <c r="H19" i="17"/>
  <c r="G19" i="17"/>
  <c r="D19" i="17"/>
  <c r="P18" i="17"/>
  <c r="Q18" i="17"/>
  <c r="F18" i="17"/>
  <c r="I18" i="17" s="1"/>
  <c r="P17" i="17"/>
  <c r="F17" i="17"/>
  <c r="I17" i="17" s="1"/>
  <c r="P16" i="17"/>
  <c r="Q16" i="17"/>
  <c r="F16" i="17"/>
  <c r="I16" i="17" s="1"/>
  <c r="P15" i="17"/>
  <c r="F15" i="17"/>
  <c r="I15" i="17" s="1"/>
  <c r="P14" i="17"/>
  <c r="J14" i="17"/>
  <c r="F14" i="17"/>
  <c r="I14" i="17" s="1"/>
  <c r="J120" i="13"/>
  <c r="I120" i="13"/>
  <c r="F119" i="13"/>
  <c r="F118" i="13"/>
  <c r="F116" i="13"/>
  <c r="I116" i="13" s="1"/>
  <c r="F115" i="13"/>
  <c r="F114" i="13"/>
  <c r="I114" i="13" s="1"/>
  <c r="F112" i="13"/>
  <c r="I112" i="13" s="1"/>
  <c r="F111" i="13"/>
  <c r="I111" i="13" s="1"/>
  <c r="F110" i="13"/>
  <c r="I110" i="13" s="1"/>
  <c r="F109" i="13"/>
  <c r="F107" i="13"/>
  <c r="I107" i="13" s="1"/>
  <c r="F106" i="13"/>
  <c r="F104" i="13"/>
  <c r="I104" i="13" s="1"/>
  <c r="F103" i="13"/>
  <c r="I103" i="13" s="1"/>
  <c r="F102" i="13"/>
  <c r="I102" i="13" s="1"/>
  <c r="F101" i="13"/>
  <c r="F99" i="13"/>
  <c r="I99" i="13" s="1"/>
  <c r="F98" i="13"/>
  <c r="I98" i="13" s="1"/>
  <c r="F97" i="13"/>
  <c r="G94" i="13"/>
  <c r="J94" i="13" s="1"/>
  <c r="F94" i="13"/>
  <c r="I94" i="13" s="1"/>
  <c r="F91" i="13"/>
  <c r="I91" i="13" s="1"/>
  <c r="F89" i="13"/>
  <c r="I89" i="13" s="1"/>
  <c r="F88" i="13"/>
  <c r="I88" i="13" s="1"/>
  <c r="F87" i="13"/>
  <c r="I87" i="13" s="1"/>
  <c r="F86" i="13"/>
  <c r="F84" i="13"/>
  <c r="I84" i="13" s="1"/>
  <c r="F83" i="13"/>
  <c r="F82" i="13"/>
  <c r="I82" i="13" s="1"/>
  <c r="F79" i="13"/>
  <c r="I79" i="13" s="1"/>
  <c r="F77" i="13"/>
  <c r="I77" i="13" s="1"/>
  <c r="F75" i="13"/>
  <c r="I75" i="13" s="1"/>
  <c r="F74" i="13"/>
  <c r="I74" i="13" s="1"/>
  <c r="F73" i="13"/>
  <c r="I71" i="13"/>
  <c r="I70" i="13"/>
  <c r="I69" i="13"/>
  <c r="I68" i="13"/>
  <c r="I67" i="13"/>
  <c r="I66" i="13"/>
  <c r="I65" i="13"/>
  <c r="I64" i="13"/>
  <c r="I63" i="13"/>
  <c r="F62" i="13"/>
  <c r="F58" i="13"/>
  <c r="I58" i="13" s="1"/>
  <c r="F56" i="13"/>
  <c r="I56" i="13" s="1"/>
  <c r="F55" i="13"/>
  <c r="I55" i="13" s="1"/>
  <c r="F54" i="13"/>
  <c r="I54" i="13" s="1"/>
  <c r="F53" i="13"/>
  <c r="I53" i="13" s="1"/>
  <c r="F52" i="13"/>
  <c r="F51" i="13"/>
  <c r="I51" i="13" s="1"/>
  <c r="F50" i="13"/>
  <c r="I50" i="13" s="1"/>
  <c r="F48" i="13"/>
  <c r="I48" i="13" s="1"/>
  <c r="F47" i="13"/>
  <c r="I47" i="13" s="1"/>
  <c r="F46" i="13"/>
  <c r="I46" i="13" s="1"/>
  <c r="F45" i="13"/>
  <c r="F42" i="13"/>
  <c r="I42" i="13" s="1"/>
  <c r="F41" i="13"/>
  <c r="I41" i="13" s="1"/>
  <c r="F40" i="13"/>
  <c r="F38" i="13"/>
  <c r="I38" i="13" s="1"/>
  <c r="F37" i="13"/>
  <c r="I37" i="13" s="1"/>
  <c r="F36" i="13"/>
  <c r="F34" i="13"/>
  <c r="I34" i="13" s="1"/>
  <c r="F33" i="13"/>
  <c r="I33" i="13" s="1"/>
  <c r="F32" i="13"/>
  <c r="I32" i="13" s="1"/>
  <c r="F31" i="13"/>
  <c r="I31" i="13" s="1"/>
  <c r="F30" i="13"/>
  <c r="I30" i="13" s="1"/>
  <c r="F29" i="13"/>
  <c r="I29" i="13" s="1"/>
  <c r="F28" i="13"/>
  <c r="F26" i="13"/>
  <c r="I26" i="13" s="1"/>
  <c r="F25" i="13"/>
  <c r="I25" i="13" s="1"/>
  <c r="F24" i="13"/>
  <c r="I24" i="13" s="1"/>
  <c r="F23" i="13"/>
  <c r="I23" i="13" s="1"/>
  <c r="F22" i="13"/>
  <c r="I22" i="13" s="1"/>
  <c r="F21" i="13"/>
  <c r="I21" i="13" s="1"/>
  <c r="F20" i="13"/>
  <c r="F18" i="13"/>
  <c r="I18" i="13" s="1"/>
  <c r="F17" i="13"/>
  <c r="I17" i="13" s="1"/>
  <c r="F16" i="13"/>
  <c r="I16" i="13" s="1"/>
  <c r="F15" i="13"/>
  <c r="F120" i="1"/>
  <c r="F121" i="1" s="1"/>
  <c r="I119" i="1"/>
  <c r="H119" i="1"/>
  <c r="F120" i="13" s="1"/>
  <c r="G118" i="1"/>
  <c r="J118" i="1" s="1"/>
  <c r="G117" i="1"/>
  <c r="J117" i="1" s="1"/>
  <c r="I116" i="1"/>
  <c r="H116" i="1"/>
  <c r="E116" i="1"/>
  <c r="G115" i="1"/>
  <c r="J115" i="1" s="1"/>
  <c r="G114" i="1"/>
  <c r="J114" i="1" s="1"/>
  <c r="G113" i="1"/>
  <c r="J113" i="1" s="1"/>
  <c r="I112" i="1"/>
  <c r="H112" i="1"/>
  <c r="E112" i="1"/>
  <c r="G111" i="1"/>
  <c r="J111" i="1" s="1"/>
  <c r="G110" i="1"/>
  <c r="J110" i="1" s="1"/>
  <c r="G109" i="1"/>
  <c r="J109" i="1" s="1"/>
  <c r="G108" i="1"/>
  <c r="J108" i="1" s="1"/>
  <c r="G107" i="1"/>
  <c r="J107" i="1" s="1"/>
  <c r="I106" i="1"/>
  <c r="H106" i="1"/>
  <c r="E106" i="1"/>
  <c r="G105" i="1"/>
  <c r="J105" i="1" s="1"/>
  <c r="G104" i="1"/>
  <c r="I103" i="1"/>
  <c r="H103" i="1"/>
  <c r="E103" i="1"/>
  <c r="G102" i="1"/>
  <c r="J102" i="1" s="1"/>
  <c r="G101" i="1"/>
  <c r="J101" i="1" s="1"/>
  <c r="G100" i="1"/>
  <c r="J100" i="1" s="1"/>
  <c r="G99" i="1"/>
  <c r="I98" i="1"/>
  <c r="H98" i="1"/>
  <c r="E98" i="1"/>
  <c r="G97" i="1"/>
  <c r="J97" i="1" s="1"/>
  <c r="G96" i="1"/>
  <c r="J96" i="1" s="1"/>
  <c r="G95" i="1"/>
  <c r="F93" i="1"/>
  <c r="F94" i="1" s="1"/>
  <c r="G92" i="1"/>
  <c r="J92" i="1" s="1"/>
  <c r="I90" i="1"/>
  <c r="H90" i="1"/>
  <c r="E90" i="1"/>
  <c r="E91" i="1" s="1"/>
  <c r="G89" i="1"/>
  <c r="J89" i="1" s="1"/>
  <c r="G87" i="1"/>
  <c r="J87" i="1" s="1"/>
  <c r="G84" i="1"/>
  <c r="J84" i="1" s="1"/>
  <c r="I83" i="1"/>
  <c r="I91" i="1" s="1"/>
  <c r="H83" i="1"/>
  <c r="H91" i="1" s="1"/>
  <c r="G82" i="1"/>
  <c r="J82" i="1" s="1"/>
  <c r="G81" i="1"/>
  <c r="J81" i="1" s="1"/>
  <c r="G80" i="1"/>
  <c r="I78" i="1"/>
  <c r="H78" i="1"/>
  <c r="E78" i="1"/>
  <c r="G77" i="1"/>
  <c r="J77" i="1" s="1"/>
  <c r="G75" i="1"/>
  <c r="J75" i="1" s="1"/>
  <c r="G73" i="1"/>
  <c r="J73" i="1" s="1"/>
  <c r="G72" i="1"/>
  <c r="J72" i="1" s="1"/>
  <c r="G71" i="1"/>
  <c r="J71" i="1" s="1"/>
  <c r="I70" i="1"/>
  <c r="H70" i="1"/>
  <c r="E70" i="1"/>
  <c r="G69" i="1"/>
  <c r="J69" i="1" s="1"/>
  <c r="G68" i="1"/>
  <c r="J68" i="1" s="1"/>
  <c r="G67" i="1"/>
  <c r="J67" i="1" s="1"/>
  <c r="G66" i="1"/>
  <c r="J66" i="1" s="1"/>
  <c r="G65" i="1"/>
  <c r="J65" i="1" s="1"/>
  <c r="G64" i="1"/>
  <c r="J64" i="1" s="1"/>
  <c r="G63" i="1"/>
  <c r="J63" i="1" s="1"/>
  <c r="G62" i="1"/>
  <c r="J62" i="1" s="1"/>
  <c r="G61" i="1"/>
  <c r="J61" i="1" s="1"/>
  <c r="G60" i="1"/>
  <c r="J60" i="1" s="1"/>
  <c r="F58" i="1"/>
  <c r="I57" i="1"/>
  <c r="M57" i="1" s="1"/>
  <c r="H57" i="1"/>
  <c r="L57" i="1" s="1"/>
  <c r="E57" i="1"/>
  <c r="G56" i="1"/>
  <c r="J56" i="1" s="1"/>
  <c r="G54" i="1"/>
  <c r="J54" i="1" s="1"/>
  <c r="G53" i="1"/>
  <c r="J53" i="1" s="1"/>
  <c r="G52" i="1"/>
  <c r="J52" i="1" s="1"/>
  <c r="G51" i="1"/>
  <c r="J51" i="1" s="1"/>
  <c r="G50" i="1"/>
  <c r="J50" i="1" s="1"/>
  <c r="G49" i="1"/>
  <c r="J49" i="1" s="1"/>
  <c r="G48" i="1"/>
  <c r="I47" i="1"/>
  <c r="H47" i="1"/>
  <c r="E47" i="1"/>
  <c r="G46" i="1"/>
  <c r="J46" i="1" s="1"/>
  <c r="G45" i="1"/>
  <c r="J45" i="1" s="1"/>
  <c r="G44" i="1"/>
  <c r="J44" i="1" s="1"/>
  <c r="G43" i="1"/>
  <c r="J43" i="1" s="1"/>
  <c r="I41" i="1"/>
  <c r="H41" i="1"/>
  <c r="E41" i="1"/>
  <c r="G40" i="1"/>
  <c r="J40" i="1" s="1"/>
  <c r="G39" i="1"/>
  <c r="J39" i="1" s="1"/>
  <c r="G38" i="1"/>
  <c r="H37" i="1"/>
  <c r="F37" i="1"/>
  <c r="F42" i="1" s="1"/>
  <c r="F59" i="1" s="1"/>
  <c r="F122" i="1" s="1"/>
  <c r="E37" i="1"/>
  <c r="G36" i="1"/>
  <c r="I37" i="1"/>
  <c r="G35" i="1"/>
  <c r="J35" i="1" s="1"/>
  <c r="G34" i="1"/>
  <c r="G37" i="1" s="1"/>
  <c r="I33" i="1"/>
  <c r="H33" i="1"/>
  <c r="E33" i="1"/>
  <c r="G32" i="1"/>
  <c r="J32" i="1" s="1"/>
  <c r="G31" i="1"/>
  <c r="J31" i="1" s="1"/>
  <c r="G30" i="1"/>
  <c r="J30" i="1" s="1"/>
  <c r="G29" i="1"/>
  <c r="J29" i="1" s="1"/>
  <c r="G28" i="1"/>
  <c r="J28" i="1" s="1"/>
  <c r="G27" i="1"/>
  <c r="J27" i="1" s="1"/>
  <c r="G26" i="1"/>
  <c r="J26" i="1" s="1"/>
  <c r="I25" i="1"/>
  <c r="H25" i="1"/>
  <c r="E25" i="1"/>
  <c r="G24" i="1"/>
  <c r="J24" i="1" s="1"/>
  <c r="G23" i="1"/>
  <c r="J23" i="1" s="1"/>
  <c r="G22" i="1"/>
  <c r="J22" i="1" s="1"/>
  <c r="G21" i="1"/>
  <c r="J21" i="1" s="1"/>
  <c r="G20" i="1"/>
  <c r="J20" i="1" s="1"/>
  <c r="G19" i="1"/>
  <c r="J19" i="1" s="1"/>
  <c r="G18" i="1"/>
  <c r="J18" i="1" s="1"/>
  <c r="I17" i="1"/>
  <c r="H17" i="1"/>
  <c r="E17" i="1"/>
  <c r="G16" i="1"/>
  <c r="J16" i="1" s="1"/>
  <c r="G15" i="1"/>
  <c r="J15" i="1" s="1"/>
  <c r="G14" i="1"/>
  <c r="J14" i="1" s="1"/>
  <c r="G15" i="13"/>
  <c r="G13" i="1"/>
  <c r="M1043" i="1" l="1"/>
  <c r="M1059" i="1"/>
  <c r="G1067" i="13"/>
  <c r="J1067" i="13" s="1"/>
  <c r="K1061" i="1"/>
  <c r="M1051" i="1"/>
  <c r="M1071" i="1"/>
  <c r="L969" i="1"/>
  <c r="L1086" i="1" s="1"/>
  <c r="G859" i="13"/>
  <c r="J859" i="13" s="1"/>
  <c r="K853" i="1"/>
  <c r="L958" i="1"/>
  <c r="L1075" i="1" s="1"/>
  <c r="G848" i="13"/>
  <c r="J848" i="13" s="1"/>
  <c r="K842" i="1"/>
  <c r="K811" i="1"/>
  <c r="L926" i="1"/>
  <c r="L1042" i="1" s="1"/>
  <c r="G817" i="13"/>
  <c r="J817" i="13" s="1"/>
  <c r="L953" i="1"/>
  <c r="L1070" i="1" s="1"/>
  <c r="G843" i="13"/>
  <c r="J843" i="13" s="1"/>
  <c r="K837" i="1"/>
  <c r="K841" i="1"/>
  <c r="L957" i="1"/>
  <c r="L1074" i="1" s="1"/>
  <c r="G847" i="13"/>
  <c r="J847" i="13" s="1"/>
  <c r="K821" i="1"/>
  <c r="L936" i="1"/>
  <c r="L1052" i="1" s="1"/>
  <c r="G827" i="13"/>
  <c r="L828" i="1"/>
  <c r="L951" i="1"/>
  <c r="L1068" i="1" s="1"/>
  <c r="G841" i="13"/>
  <c r="K835" i="1"/>
  <c r="L838" i="1"/>
  <c r="G821" i="13"/>
  <c r="J821" i="13" s="1"/>
  <c r="L930" i="1"/>
  <c r="L1046" i="1" s="1"/>
  <c r="K815" i="1"/>
  <c r="L965" i="1"/>
  <c r="L1082" i="1" s="1"/>
  <c r="G855" i="13"/>
  <c r="J855" i="13" s="1"/>
  <c r="K849" i="1"/>
  <c r="L932" i="1"/>
  <c r="L1048" i="1" s="1"/>
  <c r="G823" i="13"/>
  <c r="J823" i="13" s="1"/>
  <c r="K817" i="1"/>
  <c r="K848" i="1"/>
  <c r="L964" i="1"/>
  <c r="L1081" i="1" s="1"/>
  <c r="G854" i="13"/>
  <c r="J854" i="13" s="1"/>
  <c r="K843" i="1"/>
  <c r="L959" i="1"/>
  <c r="L1076" i="1" s="1"/>
  <c r="G849" i="13"/>
  <c r="J849" i="13" s="1"/>
  <c r="L961" i="1"/>
  <c r="L1078" i="1" s="1"/>
  <c r="G851" i="13"/>
  <c r="K845" i="1"/>
  <c r="L820" i="1"/>
  <c r="L928" i="1"/>
  <c r="L1044" i="1" s="1"/>
  <c r="G819" i="13"/>
  <c r="K813" i="1"/>
  <c r="L939" i="1"/>
  <c r="L1055" i="1" s="1"/>
  <c r="G830" i="13"/>
  <c r="J830" i="13" s="1"/>
  <c r="K824" i="1"/>
  <c r="K825" i="1"/>
  <c r="L940" i="1"/>
  <c r="L1056" i="1" s="1"/>
  <c r="G831" i="13"/>
  <c r="J831" i="13" s="1"/>
  <c r="K846" i="1"/>
  <c r="L962" i="1"/>
  <c r="L1079" i="1" s="1"/>
  <c r="G852" i="13"/>
  <c r="J852" i="13" s="1"/>
  <c r="K808" i="1"/>
  <c r="L923" i="1"/>
  <c r="L1039" i="1" s="1"/>
  <c r="G814" i="13"/>
  <c r="L812" i="1"/>
  <c r="K831" i="1"/>
  <c r="L946" i="1"/>
  <c r="L1062" i="1" s="1"/>
  <c r="G837" i="13"/>
  <c r="J837" i="13" s="1"/>
  <c r="M960" i="1"/>
  <c r="N830" i="1"/>
  <c r="O830" i="1"/>
  <c r="M935" i="1"/>
  <c r="M954" i="1"/>
  <c r="L963" i="1"/>
  <c r="L1080" i="1" s="1"/>
  <c r="G853" i="13"/>
  <c r="J853" i="13" s="1"/>
  <c r="K847" i="1"/>
  <c r="K814" i="1"/>
  <c r="L929" i="1"/>
  <c r="L1045" i="1" s="1"/>
  <c r="G820" i="13"/>
  <c r="J820" i="13" s="1"/>
  <c r="K852" i="1"/>
  <c r="L968" i="1"/>
  <c r="L1085" i="1" s="1"/>
  <c r="G858" i="13"/>
  <c r="J858" i="13" s="1"/>
  <c r="L956" i="1"/>
  <c r="L1073" i="1" s="1"/>
  <c r="G846" i="13"/>
  <c r="K840" i="1"/>
  <c r="L844" i="1"/>
  <c r="L855" i="1" s="1"/>
  <c r="K818" i="1"/>
  <c r="L933" i="1"/>
  <c r="L1049" i="1" s="1"/>
  <c r="G824" i="13"/>
  <c r="J824" i="13" s="1"/>
  <c r="K836" i="1"/>
  <c r="L952" i="1"/>
  <c r="L1069" i="1" s="1"/>
  <c r="G842" i="13"/>
  <c r="J842" i="13" s="1"/>
  <c r="L967" i="1"/>
  <c r="L1084" i="1" s="1"/>
  <c r="G857" i="13"/>
  <c r="J857" i="13" s="1"/>
  <c r="K851" i="1"/>
  <c r="K809" i="1"/>
  <c r="L924" i="1"/>
  <c r="L1040" i="1" s="1"/>
  <c r="G815" i="13"/>
  <c r="J815" i="13" s="1"/>
  <c r="L934" i="1"/>
  <c r="L1050" i="1" s="1"/>
  <c r="G825" i="13"/>
  <c r="J825" i="13" s="1"/>
  <c r="K819" i="1"/>
  <c r="K810" i="1"/>
  <c r="L925" i="1"/>
  <c r="L1041" i="1" s="1"/>
  <c r="G816" i="13"/>
  <c r="J816" i="13" s="1"/>
  <c r="L931" i="1"/>
  <c r="L1047" i="1" s="1"/>
  <c r="G822" i="13"/>
  <c r="J822" i="13" s="1"/>
  <c r="K816" i="1"/>
  <c r="K850" i="1"/>
  <c r="L966" i="1"/>
  <c r="L1083" i="1" s="1"/>
  <c r="G856" i="13"/>
  <c r="J856" i="13" s="1"/>
  <c r="M984" i="1"/>
  <c r="M1101" i="1" s="1"/>
  <c r="L937" i="1"/>
  <c r="L1053" i="1" s="1"/>
  <c r="G828" i="13"/>
  <c r="J828" i="13" s="1"/>
  <c r="K822" i="1"/>
  <c r="K823" i="1"/>
  <c r="L938" i="1"/>
  <c r="L1054" i="1" s="1"/>
  <c r="G829" i="13"/>
  <c r="J829" i="13" s="1"/>
  <c r="L941" i="1"/>
  <c r="L1057" i="1" s="1"/>
  <c r="G832" i="13"/>
  <c r="J832" i="13" s="1"/>
  <c r="K826" i="1"/>
  <c r="K827" i="1"/>
  <c r="L942" i="1"/>
  <c r="L1058" i="1" s="1"/>
  <c r="G833" i="13"/>
  <c r="J833" i="13" s="1"/>
  <c r="L949" i="1"/>
  <c r="L1066" i="1" s="1"/>
  <c r="G839" i="13"/>
  <c r="J839" i="13" s="1"/>
  <c r="K833" i="1"/>
  <c r="K604" i="1"/>
  <c r="L829" i="1"/>
  <c r="L719" i="1"/>
  <c r="N716" i="1"/>
  <c r="O716" i="1"/>
  <c r="M927" i="1"/>
  <c r="M943" i="1"/>
  <c r="M855" i="1"/>
  <c r="G951" i="13"/>
  <c r="J951" i="13" s="1"/>
  <c r="K945" i="1"/>
  <c r="M834" i="1"/>
  <c r="M944" i="1"/>
  <c r="M1060" i="1" s="1"/>
  <c r="G516" i="13"/>
  <c r="F76" i="15" s="1"/>
  <c r="J237" i="13"/>
  <c r="O427" i="1"/>
  <c r="O400" i="1"/>
  <c r="L430" i="1"/>
  <c r="L348" i="1"/>
  <c r="O436" i="1"/>
  <c r="O435" i="1"/>
  <c r="O425" i="1"/>
  <c r="O403" i="1"/>
  <c r="O444" i="1"/>
  <c r="O414" i="1"/>
  <c r="O449" i="1"/>
  <c r="O338" i="1"/>
  <c r="O421" i="1"/>
  <c r="O408" i="1"/>
  <c r="L418" i="1"/>
  <c r="L432" i="1" s="1"/>
  <c r="L433" i="1" s="1"/>
  <c r="O457" i="1"/>
  <c r="J309" i="13"/>
  <c r="L659" i="1"/>
  <c r="K544" i="1"/>
  <c r="N544" i="1" s="1"/>
  <c r="G98" i="1"/>
  <c r="J98" i="1" s="1"/>
  <c r="O450" i="1"/>
  <c r="O448" i="1"/>
  <c r="O439" i="1"/>
  <c r="O345" i="1"/>
  <c r="O454" i="1"/>
  <c r="O428" i="1"/>
  <c r="O578" i="1"/>
  <c r="N578" i="1"/>
  <c r="G699" i="13"/>
  <c r="J699" i="13" s="1"/>
  <c r="K693" i="1"/>
  <c r="O544" i="1"/>
  <c r="M659" i="1"/>
  <c r="N584" i="1"/>
  <c r="O584" i="1"/>
  <c r="G744" i="13"/>
  <c r="J744" i="13" s="1"/>
  <c r="K738" i="1"/>
  <c r="M681" i="1"/>
  <c r="M674" i="1"/>
  <c r="M564" i="1"/>
  <c r="M666" i="1"/>
  <c r="M555" i="1"/>
  <c r="M347" i="1"/>
  <c r="M654" i="1"/>
  <c r="M651" i="1"/>
  <c r="M542" i="1"/>
  <c r="M642" i="1"/>
  <c r="N715" i="1"/>
  <c r="O715" i="1"/>
  <c r="N619" i="1"/>
  <c r="O619" i="1"/>
  <c r="G740" i="13"/>
  <c r="J740" i="13" s="1"/>
  <c r="K734" i="1"/>
  <c r="K702" i="1"/>
  <c r="G708" i="13"/>
  <c r="J708" i="13" s="1"/>
  <c r="G403" i="13"/>
  <c r="F60" i="15"/>
  <c r="F63" i="15" s="1"/>
  <c r="K614" i="1"/>
  <c r="N610" i="1"/>
  <c r="O610" i="1"/>
  <c r="K429" i="1"/>
  <c r="N429" i="1" s="1"/>
  <c r="N423" i="1"/>
  <c r="L651" i="1"/>
  <c r="G542" i="13"/>
  <c r="K536" i="1"/>
  <c r="O536" i="1" s="1"/>
  <c r="L542" i="1"/>
  <c r="L648" i="1"/>
  <c r="K533" i="1"/>
  <c r="N533" i="1" s="1"/>
  <c r="G539" i="13"/>
  <c r="J539" i="13" s="1"/>
  <c r="K532" i="1"/>
  <c r="L647" i="1"/>
  <c r="G538" i="13"/>
  <c r="L535" i="1"/>
  <c r="K317" i="1"/>
  <c r="N317" i="1" s="1"/>
  <c r="N309" i="1"/>
  <c r="O410" i="1"/>
  <c r="N410" i="1"/>
  <c r="K417" i="1"/>
  <c r="N417" i="1" s="1"/>
  <c r="L530" i="1"/>
  <c r="L638" i="1"/>
  <c r="G529" i="13"/>
  <c r="K523" i="1"/>
  <c r="L634" i="1"/>
  <c r="G525" i="13"/>
  <c r="J525" i="13" s="1"/>
  <c r="K519" i="1"/>
  <c r="N519" i="1" s="1"/>
  <c r="G709" i="13"/>
  <c r="J709" i="13" s="1"/>
  <c r="K703" i="1"/>
  <c r="K721" i="1"/>
  <c r="G727" i="13"/>
  <c r="J727" i="13" s="1"/>
  <c r="G742" i="13"/>
  <c r="J742" i="13" s="1"/>
  <c r="K736" i="1"/>
  <c r="J585" i="13"/>
  <c r="J588" i="13" s="1"/>
  <c r="G588" i="13"/>
  <c r="N579" i="1"/>
  <c r="K582" i="1"/>
  <c r="O579" i="1"/>
  <c r="N589" i="1"/>
  <c r="O589" i="1"/>
  <c r="K733" i="1"/>
  <c r="G739" i="13"/>
  <c r="J739" i="13" s="1"/>
  <c r="M669" i="1"/>
  <c r="M235" i="1"/>
  <c r="N580" i="1"/>
  <c r="O580" i="1"/>
  <c r="N586" i="1"/>
  <c r="O586" i="1"/>
  <c r="G733" i="13"/>
  <c r="J733" i="13" s="1"/>
  <c r="K727" i="1"/>
  <c r="K728" i="1"/>
  <c r="G734" i="13"/>
  <c r="J734" i="13" s="1"/>
  <c r="N615" i="1"/>
  <c r="K624" i="1"/>
  <c r="O615" i="1"/>
  <c r="G736" i="13"/>
  <c r="K730" i="1"/>
  <c r="N509" i="1"/>
  <c r="O509" i="1"/>
  <c r="N620" i="1"/>
  <c r="O620" i="1"/>
  <c r="L682" i="1"/>
  <c r="G572" i="13"/>
  <c r="J572" i="13" s="1"/>
  <c r="K567" i="1"/>
  <c r="N567" i="1" s="1"/>
  <c r="L568" i="1"/>
  <c r="L680" i="1"/>
  <c r="G570" i="13"/>
  <c r="K565" i="1"/>
  <c r="J451" i="13"/>
  <c r="J455" i="13" s="1"/>
  <c r="G455" i="13"/>
  <c r="N438" i="1"/>
  <c r="K442" i="1"/>
  <c r="N442" i="1" s="1"/>
  <c r="L666" i="1"/>
  <c r="G557" i="13"/>
  <c r="L555" i="1"/>
  <c r="K551" i="1"/>
  <c r="G554" i="13"/>
  <c r="J554" i="13" s="1"/>
  <c r="L663" i="1"/>
  <c r="K548" i="1"/>
  <c r="N548" i="1" s="1"/>
  <c r="L459" i="1"/>
  <c r="L460" i="1" s="1"/>
  <c r="L662" i="1"/>
  <c r="G553" i="13"/>
  <c r="K547" i="1"/>
  <c r="L550" i="1"/>
  <c r="G349" i="13"/>
  <c r="G350" i="13" s="1"/>
  <c r="F52" i="15" s="1"/>
  <c r="F54" i="15" s="1"/>
  <c r="L644" i="1"/>
  <c r="G535" i="13"/>
  <c r="J535" i="13" s="1"/>
  <c r="K529" i="1"/>
  <c r="N529" i="1" s="1"/>
  <c r="K514" i="1"/>
  <c r="N514" i="1" s="1"/>
  <c r="L629" i="1"/>
  <c r="G520" i="13"/>
  <c r="J520" i="13" s="1"/>
  <c r="G702" i="13"/>
  <c r="J702" i="13" s="1"/>
  <c r="K696" i="1"/>
  <c r="N583" i="1"/>
  <c r="K590" i="1"/>
  <c r="O583" i="1"/>
  <c r="K698" i="1"/>
  <c r="G704" i="13"/>
  <c r="L705" i="1"/>
  <c r="N477" i="1"/>
  <c r="O477" i="1"/>
  <c r="K709" i="1"/>
  <c r="G715" i="13"/>
  <c r="J715" i="13" s="1"/>
  <c r="K710" i="1"/>
  <c r="G716" i="13"/>
  <c r="J716" i="13" s="1"/>
  <c r="N611" i="1"/>
  <c r="O611" i="1"/>
  <c r="M675" i="1"/>
  <c r="M662" i="1"/>
  <c r="M550" i="1"/>
  <c r="M653" i="1"/>
  <c r="M649" i="1"/>
  <c r="O420" i="1"/>
  <c r="M535" i="1"/>
  <c r="M647" i="1"/>
  <c r="O529" i="1"/>
  <c r="M644" i="1"/>
  <c r="M640" i="1"/>
  <c r="M639" i="1"/>
  <c r="M530" i="1"/>
  <c r="M635" i="1"/>
  <c r="M634" i="1"/>
  <c r="M633" i="1"/>
  <c r="M632" i="1"/>
  <c r="M631" i="1"/>
  <c r="M630" i="1"/>
  <c r="K707" i="1"/>
  <c r="G713" i="13"/>
  <c r="J713" i="13" s="1"/>
  <c r="K708" i="1"/>
  <c r="G714" i="13"/>
  <c r="J714" i="13" s="1"/>
  <c r="K711" i="1"/>
  <c r="G717" i="13"/>
  <c r="J717" i="13" s="1"/>
  <c r="K712" i="1"/>
  <c r="G718" i="13"/>
  <c r="J718" i="13" s="1"/>
  <c r="K510" i="1"/>
  <c r="N499" i="1"/>
  <c r="O499" i="1"/>
  <c r="K731" i="1"/>
  <c r="G737" i="13"/>
  <c r="J737" i="13" s="1"/>
  <c r="L681" i="1"/>
  <c r="G571" i="13"/>
  <c r="J571" i="13" s="1"/>
  <c r="K566" i="1"/>
  <c r="N566" i="1" s="1"/>
  <c r="L677" i="1"/>
  <c r="G568" i="13"/>
  <c r="J568" i="13" s="1"/>
  <c r="K562" i="1"/>
  <c r="N562" i="1" s="1"/>
  <c r="L672" i="1"/>
  <c r="K557" i="1"/>
  <c r="N557" i="1" s="1"/>
  <c r="G563" i="13"/>
  <c r="J563" i="13" s="1"/>
  <c r="G450" i="13"/>
  <c r="J448" i="13"/>
  <c r="J450" i="13" s="1"/>
  <c r="J321" i="13"/>
  <c r="K527" i="1"/>
  <c r="N527" i="1" s="1"/>
  <c r="L642" i="1"/>
  <c r="G533" i="13"/>
  <c r="J533" i="13" s="1"/>
  <c r="K525" i="1"/>
  <c r="N525" i="1" s="1"/>
  <c r="L640" i="1"/>
  <c r="G531" i="13"/>
  <c r="J531" i="13" s="1"/>
  <c r="L632" i="1"/>
  <c r="G523" i="13"/>
  <c r="J523" i="13" s="1"/>
  <c r="K517" i="1"/>
  <c r="N517" i="1" s="1"/>
  <c r="N399" i="1"/>
  <c r="K409" i="1"/>
  <c r="O409" i="1" s="1"/>
  <c r="G500" i="13"/>
  <c r="N591" i="1"/>
  <c r="K598" i="1"/>
  <c r="O591" i="1"/>
  <c r="N603" i="1"/>
  <c r="O603" i="1"/>
  <c r="G724" i="13"/>
  <c r="J724" i="13" s="1"/>
  <c r="K718" i="1"/>
  <c r="M668" i="1"/>
  <c r="M320" i="1"/>
  <c r="G614" i="13"/>
  <c r="J611" i="13"/>
  <c r="J614" i="13" s="1"/>
  <c r="M626" i="1"/>
  <c r="N585" i="1"/>
  <c r="O585" i="1"/>
  <c r="N599" i="1"/>
  <c r="O599" i="1"/>
  <c r="J605" i="13"/>
  <c r="J610" i="13" s="1"/>
  <c r="G610" i="13"/>
  <c r="N489" i="1"/>
  <c r="O489" i="1"/>
  <c r="L685" i="1"/>
  <c r="G575" i="13"/>
  <c r="K570" i="1"/>
  <c r="N570" i="1" s="1"/>
  <c r="L664" i="1"/>
  <c r="G555" i="13"/>
  <c r="J555" i="13" s="1"/>
  <c r="K549" i="1"/>
  <c r="N549" i="1" s="1"/>
  <c r="O324" i="1"/>
  <c r="N324" i="1"/>
  <c r="K346" i="1"/>
  <c r="J349" i="13"/>
  <c r="J350" i="13" s="1"/>
  <c r="I52" i="15" s="1"/>
  <c r="I54" i="15" s="1"/>
  <c r="K534" i="1"/>
  <c r="N534" i="1" s="1"/>
  <c r="L649" i="1"/>
  <c r="G540" i="13"/>
  <c r="J540" i="13" s="1"/>
  <c r="N204" i="1"/>
  <c r="O204" i="1"/>
  <c r="K520" i="1"/>
  <c r="N520" i="1" s="1"/>
  <c r="L635" i="1"/>
  <c r="G526" i="13"/>
  <c r="J526" i="13" s="1"/>
  <c r="G519" i="13"/>
  <c r="J519" i="13" s="1"/>
  <c r="L628" i="1"/>
  <c r="K513" i="1"/>
  <c r="N513" i="1" s="1"/>
  <c r="N617" i="1"/>
  <c r="O617" i="1"/>
  <c r="G738" i="13"/>
  <c r="J738" i="13" s="1"/>
  <c r="K732" i="1"/>
  <c r="M740" i="1"/>
  <c r="K398" i="1"/>
  <c r="D60" i="15"/>
  <c r="N381" i="1"/>
  <c r="O381" i="1"/>
  <c r="G705" i="13"/>
  <c r="J705" i="13" s="1"/>
  <c r="K699" i="1"/>
  <c r="K737" i="1"/>
  <c r="G743" i="13"/>
  <c r="J743" i="13" s="1"/>
  <c r="N623" i="1"/>
  <c r="O623" i="1"/>
  <c r="M678" i="1"/>
  <c r="M676" i="1"/>
  <c r="M558" i="1"/>
  <c r="M672" i="1"/>
  <c r="M673" i="1" s="1"/>
  <c r="O438" i="1"/>
  <c r="M664" i="1"/>
  <c r="M663" i="1"/>
  <c r="O548" i="1"/>
  <c r="M655" i="1"/>
  <c r="O426" i="1"/>
  <c r="M652" i="1"/>
  <c r="O423" i="1"/>
  <c r="M629" i="1"/>
  <c r="M628" i="1"/>
  <c r="N587" i="1"/>
  <c r="O587" i="1"/>
  <c r="G620" i="13"/>
  <c r="J616" i="13"/>
  <c r="J620" i="13" s="1"/>
  <c r="G731" i="13"/>
  <c r="K725" i="1"/>
  <c r="L729" i="1"/>
  <c r="L740" i="1" s="1"/>
  <c r="J516" i="13"/>
  <c r="I76" i="15" s="1"/>
  <c r="L669" i="1"/>
  <c r="G560" i="13"/>
  <c r="J560" i="13" s="1"/>
  <c r="K554" i="1"/>
  <c r="N554" i="1" s="1"/>
  <c r="K553" i="1"/>
  <c r="N553" i="1" s="1"/>
  <c r="L668" i="1"/>
  <c r="G559" i="13"/>
  <c r="J559" i="13" s="1"/>
  <c r="F37" i="15"/>
  <c r="F39" i="15" s="1"/>
  <c r="F40" i="15" s="1"/>
  <c r="G237" i="13"/>
  <c r="J428" i="13"/>
  <c r="J434" i="13" s="1"/>
  <c r="G434" i="13"/>
  <c r="K422" i="1"/>
  <c r="O422" i="1" s="1"/>
  <c r="N419" i="1"/>
  <c r="G427" i="13"/>
  <c r="J424" i="13"/>
  <c r="J427" i="13" s="1"/>
  <c r="J415" i="13"/>
  <c r="J422" i="13" s="1"/>
  <c r="G422" i="13"/>
  <c r="L630" i="1"/>
  <c r="K515" i="1"/>
  <c r="N515" i="1" s="1"/>
  <c r="G521" i="13"/>
  <c r="J521" i="13" s="1"/>
  <c r="N588" i="1"/>
  <c r="O588" i="1"/>
  <c r="N606" i="1"/>
  <c r="O606" i="1"/>
  <c r="N621" i="1"/>
  <c r="O621" i="1"/>
  <c r="G700" i="13"/>
  <c r="K694" i="1"/>
  <c r="L697" i="1"/>
  <c r="O285" i="1"/>
  <c r="N285" i="1"/>
  <c r="D48" i="15"/>
  <c r="E48" i="15" s="1"/>
  <c r="E45" i="15"/>
  <c r="K704" i="1"/>
  <c r="G710" i="13"/>
  <c r="J710" i="13" s="1"/>
  <c r="N618" i="1"/>
  <c r="O618" i="1"/>
  <c r="M786" i="1"/>
  <c r="M901" i="1" s="1"/>
  <c r="O441" i="1"/>
  <c r="M667" i="1"/>
  <c r="M418" i="1"/>
  <c r="M627" i="1"/>
  <c r="M522" i="1"/>
  <c r="M724" i="1"/>
  <c r="K695" i="1"/>
  <c r="G701" i="13"/>
  <c r="J701" i="13" s="1"/>
  <c r="G707" i="13"/>
  <c r="J707" i="13" s="1"/>
  <c r="K701" i="1"/>
  <c r="N612" i="1"/>
  <c r="O612" i="1"/>
  <c r="N613" i="1"/>
  <c r="O613" i="1"/>
  <c r="G630" i="13"/>
  <c r="J621" i="13"/>
  <c r="J630" i="13" s="1"/>
  <c r="K735" i="1"/>
  <c r="G741" i="13"/>
  <c r="J741" i="13" s="1"/>
  <c r="N456" i="1"/>
  <c r="K458" i="1"/>
  <c r="N458" i="1" s="1"/>
  <c r="L684" i="1"/>
  <c r="G574" i="13"/>
  <c r="K569" i="1"/>
  <c r="L571" i="1"/>
  <c r="G459" i="13"/>
  <c r="J456" i="13"/>
  <c r="J459" i="13" s="1"/>
  <c r="K455" i="1"/>
  <c r="N455" i="1" s="1"/>
  <c r="N452" i="1"/>
  <c r="K563" i="1"/>
  <c r="N563" i="1" s="1"/>
  <c r="L678" i="1"/>
  <c r="N446" i="1"/>
  <c r="K451" i="1"/>
  <c r="N451" i="1" s="1"/>
  <c r="L564" i="1"/>
  <c r="L674" i="1"/>
  <c r="G565" i="13"/>
  <c r="K559" i="1"/>
  <c r="L667" i="1"/>
  <c r="K552" i="1"/>
  <c r="N552" i="1" s="1"/>
  <c r="G558" i="13"/>
  <c r="J558" i="13" s="1"/>
  <c r="G447" i="13"/>
  <c r="J443" i="13"/>
  <c r="J447" i="13" s="1"/>
  <c r="G442" i="13"/>
  <c r="J439" i="13"/>
  <c r="J442" i="13" s="1"/>
  <c r="K437" i="1"/>
  <c r="N434" i="1"/>
  <c r="K541" i="1"/>
  <c r="N541" i="1" s="1"/>
  <c r="L656" i="1"/>
  <c r="G547" i="13"/>
  <c r="J547" i="13" s="1"/>
  <c r="L654" i="1"/>
  <c r="K539" i="1"/>
  <c r="N539" i="1" s="1"/>
  <c r="G545" i="13"/>
  <c r="J545" i="13" s="1"/>
  <c r="K537" i="1"/>
  <c r="N537" i="1" s="1"/>
  <c r="L652" i="1"/>
  <c r="G543" i="13"/>
  <c r="J543" i="13" s="1"/>
  <c r="L641" i="1"/>
  <c r="K526" i="1"/>
  <c r="G532" i="13"/>
  <c r="J532" i="13" s="1"/>
  <c r="K518" i="1"/>
  <c r="N518" i="1" s="1"/>
  <c r="L633" i="1"/>
  <c r="G524" i="13"/>
  <c r="J524" i="13" s="1"/>
  <c r="N581" i="1"/>
  <c r="O581" i="1"/>
  <c r="J589" i="13"/>
  <c r="J596" i="13" s="1"/>
  <c r="G596" i="13"/>
  <c r="N594" i="1"/>
  <c r="O594" i="1"/>
  <c r="N595" i="1"/>
  <c r="O595" i="1"/>
  <c r="N607" i="1"/>
  <c r="O607" i="1"/>
  <c r="G728" i="13"/>
  <c r="J728" i="13" s="1"/>
  <c r="K722" i="1"/>
  <c r="K726" i="1"/>
  <c r="G732" i="13"/>
  <c r="J732" i="13" s="1"/>
  <c r="M684" i="1"/>
  <c r="M571" i="1"/>
  <c r="O569" i="1"/>
  <c r="M682" i="1"/>
  <c r="M568" i="1"/>
  <c r="M680" i="1"/>
  <c r="O565" i="1"/>
  <c r="M677" i="1"/>
  <c r="O447" i="1"/>
  <c r="O329" i="1"/>
  <c r="M459" i="1"/>
  <c r="M656" i="1"/>
  <c r="O316" i="1"/>
  <c r="M648" i="1"/>
  <c r="M430" i="1"/>
  <c r="O416" i="1"/>
  <c r="O412" i="1"/>
  <c r="O411" i="1"/>
  <c r="O417" i="1"/>
  <c r="M636" i="1"/>
  <c r="O407" i="1"/>
  <c r="O406" i="1"/>
  <c r="O405" i="1"/>
  <c r="O404" i="1"/>
  <c r="O402" i="1"/>
  <c r="N592" i="1"/>
  <c r="O592" i="1"/>
  <c r="N593" i="1"/>
  <c r="O593" i="1"/>
  <c r="N596" i="1"/>
  <c r="O596" i="1"/>
  <c r="N597" i="1"/>
  <c r="O597" i="1"/>
  <c r="J403" i="13"/>
  <c r="I60" i="15"/>
  <c r="I63" i="15" s="1"/>
  <c r="D61" i="15"/>
  <c r="E61" i="15" s="1"/>
  <c r="N397" i="1"/>
  <c r="O397" i="1"/>
  <c r="N616" i="1"/>
  <c r="O616" i="1"/>
  <c r="L676" i="1"/>
  <c r="K561" i="1"/>
  <c r="N561" i="1" s="1"/>
  <c r="G567" i="13"/>
  <c r="J567" i="13" s="1"/>
  <c r="K445" i="1"/>
  <c r="N445" i="1" s="1"/>
  <c r="N443" i="1"/>
  <c r="G562" i="13"/>
  <c r="L671" i="1"/>
  <c r="L558" i="1"/>
  <c r="K556" i="1"/>
  <c r="L655" i="1"/>
  <c r="K540" i="1"/>
  <c r="N540" i="1" s="1"/>
  <c r="G546" i="13"/>
  <c r="J546" i="13" s="1"/>
  <c r="K538" i="1"/>
  <c r="N538" i="1" s="1"/>
  <c r="L653" i="1"/>
  <c r="G544" i="13"/>
  <c r="J544" i="13" s="1"/>
  <c r="G321" i="13"/>
  <c r="K528" i="1"/>
  <c r="L643" i="1"/>
  <c r="G534" i="13"/>
  <c r="J534" i="13" s="1"/>
  <c r="L636" i="1"/>
  <c r="G527" i="13"/>
  <c r="J527" i="13" s="1"/>
  <c r="K521" i="1"/>
  <c r="N521" i="1" s="1"/>
  <c r="J404" i="13"/>
  <c r="J414" i="13" s="1"/>
  <c r="G414" i="13"/>
  <c r="L627" i="1"/>
  <c r="G518" i="13"/>
  <c r="L522" i="1"/>
  <c r="K512" i="1"/>
  <c r="O296" i="1"/>
  <c r="N296" i="1"/>
  <c r="K305" i="1"/>
  <c r="J500" i="13"/>
  <c r="K494" i="1"/>
  <c r="N469" i="1"/>
  <c r="O469" i="1"/>
  <c r="G604" i="13"/>
  <c r="J597" i="13"/>
  <c r="J604" i="13" s="1"/>
  <c r="L713" i="1"/>
  <c r="K706" i="1"/>
  <c r="G712" i="13"/>
  <c r="N485" i="1"/>
  <c r="O485" i="1"/>
  <c r="M685" i="1"/>
  <c r="O332" i="1"/>
  <c r="O440" i="1"/>
  <c r="O304" i="1"/>
  <c r="N605" i="1"/>
  <c r="K608" i="1"/>
  <c r="O605" i="1"/>
  <c r="G726" i="13"/>
  <c r="K720" i="1"/>
  <c r="L723" i="1"/>
  <c r="N493" i="1"/>
  <c r="O493" i="1"/>
  <c r="G706" i="13"/>
  <c r="J706" i="13" s="1"/>
  <c r="K700" i="1"/>
  <c r="L609" i="1"/>
  <c r="L626" i="1" s="1"/>
  <c r="G720" i="13"/>
  <c r="K714" i="1"/>
  <c r="K719" i="1" s="1"/>
  <c r="L675" i="1"/>
  <c r="G566" i="13"/>
  <c r="J566" i="13" s="1"/>
  <c r="K560" i="1"/>
  <c r="N560" i="1" s="1"/>
  <c r="K234" i="1"/>
  <c r="D37" i="15" s="1"/>
  <c r="N233" i="1"/>
  <c r="N234" i="1" s="1"/>
  <c r="L639" i="1"/>
  <c r="K524" i="1"/>
  <c r="N524" i="1" s="1"/>
  <c r="G530" i="13"/>
  <c r="J530" i="13" s="1"/>
  <c r="K516" i="1"/>
  <c r="N516" i="1" s="1"/>
  <c r="L631" i="1"/>
  <c r="G522" i="13"/>
  <c r="J522" i="13" s="1"/>
  <c r="G309" i="13"/>
  <c r="K206" i="1"/>
  <c r="O192" i="1"/>
  <c r="N192" i="1"/>
  <c r="I366" i="16"/>
  <c r="J62" i="15" s="1"/>
  <c r="J63" i="15" s="1"/>
  <c r="I585" i="16"/>
  <c r="I555" i="16"/>
  <c r="I424" i="16"/>
  <c r="J67" i="15" s="1"/>
  <c r="J69" i="15" s="1"/>
  <c r="J70" i="15" s="1"/>
  <c r="F539" i="16"/>
  <c r="I539" i="16" s="1"/>
  <c r="I446" i="16"/>
  <c r="I444" i="16"/>
  <c r="F537" i="16"/>
  <c r="I537" i="16" s="1"/>
  <c r="F535" i="16"/>
  <c r="I535" i="16" s="1"/>
  <c r="I442" i="16"/>
  <c r="F533" i="16"/>
  <c r="I533" i="16" s="1"/>
  <c r="I440" i="16"/>
  <c r="F530" i="16"/>
  <c r="I530" i="16" s="1"/>
  <c r="I437" i="16"/>
  <c r="F528" i="16"/>
  <c r="I528" i="16" s="1"/>
  <c r="I435" i="16"/>
  <c r="F526" i="16"/>
  <c r="I526" i="16" s="1"/>
  <c r="I433" i="16"/>
  <c r="F447" i="16"/>
  <c r="F583" i="16"/>
  <c r="I583" i="16" s="1"/>
  <c r="I490" i="16"/>
  <c r="F581" i="16"/>
  <c r="I581" i="16" s="1"/>
  <c r="I488" i="16"/>
  <c r="F579" i="16"/>
  <c r="I579" i="16" s="1"/>
  <c r="I486" i="16"/>
  <c r="F577" i="16"/>
  <c r="I577" i="16" s="1"/>
  <c r="I484" i="16"/>
  <c r="F575" i="16"/>
  <c r="I575" i="16" s="1"/>
  <c r="I482" i="16"/>
  <c r="F573" i="16"/>
  <c r="I573" i="16" s="1"/>
  <c r="I480" i="16"/>
  <c r="F571" i="16"/>
  <c r="I571" i="16" s="1"/>
  <c r="I478" i="16"/>
  <c r="F569" i="16"/>
  <c r="I569" i="16" s="1"/>
  <c r="I476" i="16"/>
  <c r="F567" i="16"/>
  <c r="I567" i="16" s="1"/>
  <c r="I474" i="16"/>
  <c r="F582" i="16"/>
  <c r="I582" i="16" s="1"/>
  <c r="I489" i="16"/>
  <c r="F580" i="16"/>
  <c r="I580" i="16" s="1"/>
  <c r="I487" i="16"/>
  <c r="F578" i="16"/>
  <c r="I578" i="16" s="1"/>
  <c r="I485" i="16"/>
  <c r="F576" i="16"/>
  <c r="I576" i="16" s="1"/>
  <c r="I483" i="16"/>
  <c r="F574" i="16"/>
  <c r="I574" i="16" s="1"/>
  <c r="I481" i="16"/>
  <c r="F572" i="16"/>
  <c r="I572" i="16" s="1"/>
  <c r="I479" i="16"/>
  <c r="F570" i="16"/>
  <c r="I570" i="16" s="1"/>
  <c r="I477" i="16"/>
  <c r="F568" i="16"/>
  <c r="I568" i="16" s="1"/>
  <c r="I475" i="16"/>
  <c r="F566" i="16"/>
  <c r="I566" i="16" s="1"/>
  <c r="I473" i="16"/>
  <c r="F565" i="16"/>
  <c r="I565" i="16" s="1"/>
  <c r="I472" i="16"/>
  <c r="F563" i="16"/>
  <c r="I563" i="16" s="1"/>
  <c r="I470" i="16"/>
  <c r="F561" i="16"/>
  <c r="I561" i="16" s="1"/>
  <c r="I468" i="16"/>
  <c r="F559" i="16"/>
  <c r="I559" i="16" s="1"/>
  <c r="I466" i="16"/>
  <c r="F558" i="16"/>
  <c r="I558" i="16" s="1"/>
  <c r="I465" i="16"/>
  <c r="F557" i="16"/>
  <c r="I557" i="16" s="1"/>
  <c r="I464" i="16"/>
  <c r="I515" i="16"/>
  <c r="F609" i="16"/>
  <c r="I609" i="16" s="1"/>
  <c r="I513" i="16"/>
  <c r="F607" i="16"/>
  <c r="I607" i="16" s="1"/>
  <c r="I511" i="16"/>
  <c r="F605" i="16"/>
  <c r="I605" i="16" s="1"/>
  <c r="I509" i="16"/>
  <c r="F603" i="16"/>
  <c r="I603" i="16" s="1"/>
  <c r="I507" i="16"/>
  <c r="F601" i="16"/>
  <c r="I601" i="16" s="1"/>
  <c r="I505" i="16"/>
  <c r="F599" i="16"/>
  <c r="I599" i="16" s="1"/>
  <c r="I503" i="16"/>
  <c r="F597" i="16"/>
  <c r="I597" i="16" s="1"/>
  <c r="I501" i="16"/>
  <c r="F595" i="16"/>
  <c r="I595" i="16" s="1"/>
  <c r="I499" i="16"/>
  <c r="F593" i="16"/>
  <c r="I593" i="16" s="1"/>
  <c r="I497" i="16"/>
  <c r="F591" i="16"/>
  <c r="I591" i="16" s="1"/>
  <c r="I495" i="16"/>
  <c r="F588" i="16"/>
  <c r="I588" i="16" s="1"/>
  <c r="I493" i="16"/>
  <c r="F586" i="16"/>
  <c r="I586" i="16" s="1"/>
  <c r="I452" i="16"/>
  <c r="F545" i="16"/>
  <c r="I545" i="16" s="1"/>
  <c r="I450" i="16"/>
  <c r="F543" i="16"/>
  <c r="I543" i="16" s="1"/>
  <c r="F538" i="16"/>
  <c r="I538" i="16" s="1"/>
  <c r="I445" i="16"/>
  <c r="F536" i="16"/>
  <c r="I536" i="16" s="1"/>
  <c r="I443" i="16"/>
  <c r="F534" i="16"/>
  <c r="I534" i="16" s="1"/>
  <c r="I441" i="16"/>
  <c r="F531" i="16"/>
  <c r="I531" i="16" s="1"/>
  <c r="I438" i="16"/>
  <c r="F529" i="16"/>
  <c r="I529" i="16" s="1"/>
  <c r="I436" i="16"/>
  <c r="F527" i="16"/>
  <c r="I434" i="16"/>
  <c r="I516" i="16"/>
  <c r="F610" i="16"/>
  <c r="I610" i="16" s="1"/>
  <c r="I512" i="16"/>
  <c r="F606" i="16"/>
  <c r="I606" i="16" s="1"/>
  <c r="I510" i="16"/>
  <c r="F604" i="16"/>
  <c r="I604" i="16" s="1"/>
  <c r="I508" i="16"/>
  <c r="F602" i="16"/>
  <c r="I602" i="16" s="1"/>
  <c r="I506" i="16"/>
  <c r="F600" i="16"/>
  <c r="I600" i="16" s="1"/>
  <c r="I504" i="16"/>
  <c r="F598" i="16"/>
  <c r="I598" i="16" s="1"/>
  <c r="I502" i="16"/>
  <c r="F596" i="16"/>
  <c r="I596" i="16" s="1"/>
  <c r="I500" i="16"/>
  <c r="F594" i="16"/>
  <c r="I594" i="16" s="1"/>
  <c r="I498" i="16"/>
  <c r="F592" i="16"/>
  <c r="I592" i="16" s="1"/>
  <c r="I496" i="16"/>
  <c r="F590" i="16"/>
  <c r="I590" i="16" s="1"/>
  <c r="I494" i="16"/>
  <c r="F587" i="16"/>
  <c r="I587" i="16" s="1"/>
  <c r="F550" i="16"/>
  <c r="I550" i="16" s="1"/>
  <c r="I457" i="16"/>
  <c r="F459" i="16"/>
  <c r="F548" i="16"/>
  <c r="I455" i="16"/>
  <c r="F546" i="16"/>
  <c r="I546" i="16" s="1"/>
  <c r="I453" i="16"/>
  <c r="F544" i="16"/>
  <c r="I544" i="16" s="1"/>
  <c r="I451" i="16"/>
  <c r="F542" i="16"/>
  <c r="I449" i="16"/>
  <c r="I454" i="16" s="1"/>
  <c r="F564" i="16"/>
  <c r="I564" i="16" s="1"/>
  <c r="I471" i="16"/>
  <c r="F562" i="16"/>
  <c r="I562" i="16" s="1"/>
  <c r="I469" i="16"/>
  <c r="F560" i="16"/>
  <c r="I560" i="16" s="1"/>
  <c r="I467" i="16"/>
  <c r="F556" i="16"/>
  <c r="I556" i="16" s="1"/>
  <c r="I463" i="16"/>
  <c r="F551" i="16"/>
  <c r="I551" i="16" s="1"/>
  <c r="I458" i="16"/>
  <c r="F549" i="16"/>
  <c r="I549" i="16" s="1"/>
  <c r="I456" i="16"/>
  <c r="F454" i="16"/>
  <c r="J48" i="15"/>
  <c r="J52" i="15"/>
  <c r="J54" i="15" s="1"/>
  <c r="I368" i="16"/>
  <c r="F368" i="16"/>
  <c r="F427" i="16" s="1"/>
  <c r="I272" i="16"/>
  <c r="I334" i="16" s="1"/>
  <c r="M91" i="17"/>
  <c r="N91" i="17"/>
  <c r="J135" i="17"/>
  <c r="P36" i="17"/>
  <c r="P37" i="17" s="1"/>
  <c r="N274" i="14"/>
  <c r="P274" i="14" s="1"/>
  <c r="N276" i="14"/>
  <c r="P276" i="14" s="1"/>
  <c r="N278" i="14"/>
  <c r="P278" i="14" s="1"/>
  <c r="N273" i="14"/>
  <c r="P273" i="14" s="1"/>
  <c r="N277" i="14"/>
  <c r="P277" i="14" s="1"/>
  <c r="N64" i="17"/>
  <c r="N56" i="17"/>
  <c r="F36" i="17"/>
  <c r="M23" i="17"/>
  <c r="N23" i="17"/>
  <c r="M14" i="17"/>
  <c r="N14" i="17"/>
  <c r="Q14" i="17"/>
  <c r="N21" i="17"/>
  <c r="Q23" i="17"/>
  <c r="N25" i="17"/>
  <c r="N30" i="17"/>
  <c r="N60" i="17"/>
  <c r="N66" i="17"/>
  <c r="J18" i="17"/>
  <c r="M18" i="17" s="1"/>
  <c r="H28" i="17"/>
  <c r="H72" i="17" s="1"/>
  <c r="I29" i="17"/>
  <c r="J35" i="17"/>
  <c r="M35" i="17" s="1"/>
  <c r="N35" i="17"/>
  <c r="J46" i="17"/>
  <c r="M46" i="17" s="1"/>
  <c r="J52" i="17"/>
  <c r="M52" i="17" s="1"/>
  <c r="J54" i="17"/>
  <c r="M54" i="17" s="1"/>
  <c r="E58" i="1"/>
  <c r="C16" i="15" s="1"/>
  <c r="E42" i="1"/>
  <c r="C15" i="15" s="1"/>
  <c r="I42" i="1"/>
  <c r="J37" i="1"/>
  <c r="E79" i="1"/>
  <c r="E93" i="1" s="1"/>
  <c r="E94" i="1" s="1"/>
  <c r="C19" i="15" s="1"/>
  <c r="C21" i="15" s="1"/>
  <c r="K92" i="1"/>
  <c r="N92" i="1" s="1"/>
  <c r="H120" i="1"/>
  <c r="H121" i="1" s="1"/>
  <c r="G119" i="1"/>
  <c r="J119" i="1" s="1"/>
  <c r="K55" i="1"/>
  <c r="H54" i="16"/>
  <c r="E56" i="16"/>
  <c r="E118" i="16" s="1"/>
  <c r="H115" i="16"/>
  <c r="H31" i="16"/>
  <c r="H89" i="16"/>
  <c r="I79" i="1"/>
  <c r="I93" i="1" s="1"/>
  <c r="I94" i="1" s="1"/>
  <c r="J34" i="1"/>
  <c r="F27" i="13"/>
  <c r="F39" i="13"/>
  <c r="F49" i="13"/>
  <c r="G25" i="1"/>
  <c r="J25" i="1" s="1"/>
  <c r="H79" i="1"/>
  <c r="H93" i="1" s="1"/>
  <c r="H94" i="1" s="1"/>
  <c r="J62" i="17"/>
  <c r="M62" i="17" s="1"/>
  <c r="J39" i="17"/>
  <c r="M39" i="17" s="1"/>
  <c r="J95" i="1"/>
  <c r="G28" i="17"/>
  <c r="G72" i="17" s="1"/>
  <c r="K19" i="17"/>
  <c r="G15" i="15" s="1"/>
  <c r="F43" i="13"/>
  <c r="F100" i="13"/>
  <c r="F117" i="13"/>
  <c r="G17" i="1"/>
  <c r="J17" i="1" s="1"/>
  <c r="G41" i="1"/>
  <c r="J41" i="1" s="1"/>
  <c r="F35" i="13"/>
  <c r="F72" i="13"/>
  <c r="F80" i="13"/>
  <c r="F85" i="13"/>
  <c r="F92" i="13"/>
  <c r="F105" i="13"/>
  <c r="F108" i="13"/>
  <c r="F113" i="13"/>
  <c r="F19" i="13"/>
  <c r="F59" i="13"/>
  <c r="N267" i="14"/>
  <c r="P267" i="14" s="1"/>
  <c r="N269" i="14"/>
  <c r="R269" i="14" s="1"/>
  <c r="N271" i="14"/>
  <c r="R271" i="14" s="1"/>
  <c r="N268" i="14"/>
  <c r="P268" i="14" s="1"/>
  <c r="N270" i="14"/>
  <c r="P270" i="14" s="1"/>
  <c r="N272" i="14"/>
  <c r="P272" i="14" s="1"/>
  <c r="R274" i="14"/>
  <c r="Q274" i="14"/>
  <c r="S274" i="14" s="1"/>
  <c r="O263" i="14"/>
  <c r="N263" i="14" s="1"/>
  <c r="M263" i="14"/>
  <c r="O265" i="14"/>
  <c r="N265" i="14" s="1"/>
  <c r="M265" i="14"/>
  <c r="M267" i="14"/>
  <c r="M268" i="14"/>
  <c r="M269" i="14"/>
  <c r="M270" i="14"/>
  <c r="M271" i="14"/>
  <c r="M272" i="14"/>
  <c r="M273" i="14"/>
  <c r="M274" i="14"/>
  <c r="O275" i="14"/>
  <c r="N275" i="14" s="1"/>
  <c r="M275" i="14"/>
  <c r="R276" i="14"/>
  <c r="R277" i="14"/>
  <c r="O264" i="14"/>
  <c r="N264" i="14" s="1"/>
  <c r="M264" i="14"/>
  <c r="L266" i="14"/>
  <c r="K266" i="14" s="1"/>
  <c r="C266" i="14"/>
  <c r="M276" i="14"/>
  <c r="M277" i="14"/>
  <c r="M278" i="14"/>
  <c r="H46" i="16"/>
  <c r="J58" i="17"/>
  <c r="M58" i="17" s="1"/>
  <c r="M48" i="17"/>
  <c r="N48" i="17"/>
  <c r="N41" i="17"/>
  <c r="N46" i="17"/>
  <c r="Q48" i="17"/>
  <c r="P70" i="17"/>
  <c r="P71" i="17" s="1"/>
  <c r="J44" i="17"/>
  <c r="N44" i="17" s="1"/>
  <c r="J50" i="17"/>
  <c r="M50" i="17" s="1"/>
  <c r="J32" i="17"/>
  <c r="M32" i="17" s="1"/>
  <c r="P27" i="17"/>
  <c r="J16" i="17"/>
  <c r="M16" i="17" s="1"/>
  <c r="Q17" i="17"/>
  <c r="J17" i="17"/>
  <c r="M17" i="17" s="1"/>
  <c r="F19" i="17"/>
  <c r="L19" i="17"/>
  <c r="Q22" i="17"/>
  <c r="J22" i="17"/>
  <c r="M22" i="17" s="1"/>
  <c r="Q26" i="17"/>
  <c r="J26" i="17"/>
  <c r="M26" i="17" s="1"/>
  <c r="F37" i="17"/>
  <c r="I37" i="17" s="1"/>
  <c r="I36" i="17"/>
  <c r="N33" i="17"/>
  <c r="P19" i="17"/>
  <c r="P28" i="17" s="1"/>
  <c r="Q15" i="17"/>
  <c r="J15" i="17"/>
  <c r="M15" i="17" s="1"/>
  <c r="F27" i="17"/>
  <c r="I27" i="17" s="1"/>
  <c r="Q20" i="17"/>
  <c r="J20" i="17"/>
  <c r="N20" i="17" s="1"/>
  <c r="K27" i="17"/>
  <c r="Q24" i="17"/>
  <c r="J24" i="17"/>
  <c r="M24" i="17" s="1"/>
  <c r="L37" i="17"/>
  <c r="Q33" i="17"/>
  <c r="Q36" i="17" s="1"/>
  <c r="K36" i="17"/>
  <c r="K37" i="17" s="1"/>
  <c r="G19" i="15" s="1"/>
  <c r="G21" i="15" s="1"/>
  <c r="Q44" i="17"/>
  <c r="Q47" i="17"/>
  <c r="J47" i="17"/>
  <c r="M47" i="17" s="1"/>
  <c r="Q51" i="17"/>
  <c r="J51" i="17"/>
  <c r="M51" i="17" s="1"/>
  <c r="Q55" i="17"/>
  <c r="J55" i="17"/>
  <c r="M55" i="17" s="1"/>
  <c r="Q59" i="17"/>
  <c r="J59" i="17"/>
  <c r="M59" i="17" s="1"/>
  <c r="Q63" i="17"/>
  <c r="J63" i="17"/>
  <c r="M63" i="17" s="1"/>
  <c r="Q67" i="17"/>
  <c r="J67" i="17"/>
  <c r="M67" i="17" s="1"/>
  <c r="D72" i="17"/>
  <c r="J29" i="17"/>
  <c r="N29" i="17" s="1"/>
  <c r="J31" i="17"/>
  <c r="M31" i="17" s="1"/>
  <c r="J34" i="17"/>
  <c r="M34" i="17" s="1"/>
  <c r="F70" i="17"/>
  <c r="J38" i="17"/>
  <c r="N38" i="17"/>
  <c r="Q38" i="17"/>
  <c r="J40" i="17"/>
  <c r="M40" i="17" s="1"/>
  <c r="Q43" i="17"/>
  <c r="J43" i="17"/>
  <c r="M43" i="17" s="1"/>
  <c r="Q45" i="17"/>
  <c r="J45" i="17"/>
  <c r="M45" i="17" s="1"/>
  <c r="Q49" i="17"/>
  <c r="J49" i="17"/>
  <c r="M49" i="17" s="1"/>
  <c r="Q53" i="17"/>
  <c r="J53" i="17"/>
  <c r="M53" i="17" s="1"/>
  <c r="Q57" i="17"/>
  <c r="J57" i="17"/>
  <c r="M57" i="17" s="1"/>
  <c r="N59" i="17"/>
  <c r="Q61" i="17"/>
  <c r="J61" i="17"/>
  <c r="M61" i="17" s="1"/>
  <c r="Q65" i="17"/>
  <c r="J65" i="17"/>
  <c r="M65" i="17" s="1"/>
  <c r="N67" i="17"/>
  <c r="Q69" i="17"/>
  <c r="J69" i="17"/>
  <c r="M69" i="17" s="1"/>
  <c r="J15" i="13"/>
  <c r="I52" i="13"/>
  <c r="I59" i="13" s="1"/>
  <c r="I62" i="13"/>
  <c r="I72" i="13" s="1"/>
  <c r="I73" i="13"/>
  <c r="I80" i="13" s="1"/>
  <c r="I83" i="13"/>
  <c r="I85" i="13" s="1"/>
  <c r="I86" i="13"/>
  <c r="I92" i="13" s="1"/>
  <c r="I97" i="13"/>
  <c r="I100" i="13" s="1"/>
  <c r="I115" i="13"/>
  <c r="I117" i="13" s="1"/>
  <c r="I15" i="13"/>
  <c r="I19" i="13" s="1"/>
  <c r="I20" i="13"/>
  <c r="I27" i="13" s="1"/>
  <c r="I28" i="13"/>
  <c r="I35" i="13" s="1"/>
  <c r="I36" i="13"/>
  <c r="I39" i="13" s="1"/>
  <c r="I40" i="13"/>
  <c r="I43" i="13" s="1"/>
  <c r="I45" i="13"/>
  <c r="I49" i="13" s="1"/>
  <c r="I101" i="13"/>
  <c r="I105" i="13" s="1"/>
  <c r="I106" i="13"/>
  <c r="I108" i="13" s="1"/>
  <c r="I109" i="13"/>
  <c r="I113" i="13" s="1"/>
  <c r="I58" i="1"/>
  <c r="G33" i="1"/>
  <c r="J33" i="1" s="1"/>
  <c r="G47" i="1"/>
  <c r="K13" i="1"/>
  <c r="H42" i="1"/>
  <c r="J38" i="1"/>
  <c r="H58" i="1"/>
  <c r="G57" i="1"/>
  <c r="J48" i="1"/>
  <c r="G70" i="1"/>
  <c r="G78" i="1"/>
  <c r="J78" i="1" s="1"/>
  <c r="G83" i="1"/>
  <c r="J80" i="1"/>
  <c r="G90" i="1"/>
  <c r="J90" i="1" s="1"/>
  <c r="O92" i="1"/>
  <c r="E120" i="1"/>
  <c r="E121" i="1" s="1"/>
  <c r="C22" i="15" s="1"/>
  <c r="C24" i="15" s="1"/>
  <c r="I120" i="1"/>
  <c r="I121" i="1" s="1"/>
  <c r="G103" i="1"/>
  <c r="J103" i="1" s="1"/>
  <c r="J99" i="1"/>
  <c r="G106" i="1"/>
  <c r="J106" i="1" s="1"/>
  <c r="J104" i="1"/>
  <c r="G112" i="1"/>
  <c r="J112" i="1" s="1"/>
  <c r="G116" i="1"/>
  <c r="J116" i="1" s="1"/>
  <c r="R278" i="14" l="1"/>
  <c r="R272" i="14"/>
  <c r="R268" i="14"/>
  <c r="Q273" i="14"/>
  <c r="R273" i="14"/>
  <c r="Q267" i="14"/>
  <c r="Q270" i="14"/>
  <c r="R267" i="14"/>
  <c r="R270" i="14"/>
  <c r="G1072" i="13"/>
  <c r="J1072" i="13" s="1"/>
  <c r="K1066" i="1"/>
  <c r="G1064" i="13"/>
  <c r="J1064" i="13" s="1"/>
  <c r="K1058" i="1"/>
  <c r="K1057" i="1"/>
  <c r="G1063" i="13"/>
  <c r="J1063" i="13" s="1"/>
  <c r="G1060" i="13"/>
  <c r="J1060" i="13" s="1"/>
  <c r="K1054" i="1"/>
  <c r="G1059" i="13"/>
  <c r="J1059" i="13" s="1"/>
  <c r="K1053" i="1"/>
  <c r="K1049" i="1"/>
  <c r="G1055" i="13"/>
  <c r="J1055" i="13" s="1"/>
  <c r="K1045" i="1"/>
  <c r="G1051" i="13"/>
  <c r="J1051" i="13" s="1"/>
  <c r="G1086" i="13"/>
  <c r="J1086" i="13" s="1"/>
  <c r="K1080" i="1"/>
  <c r="G1085" i="13"/>
  <c r="J1085" i="13" s="1"/>
  <c r="K1079" i="1"/>
  <c r="G1050" i="13"/>
  <c r="L1051" i="1"/>
  <c r="K1044" i="1"/>
  <c r="G1084" i="13"/>
  <c r="K1078" i="1"/>
  <c r="G1082" i="13"/>
  <c r="J1082" i="13" s="1"/>
  <c r="K1076" i="1"/>
  <c r="G1088" i="13"/>
  <c r="J1088" i="13" s="1"/>
  <c r="K1082" i="1"/>
  <c r="G1052" i="13"/>
  <c r="J1052" i="13" s="1"/>
  <c r="K1046" i="1"/>
  <c r="G1058" i="13"/>
  <c r="K1052" i="1"/>
  <c r="L1059" i="1"/>
  <c r="G1092" i="13"/>
  <c r="J1092" i="13" s="1"/>
  <c r="K1086" i="1"/>
  <c r="N1061" i="1"/>
  <c r="O1061" i="1"/>
  <c r="G1089" i="13"/>
  <c r="J1089" i="13" s="1"/>
  <c r="K1083" i="1"/>
  <c r="G1053" i="13"/>
  <c r="J1053" i="13" s="1"/>
  <c r="K1047" i="1"/>
  <c r="G1047" i="13"/>
  <c r="J1047" i="13" s="1"/>
  <c r="K1041" i="1"/>
  <c r="K1050" i="1"/>
  <c r="G1056" i="13"/>
  <c r="J1056" i="13" s="1"/>
  <c r="G1046" i="13"/>
  <c r="J1046" i="13" s="1"/>
  <c r="K1040" i="1"/>
  <c r="G1090" i="13"/>
  <c r="J1090" i="13" s="1"/>
  <c r="K1084" i="1"/>
  <c r="G1075" i="13"/>
  <c r="J1075" i="13" s="1"/>
  <c r="K1069" i="1"/>
  <c r="G1079" i="13"/>
  <c r="L1077" i="1"/>
  <c r="L1088" i="1" s="1"/>
  <c r="K1073" i="1"/>
  <c r="G1091" i="13"/>
  <c r="J1091" i="13" s="1"/>
  <c r="K1085" i="1"/>
  <c r="G1045" i="13"/>
  <c r="L1043" i="1"/>
  <c r="K1039" i="1"/>
  <c r="K1056" i="1"/>
  <c r="G1062" i="13"/>
  <c r="J1062" i="13" s="1"/>
  <c r="K1055" i="1"/>
  <c r="G1061" i="13"/>
  <c r="J1061" i="13" s="1"/>
  <c r="G1087" i="13"/>
  <c r="J1087" i="13" s="1"/>
  <c r="K1081" i="1"/>
  <c r="G1054" i="13"/>
  <c r="J1054" i="13" s="1"/>
  <c r="K1048" i="1"/>
  <c r="G1074" i="13"/>
  <c r="K1068" i="1"/>
  <c r="L1071" i="1"/>
  <c r="G1080" i="13"/>
  <c r="J1080" i="13" s="1"/>
  <c r="K1074" i="1"/>
  <c r="G1076" i="13"/>
  <c r="J1076" i="13" s="1"/>
  <c r="K1070" i="1"/>
  <c r="G1048" i="13"/>
  <c r="J1048" i="13" s="1"/>
  <c r="K1042" i="1"/>
  <c r="G1081" i="13"/>
  <c r="J1081" i="13" s="1"/>
  <c r="K1075" i="1"/>
  <c r="G1068" i="13"/>
  <c r="J1068" i="13" s="1"/>
  <c r="K1062" i="1"/>
  <c r="M1067" i="1"/>
  <c r="M1017" i="1"/>
  <c r="M1134" i="1" s="1"/>
  <c r="G323" i="13"/>
  <c r="G324" i="13" s="1"/>
  <c r="F49" i="15" s="1"/>
  <c r="F51" i="15" s="1"/>
  <c r="F55" i="15" s="1"/>
  <c r="N945" i="1"/>
  <c r="O945" i="1"/>
  <c r="L944" i="1"/>
  <c r="L1060" i="1" s="1"/>
  <c r="G835" i="13"/>
  <c r="K829" i="1"/>
  <c r="L834" i="1"/>
  <c r="L839" i="1" s="1"/>
  <c r="L856" i="1" s="1"/>
  <c r="N833" i="1"/>
  <c r="O833" i="1"/>
  <c r="G955" i="13"/>
  <c r="J955" i="13" s="1"/>
  <c r="K949" i="1"/>
  <c r="K942" i="1"/>
  <c r="G948" i="13"/>
  <c r="J948" i="13" s="1"/>
  <c r="N826" i="1"/>
  <c r="O826" i="1"/>
  <c r="G947" i="13"/>
  <c r="J947" i="13" s="1"/>
  <c r="K941" i="1"/>
  <c r="K938" i="1"/>
  <c r="G944" i="13"/>
  <c r="J944" i="13" s="1"/>
  <c r="N822" i="1"/>
  <c r="O822" i="1"/>
  <c r="G943" i="13"/>
  <c r="J943" i="13" s="1"/>
  <c r="K937" i="1"/>
  <c r="K966" i="1"/>
  <c r="G972" i="13"/>
  <c r="J972" i="13" s="1"/>
  <c r="N816" i="1"/>
  <c r="O816" i="1"/>
  <c r="G937" i="13"/>
  <c r="J937" i="13" s="1"/>
  <c r="K931" i="1"/>
  <c r="G931" i="13"/>
  <c r="J931" i="13" s="1"/>
  <c r="K925" i="1"/>
  <c r="N819" i="1"/>
  <c r="O819" i="1"/>
  <c r="G940" i="13"/>
  <c r="J940" i="13" s="1"/>
  <c r="K934" i="1"/>
  <c r="K924" i="1"/>
  <c r="G930" i="13"/>
  <c r="J930" i="13" s="1"/>
  <c r="N851" i="1"/>
  <c r="O851" i="1"/>
  <c r="G973" i="13"/>
  <c r="J973" i="13" s="1"/>
  <c r="K967" i="1"/>
  <c r="K952" i="1"/>
  <c r="G958" i="13"/>
  <c r="J958" i="13" s="1"/>
  <c r="N818" i="1"/>
  <c r="O818" i="1"/>
  <c r="K844" i="1"/>
  <c r="N840" i="1"/>
  <c r="O840" i="1"/>
  <c r="G962" i="13"/>
  <c r="L960" i="1"/>
  <c r="L971" i="1" s="1"/>
  <c r="K956" i="1"/>
  <c r="K968" i="1"/>
  <c r="G974" i="13"/>
  <c r="J974" i="13" s="1"/>
  <c r="N814" i="1"/>
  <c r="O814" i="1"/>
  <c r="M971" i="1"/>
  <c r="K946" i="1"/>
  <c r="G952" i="13"/>
  <c r="J952" i="13" s="1"/>
  <c r="G929" i="13"/>
  <c r="L927" i="1"/>
  <c r="K923" i="1"/>
  <c r="N846" i="1"/>
  <c r="O846" i="1"/>
  <c r="K940" i="1"/>
  <c r="G946" i="13"/>
  <c r="J946" i="13" s="1"/>
  <c r="N824" i="1"/>
  <c r="O824" i="1"/>
  <c r="G945" i="13"/>
  <c r="J945" i="13" s="1"/>
  <c r="K939" i="1"/>
  <c r="J819" i="13"/>
  <c r="J826" i="13" s="1"/>
  <c r="G826" i="13"/>
  <c r="G860" i="13"/>
  <c r="J851" i="13"/>
  <c r="J860" i="13" s="1"/>
  <c r="N843" i="1"/>
  <c r="O843" i="1"/>
  <c r="K964" i="1"/>
  <c r="G970" i="13"/>
  <c r="J970" i="13" s="1"/>
  <c r="N817" i="1"/>
  <c r="O817" i="1"/>
  <c r="G938" i="13"/>
  <c r="J938" i="13" s="1"/>
  <c r="K932" i="1"/>
  <c r="N815" i="1"/>
  <c r="O815" i="1"/>
  <c r="K838" i="1"/>
  <c r="N835" i="1"/>
  <c r="O835" i="1"/>
  <c r="L954" i="1"/>
  <c r="G957" i="13"/>
  <c r="K951" i="1"/>
  <c r="G834" i="13"/>
  <c r="J827" i="13"/>
  <c r="J834" i="13" s="1"/>
  <c r="N821" i="1"/>
  <c r="K828" i="1"/>
  <c r="O821" i="1"/>
  <c r="K957" i="1"/>
  <c r="G963" i="13"/>
  <c r="J963" i="13" s="1"/>
  <c r="N837" i="1"/>
  <c r="O837" i="1"/>
  <c r="G959" i="13"/>
  <c r="J959" i="13" s="1"/>
  <c r="K953" i="1"/>
  <c r="K926" i="1"/>
  <c r="G932" i="13"/>
  <c r="J932" i="13" s="1"/>
  <c r="N842" i="1"/>
  <c r="O842" i="1"/>
  <c r="G964" i="13"/>
  <c r="J964" i="13" s="1"/>
  <c r="K958" i="1"/>
  <c r="M950" i="1"/>
  <c r="M955" i="1" s="1"/>
  <c r="N827" i="1"/>
  <c r="O827" i="1"/>
  <c r="N823" i="1"/>
  <c r="O823" i="1"/>
  <c r="N850" i="1"/>
  <c r="O850" i="1"/>
  <c r="N810" i="1"/>
  <c r="O810" i="1"/>
  <c r="N809" i="1"/>
  <c r="O809" i="1"/>
  <c r="N836" i="1"/>
  <c r="O836" i="1"/>
  <c r="G939" i="13"/>
  <c r="J939" i="13" s="1"/>
  <c r="K933" i="1"/>
  <c r="G850" i="13"/>
  <c r="G861" i="13" s="1"/>
  <c r="F121" i="15" s="1"/>
  <c r="J846" i="13"/>
  <c r="J850" i="13" s="1"/>
  <c r="J861" i="13" s="1"/>
  <c r="I121" i="15" s="1"/>
  <c r="K929" i="1"/>
  <c r="G935" i="13"/>
  <c r="J935" i="13" s="1"/>
  <c r="N847" i="1"/>
  <c r="O847" i="1"/>
  <c r="G969" i="13"/>
  <c r="J969" i="13" s="1"/>
  <c r="K963" i="1"/>
  <c r="M839" i="1"/>
  <c r="N831" i="1"/>
  <c r="O831" i="1"/>
  <c r="J814" i="13"/>
  <c r="J818" i="13" s="1"/>
  <c r="G818" i="13"/>
  <c r="K812" i="1"/>
  <c r="N808" i="1"/>
  <c r="O808" i="1"/>
  <c r="K962" i="1"/>
  <c r="G968" i="13"/>
  <c r="J968" i="13" s="1"/>
  <c r="N825" i="1"/>
  <c r="O825" i="1"/>
  <c r="N813" i="1"/>
  <c r="K820" i="1"/>
  <c r="O813" i="1"/>
  <c r="L935" i="1"/>
  <c r="G934" i="13"/>
  <c r="K928" i="1"/>
  <c r="N845" i="1"/>
  <c r="K854" i="1"/>
  <c r="O845" i="1"/>
  <c r="G967" i="13"/>
  <c r="K961" i="1"/>
  <c r="K959" i="1"/>
  <c r="G965" i="13"/>
  <c r="J965" i="13" s="1"/>
  <c r="N848" i="1"/>
  <c r="O848" i="1"/>
  <c r="N849" i="1"/>
  <c r="O849" i="1"/>
  <c r="G971" i="13"/>
  <c r="J971" i="13" s="1"/>
  <c r="K965" i="1"/>
  <c r="G936" i="13"/>
  <c r="J936" i="13" s="1"/>
  <c r="K930" i="1"/>
  <c r="G844" i="13"/>
  <c r="J841" i="13"/>
  <c r="J844" i="13" s="1"/>
  <c r="L943" i="1"/>
  <c r="G942" i="13"/>
  <c r="K936" i="1"/>
  <c r="N841" i="1"/>
  <c r="O841" i="1"/>
  <c r="N811" i="1"/>
  <c r="O811" i="1"/>
  <c r="N853" i="1"/>
  <c r="O853" i="1"/>
  <c r="G975" i="13"/>
  <c r="J975" i="13" s="1"/>
  <c r="K969" i="1"/>
  <c r="O570" i="1"/>
  <c r="O442" i="1"/>
  <c r="J323" i="13"/>
  <c r="J324" i="13" s="1"/>
  <c r="J351" i="13" s="1"/>
  <c r="G423" i="13"/>
  <c r="J435" i="13"/>
  <c r="J463" i="13"/>
  <c r="J464" i="13" s="1"/>
  <c r="I67" i="15" s="1"/>
  <c r="I69" i="15" s="1"/>
  <c r="L724" i="1"/>
  <c r="L741" i="1" s="1"/>
  <c r="J615" i="13"/>
  <c r="I90" i="15" s="1"/>
  <c r="O562" i="1"/>
  <c r="O514" i="1"/>
  <c r="O557" i="1"/>
  <c r="O516" i="1"/>
  <c r="O519" i="1"/>
  <c r="O560" i="1"/>
  <c r="O455" i="1"/>
  <c r="L531" i="1"/>
  <c r="O567" i="1"/>
  <c r="G435" i="13"/>
  <c r="J631" i="13"/>
  <c r="I91" i="15" s="1"/>
  <c r="O513" i="1"/>
  <c r="L461" i="1"/>
  <c r="G462" i="13" s="1"/>
  <c r="G463" i="13" s="1"/>
  <c r="G464" i="13" s="1"/>
  <c r="F67" i="15" s="1"/>
  <c r="F69" i="15" s="1"/>
  <c r="O554" i="1"/>
  <c r="O429" i="1"/>
  <c r="M774" i="1"/>
  <c r="N693" i="1"/>
  <c r="O693" i="1"/>
  <c r="K659" i="1"/>
  <c r="N659" i="1" s="1"/>
  <c r="L774" i="1"/>
  <c r="G665" i="13"/>
  <c r="J665" i="13" s="1"/>
  <c r="I49" i="15"/>
  <c r="I51" i="15" s="1"/>
  <c r="I55" i="15" s="1"/>
  <c r="N206" i="1"/>
  <c r="N207" i="1" s="1"/>
  <c r="K207" i="1"/>
  <c r="O206" i="1"/>
  <c r="O207" i="1" s="1"/>
  <c r="L746" i="1"/>
  <c r="L861" i="1" s="1"/>
  <c r="K631" i="1"/>
  <c r="N631" i="1" s="1"/>
  <c r="G637" i="13"/>
  <c r="J637" i="13" s="1"/>
  <c r="K639" i="1"/>
  <c r="N639" i="1" s="1"/>
  <c r="L754" i="1"/>
  <c r="L869" i="1" s="1"/>
  <c r="G645" i="13"/>
  <c r="J645" i="13" s="1"/>
  <c r="E37" i="15"/>
  <c r="D39" i="15"/>
  <c r="E39" i="15" s="1"/>
  <c r="J720" i="13"/>
  <c r="J725" i="13" s="1"/>
  <c r="G725" i="13"/>
  <c r="N700" i="1"/>
  <c r="O700" i="1"/>
  <c r="K723" i="1"/>
  <c r="N720" i="1"/>
  <c r="O720" i="1"/>
  <c r="G719" i="13"/>
  <c r="J712" i="13"/>
  <c r="J719" i="13" s="1"/>
  <c r="I75" i="15"/>
  <c r="I78" i="15" s="1"/>
  <c r="J517" i="13"/>
  <c r="N512" i="1"/>
  <c r="K522" i="1"/>
  <c r="O522" i="1" s="1"/>
  <c r="J518" i="13"/>
  <c r="J528" i="13" s="1"/>
  <c r="G528" i="13"/>
  <c r="K636" i="1"/>
  <c r="N636" i="1" s="1"/>
  <c r="L751" i="1"/>
  <c r="L866" i="1" s="1"/>
  <c r="G642" i="13"/>
  <c r="J642" i="13" s="1"/>
  <c r="L758" i="1"/>
  <c r="L873" i="1" s="1"/>
  <c r="G649" i="13"/>
  <c r="J649" i="13" s="1"/>
  <c r="K643" i="1"/>
  <c r="L768" i="1"/>
  <c r="L883" i="1" s="1"/>
  <c r="K653" i="1"/>
  <c r="N653" i="1" s="1"/>
  <c r="G659" i="13"/>
  <c r="J659" i="13" s="1"/>
  <c r="K655" i="1"/>
  <c r="N655" i="1" s="1"/>
  <c r="L770" i="1"/>
  <c r="L885" i="1" s="1"/>
  <c r="G661" i="13"/>
  <c r="J661" i="13" s="1"/>
  <c r="J562" i="13"/>
  <c r="J564" i="13" s="1"/>
  <c r="G564" i="13"/>
  <c r="M751" i="1"/>
  <c r="M866" i="1" s="1"/>
  <c r="M763" i="1"/>
  <c r="M878" i="1" s="1"/>
  <c r="M771" i="1"/>
  <c r="M886" i="1" s="1"/>
  <c r="M460" i="1"/>
  <c r="M792" i="1"/>
  <c r="M907" i="1" s="1"/>
  <c r="M683" i="1"/>
  <c r="M795" i="1"/>
  <c r="M910" i="1" s="1"/>
  <c r="M799" i="1"/>
  <c r="M914" i="1" s="1"/>
  <c r="N722" i="1"/>
  <c r="O722" i="1"/>
  <c r="N437" i="1"/>
  <c r="K459" i="1"/>
  <c r="O559" i="1"/>
  <c r="N559" i="1"/>
  <c r="K564" i="1"/>
  <c r="N564" i="1" s="1"/>
  <c r="K674" i="1"/>
  <c r="L789" i="1"/>
  <c r="L904" i="1" s="1"/>
  <c r="G680" i="13"/>
  <c r="L679" i="1"/>
  <c r="K678" i="1"/>
  <c r="N678" i="1" s="1"/>
  <c r="L793" i="1"/>
  <c r="L908" i="1" s="1"/>
  <c r="N695" i="1"/>
  <c r="O695" i="1"/>
  <c r="M741" i="1"/>
  <c r="M531" i="1"/>
  <c r="O552" i="1"/>
  <c r="N704" i="1"/>
  <c r="O704" i="1"/>
  <c r="J700" i="13"/>
  <c r="J703" i="13" s="1"/>
  <c r="G703" i="13"/>
  <c r="N725" i="1"/>
  <c r="K729" i="1"/>
  <c r="O725" i="1"/>
  <c r="M743" i="1"/>
  <c r="M858" i="1" s="1"/>
  <c r="O537" i="1"/>
  <c r="M770" i="1"/>
  <c r="M885" i="1" s="1"/>
  <c r="M779" i="1"/>
  <c r="M894" i="1" s="1"/>
  <c r="O561" i="1"/>
  <c r="M793" i="1"/>
  <c r="M908" i="1" s="1"/>
  <c r="O678" i="1"/>
  <c r="G351" i="13"/>
  <c r="O398" i="1"/>
  <c r="N398" i="1"/>
  <c r="G634" i="13"/>
  <c r="J634" i="13" s="1"/>
  <c r="L743" i="1"/>
  <c r="L858" i="1" s="1"/>
  <c r="K628" i="1"/>
  <c r="N628" i="1" s="1"/>
  <c r="L764" i="1"/>
  <c r="L879" i="1" s="1"/>
  <c r="G655" i="13"/>
  <c r="J655" i="13" s="1"/>
  <c r="K649" i="1"/>
  <c r="N649" i="1" s="1"/>
  <c r="L779" i="1"/>
  <c r="L894" i="1" s="1"/>
  <c r="G670" i="13"/>
  <c r="J670" i="13" s="1"/>
  <c r="K664" i="1"/>
  <c r="N664" i="1" s="1"/>
  <c r="O553" i="1"/>
  <c r="N598" i="1"/>
  <c r="O598" i="1"/>
  <c r="F75" i="15"/>
  <c r="F78" i="15" s="1"/>
  <c r="G517" i="13"/>
  <c r="K632" i="1"/>
  <c r="N632" i="1" s="1"/>
  <c r="L747" i="1"/>
  <c r="L862" i="1" s="1"/>
  <c r="G638" i="13"/>
  <c r="J638" i="13" s="1"/>
  <c r="L755" i="1"/>
  <c r="L870" i="1" s="1"/>
  <c r="G646" i="13"/>
  <c r="J646" i="13" s="1"/>
  <c r="K640" i="1"/>
  <c r="N640" i="1" s="1"/>
  <c r="G678" i="13"/>
  <c r="J678" i="13" s="1"/>
  <c r="L787" i="1"/>
  <c r="L902" i="1" s="1"/>
  <c r="K672" i="1"/>
  <c r="N672" i="1" s="1"/>
  <c r="L796" i="1"/>
  <c r="L911" i="1" s="1"/>
  <c r="K681" i="1"/>
  <c r="N681" i="1" s="1"/>
  <c r="G686" i="13"/>
  <c r="J686" i="13" s="1"/>
  <c r="N731" i="1"/>
  <c r="O731" i="1"/>
  <c r="N510" i="1"/>
  <c r="D76" i="15"/>
  <c r="E76" i="15" s="1"/>
  <c r="O510" i="1"/>
  <c r="N712" i="1"/>
  <c r="O712" i="1"/>
  <c r="N711" i="1"/>
  <c r="O711" i="1"/>
  <c r="N708" i="1"/>
  <c r="O708" i="1"/>
  <c r="N707" i="1"/>
  <c r="O707" i="1"/>
  <c r="M745" i="1"/>
  <c r="M860" i="1" s="1"/>
  <c r="O517" i="1"/>
  <c r="O518" i="1"/>
  <c r="O520" i="1"/>
  <c r="M754" i="1"/>
  <c r="M869" i="1" s="1"/>
  <c r="M645" i="1"/>
  <c r="M755" i="1"/>
  <c r="M870" i="1" s="1"/>
  <c r="M650" i="1"/>
  <c r="M762" i="1"/>
  <c r="M877" i="1" s="1"/>
  <c r="M764" i="1"/>
  <c r="M879" i="1" s="1"/>
  <c r="M768" i="1"/>
  <c r="M883" i="1" s="1"/>
  <c r="M572" i="1"/>
  <c r="M573" i="1" s="1"/>
  <c r="K705" i="1"/>
  <c r="N698" i="1"/>
  <c r="O698" i="1"/>
  <c r="N590" i="1"/>
  <c r="O590" i="1"/>
  <c r="N696" i="1"/>
  <c r="O696" i="1"/>
  <c r="K629" i="1"/>
  <c r="N629" i="1" s="1"/>
  <c r="L744" i="1"/>
  <c r="L859" i="1" s="1"/>
  <c r="G635" i="13"/>
  <c r="J635" i="13" s="1"/>
  <c r="K644" i="1"/>
  <c r="N644" i="1" s="1"/>
  <c r="L759" i="1"/>
  <c r="L874" i="1" s="1"/>
  <c r="G650" i="13"/>
  <c r="J650" i="13" s="1"/>
  <c r="N547" i="1"/>
  <c r="K550" i="1"/>
  <c r="O550" i="1" s="1"/>
  <c r="L777" i="1"/>
  <c r="L892" i="1" s="1"/>
  <c r="K662" i="1"/>
  <c r="G668" i="13"/>
  <c r="L665" i="1"/>
  <c r="L781" i="1"/>
  <c r="L896" i="1" s="1"/>
  <c r="G672" i="13"/>
  <c r="L670" i="1"/>
  <c r="K666" i="1"/>
  <c r="O666" i="1" s="1"/>
  <c r="G573" i="13"/>
  <c r="J570" i="13"/>
  <c r="J573" i="13" s="1"/>
  <c r="N730" i="1"/>
  <c r="K739" i="1"/>
  <c r="O730" i="1"/>
  <c r="N728" i="1"/>
  <c r="O728" i="1"/>
  <c r="O445" i="1"/>
  <c r="N733" i="1"/>
  <c r="O733" i="1"/>
  <c r="K609" i="1"/>
  <c r="N582" i="1"/>
  <c r="O582" i="1"/>
  <c r="G615" i="13"/>
  <c r="N721" i="1"/>
  <c r="O721" i="1"/>
  <c r="K530" i="1"/>
  <c r="N530" i="1" s="1"/>
  <c r="N523" i="1"/>
  <c r="O523" i="1"/>
  <c r="L645" i="1"/>
  <c r="L753" i="1"/>
  <c r="L868" i="1" s="1"/>
  <c r="G644" i="13"/>
  <c r="K638" i="1"/>
  <c r="G541" i="13"/>
  <c r="J538" i="13"/>
  <c r="J541" i="13" s="1"/>
  <c r="N532" i="1"/>
  <c r="K535" i="1"/>
  <c r="O535" i="1" s="1"/>
  <c r="G548" i="13"/>
  <c r="J542" i="13"/>
  <c r="J548" i="13" s="1"/>
  <c r="N614" i="1"/>
  <c r="K625" i="1"/>
  <c r="O614" i="1"/>
  <c r="N702" i="1"/>
  <c r="O702" i="1"/>
  <c r="M757" i="1"/>
  <c r="M872" i="1" s="1"/>
  <c r="M769" i="1"/>
  <c r="M884" i="1" s="1"/>
  <c r="O566" i="1"/>
  <c r="N738" i="1"/>
  <c r="O738" i="1"/>
  <c r="K675" i="1"/>
  <c r="N675" i="1" s="1"/>
  <c r="L790" i="1"/>
  <c r="L905" i="1" s="1"/>
  <c r="G681" i="13"/>
  <c r="J681" i="13" s="1"/>
  <c r="N714" i="1"/>
  <c r="O714" i="1"/>
  <c r="G729" i="13"/>
  <c r="J726" i="13"/>
  <c r="J729" i="13" s="1"/>
  <c r="N608" i="1"/>
  <c r="O608" i="1"/>
  <c r="M686" i="1"/>
  <c r="M800" i="1"/>
  <c r="M915" i="1" s="1"/>
  <c r="N706" i="1"/>
  <c r="K713" i="1"/>
  <c r="O706" i="1"/>
  <c r="D75" i="15"/>
  <c r="K511" i="1"/>
  <c r="N494" i="1"/>
  <c r="O494" i="1"/>
  <c r="K319" i="1"/>
  <c r="N305" i="1"/>
  <c r="O305" i="1"/>
  <c r="L742" i="1"/>
  <c r="L857" i="1" s="1"/>
  <c r="K627" i="1"/>
  <c r="G633" i="13"/>
  <c r="L637" i="1"/>
  <c r="O556" i="1"/>
  <c r="K558" i="1"/>
  <c r="N558" i="1" s="1"/>
  <c r="N556" i="1"/>
  <c r="L786" i="1"/>
  <c r="L901" i="1" s="1"/>
  <c r="G677" i="13"/>
  <c r="K671" i="1"/>
  <c r="L673" i="1"/>
  <c r="K676" i="1"/>
  <c r="N676" i="1" s="1"/>
  <c r="L791" i="1"/>
  <c r="L906" i="1" s="1"/>
  <c r="G682" i="13"/>
  <c r="J682" i="13" s="1"/>
  <c r="O521" i="1"/>
  <c r="O533" i="1"/>
  <c r="O541" i="1"/>
  <c r="O437" i="1"/>
  <c r="M797" i="1"/>
  <c r="M912" i="1" s="1"/>
  <c r="O458" i="1"/>
  <c r="N726" i="1"/>
  <c r="O726" i="1"/>
  <c r="L748" i="1"/>
  <c r="L863" i="1" s="1"/>
  <c r="K633" i="1"/>
  <c r="N633" i="1" s="1"/>
  <c r="G639" i="13"/>
  <c r="J639" i="13" s="1"/>
  <c r="K641" i="1"/>
  <c r="L756" i="1"/>
  <c r="L871" i="1" s="1"/>
  <c r="G647" i="13"/>
  <c r="J647" i="13" s="1"/>
  <c r="L767" i="1"/>
  <c r="L882" i="1" s="1"/>
  <c r="K652" i="1"/>
  <c r="N652" i="1" s="1"/>
  <c r="G658" i="13"/>
  <c r="J658" i="13" s="1"/>
  <c r="K654" i="1"/>
  <c r="N654" i="1" s="1"/>
  <c r="L769" i="1"/>
  <c r="L884" i="1" s="1"/>
  <c r="G660" i="13"/>
  <c r="J660" i="13" s="1"/>
  <c r="L771" i="1"/>
  <c r="L886" i="1" s="1"/>
  <c r="G662" i="13"/>
  <c r="J662" i="13" s="1"/>
  <c r="K656" i="1"/>
  <c r="N656" i="1" s="1"/>
  <c r="L782" i="1"/>
  <c r="L897" i="1" s="1"/>
  <c r="G673" i="13"/>
  <c r="J673" i="13" s="1"/>
  <c r="K667" i="1"/>
  <c r="N667" i="1" s="1"/>
  <c r="J565" i="13"/>
  <c r="J569" i="13" s="1"/>
  <c r="G569" i="13"/>
  <c r="N569" i="1"/>
  <c r="K571" i="1"/>
  <c r="N571" i="1" s="1"/>
  <c r="L799" i="1"/>
  <c r="L914" i="1" s="1"/>
  <c r="G689" i="13"/>
  <c r="L686" i="1"/>
  <c r="K684" i="1"/>
  <c r="N735" i="1"/>
  <c r="O735" i="1"/>
  <c r="N701" i="1"/>
  <c r="O701" i="1"/>
  <c r="O512" i="1"/>
  <c r="O627" i="1"/>
  <c r="M742" i="1"/>
  <c r="M857" i="1" s="1"/>
  <c r="M637" i="1"/>
  <c r="M432" i="1"/>
  <c r="M670" i="1"/>
  <c r="M782" i="1"/>
  <c r="M897" i="1" s="1"/>
  <c r="O667" i="1"/>
  <c r="N694" i="1"/>
  <c r="K697" i="1"/>
  <c r="O694" i="1"/>
  <c r="K630" i="1"/>
  <c r="N630" i="1" s="1"/>
  <c r="L745" i="1"/>
  <c r="L860" i="1" s="1"/>
  <c r="G636" i="13"/>
  <c r="J636" i="13" s="1"/>
  <c r="J423" i="13"/>
  <c r="K430" i="1"/>
  <c r="N430" i="1" s="1"/>
  <c r="N422" i="1"/>
  <c r="K668" i="1"/>
  <c r="N668" i="1" s="1"/>
  <c r="L783" i="1"/>
  <c r="L898" i="1" s="1"/>
  <c r="G674" i="13"/>
  <c r="J674" i="13" s="1"/>
  <c r="L784" i="1"/>
  <c r="L899" i="1" s="1"/>
  <c r="G675" i="13"/>
  <c r="J675" i="13" s="1"/>
  <c r="K669" i="1"/>
  <c r="N669" i="1" s="1"/>
  <c r="G735" i="13"/>
  <c r="J731" i="13"/>
  <c r="J735" i="13" s="1"/>
  <c r="G631" i="13"/>
  <c r="F91" i="15" s="1"/>
  <c r="M744" i="1"/>
  <c r="M859" i="1" s="1"/>
  <c r="O629" i="1"/>
  <c r="O317" i="1"/>
  <c r="O652" i="1"/>
  <c r="M767" i="1"/>
  <c r="M882" i="1" s="1"/>
  <c r="O540" i="1"/>
  <c r="M778" i="1"/>
  <c r="M893" i="1" s="1"/>
  <c r="O549" i="1"/>
  <c r="M787" i="1"/>
  <c r="M902" i="1" s="1"/>
  <c r="O451" i="1"/>
  <c r="M791" i="1"/>
  <c r="M906" i="1" s="1"/>
  <c r="O676" i="1"/>
  <c r="O563" i="1"/>
  <c r="N699" i="1"/>
  <c r="O699" i="1"/>
  <c r="E60" i="15"/>
  <c r="D63" i="15"/>
  <c r="N732" i="1"/>
  <c r="O732" i="1"/>
  <c r="L750" i="1"/>
  <c r="L865" i="1" s="1"/>
  <c r="K635" i="1"/>
  <c r="N635" i="1" s="1"/>
  <c r="G641" i="13"/>
  <c r="J641" i="13" s="1"/>
  <c r="N346" i="1"/>
  <c r="N347" i="1" s="1"/>
  <c r="K347" i="1"/>
  <c r="D52" i="15" s="1"/>
  <c r="L800" i="1"/>
  <c r="L915" i="1" s="1"/>
  <c r="G690" i="13"/>
  <c r="G691" i="13"/>
  <c r="K685" i="1"/>
  <c r="N685" i="1" s="1"/>
  <c r="N604" i="1"/>
  <c r="O604" i="1"/>
  <c r="M348" i="1"/>
  <c r="M783" i="1"/>
  <c r="M898" i="1" s="1"/>
  <c r="N718" i="1"/>
  <c r="O718" i="1"/>
  <c r="N409" i="1"/>
  <c r="K418" i="1"/>
  <c r="L757" i="1"/>
  <c r="L872" i="1" s="1"/>
  <c r="G648" i="13"/>
  <c r="J648" i="13" s="1"/>
  <c r="K642" i="1"/>
  <c r="N642" i="1" s="1"/>
  <c r="L792" i="1"/>
  <c r="L907" i="1" s="1"/>
  <c r="G683" i="13"/>
  <c r="J683" i="13" s="1"/>
  <c r="K677" i="1"/>
  <c r="N677" i="1" s="1"/>
  <c r="O515" i="1"/>
  <c r="M746" i="1"/>
  <c r="M861" i="1" s="1"/>
  <c r="M747" i="1"/>
  <c r="M862" i="1" s="1"/>
  <c r="M748" i="1"/>
  <c r="M863" i="1" s="1"/>
  <c r="M749" i="1"/>
  <c r="M864" i="1" s="1"/>
  <c r="M750" i="1"/>
  <c r="M865" i="1" s="1"/>
  <c r="O524" i="1"/>
  <c r="O525" i="1"/>
  <c r="M759" i="1"/>
  <c r="M874" i="1" s="1"/>
  <c r="O532" i="1"/>
  <c r="M543" i="1"/>
  <c r="O534" i="1"/>
  <c r="O538" i="1"/>
  <c r="O547" i="1"/>
  <c r="M665" i="1"/>
  <c r="M777" i="1"/>
  <c r="M892" i="1" s="1"/>
  <c r="O662" i="1"/>
  <c r="M790" i="1"/>
  <c r="M905" i="1" s="1"/>
  <c r="O675" i="1"/>
  <c r="N710" i="1"/>
  <c r="O710" i="1"/>
  <c r="N709" i="1"/>
  <c r="O709" i="1"/>
  <c r="J704" i="13"/>
  <c r="J711" i="13" s="1"/>
  <c r="G711" i="13"/>
  <c r="L572" i="1"/>
  <c r="L573" i="1" s="1"/>
  <c r="G556" i="13"/>
  <c r="J553" i="13"/>
  <c r="J556" i="13" s="1"/>
  <c r="G669" i="13"/>
  <c r="J669" i="13" s="1"/>
  <c r="L778" i="1"/>
  <c r="L893" i="1" s="1"/>
  <c r="K663" i="1"/>
  <c r="N663" i="1" s="1"/>
  <c r="N551" i="1"/>
  <c r="K555" i="1"/>
  <c r="N555" i="1" s="1"/>
  <c r="G561" i="13"/>
  <c r="J557" i="13"/>
  <c r="J561" i="13" s="1"/>
  <c r="N565" i="1"/>
  <c r="K568" i="1"/>
  <c r="N568" i="1" s="1"/>
  <c r="L683" i="1"/>
  <c r="L795" i="1"/>
  <c r="L910" i="1" s="1"/>
  <c r="G685" i="13"/>
  <c r="K680" i="1"/>
  <c r="L797" i="1"/>
  <c r="L912" i="1" s="1"/>
  <c r="G687" i="13"/>
  <c r="J687" i="13" s="1"/>
  <c r="K682" i="1"/>
  <c r="N682" i="1" s="1"/>
  <c r="G745" i="13"/>
  <c r="J736" i="13"/>
  <c r="J745" i="13" s="1"/>
  <c r="N624" i="1"/>
  <c r="O624" i="1"/>
  <c r="N727" i="1"/>
  <c r="O727" i="1"/>
  <c r="M784" i="1"/>
  <c r="M899" i="1" s="1"/>
  <c r="N736" i="1"/>
  <c r="O736" i="1"/>
  <c r="N703" i="1"/>
  <c r="O703" i="1"/>
  <c r="K634" i="1"/>
  <c r="N634" i="1" s="1"/>
  <c r="L749" i="1"/>
  <c r="L864" i="1" s="1"/>
  <c r="G640" i="13"/>
  <c r="J640" i="13" s="1"/>
  <c r="G536" i="13"/>
  <c r="J529" i="13"/>
  <c r="J536" i="13" s="1"/>
  <c r="L543" i="1"/>
  <c r="L650" i="1"/>
  <c r="L762" i="1"/>
  <c r="L877" i="1" s="1"/>
  <c r="K647" i="1"/>
  <c r="G653" i="13"/>
  <c r="K648" i="1"/>
  <c r="N648" i="1" s="1"/>
  <c r="L763" i="1"/>
  <c r="L878" i="1" s="1"/>
  <c r="G654" i="13"/>
  <c r="J654" i="13" s="1"/>
  <c r="K542" i="1"/>
  <c r="N542" i="1" s="1"/>
  <c r="N536" i="1"/>
  <c r="L657" i="1"/>
  <c r="L766" i="1"/>
  <c r="L881" i="1" s="1"/>
  <c r="G657" i="13"/>
  <c r="K651" i="1"/>
  <c r="N734" i="1"/>
  <c r="O734" i="1"/>
  <c r="O527" i="1"/>
  <c r="M657" i="1"/>
  <c r="M766" i="1"/>
  <c r="M881" i="1" s="1"/>
  <c r="O539" i="1"/>
  <c r="O346" i="1"/>
  <c r="O347" i="1" s="1"/>
  <c r="O551" i="1"/>
  <c r="M781" i="1"/>
  <c r="M896" i="1" s="1"/>
  <c r="M679" i="1"/>
  <c r="M789" i="1"/>
  <c r="M904" i="1" s="1"/>
  <c r="O674" i="1"/>
  <c r="M796" i="1"/>
  <c r="M911" i="1" s="1"/>
  <c r="J55" i="15"/>
  <c r="I517" i="16"/>
  <c r="J82" i="15" s="1"/>
  <c r="J84" i="15" s="1"/>
  <c r="F461" i="16"/>
  <c r="F520" i="16" s="1"/>
  <c r="I491" i="16"/>
  <c r="J79" i="15" s="1"/>
  <c r="J81" i="15" s="1"/>
  <c r="J76" i="15"/>
  <c r="F547" i="16"/>
  <c r="I542" i="16"/>
  <c r="I547" i="16" s="1"/>
  <c r="I548" i="16"/>
  <c r="I552" i="16" s="1"/>
  <c r="J92" i="15" s="1"/>
  <c r="F552" i="16"/>
  <c r="I584" i="16"/>
  <c r="J94" i="15" s="1"/>
  <c r="J96" i="15" s="1"/>
  <c r="F611" i="16"/>
  <c r="I427" i="16"/>
  <c r="I459" i="16"/>
  <c r="J77" i="15" s="1"/>
  <c r="F540" i="16"/>
  <c r="I527" i="16"/>
  <c r="I540" i="16" s="1"/>
  <c r="J90" i="15" s="1"/>
  <c r="I447" i="16"/>
  <c r="J75" i="15" s="1"/>
  <c r="F584" i="16"/>
  <c r="I611" i="16"/>
  <c r="J97" i="15" s="1"/>
  <c r="J99" i="15" s="1"/>
  <c r="Q278" i="14"/>
  <c r="S278" i="14" s="1"/>
  <c r="T278" i="14" s="1"/>
  <c r="Q277" i="14"/>
  <c r="S277" i="14" s="1"/>
  <c r="T277" i="14" s="1"/>
  <c r="M135" i="17"/>
  <c r="N135" i="17"/>
  <c r="I59" i="1"/>
  <c r="I122" i="1" s="1"/>
  <c r="Q276" i="14"/>
  <c r="S276" i="14" s="1"/>
  <c r="T276" i="14" s="1"/>
  <c r="N17" i="17"/>
  <c r="P269" i="14"/>
  <c r="T274" i="14"/>
  <c r="Q272" i="14"/>
  <c r="S272" i="14" s="1"/>
  <c r="T272" i="14" s="1"/>
  <c r="Q268" i="14"/>
  <c r="S268" i="14" s="1"/>
  <c r="T268" i="14" s="1"/>
  <c r="N54" i="17"/>
  <c r="Q19" i="17"/>
  <c r="H15" i="15" s="1"/>
  <c r="N18" i="17"/>
  <c r="N26" i="17"/>
  <c r="N50" i="17"/>
  <c r="N62" i="17"/>
  <c r="N52" i="17"/>
  <c r="E59" i="1"/>
  <c r="E122" i="1" s="1"/>
  <c r="C18" i="15"/>
  <c r="C25" i="15" s="1"/>
  <c r="H56" i="16"/>
  <c r="N32" i="17"/>
  <c r="Q37" i="17"/>
  <c r="H19" i="15"/>
  <c r="H21" i="15" s="1"/>
  <c r="F60" i="13"/>
  <c r="F44" i="13"/>
  <c r="N51" i="17"/>
  <c r="N39" i="17"/>
  <c r="P271" i="14"/>
  <c r="Q271" i="14"/>
  <c r="S271" i="14" s="1"/>
  <c r="K28" i="17"/>
  <c r="G16" i="15"/>
  <c r="G18" i="15" s="1"/>
  <c r="N16" i="17"/>
  <c r="P72" i="17"/>
  <c r="F121" i="13"/>
  <c r="F122" i="13" s="1"/>
  <c r="I93" i="13"/>
  <c r="I81" i="13"/>
  <c r="F93" i="13"/>
  <c r="F81" i="13"/>
  <c r="H59" i="1"/>
  <c r="H122" i="1" s="1"/>
  <c r="Q269" i="14"/>
  <c r="S269" i="14" s="1"/>
  <c r="O266" i="14"/>
  <c r="N266" i="14" s="1"/>
  <c r="M266" i="14"/>
  <c r="Q264" i="14"/>
  <c r="P264" i="14"/>
  <c r="R264" i="14"/>
  <c r="R275" i="14"/>
  <c r="P275" i="14"/>
  <c r="Q275" i="14"/>
  <c r="Q265" i="14"/>
  <c r="R265" i="14"/>
  <c r="P265" i="14"/>
  <c r="Q263" i="14"/>
  <c r="R263" i="14"/>
  <c r="P263" i="14"/>
  <c r="N58" i="17"/>
  <c r="J19" i="17"/>
  <c r="M19" i="17" s="1"/>
  <c r="M38" i="17"/>
  <c r="N69" i="17"/>
  <c r="N61" i="17"/>
  <c r="N53" i="17"/>
  <c r="N45" i="17"/>
  <c r="N43" i="17"/>
  <c r="Q27" i="17"/>
  <c r="N34" i="17"/>
  <c r="I19" i="17"/>
  <c r="F28" i="17"/>
  <c r="I28" i="17" s="1"/>
  <c r="N63" i="17"/>
  <c r="N55" i="17"/>
  <c r="N47" i="17"/>
  <c r="F71" i="17"/>
  <c r="I70" i="17"/>
  <c r="J36" i="17"/>
  <c r="M29" i="17"/>
  <c r="N65" i="17"/>
  <c r="N57" i="17"/>
  <c r="N49" i="17"/>
  <c r="N40" i="17"/>
  <c r="N22" i="17"/>
  <c r="J27" i="17"/>
  <c r="M20" i="17"/>
  <c r="N31" i="17"/>
  <c r="N24" i="17"/>
  <c r="L28" i="17"/>
  <c r="N15" i="17"/>
  <c r="I44" i="13"/>
  <c r="I121" i="13"/>
  <c r="I122" i="13" s="1"/>
  <c r="I60" i="13"/>
  <c r="G79" i="1"/>
  <c r="J70" i="1"/>
  <c r="J47" i="1"/>
  <c r="G58" i="1"/>
  <c r="G42" i="1"/>
  <c r="G120" i="1"/>
  <c r="G91" i="1"/>
  <c r="J91" i="1" s="1"/>
  <c r="N13" i="1"/>
  <c r="J83" i="1"/>
  <c r="O13" i="1"/>
  <c r="S273" i="14" l="1"/>
  <c r="T273" i="14" s="1"/>
  <c r="S270" i="14"/>
  <c r="T270" i="14" s="1"/>
  <c r="S267" i="14"/>
  <c r="T267" i="14" s="1"/>
  <c r="S275" i="14"/>
  <c r="T269" i="14"/>
  <c r="N1068" i="1"/>
  <c r="K1071" i="1"/>
  <c r="O1068" i="1"/>
  <c r="N1048" i="1"/>
  <c r="O1048" i="1"/>
  <c r="N1081" i="1"/>
  <c r="O1081" i="1"/>
  <c r="N1039" i="1"/>
  <c r="K1043" i="1"/>
  <c r="O1039" i="1"/>
  <c r="J1045" i="13"/>
  <c r="J1049" i="13" s="1"/>
  <c r="G1049" i="13"/>
  <c r="N1069" i="1"/>
  <c r="O1069" i="1"/>
  <c r="N1084" i="1"/>
  <c r="O1084" i="1"/>
  <c r="N1040" i="1"/>
  <c r="O1040" i="1"/>
  <c r="N1041" i="1"/>
  <c r="O1041" i="1"/>
  <c r="N1047" i="1"/>
  <c r="O1047" i="1"/>
  <c r="N1083" i="1"/>
  <c r="O1083" i="1"/>
  <c r="N1086" i="1"/>
  <c r="O1086" i="1"/>
  <c r="G1065" i="13"/>
  <c r="J1058" i="13"/>
  <c r="J1065" i="13" s="1"/>
  <c r="G1093" i="13"/>
  <c r="J1084" i="13"/>
  <c r="J1093" i="13" s="1"/>
  <c r="N1079" i="1"/>
  <c r="O1079" i="1"/>
  <c r="N1080" i="1"/>
  <c r="O1080" i="1"/>
  <c r="N1053" i="1"/>
  <c r="O1053" i="1"/>
  <c r="N1054" i="1"/>
  <c r="O1054" i="1"/>
  <c r="N1058" i="1"/>
  <c r="O1058" i="1"/>
  <c r="N1066" i="1"/>
  <c r="O1066" i="1"/>
  <c r="N1075" i="1"/>
  <c r="O1075" i="1"/>
  <c r="N1042" i="1"/>
  <c r="O1042" i="1"/>
  <c r="N1070" i="1"/>
  <c r="O1070" i="1"/>
  <c r="N1074" i="1"/>
  <c r="O1074" i="1"/>
  <c r="G1077" i="13"/>
  <c r="J1074" i="13"/>
  <c r="J1077" i="13" s="1"/>
  <c r="N1055" i="1"/>
  <c r="O1055" i="1"/>
  <c r="N1056" i="1"/>
  <c r="O1056" i="1"/>
  <c r="N1085" i="1"/>
  <c r="O1085" i="1"/>
  <c r="O1073" i="1"/>
  <c r="N1073" i="1"/>
  <c r="K1077" i="1"/>
  <c r="G1083" i="13"/>
  <c r="G1094" i="13" s="1"/>
  <c r="F151" i="15" s="1"/>
  <c r="J1079" i="13"/>
  <c r="J1083" i="13" s="1"/>
  <c r="J1094" i="13" s="1"/>
  <c r="I151" i="15" s="1"/>
  <c r="N1050" i="1"/>
  <c r="O1050" i="1"/>
  <c r="N1052" i="1"/>
  <c r="K1059" i="1"/>
  <c r="O1052" i="1"/>
  <c r="N1046" i="1"/>
  <c r="O1046" i="1"/>
  <c r="N1082" i="1"/>
  <c r="O1082" i="1"/>
  <c r="N1076" i="1"/>
  <c r="O1076" i="1"/>
  <c r="N1078" i="1"/>
  <c r="K1087" i="1"/>
  <c r="O1078" i="1"/>
  <c r="K1051" i="1"/>
  <c r="N1044" i="1"/>
  <c r="O1044" i="1"/>
  <c r="J1050" i="13"/>
  <c r="J1057" i="13" s="1"/>
  <c r="G1057" i="13"/>
  <c r="N1045" i="1"/>
  <c r="O1045" i="1"/>
  <c r="N1049" i="1"/>
  <c r="O1049" i="1"/>
  <c r="N1057" i="1"/>
  <c r="O1057" i="1"/>
  <c r="N1062" i="1"/>
  <c r="O1062" i="1"/>
  <c r="G1066" i="13"/>
  <c r="K1060" i="1"/>
  <c r="L1067" i="1"/>
  <c r="L1072" i="1" s="1"/>
  <c r="L1089" i="1" s="1"/>
  <c r="M1072" i="1"/>
  <c r="L994" i="1"/>
  <c r="L1111" i="1" s="1"/>
  <c r="G884" i="13"/>
  <c r="J884" i="13" s="1"/>
  <c r="K878" i="1"/>
  <c r="N878" i="1" s="1"/>
  <c r="K877" i="1"/>
  <c r="L993" i="1"/>
  <c r="L1110" i="1" s="1"/>
  <c r="G883" i="13"/>
  <c r="L880" i="1"/>
  <c r="L980" i="1"/>
  <c r="L1097" i="1" s="1"/>
  <c r="G870" i="13"/>
  <c r="J870" i="13" s="1"/>
  <c r="K864" i="1"/>
  <c r="N864" i="1" s="1"/>
  <c r="M1015" i="1"/>
  <c r="M1132" i="1" s="1"/>
  <c r="L1028" i="1"/>
  <c r="L1145" i="1" s="1"/>
  <c r="G917" i="13"/>
  <c r="J917" i="13" s="1"/>
  <c r="K912" i="1"/>
  <c r="N912" i="1" s="1"/>
  <c r="L1009" i="1"/>
  <c r="L1126" i="1" s="1"/>
  <c r="G899" i="13"/>
  <c r="J899" i="13" s="1"/>
  <c r="K893" i="1"/>
  <c r="M1021" i="1"/>
  <c r="M1138" i="1" s="1"/>
  <c r="M1008" i="1"/>
  <c r="M1125" i="1" s="1"/>
  <c r="M895" i="1"/>
  <c r="M981" i="1"/>
  <c r="M1098" i="1" s="1"/>
  <c r="M980" i="1"/>
  <c r="M1097" i="1" s="1"/>
  <c r="O864" i="1"/>
  <c r="M978" i="1"/>
  <c r="M1095" i="1" s="1"/>
  <c r="K872" i="1"/>
  <c r="N872" i="1" s="1"/>
  <c r="L988" i="1"/>
  <c r="L1105" i="1" s="1"/>
  <c r="G878" i="13"/>
  <c r="J878" i="13" s="1"/>
  <c r="L1031" i="1"/>
  <c r="L1148" i="1" s="1"/>
  <c r="G921" i="13"/>
  <c r="G920" i="13"/>
  <c r="K915" i="1"/>
  <c r="N915" i="1" s="1"/>
  <c r="M1022" i="1"/>
  <c r="M1139" i="1" s="1"/>
  <c r="M1018" i="1"/>
  <c r="M1135" i="1" s="1"/>
  <c r="M1009" i="1"/>
  <c r="M1126" i="1" s="1"/>
  <c r="O893" i="1"/>
  <c r="M998" i="1"/>
  <c r="M1115" i="1" s="1"/>
  <c r="M975" i="1"/>
  <c r="M1092" i="1" s="1"/>
  <c r="L1015" i="1"/>
  <c r="L1132" i="1" s="1"/>
  <c r="K899" i="1"/>
  <c r="N899" i="1" s="1"/>
  <c r="G905" i="13"/>
  <c r="J905" i="13" s="1"/>
  <c r="K898" i="1"/>
  <c r="N898" i="1" s="1"/>
  <c r="L1014" i="1"/>
  <c r="L1131" i="1" s="1"/>
  <c r="G904" i="13"/>
  <c r="J904" i="13" s="1"/>
  <c r="M1027" i="1"/>
  <c r="M1144" i="1" s="1"/>
  <c r="M1020" i="1"/>
  <c r="M1137" i="1" s="1"/>
  <c r="M909" i="1"/>
  <c r="M1012" i="1"/>
  <c r="M1129" i="1" s="1"/>
  <c r="M900" i="1"/>
  <c r="M887" i="1"/>
  <c r="M997" i="1"/>
  <c r="M1114" i="1" s="1"/>
  <c r="O542" i="1"/>
  <c r="L997" i="1"/>
  <c r="L1114" i="1" s="1"/>
  <c r="K881" i="1"/>
  <c r="G887" i="13"/>
  <c r="L887" i="1"/>
  <c r="O669" i="1"/>
  <c r="L913" i="1"/>
  <c r="L1026" i="1"/>
  <c r="L1143" i="1" s="1"/>
  <c r="G915" i="13"/>
  <c r="K910" i="1"/>
  <c r="M990" i="1"/>
  <c r="M1107" i="1" s="1"/>
  <c r="O635" i="1"/>
  <c r="M979" i="1"/>
  <c r="M1096" i="1" s="1"/>
  <c r="M977" i="1"/>
  <c r="M1094" i="1" s="1"/>
  <c r="K907" i="1"/>
  <c r="N907" i="1" s="1"/>
  <c r="L1023" i="1"/>
  <c r="L1140" i="1" s="1"/>
  <c r="G913" i="13"/>
  <c r="J913" i="13" s="1"/>
  <c r="O898" i="1"/>
  <c r="M1014" i="1"/>
  <c r="M1131" i="1" s="1"/>
  <c r="K865" i="1"/>
  <c r="N865" i="1" s="1"/>
  <c r="L981" i="1"/>
  <c r="L1098" i="1" s="1"/>
  <c r="G871" i="13"/>
  <c r="J871" i="13" s="1"/>
  <c r="L1013" i="1"/>
  <c r="L1130" i="1" s="1"/>
  <c r="G903" i="13"/>
  <c r="J903" i="13" s="1"/>
  <c r="K897" i="1"/>
  <c r="N897" i="1" s="1"/>
  <c r="L1017" i="1"/>
  <c r="L1134" i="1" s="1"/>
  <c r="G907" i="13"/>
  <c r="L903" i="1"/>
  <c r="K901" i="1"/>
  <c r="M1031" i="1"/>
  <c r="M1148" i="1" s="1"/>
  <c r="O915" i="1"/>
  <c r="M1000" i="1"/>
  <c r="M1117" i="1" s="1"/>
  <c r="K859" i="1"/>
  <c r="N859" i="1" s="1"/>
  <c r="L975" i="1"/>
  <c r="L1092" i="1" s="1"/>
  <c r="G865" i="13"/>
  <c r="J865" i="13" s="1"/>
  <c r="M999" i="1"/>
  <c r="M1116" i="1" s="1"/>
  <c r="M993" i="1"/>
  <c r="M1110" i="1" s="1"/>
  <c r="M880" i="1"/>
  <c r="O877" i="1"/>
  <c r="M986" i="1"/>
  <c r="M1103" i="1" s="1"/>
  <c r="M985" i="1"/>
  <c r="M1102" i="1" s="1"/>
  <c r="M875" i="1"/>
  <c r="L1010" i="1"/>
  <c r="L1127" i="1" s="1"/>
  <c r="K894" i="1"/>
  <c r="N894" i="1" s="1"/>
  <c r="G900" i="13"/>
  <c r="J900" i="13" s="1"/>
  <c r="M1001" i="1"/>
  <c r="M1118" i="1" s="1"/>
  <c r="M974" i="1"/>
  <c r="M1091" i="1" s="1"/>
  <c r="M1030" i="1"/>
  <c r="M1147" i="1" s="1"/>
  <c r="M916" i="1"/>
  <c r="O878" i="1"/>
  <c r="M994" i="1"/>
  <c r="M1111" i="1" s="1"/>
  <c r="M982" i="1"/>
  <c r="M1099" i="1" s="1"/>
  <c r="L1001" i="1"/>
  <c r="L1118" i="1" s="1"/>
  <c r="G891" i="13"/>
  <c r="J891" i="13" s="1"/>
  <c r="K885" i="1"/>
  <c r="N885" i="1" s="1"/>
  <c r="K883" i="1"/>
  <c r="N883" i="1" s="1"/>
  <c r="L999" i="1"/>
  <c r="L1116" i="1" s="1"/>
  <c r="G889" i="13"/>
  <c r="J889" i="13" s="1"/>
  <c r="G949" i="13"/>
  <c r="J942" i="13"/>
  <c r="J949" i="13" s="1"/>
  <c r="N930" i="1"/>
  <c r="O930" i="1"/>
  <c r="N965" i="1"/>
  <c r="O965" i="1"/>
  <c r="N961" i="1"/>
  <c r="K970" i="1"/>
  <c r="O961" i="1"/>
  <c r="G941" i="13"/>
  <c r="J934" i="13"/>
  <c r="J941" i="13" s="1"/>
  <c r="N962" i="1"/>
  <c r="O962" i="1"/>
  <c r="M856" i="1"/>
  <c r="N963" i="1"/>
  <c r="O963" i="1"/>
  <c r="N933" i="1"/>
  <c r="O933" i="1"/>
  <c r="N926" i="1"/>
  <c r="O926" i="1"/>
  <c r="N957" i="1"/>
  <c r="O957" i="1"/>
  <c r="N828" i="1"/>
  <c r="O828" i="1"/>
  <c r="K954" i="1"/>
  <c r="N951" i="1"/>
  <c r="O951" i="1"/>
  <c r="N932" i="1"/>
  <c r="O932" i="1"/>
  <c r="N939" i="1"/>
  <c r="O939" i="1"/>
  <c r="N923" i="1"/>
  <c r="K927" i="1"/>
  <c r="O923" i="1"/>
  <c r="J929" i="13"/>
  <c r="J933" i="13" s="1"/>
  <c r="G933" i="13"/>
  <c r="N968" i="1"/>
  <c r="O968" i="1"/>
  <c r="K855" i="1"/>
  <c r="N844" i="1"/>
  <c r="O844" i="1"/>
  <c r="N967" i="1"/>
  <c r="O967" i="1"/>
  <c r="N934" i="1"/>
  <c r="O934" i="1"/>
  <c r="N925" i="1"/>
  <c r="O925" i="1"/>
  <c r="N931" i="1"/>
  <c r="O931" i="1"/>
  <c r="N937" i="1"/>
  <c r="O937" i="1"/>
  <c r="N941" i="1"/>
  <c r="O941" i="1"/>
  <c r="N949" i="1"/>
  <c r="O949" i="1"/>
  <c r="G840" i="13"/>
  <c r="G845" i="13" s="1"/>
  <c r="J835" i="13"/>
  <c r="J840" i="13" s="1"/>
  <c r="M903" i="1"/>
  <c r="K860" i="1"/>
  <c r="N860" i="1" s="1"/>
  <c r="L976" i="1"/>
  <c r="L1093" i="1" s="1"/>
  <c r="G866" i="13"/>
  <c r="J866" i="13" s="1"/>
  <c r="M1013" i="1"/>
  <c r="M1130" i="1" s="1"/>
  <c r="O897" i="1"/>
  <c r="M973" i="1"/>
  <c r="M1090" i="1" s="1"/>
  <c r="M867" i="1"/>
  <c r="L1030" i="1"/>
  <c r="L1147" i="1" s="1"/>
  <c r="G919" i="13"/>
  <c r="K914" i="1"/>
  <c r="L916" i="1"/>
  <c r="K886" i="1"/>
  <c r="N886" i="1" s="1"/>
  <c r="L1002" i="1"/>
  <c r="L1119" i="1" s="1"/>
  <c r="G892" i="13"/>
  <c r="J892" i="13" s="1"/>
  <c r="L1000" i="1"/>
  <c r="L1117" i="1" s="1"/>
  <c r="G890" i="13"/>
  <c r="J890" i="13" s="1"/>
  <c r="K884" i="1"/>
  <c r="N884" i="1" s="1"/>
  <c r="K882" i="1"/>
  <c r="N882" i="1" s="1"/>
  <c r="L998" i="1"/>
  <c r="L1115" i="1" s="1"/>
  <c r="G888" i="13"/>
  <c r="J888" i="13" s="1"/>
  <c r="L987" i="1"/>
  <c r="L1104" i="1" s="1"/>
  <c r="G877" i="13"/>
  <c r="J877" i="13" s="1"/>
  <c r="K871" i="1"/>
  <c r="K863" i="1"/>
  <c r="N863" i="1" s="1"/>
  <c r="L979" i="1"/>
  <c r="L1096" i="1" s="1"/>
  <c r="G869" i="13"/>
  <c r="J869" i="13" s="1"/>
  <c r="M1028" i="1"/>
  <c r="M1145" i="1" s="1"/>
  <c r="O912" i="1"/>
  <c r="L1022" i="1"/>
  <c r="L1139" i="1" s="1"/>
  <c r="G912" i="13"/>
  <c r="J912" i="13" s="1"/>
  <c r="K906" i="1"/>
  <c r="N906" i="1" s="1"/>
  <c r="L973" i="1"/>
  <c r="L1090" i="1" s="1"/>
  <c r="G863" i="13"/>
  <c r="L867" i="1"/>
  <c r="K857" i="1"/>
  <c r="L1021" i="1"/>
  <c r="L1138" i="1" s="1"/>
  <c r="G911" i="13"/>
  <c r="J911" i="13" s="1"/>
  <c r="K905" i="1"/>
  <c r="N905" i="1" s="1"/>
  <c r="O872" i="1"/>
  <c r="M988" i="1"/>
  <c r="M1105" i="1" s="1"/>
  <c r="L984" i="1"/>
  <c r="L1101" i="1" s="1"/>
  <c r="G874" i="13"/>
  <c r="L875" i="1"/>
  <c r="K868" i="1"/>
  <c r="L1012" i="1"/>
  <c r="L1129" i="1" s="1"/>
  <c r="G902" i="13"/>
  <c r="L900" i="1"/>
  <c r="K896" i="1"/>
  <c r="L1008" i="1"/>
  <c r="L1125" i="1" s="1"/>
  <c r="K892" i="1"/>
  <c r="N892" i="1" s="1"/>
  <c r="G898" i="13"/>
  <c r="L895" i="1"/>
  <c r="L990" i="1"/>
  <c r="L1107" i="1" s="1"/>
  <c r="K874" i="1"/>
  <c r="N874" i="1" s="1"/>
  <c r="G880" i="13"/>
  <c r="J880" i="13" s="1"/>
  <c r="M995" i="1"/>
  <c r="M1112" i="1" s="1"/>
  <c r="O639" i="1"/>
  <c r="M976" i="1"/>
  <c r="M1093" i="1" s="1"/>
  <c r="O860" i="1"/>
  <c r="L1027" i="1"/>
  <c r="L1144" i="1" s="1"/>
  <c r="G916" i="13"/>
  <c r="J916" i="13" s="1"/>
  <c r="K911" i="1"/>
  <c r="N911" i="1" s="1"/>
  <c r="K902" i="1"/>
  <c r="N902" i="1" s="1"/>
  <c r="L1018" i="1"/>
  <c r="L1135" i="1" s="1"/>
  <c r="G908" i="13"/>
  <c r="J908" i="13" s="1"/>
  <c r="K870" i="1"/>
  <c r="N870" i="1" s="1"/>
  <c r="L986" i="1"/>
  <c r="L1103" i="1" s="1"/>
  <c r="G876" i="13"/>
  <c r="J876" i="13" s="1"/>
  <c r="L978" i="1"/>
  <c r="L1095" i="1" s="1"/>
  <c r="G868" i="13"/>
  <c r="J868" i="13" s="1"/>
  <c r="K862" i="1"/>
  <c r="N862" i="1" s="1"/>
  <c r="K879" i="1"/>
  <c r="N879" i="1" s="1"/>
  <c r="L995" i="1"/>
  <c r="L1112" i="1" s="1"/>
  <c r="G885" i="13"/>
  <c r="J885" i="13" s="1"/>
  <c r="L974" i="1"/>
  <c r="L1091" i="1" s="1"/>
  <c r="G864" i="13"/>
  <c r="J864" i="13" s="1"/>
  <c r="K858" i="1"/>
  <c r="N858" i="1" s="1"/>
  <c r="M1024" i="1"/>
  <c r="M1141" i="1" s="1"/>
  <c r="M1010" i="1"/>
  <c r="M1127" i="1" s="1"/>
  <c r="O894" i="1"/>
  <c r="K908" i="1"/>
  <c r="N908" i="1" s="1"/>
  <c r="L1024" i="1"/>
  <c r="L909" i="1"/>
  <c r="L1020" i="1"/>
  <c r="L1137" i="1" s="1"/>
  <c r="G910" i="13"/>
  <c r="K904" i="1"/>
  <c r="M913" i="1"/>
  <c r="M1026" i="1"/>
  <c r="M1143" i="1" s="1"/>
  <c r="O910" i="1"/>
  <c r="M1023" i="1"/>
  <c r="M1140" i="1" s="1"/>
  <c r="O907" i="1"/>
  <c r="O886" i="1"/>
  <c r="M1002" i="1"/>
  <c r="M1119" i="1" s="1"/>
  <c r="O636" i="1"/>
  <c r="K873" i="1"/>
  <c r="L989" i="1"/>
  <c r="L1106" i="1" s="1"/>
  <c r="G879" i="13"/>
  <c r="J879" i="13" s="1"/>
  <c r="L982" i="1"/>
  <c r="L1099" i="1" s="1"/>
  <c r="K866" i="1"/>
  <c r="N866" i="1" s="1"/>
  <c r="G872" i="13"/>
  <c r="J872" i="13" s="1"/>
  <c r="K869" i="1"/>
  <c r="N869" i="1" s="1"/>
  <c r="L985" i="1"/>
  <c r="L1102" i="1" s="1"/>
  <c r="G875" i="13"/>
  <c r="J875" i="13" s="1"/>
  <c r="L977" i="1"/>
  <c r="L1094" i="1" s="1"/>
  <c r="G867" i="13"/>
  <c r="J867" i="13" s="1"/>
  <c r="K861" i="1"/>
  <c r="N861" i="1" s="1"/>
  <c r="N969" i="1"/>
  <c r="O969" i="1"/>
  <c r="K943" i="1"/>
  <c r="N936" i="1"/>
  <c r="O936" i="1"/>
  <c r="N959" i="1"/>
  <c r="O959" i="1"/>
  <c r="G976" i="13"/>
  <c r="J967" i="13"/>
  <c r="J976" i="13" s="1"/>
  <c r="N854" i="1"/>
  <c r="O854" i="1"/>
  <c r="N928" i="1"/>
  <c r="K935" i="1"/>
  <c r="O928" i="1"/>
  <c r="N820" i="1"/>
  <c r="O820" i="1"/>
  <c r="N812" i="1"/>
  <c r="O812" i="1"/>
  <c r="J845" i="13"/>
  <c r="N929" i="1"/>
  <c r="O929" i="1"/>
  <c r="M972" i="1"/>
  <c r="N958" i="1"/>
  <c r="O958" i="1"/>
  <c r="N953" i="1"/>
  <c r="O953" i="1"/>
  <c r="G960" i="13"/>
  <c r="J957" i="13"/>
  <c r="J960" i="13" s="1"/>
  <c r="N838" i="1"/>
  <c r="O838" i="1"/>
  <c r="N964" i="1"/>
  <c r="O964" i="1"/>
  <c r="N940" i="1"/>
  <c r="O940" i="1"/>
  <c r="N946" i="1"/>
  <c r="O946" i="1"/>
  <c r="N956" i="1"/>
  <c r="K960" i="1"/>
  <c r="O956" i="1"/>
  <c r="G966" i="13"/>
  <c r="G977" i="13" s="1"/>
  <c r="F136" i="15" s="1"/>
  <c r="J962" i="13"/>
  <c r="J966" i="13" s="1"/>
  <c r="J977" i="13" s="1"/>
  <c r="I136" i="15" s="1"/>
  <c r="N952" i="1"/>
  <c r="O952" i="1"/>
  <c r="N924" i="1"/>
  <c r="O924" i="1"/>
  <c r="N966" i="1"/>
  <c r="O966" i="1"/>
  <c r="N938" i="1"/>
  <c r="O938" i="1"/>
  <c r="N942" i="1"/>
  <c r="O942" i="1"/>
  <c r="N829" i="1"/>
  <c r="K834" i="1"/>
  <c r="O829" i="1"/>
  <c r="G950" i="13"/>
  <c r="K944" i="1"/>
  <c r="L950" i="1"/>
  <c r="L955" i="1" s="1"/>
  <c r="L972" i="1" s="1"/>
  <c r="M1019" i="1"/>
  <c r="G437" i="13"/>
  <c r="G438" i="13" s="1"/>
  <c r="F64" i="15" s="1"/>
  <c r="F66" i="15" s="1"/>
  <c r="F70" i="15" s="1"/>
  <c r="I93" i="15"/>
  <c r="L658" i="1"/>
  <c r="O633" i="1"/>
  <c r="O631" i="1"/>
  <c r="J437" i="13"/>
  <c r="J438" i="13" s="1"/>
  <c r="I64" i="15" s="1"/>
  <c r="I66" i="15" s="1"/>
  <c r="I70" i="15" s="1"/>
  <c r="O571" i="1"/>
  <c r="O682" i="1"/>
  <c r="O564" i="1"/>
  <c r="O640" i="1"/>
  <c r="J632" i="13"/>
  <c r="O774" i="1"/>
  <c r="O681" i="1"/>
  <c r="M794" i="1"/>
  <c r="L545" i="1"/>
  <c r="L546" i="1" s="1"/>
  <c r="L574" i="1" s="1"/>
  <c r="O644" i="1"/>
  <c r="L646" i="1"/>
  <c r="L660" i="1" s="1"/>
  <c r="L661" i="1" s="1"/>
  <c r="O654" i="1"/>
  <c r="O558" i="1"/>
  <c r="O664" i="1"/>
  <c r="O655" i="1"/>
  <c r="O628" i="1"/>
  <c r="J537" i="13"/>
  <c r="G780" i="13"/>
  <c r="J780" i="13" s="1"/>
  <c r="K774" i="1"/>
  <c r="N774" i="1" s="1"/>
  <c r="O659" i="1"/>
  <c r="M772" i="1"/>
  <c r="K657" i="1"/>
  <c r="N657" i="1" s="1"/>
  <c r="N651" i="1"/>
  <c r="K766" i="1"/>
  <c r="O766" i="1" s="1"/>
  <c r="G772" i="13"/>
  <c r="L772" i="1"/>
  <c r="K650" i="1"/>
  <c r="N647" i="1"/>
  <c r="N680" i="1"/>
  <c r="K683" i="1"/>
  <c r="N683" i="1" s="1"/>
  <c r="L798" i="1"/>
  <c r="K795" i="1"/>
  <c r="O795" i="1" s="1"/>
  <c r="G800" i="13"/>
  <c r="M687" i="1"/>
  <c r="K792" i="1"/>
  <c r="N792" i="1" s="1"/>
  <c r="G798" i="13"/>
  <c r="J798" i="13" s="1"/>
  <c r="D54" i="15"/>
  <c r="E54" i="15" s="1"/>
  <c r="E52" i="15"/>
  <c r="K750" i="1"/>
  <c r="N750" i="1" s="1"/>
  <c r="G756" i="13"/>
  <c r="J756" i="13" s="1"/>
  <c r="O663" i="1"/>
  <c r="G746" i="13"/>
  <c r="F106" i="15" s="1"/>
  <c r="M788" i="1"/>
  <c r="M433" i="1"/>
  <c r="M461" i="1" s="1"/>
  <c r="M752" i="1"/>
  <c r="G804" i="13"/>
  <c r="K799" i="1"/>
  <c r="O799" i="1" s="1"/>
  <c r="L801" i="1"/>
  <c r="K771" i="1"/>
  <c r="N771" i="1" s="1"/>
  <c r="G777" i="13"/>
  <c r="J777" i="13" s="1"/>
  <c r="G775" i="13"/>
  <c r="J775" i="13" s="1"/>
  <c r="K769" i="1"/>
  <c r="N769" i="1" s="1"/>
  <c r="K767" i="1"/>
  <c r="N767" i="1" s="1"/>
  <c r="G773" i="13"/>
  <c r="J773" i="13" s="1"/>
  <c r="G762" i="13"/>
  <c r="J762" i="13" s="1"/>
  <c r="K756" i="1"/>
  <c r="K748" i="1"/>
  <c r="N748" i="1" s="1"/>
  <c r="G754" i="13"/>
  <c r="J754" i="13" s="1"/>
  <c r="J677" i="13"/>
  <c r="J679" i="13" s="1"/>
  <c r="G679" i="13"/>
  <c r="G643" i="13"/>
  <c r="J633" i="13"/>
  <c r="J643" i="13" s="1"/>
  <c r="G748" i="13"/>
  <c r="L752" i="1"/>
  <c r="K742" i="1"/>
  <c r="N511" i="1"/>
  <c r="O511" i="1"/>
  <c r="N719" i="1"/>
  <c r="O719" i="1"/>
  <c r="G465" i="13"/>
  <c r="N625" i="1"/>
  <c r="D91" i="15"/>
  <c r="E91" i="15" s="1"/>
  <c r="O625" i="1"/>
  <c r="N535" i="1"/>
  <c r="K543" i="1"/>
  <c r="N543" i="1" s="1"/>
  <c r="J549" i="13"/>
  <c r="K645" i="1"/>
  <c r="N645" i="1" s="1"/>
  <c r="N638" i="1"/>
  <c r="O638" i="1"/>
  <c r="G759" i="13"/>
  <c r="L760" i="1"/>
  <c r="K753" i="1"/>
  <c r="D90" i="15"/>
  <c r="N609" i="1"/>
  <c r="K626" i="1"/>
  <c r="O609" i="1"/>
  <c r="G787" i="13"/>
  <c r="L785" i="1"/>
  <c r="K781" i="1"/>
  <c r="O781" i="1" s="1"/>
  <c r="G671" i="13"/>
  <c r="J668" i="13"/>
  <c r="J671" i="13" s="1"/>
  <c r="K777" i="1"/>
  <c r="N777" i="1" s="1"/>
  <c r="G783" i="13"/>
  <c r="L780" i="1"/>
  <c r="G765" i="13"/>
  <c r="J765" i="13" s="1"/>
  <c r="K759" i="1"/>
  <c r="N759" i="1" s="1"/>
  <c r="O647" i="1"/>
  <c r="M658" i="1"/>
  <c r="M760" i="1"/>
  <c r="O530" i="1"/>
  <c r="O630" i="1"/>
  <c r="K764" i="1"/>
  <c r="N764" i="1" s="1"/>
  <c r="G770" i="13"/>
  <c r="J770" i="13" s="1"/>
  <c r="G749" i="13"/>
  <c r="J749" i="13" s="1"/>
  <c r="K743" i="1"/>
  <c r="N743" i="1" s="1"/>
  <c r="K793" i="1"/>
  <c r="N793" i="1" s="1"/>
  <c r="L794" i="1"/>
  <c r="G795" i="13"/>
  <c r="K789" i="1"/>
  <c r="M801" i="1"/>
  <c r="M798" i="1"/>
  <c r="G577" i="13"/>
  <c r="G578" i="13" s="1"/>
  <c r="F82" i="15" s="1"/>
  <c r="F84" i="15" s="1"/>
  <c r="K758" i="1"/>
  <c r="G764" i="13"/>
  <c r="J764" i="13" s="1"/>
  <c r="G757" i="13"/>
  <c r="J757" i="13" s="1"/>
  <c r="K751" i="1"/>
  <c r="N751" i="1" s="1"/>
  <c r="G730" i="13"/>
  <c r="G760" i="13"/>
  <c r="J760" i="13" s="1"/>
  <c r="K754" i="1"/>
  <c r="N754" i="1" s="1"/>
  <c r="G752" i="13"/>
  <c r="J752" i="13" s="1"/>
  <c r="K746" i="1"/>
  <c r="N746" i="1" s="1"/>
  <c r="D34" i="15"/>
  <c r="K235" i="1"/>
  <c r="M785" i="1"/>
  <c r="O651" i="1"/>
  <c r="O657" i="1"/>
  <c r="G663" i="13"/>
  <c r="J657" i="13"/>
  <c r="J663" i="13" s="1"/>
  <c r="G769" i="13"/>
  <c r="J769" i="13" s="1"/>
  <c r="K763" i="1"/>
  <c r="N763" i="1" s="1"/>
  <c r="G656" i="13"/>
  <c r="G664" i="13" s="1"/>
  <c r="J653" i="13"/>
  <c r="J656" i="13" s="1"/>
  <c r="J664" i="13" s="1"/>
  <c r="K762" i="1"/>
  <c r="O762" i="1" s="1"/>
  <c r="G768" i="13"/>
  <c r="L765" i="1"/>
  <c r="G755" i="13"/>
  <c r="J755" i="13" s="1"/>
  <c r="K749" i="1"/>
  <c r="N749" i="1" s="1"/>
  <c r="K797" i="1"/>
  <c r="N797" i="1" s="1"/>
  <c r="G802" i="13"/>
  <c r="J802" i="13" s="1"/>
  <c r="G688" i="13"/>
  <c r="J685" i="13"/>
  <c r="J688" i="13" s="1"/>
  <c r="G784" i="13"/>
  <c r="J784" i="13" s="1"/>
  <c r="K778" i="1"/>
  <c r="J577" i="13"/>
  <c r="J578" i="13" s="1"/>
  <c r="I82" i="15" s="1"/>
  <c r="I84" i="15" s="1"/>
  <c r="M780" i="1"/>
  <c r="O777" i="1"/>
  <c r="O750" i="1"/>
  <c r="O634" i="1"/>
  <c r="O748" i="1"/>
  <c r="O632" i="1"/>
  <c r="K757" i="1"/>
  <c r="N757" i="1" s="1"/>
  <c r="G763" i="13"/>
  <c r="J763" i="13" s="1"/>
  <c r="N418" i="1"/>
  <c r="K432" i="1"/>
  <c r="O432" i="1" s="1"/>
  <c r="O433" i="1" s="1"/>
  <c r="O668" i="1"/>
  <c r="G806" i="13"/>
  <c r="G805" i="13"/>
  <c r="K800" i="1"/>
  <c r="N800" i="1" s="1"/>
  <c r="E63" i="15"/>
  <c r="O672" i="1"/>
  <c r="O778" i="1"/>
  <c r="J746" i="13"/>
  <c r="I106" i="15" s="1"/>
  <c r="G790" i="13"/>
  <c r="J790" i="13" s="1"/>
  <c r="K784" i="1"/>
  <c r="N784" i="1" s="1"/>
  <c r="K783" i="1"/>
  <c r="N783" i="1" s="1"/>
  <c r="G789" i="13"/>
  <c r="J789" i="13" s="1"/>
  <c r="K745" i="1"/>
  <c r="N745" i="1" s="1"/>
  <c r="G751" i="13"/>
  <c r="J751" i="13" s="1"/>
  <c r="N697" i="1"/>
  <c r="K724" i="1"/>
  <c r="O697" i="1"/>
  <c r="O418" i="1"/>
  <c r="M646" i="1"/>
  <c r="K686" i="1"/>
  <c r="N686" i="1" s="1"/>
  <c r="N684" i="1"/>
  <c r="G788" i="13"/>
  <c r="J788" i="13" s="1"/>
  <c r="K782" i="1"/>
  <c r="N782" i="1" s="1"/>
  <c r="O568" i="1"/>
  <c r="O430" i="1"/>
  <c r="K791" i="1"/>
  <c r="N791" i="1" s="1"/>
  <c r="G797" i="13"/>
  <c r="J797" i="13" s="1"/>
  <c r="N671" i="1"/>
  <c r="K673" i="1"/>
  <c r="O671" i="1"/>
  <c r="G792" i="13"/>
  <c r="L788" i="1"/>
  <c r="K786" i="1"/>
  <c r="N627" i="1"/>
  <c r="K637" i="1"/>
  <c r="O637" i="1" s="1"/>
  <c r="N319" i="1"/>
  <c r="N320" i="1" s="1"/>
  <c r="K320" i="1"/>
  <c r="O319" i="1"/>
  <c r="O320" i="1" s="1"/>
  <c r="D78" i="15"/>
  <c r="E75" i="15"/>
  <c r="N713" i="1"/>
  <c r="O713" i="1"/>
  <c r="O685" i="1"/>
  <c r="O686" i="1"/>
  <c r="G796" i="13"/>
  <c r="J796" i="13" s="1"/>
  <c r="K790" i="1"/>
  <c r="N790" i="1" s="1"/>
  <c r="O555" i="1"/>
  <c r="O769" i="1"/>
  <c r="O642" i="1"/>
  <c r="G549" i="13"/>
  <c r="G651" i="13"/>
  <c r="J644" i="13"/>
  <c r="J651" i="13" s="1"/>
  <c r="F90" i="15"/>
  <c r="F93" i="15" s="1"/>
  <c r="G632" i="13"/>
  <c r="N739" i="1"/>
  <c r="O739" i="1"/>
  <c r="K670" i="1"/>
  <c r="N670" i="1" s="1"/>
  <c r="N666" i="1"/>
  <c r="G676" i="13"/>
  <c r="J672" i="13"/>
  <c r="J676" i="13" s="1"/>
  <c r="L687" i="1"/>
  <c r="L688" i="1" s="1"/>
  <c r="N662" i="1"/>
  <c r="K665" i="1"/>
  <c r="N550" i="1"/>
  <c r="K572" i="1"/>
  <c r="K744" i="1"/>
  <c r="N744" i="1" s="1"/>
  <c r="G750" i="13"/>
  <c r="J750" i="13" s="1"/>
  <c r="N705" i="1"/>
  <c r="O705" i="1"/>
  <c r="O653" i="1"/>
  <c r="O649" i="1"/>
  <c r="M765" i="1"/>
  <c r="K796" i="1"/>
  <c r="N796" i="1" s="1"/>
  <c r="G801" i="13"/>
  <c r="J801" i="13" s="1"/>
  <c r="K787" i="1"/>
  <c r="N787" i="1" s="1"/>
  <c r="G793" i="13"/>
  <c r="J793" i="13" s="1"/>
  <c r="K755" i="1"/>
  <c r="N755" i="1" s="1"/>
  <c r="G761" i="13"/>
  <c r="J761" i="13" s="1"/>
  <c r="G753" i="13"/>
  <c r="J753" i="13" s="1"/>
  <c r="K747" i="1"/>
  <c r="N747" i="1" s="1"/>
  <c r="G785" i="13"/>
  <c r="J785" i="13" s="1"/>
  <c r="K779" i="1"/>
  <c r="N779" i="1" s="1"/>
  <c r="O743" i="1"/>
  <c r="N729" i="1"/>
  <c r="K740" i="1"/>
  <c r="O729" i="1"/>
  <c r="M545" i="1"/>
  <c r="G684" i="13"/>
  <c r="J680" i="13"/>
  <c r="J684" i="13" s="1"/>
  <c r="K679" i="1"/>
  <c r="N679" i="1" s="1"/>
  <c r="N674" i="1"/>
  <c r="K460" i="1"/>
  <c r="D67" i="15" s="1"/>
  <c r="N459" i="1"/>
  <c r="N460" i="1" s="1"/>
  <c r="O684" i="1"/>
  <c r="O680" i="1"/>
  <c r="O677" i="1"/>
  <c r="O459" i="1"/>
  <c r="O460" i="1" s="1"/>
  <c r="O656" i="1"/>
  <c r="O648" i="1"/>
  <c r="G776" i="13"/>
  <c r="J776" i="13" s="1"/>
  <c r="K770" i="1"/>
  <c r="N770" i="1" s="1"/>
  <c r="K768" i="1"/>
  <c r="N768" i="1" s="1"/>
  <c r="G774" i="13"/>
  <c r="J774" i="13" s="1"/>
  <c r="G537" i="13"/>
  <c r="K531" i="1"/>
  <c r="N522" i="1"/>
  <c r="N723" i="1"/>
  <c r="O723" i="1"/>
  <c r="J730" i="13"/>
  <c r="J78" i="15"/>
  <c r="J85" i="15" s="1"/>
  <c r="I461" i="16"/>
  <c r="I520" i="16" s="1"/>
  <c r="F554" i="16"/>
  <c r="F614" i="16" s="1"/>
  <c r="J91" i="15"/>
  <c r="J93" i="15" s="1"/>
  <c r="J100" i="15" s="1"/>
  <c r="I554" i="16"/>
  <c r="I614" i="16" s="1"/>
  <c r="T275" i="14"/>
  <c r="T271" i="14"/>
  <c r="J28" i="17"/>
  <c r="M28" i="17" s="1"/>
  <c r="F61" i="13"/>
  <c r="I95" i="13"/>
  <c r="I96" i="13" s="1"/>
  <c r="Q28" i="17"/>
  <c r="H16" i="15"/>
  <c r="H18" i="15" s="1"/>
  <c r="N19" i="17"/>
  <c r="F95" i="13"/>
  <c r="F96" i="13" s="1"/>
  <c r="S265" i="14"/>
  <c r="T265" i="14" s="1"/>
  <c r="S263" i="14"/>
  <c r="T263" i="14" s="1"/>
  <c r="S264" i="14"/>
  <c r="T264" i="14" s="1"/>
  <c r="R266" i="14"/>
  <c r="P266" i="14"/>
  <c r="Q266" i="14"/>
  <c r="M36" i="17"/>
  <c r="N36" i="17"/>
  <c r="J37" i="17"/>
  <c r="F72" i="17"/>
  <c r="I72" i="17" s="1"/>
  <c r="I71" i="17"/>
  <c r="M27" i="17"/>
  <c r="N27" i="17"/>
  <c r="I61" i="13"/>
  <c r="G121" i="1"/>
  <c r="J120" i="1"/>
  <c r="J121" i="1" s="1"/>
  <c r="G59" i="1"/>
  <c r="J42" i="1"/>
  <c r="J58" i="1"/>
  <c r="J57" i="1"/>
  <c r="G93" i="1"/>
  <c r="J79" i="1"/>
  <c r="I51" i="16"/>
  <c r="S266" i="14" l="1"/>
  <c r="G1097" i="13"/>
  <c r="J1097" i="13" s="1"/>
  <c r="K1091" i="1"/>
  <c r="N1091" i="1" s="1"/>
  <c r="G1118" i="13"/>
  <c r="J1118" i="13" s="1"/>
  <c r="K1112" i="1"/>
  <c r="N1112" i="1" s="1"/>
  <c r="G1101" i="13"/>
  <c r="J1101" i="13" s="1"/>
  <c r="K1095" i="1"/>
  <c r="N1095" i="1" s="1"/>
  <c r="G1109" i="13"/>
  <c r="J1109" i="13" s="1"/>
  <c r="K1103" i="1"/>
  <c r="N1103" i="1" s="1"/>
  <c r="G1113" i="13"/>
  <c r="J1113" i="13" s="1"/>
  <c r="K1107" i="1"/>
  <c r="N1107" i="1" s="1"/>
  <c r="G1131" i="13"/>
  <c r="K1125" i="1"/>
  <c r="L1128" i="1"/>
  <c r="G1135" i="13"/>
  <c r="K1129" i="1"/>
  <c r="L1133" i="1"/>
  <c r="G1107" i="13"/>
  <c r="L1108" i="1"/>
  <c r="K1101" i="1"/>
  <c r="G1145" i="13"/>
  <c r="J1145" i="13" s="1"/>
  <c r="K1139" i="1"/>
  <c r="N1139" i="1" s="1"/>
  <c r="G1102" i="13"/>
  <c r="J1102" i="13" s="1"/>
  <c r="K1096" i="1"/>
  <c r="N1096" i="1" s="1"/>
  <c r="G1110" i="13"/>
  <c r="J1110" i="13" s="1"/>
  <c r="K1104" i="1"/>
  <c r="G1121" i="13"/>
  <c r="J1121" i="13" s="1"/>
  <c r="K1115" i="1"/>
  <c r="N1115" i="1" s="1"/>
  <c r="G1123" i="13"/>
  <c r="J1123" i="13" s="1"/>
  <c r="K1117" i="1"/>
  <c r="N1117" i="1" s="1"/>
  <c r="G1125" i="13"/>
  <c r="J1125" i="13" s="1"/>
  <c r="K1119" i="1"/>
  <c r="N1119" i="1" s="1"/>
  <c r="G1122" i="13"/>
  <c r="J1122" i="13" s="1"/>
  <c r="K1116" i="1"/>
  <c r="N1116" i="1" s="1"/>
  <c r="G1124" i="13"/>
  <c r="J1124" i="13" s="1"/>
  <c r="K1118" i="1"/>
  <c r="N1118" i="1" s="1"/>
  <c r="O858" i="1"/>
  <c r="O1118" i="1"/>
  <c r="O1103" i="1"/>
  <c r="O1116" i="1"/>
  <c r="G1098" i="13"/>
  <c r="J1098" i="13" s="1"/>
  <c r="K1092" i="1"/>
  <c r="N1092" i="1" s="1"/>
  <c r="O1117" i="1"/>
  <c r="G1140" i="13"/>
  <c r="K1134" i="1"/>
  <c r="L1136" i="1"/>
  <c r="G1146" i="13"/>
  <c r="J1146" i="13" s="1"/>
  <c r="K1140" i="1"/>
  <c r="N1140" i="1" s="1"/>
  <c r="G1148" i="13"/>
  <c r="K1143" i="1"/>
  <c r="L1146" i="1"/>
  <c r="G1120" i="13"/>
  <c r="K1114" i="1"/>
  <c r="L1120" i="1"/>
  <c r="M1120" i="1"/>
  <c r="O1114" i="1"/>
  <c r="G1137" i="13"/>
  <c r="J1137" i="13" s="1"/>
  <c r="K1131" i="1"/>
  <c r="N1131" i="1" s="1"/>
  <c r="G1138" i="13"/>
  <c r="J1138" i="13" s="1"/>
  <c r="K1132" i="1"/>
  <c r="N1132" i="1" s="1"/>
  <c r="O1115" i="1"/>
  <c r="O1139" i="1"/>
  <c r="G1154" i="13"/>
  <c r="K1148" i="1"/>
  <c r="N1148" i="1" s="1"/>
  <c r="G1153" i="13"/>
  <c r="G1111" i="13"/>
  <c r="J1111" i="13" s="1"/>
  <c r="K1105" i="1"/>
  <c r="N1105" i="1" s="1"/>
  <c r="O1095" i="1"/>
  <c r="G1150" i="13"/>
  <c r="J1150" i="13" s="1"/>
  <c r="K1145" i="1"/>
  <c r="N1145" i="1" s="1"/>
  <c r="G1103" i="13"/>
  <c r="J1103" i="13" s="1"/>
  <c r="K1097" i="1"/>
  <c r="N1097" i="1" s="1"/>
  <c r="N1051" i="1"/>
  <c r="O1051" i="1"/>
  <c r="N1087" i="1"/>
  <c r="O1087" i="1"/>
  <c r="N1071" i="1"/>
  <c r="O1071" i="1"/>
  <c r="G1100" i="13"/>
  <c r="J1100" i="13" s="1"/>
  <c r="K1094" i="1"/>
  <c r="N1094" i="1" s="1"/>
  <c r="G1108" i="13"/>
  <c r="J1108" i="13" s="1"/>
  <c r="K1102" i="1"/>
  <c r="N1102" i="1" s="1"/>
  <c r="G1105" i="13"/>
  <c r="J1105" i="13" s="1"/>
  <c r="K1099" i="1"/>
  <c r="N1099" i="1" s="1"/>
  <c r="G1112" i="13"/>
  <c r="J1112" i="13" s="1"/>
  <c r="K1106" i="1"/>
  <c r="O1140" i="1"/>
  <c r="O1143" i="1"/>
  <c r="M1146" i="1"/>
  <c r="G1143" i="13"/>
  <c r="K1137" i="1"/>
  <c r="K1024" i="1"/>
  <c r="N1024" i="1" s="1"/>
  <c r="L1141" i="1"/>
  <c r="K1141" i="1" s="1"/>
  <c r="N1141" i="1" s="1"/>
  <c r="G1141" i="13"/>
  <c r="J1141" i="13" s="1"/>
  <c r="K1135" i="1"/>
  <c r="N1135" i="1" s="1"/>
  <c r="G1149" i="13"/>
  <c r="J1149" i="13" s="1"/>
  <c r="K1144" i="1"/>
  <c r="N1144" i="1" s="1"/>
  <c r="O1093" i="1"/>
  <c r="O1112" i="1"/>
  <c r="G1144" i="13"/>
  <c r="J1144" i="13" s="1"/>
  <c r="K1138" i="1"/>
  <c r="N1138" i="1" s="1"/>
  <c r="G1096" i="13"/>
  <c r="K1090" i="1"/>
  <c r="L1100" i="1"/>
  <c r="G1152" i="13"/>
  <c r="L1149" i="1"/>
  <c r="K1147" i="1"/>
  <c r="M1100" i="1"/>
  <c r="O1090" i="1"/>
  <c r="G1099" i="13"/>
  <c r="J1099" i="13" s="1"/>
  <c r="K1093" i="1"/>
  <c r="N1093" i="1" s="1"/>
  <c r="O1099" i="1"/>
  <c r="M1149" i="1"/>
  <c r="O1147" i="1"/>
  <c r="O1091" i="1"/>
  <c r="G1133" i="13"/>
  <c r="J1133" i="13" s="1"/>
  <c r="K1127" i="1"/>
  <c r="N1127" i="1" s="1"/>
  <c r="O1102" i="1"/>
  <c r="M1108" i="1"/>
  <c r="M1113" i="1"/>
  <c r="M1121" i="1" s="1"/>
  <c r="G1136" i="13"/>
  <c r="J1136" i="13" s="1"/>
  <c r="K1130" i="1"/>
  <c r="N1130" i="1" s="1"/>
  <c r="G1104" i="13"/>
  <c r="J1104" i="13" s="1"/>
  <c r="K1098" i="1"/>
  <c r="N1098" i="1" s="1"/>
  <c r="O1131" i="1"/>
  <c r="O1096" i="1"/>
  <c r="O1107" i="1"/>
  <c r="M1133" i="1"/>
  <c r="M1142" i="1"/>
  <c r="O1137" i="1"/>
  <c r="O1092" i="1"/>
  <c r="O1135" i="1"/>
  <c r="O1098" i="1"/>
  <c r="M1128" i="1"/>
  <c r="O1125" i="1"/>
  <c r="G1132" i="13"/>
  <c r="J1132" i="13" s="1"/>
  <c r="K1126" i="1"/>
  <c r="N1126" i="1" s="1"/>
  <c r="O1132" i="1"/>
  <c r="G1116" i="13"/>
  <c r="L1113" i="1"/>
  <c r="K1110" i="1"/>
  <c r="O1110" i="1" s="1"/>
  <c r="G1117" i="13"/>
  <c r="J1117" i="13" s="1"/>
  <c r="K1111" i="1"/>
  <c r="N1111" i="1" s="1"/>
  <c r="N1059" i="1"/>
  <c r="O1059" i="1"/>
  <c r="O1077" i="1"/>
  <c r="K1088" i="1"/>
  <c r="N1077" i="1"/>
  <c r="M1136" i="1"/>
  <c r="N1043" i="1"/>
  <c r="O1043" i="1"/>
  <c r="M1089" i="1"/>
  <c r="N1060" i="1"/>
  <c r="K1067" i="1"/>
  <c r="O1060" i="1"/>
  <c r="G1073" i="13"/>
  <c r="G1078" i="13" s="1"/>
  <c r="J1066" i="13"/>
  <c r="J1073" i="13" s="1"/>
  <c r="J1078" i="13" s="1"/>
  <c r="F120" i="15"/>
  <c r="F123" i="15" s="1"/>
  <c r="G862" i="13"/>
  <c r="J950" i="13"/>
  <c r="J956" i="13" s="1"/>
  <c r="J961" i="13" s="1"/>
  <c r="G956" i="13"/>
  <c r="N834" i="1"/>
  <c r="O834" i="1"/>
  <c r="K839" i="1"/>
  <c r="N935" i="1"/>
  <c r="O935" i="1"/>
  <c r="N943" i="1"/>
  <c r="O943" i="1"/>
  <c r="G914" i="13"/>
  <c r="J910" i="13"/>
  <c r="J914" i="13" s="1"/>
  <c r="O908" i="1"/>
  <c r="G1024" i="13"/>
  <c r="J1024" i="13" s="1"/>
  <c r="K1018" i="1"/>
  <c r="N1018" i="1" s="1"/>
  <c r="G1032" i="13"/>
  <c r="J1032" i="13" s="1"/>
  <c r="K1027" i="1"/>
  <c r="N1027" i="1" s="1"/>
  <c r="O879" i="1"/>
  <c r="G996" i="13"/>
  <c r="J996" i="13" s="1"/>
  <c r="K990" i="1"/>
  <c r="N990" i="1" s="1"/>
  <c r="G901" i="13"/>
  <c r="J898" i="13"/>
  <c r="J901" i="13" s="1"/>
  <c r="G1014" i="13"/>
  <c r="K1008" i="1"/>
  <c r="L1011" i="1"/>
  <c r="G1018" i="13"/>
  <c r="L1016" i="1"/>
  <c r="K1012" i="1"/>
  <c r="L991" i="1"/>
  <c r="G990" i="13"/>
  <c r="K984" i="1"/>
  <c r="N857" i="1"/>
  <c r="K867" i="1"/>
  <c r="G873" i="13"/>
  <c r="J863" i="13"/>
  <c r="J873" i="13" s="1"/>
  <c r="K1022" i="1"/>
  <c r="N1022" i="1" s="1"/>
  <c r="G1028" i="13"/>
  <c r="J1028" i="13" s="1"/>
  <c r="K979" i="1"/>
  <c r="N979" i="1" s="1"/>
  <c r="G985" i="13"/>
  <c r="J985" i="13" s="1"/>
  <c r="G993" i="13"/>
  <c r="J993" i="13" s="1"/>
  <c r="K987" i="1"/>
  <c r="K998" i="1"/>
  <c r="N998" i="1" s="1"/>
  <c r="G1004" i="13"/>
  <c r="J1004" i="13" s="1"/>
  <c r="G1006" i="13"/>
  <c r="J1006" i="13" s="1"/>
  <c r="K1000" i="1"/>
  <c r="N1000" i="1" s="1"/>
  <c r="K1002" i="1"/>
  <c r="N1002" i="1" s="1"/>
  <c r="G1008" i="13"/>
  <c r="J1008" i="13" s="1"/>
  <c r="O857" i="1"/>
  <c r="G982" i="13"/>
  <c r="J982" i="13" s="1"/>
  <c r="K976" i="1"/>
  <c r="N976" i="1" s="1"/>
  <c r="N927" i="1"/>
  <c r="O927" i="1"/>
  <c r="N954" i="1"/>
  <c r="O954" i="1"/>
  <c r="K999" i="1"/>
  <c r="N999" i="1" s="1"/>
  <c r="G1005" i="13"/>
  <c r="J1005" i="13" s="1"/>
  <c r="G1007" i="13"/>
  <c r="J1007" i="13" s="1"/>
  <c r="K1001" i="1"/>
  <c r="N1001" i="1" s="1"/>
  <c r="O885" i="1"/>
  <c r="G1016" i="13"/>
  <c r="J1016" i="13" s="1"/>
  <c r="K1010" i="1"/>
  <c r="N1010" i="1" s="1"/>
  <c r="O869" i="1"/>
  <c r="O870" i="1"/>
  <c r="M996" i="1"/>
  <c r="O999" i="1"/>
  <c r="K975" i="1"/>
  <c r="N975" i="1" s="1"/>
  <c r="G981" i="13"/>
  <c r="J981" i="13" s="1"/>
  <c r="O1000" i="1"/>
  <c r="N901" i="1"/>
  <c r="K903" i="1"/>
  <c r="N903" i="1" s="1"/>
  <c r="O901" i="1"/>
  <c r="N944" i="1"/>
  <c r="K950" i="1"/>
  <c r="K955" i="1" s="1"/>
  <c r="O944" i="1"/>
  <c r="N960" i="1"/>
  <c r="K971" i="1"/>
  <c r="O960" i="1"/>
  <c r="J862" i="13"/>
  <c r="I120" i="15"/>
  <c r="I123" i="15" s="1"/>
  <c r="K977" i="1"/>
  <c r="N977" i="1" s="1"/>
  <c r="G983" i="13"/>
  <c r="J983" i="13" s="1"/>
  <c r="G991" i="13"/>
  <c r="J991" i="13" s="1"/>
  <c r="K985" i="1"/>
  <c r="N985" i="1" s="1"/>
  <c r="G988" i="13"/>
  <c r="J988" i="13" s="1"/>
  <c r="K982" i="1"/>
  <c r="N982" i="1" s="1"/>
  <c r="K989" i="1"/>
  <c r="G995" i="13"/>
  <c r="J995" i="13" s="1"/>
  <c r="M1029" i="1"/>
  <c r="O904" i="1"/>
  <c r="K909" i="1"/>
  <c r="N909" i="1" s="1"/>
  <c r="N904" i="1"/>
  <c r="L1025" i="1"/>
  <c r="G1026" i="13"/>
  <c r="K1020" i="1"/>
  <c r="O1024" i="1"/>
  <c r="G980" i="13"/>
  <c r="J980" i="13" s="1"/>
  <c r="K974" i="1"/>
  <c r="N974" i="1" s="1"/>
  <c r="K995" i="1"/>
  <c r="N995" i="1" s="1"/>
  <c r="G1001" i="13"/>
  <c r="J1001" i="13" s="1"/>
  <c r="G984" i="13"/>
  <c r="J984" i="13" s="1"/>
  <c r="K978" i="1"/>
  <c r="N978" i="1" s="1"/>
  <c r="G992" i="13"/>
  <c r="J992" i="13" s="1"/>
  <c r="K986" i="1"/>
  <c r="N986" i="1" s="1"/>
  <c r="O995" i="1"/>
  <c r="L917" i="1"/>
  <c r="L918" i="1" s="1"/>
  <c r="K900" i="1"/>
  <c r="N900" i="1" s="1"/>
  <c r="N896" i="1"/>
  <c r="G906" i="13"/>
  <c r="J902" i="13"/>
  <c r="J906" i="13" s="1"/>
  <c r="O868" i="1"/>
  <c r="N868" i="1"/>
  <c r="K875" i="1"/>
  <c r="N875" i="1" s="1"/>
  <c r="G881" i="13"/>
  <c r="J874" i="13"/>
  <c r="J881" i="13" s="1"/>
  <c r="G1027" i="13"/>
  <c r="J1027" i="13" s="1"/>
  <c r="K1021" i="1"/>
  <c r="N1021" i="1" s="1"/>
  <c r="L876" i="1"/>
  <c r="L983" i="1"/>
  <c r="G979" i="13"/>
  <c r="K973" i="1"/>
  <c r="N914" i="1"/>
  <c r="K916" i="1"/>
  <c r="N916" i="1" s="1"/>
  <c r="G1035" i="13"/>
  <c r="L1032" i="1"/>
  <c r="K1030" i="1"/>
  <c r="O867" i="1"/>
  <c r="N855" i="1"/>
  <c r="D121" i="15"/>
  <c r="E121" i="15" s="1"/>
  <c r="O855" i="1"/>
  <c r="G961" i="13"/>
  <c r="N970" i="1"/>
  <c r="O970" i="1"/>
  <c r="O866" i="1"/>
  <c r="O914" i="1"/>
  <c r="M1032" i="1"/>
  <c r="O1030" i="1"/>
  <c r="M983" i="1"/>
  <c r="O974" i="1"/>
  <c r="O1001" i="1"/>
  <c r="M876" i="1"/>
  <c r="O875" i="1"/>
  <c r="O985" i="1"/>
  <c r="M991" i="1"/>
  <c r="M888" i="1"/>
  <c r="O883" i="1"/>
  <c r="O884" i="1"/>
  <c r="G1023" i="13"/>
  <c r="K1017" i="1"/>
  <c r="L1019" i="1"/>
  <c r="G1029" i="13"/>
  <c r="J1029" i="13" s="1"/>
  <c r="K1023" i="1"/>
  <c r="N1023" i="1" s="1"/>
  <c r="O861" i="1"/>
  <c r="O979" i="1"/>
  <c r="O874" i="1"/>
  <c r="G918" i="13"/>
  <c r="J915" i="13"/>
  <c r="J918" i="13" s="1"/>
  <c r="N881" i="1"/>
  <c r="K887" i="1"/>
  <c r="N887" i="1" s="1"/>
  <c r="M1003" i="1"/>
  <c r="O896" i="1"/>
  <c r="M1016" i="1"/>
  <c r="O1012" i="1"/>
  <c r="M1025" i="1"/>
  <c r="O1027" i="1"/>
  <c r="K1014" i="1"/>
  <c r="N1014" i="1" s="1"/>
  <c r="G1020" i="13"/>
  <c r="J1020" i="13" s="1"/>
  <c r="G1021" i="13"/>
  <c r="J1021" i="13" s="1"/>
  <c r="K1015" i="1"/>
  <c r="N1015" i="1" s="1"/>
  <c r="O975" i="1"/>
  <c r="O998" i="1"/>
  <c r="O1018" i="1"/>
  <c r="O1022" i="1"/>
  <c r="G1037" i="13"/>
  <c r="G1036" i="13"/>
  <c r="K1031" i="1"/>
  <c r="N1031" i="1" s="1"/>
  <c r="K988" i="1"/>
  <c r="N988" i="1" s="1"/>
  <c r="G994" i="13"/>
  <c r="J994" i="13" s="1"/>
  <c r="O978" i="1"/>
  <c r="O892" i="1"/>
  <c r="M1011" i="1"/>
  <c r="O1008" i="1"/>
  <c r="O1021" i="1"/>
  <c r="G1033" i="13"/>
  <c r="J1033" i="13" s="1"/>
  <c r="K1028" i="1"/>
  <c r="N1028" i="1" s="1"/>
  <c r="O1015" i="1"/>
  <c r="L888" i="1"/>
  <c r="K993" i="1"/>
  <c r="O993" i="1" s="1"/>
  <c r="G999" i="13"/>
  <c r="L996" i="1"/>
  <c r="G1000" i="13"/>
  <c r="J1000" i="13" s="1"/>
  <c r="K994" i="1"/>
  <c r="N994" i="1" s="1"/>
  <c r="G909" i="13"/>
  <c r="J907" i="13"/>
  <c r="J909" i="13" s="1"/>
  <c r="G1019" i="13"/>
  <c r="J1019" i="13" s="1"/>
  <c r="K1013" i="1"/>
  <c r="N1013" i="1" s="1"/>
  <c r="K981" i="1"/>
  <c r="N981" i="1" s="1"/>
  <c r="G987" i="13"/>
  <c r="J987" i="13" s="1"/>
  <c r="O1014" i="1"/>
  <c r="O977" i="1"/>
  <c r="O863" i="1"/>
  <c r="O990" i="1"/>
  <c r="N910" i="1"/>
  <c r="K913" i="1"/>
  <c r="N913" i="1" s="1"/>
  <c r="L1029" i="1"/>
  <c r="G1031" i="13"/>
  <c r="K1026" i="1"/>
  <c r="G893" i="13"/>
  <c r="J887" i="13"/>
  <c r="J893" i="13" s="1"/>
  <c r="G1003" i="13"/>
  <c r="K997" i="1"/>
  <c r="L1003" i="1"/>
  <c r="O881" i="1"/>
  <c r="O887" i="1"/>
  <c r="O900" i="1"/>
  <c r="O909" i="1"/>
  <c r="O911" i="1"/>
  <c r="O859" i="1"/>
  <c r="O882" i="1"/>
  <c r="O902" i="1"/>
  <c r="O906" i="1"/>
  <c r="O862" i="1"/>
  <c r="O865" i="1"/>
  <c r="M917" i="1"/>
  <c r="O905" i="1"/>
  <c r="K895" i="1"/>
  <c r="O895" i="1" s="1"/>
  <c r="N893" i="1"/>
  <c r="K1009" i="1"/>
  <c r="N1009" i="1" s="1"/>
  <c r="G1015" i="13"/>
  <c r="J1015" i="13" s="1"/>
  <c r="O899" i="1"/>
  <c r="G986" i="13"/>
  <c r="J986" i="13" s="1"/>
  <c r="K980" i="1"/>
  <c r="N980" i="1" s="1"/>
  <c r="G886" i="13"/>
  <c r="J883" i="13"/>
  <c r="J886" i="13" s="1"/>
  <c r="J894" i="13" s="1"/>
  <c r="K880" i="1"/>
  <c r="N877" i="1"/>
  <c r="G551" i="13"/>
  <c r="G552" i="13" s="1"/>
  <c r="F79" i="15" s="1"/>
  <c r="F81" i="15" s="1"/>
  <c r="F85" i="15" s="1"/>
  <c r="O645" i="1"/>
  <c r="J465" i="13"/>
  <c r="O792" i="1"/>
  <c r="O543" i="1"/>
  <c r="J551" i="13"/>
  <c r="J552" i="13" s="1"/>
  <c r="I79" i="15" s="1"/>
  <c r="I81" i="15" s="1"/>
  <c r="I85" i="15" s="1"/>
  <c r="O683" i="1"/>
  <c r="O745" i="1"/>
  <c r="O755" i="1"/>
  <c r="L773" i="1"/>
  <c r="G652" i="13"/>
  <c r="G666" i="13" s="1"/>
  <c r="G667" i="13" s="1"/>
  <c r="F94" i="15" s="1"/>
  <c r="F96" i="15" s="1"/>
  <c r="O749" i="1"/>
  <c r="O779" i="1"/>
  <c r="O797" i="1"/>
  <c r="O791" i="1"/>
  <c r="O784" i="1"/>
  <c r="O771" i="1"/>
  <c r="O793" i="1"/>
  <c r="O800" i="1"/>
  <c r="O670" i="1"/>
  <c r="O787" i="1"/>
  <c r="E67" i="15"/>
  <c r="D69" i="15"/>
  <c r="E69" i="15" s="1"/>
  <c r="M546" i="1"/>
  <c r="M574" i="1" s="1"/>
  <c r="N740" i="1"/>
  <c r="D106" i="15"/>
  <c r="E106" i="15" s="1"/>
  <c r="O740" i="1"/>
  <c r="M773" i="1"/>
  <c r="K788" i="1"/>
  <c r="N788" i="1" s="1"/>
  <c r="N786" i="1"/>
  <c r="O786" i="1"/>
  <c r="J792" i="13"/>
  <c r="J794" i="13" s="1"/>
  <c r="G794" i="13"/>
  <c r="N673" i="1"/>
  <c r="O673" i="1"/>
  <c r="O744" i="1"/>
  <c r="O790" i="1"/>
  <c r="K780" i="1"/>
  <c r="N778" i="1"/>
  <c r="G771" i="13"/>
  <c r="J768" i="13"/>
  <c r="J771" i="13" s="1"/>
  <c r="O679" i="1"/>
  <c r="O235" i="1"/>
  <c r="N235" i="1"/>
  <c r="F105" i="15"/>
  <c r="F108" i="15" s="1"/>
  <c r="G747" i="13"/>
  <c r="O789" i="1"/>
  <c r="N789" i="1"/>
  <c r="K794" i="1"/>
  <c r="J692" i="13"/>
  <c r="J693" i="13" s="1"/>
  <c r="I97" i="15" s="1"/>
  <c r="I99" i="15" s="1"/>
  <c r="O754" i="1"/>
  <c r="O764" i="1"/>
  <c r="L802" i="1"/>
  <c r="L803" i="1" s="1"/>
  <c r="O753" i="1"/>
  <c r="K760" i="1"/>
  <c r="N760" i="1" s="1"/>
  <c r="N753" i="1"/>
  <c r="G766" i="13"/>
  <c r="J759" i="13"/>
  <c r="J766" i="13" s="1"/>
  <c r="K752" i="1"/>
  <c r="N742" i="1"/>
  <c r="G758" i="13"/>
  <c r="G767" i="13" s="1"/>
  <c r="J748" i="13"/>
  <c r="J758" i="13" s="1"/>
  <c r="J767" i="13" s="1"/>
  <c r="N799" i="1"/>
  <c r="K801" i="1"/>
  <c r="N801" i="1" s="1"/>
  <c r="O742" i="1"/>
  <c r="O746" i="1"/>
  <c r="M688" i="1"/>
  <c r="G803" i="13"/>
  <c r="J800" i="13"/>
  <c r="J803" i="13" s="1"/>
  <c r="K658" i="1"/>
  <c r="N658" i="1" s="1"/>
  <c r="N650" i="1"/>
  <c r="G778" i="13"/>
  <c r="J772" i="13"/>
  <c r="J778" i="13" s="1"/>
  <c r="J747" i="13"/>
  <c r="I105" i="15"/>
  <c r="I108" i="15" s="1"/>
  <c r="N531" i="1"/>
  <c r="K545" i="1"/>
  <c r="O545" i="1" s="1"/>
  <c r="O546" i="1" s="1"/>
  <c r="O751" i="1"/>
  <c r="O531" i="1"/>
  <c r="O770" i="1"/>
  <c r="O572" i="1"/>
  <c r="O573" i="1" s="1"/>
  <c r="K573" i="1"/>
  <c r="D82" i="15" s="1"/>
  <c r="N572" i="1"/>
  <c r="N573" i="1" s="1"/>
  <c r="N665" i="1"/>
  <c r="K687" i="1"/>
  <c r="E78" i="15"/>
  <c r="D49" i="15"/>
  <c r="K348" i="1"/>
  <c r="K646" i="1"/>
  <c r="N637" i="1"/>
  <c r="L689" i="1"/>
  <c r="M660" i="1"/>
  <c r="O646" i="1"/>
  <c r="O782" i="1"/>
  <c r="K741" i="1"/>
  <c r="N724" i="1"/>
  <c r="D105" i="15"/>
  <c r="O724" i="1"/>
  <c r="O767" i="1"/>
  <c r="K433" i="1"/>
  <c r="N432" i="1"/>
  <c r="N433" i="1" s="1"/>
  <c r="M802" i="1"/>
  <c r="M803" i="1" s="1"/>
  <c r="O780" i="1"/>
  <c r="K765" i="1"/>
  <c r="N762" i="1"/>
  <c r="O796" i="1"/>
  <c r="D36" i="15"/>
  <c r="E34" i="15"/>
  <c r="O763" i="1"/>
  <c r="J795" i="13"/>
  <c r="J799" i="13" s="1"/>
  <c r="G799" i="13"/>
  <c r="M761" i="1"/>
  <c r="O650" i="1"/>
  <c r="O768" i="1"/>
  <c r="J783" i="13"/>
  <c r="J786" i="13" s="1"/>
  <c r="G786" i="13"/>
  <c r="K785" i="1"/>
  <c r="N785" i="1" s="1"/>
  <c r="N781" i="1"/>
  <c r="G791" i="13"/>
  <c r="J787" i="13"/>
  <c r="J791" i="13" s="1"/>
  <c r="N626" i="1"/>
  <c r="O626" i="1"/>
  <c r="E90" i="15"/>
  <c r="D93" i="15"/>
  <c r="O757" i="1"/>
  <c r="L761" i="1"/>
  <c r="J652" i="13"/>
  <c r="J666" i="13" s="1"/>
  <c r="J667" i="13" s="1"/>
  <c r="G692" i="13"/>
  <c r="G693" i="13" s="1"/>
  <c r="F97" i="15" s="1"/>
  <c r="F99" i="15" s="1"/>
  <c r="O783" i="1"/>
  <c r="O747" i="1"/>
  <c r="O759" i="1"/>
  <c r="O665" i="1"/>
  <c r="N795" i="1"/>
  <c r="K798" i="1"/>
  <c r="N798" i="1" s="1"/>
  <c r="K772" i="1"/>
  <c r="N772" i="1" s="1"/>
  <c r="N766" i="1"/>
  <c r="O772" i="1"/>
  <c r="F123" i="13"/>
  <c r="N28" i="17"/>
  <c r="I52" i="16"/>
  <c r="I123" i="13"/>
  <c r="G88" i="13"/>
  <c r="J88" i="13" s="1"/>
  <c r="G87" i="13"/>
  <c r="J87" i="13" s="1"/>
  <c r="T266" i="14"/>
  <c r="M37" i="17"/>
  <c r="N37" i="17"/>
  <c r="G94" i="1"/>
  <c r="J93" i="1"/>
  <c r="J94" i="1" s="1"/>
  <c r="G122" i="1"/>
  <c r="J122" i="1" s="1"/>
  <c r="J59" i="1"/>
  <c r="L1109" i="1" l="1"/>
  <c r="O1105" i="1"/>
  <c r="O986" i="1"/>
  <c r="L992" i="1"/>
  <c r="N1088" i="1"/>
  <c r="D151" i="15"/>
  <c r="E151" i="15" s="1"/>
  <c r="O1088" i="1"/>
  <c r="M1150" i="1"/>
  <c r="O1130" i="1"/>
  <c r="M1109" i="1"/>
  <c r="G1106" i="13"/>
  <c r="J1096" i="13"/>
  <c r="J1106" i="13" s="1"/>
  <c r="O1141" i="1"/>
  <c r="K1142" i="1"/>
  <c r="N1142" i="1" s="1"/>
  <c r="N1137" i="1"/>
  <c r="O1097" i="1"/>
  <c r="O1126" i="1"/>
  <c r="O1144" i="1"/>
  <c r="K1120" i="1"/>
  <c r="N1120" i="1" s="1"/>
  <c r="N1114" i="1"/>
  <c r="G1151" i="13"/>
  <c r="J1148" i="13"/>
  <c r="J1151" i="13" s="1"/>
  <c r="G1142" i="13"/>
  <c r="J1140" i="13"/>
  <c r="J1142" i="13" s="1"/>
  <c r="N1104" i="1"/>
  <c r="O1104" i="1"/>
  <c r="O1145" i="1"/>
  <c r="G1139" i="13"/>
  <c r="J1135" i="13"/>
  <c r="J1139" i="13" s="1"/>
  <c r="K1128" i="1"/>
  <c r="N1125" i="1"/>
  <c r="O1127" i="1"/>
  <c r="N1110" i="1"/>
  <c r="K1113" i="1"/>
  <c r="G1119" i="13"/>
  <c r="J1116" i="13"/>
  <c r="J1119" i="13" s="1"/>
  <c r="O1142" i="1"/>
  <c r="K1149" i="1"/>
  <c r="N1149" i="1" s="1"/>
  <c r="N1147" i="1"/>
  <c r="N1090" i="1"/>
  <c r="K1100" i="1"/>
  <c r="O1100" i="1" s="1"/>
  <c r="L1142" i="1"/>
  <c r="G1147" i="13"/>
  <c r="J1143" i="13"/>
  <c r="J1147" i="13" s="1"/>
  <c r="N1106" i="1"/>
  <c r="O1106" i="1"/>
  <c r="O1138" i="1"/>
  <c r="L1121" i="1"/>
  <c r="L1123" i="1" s="1"/>
  <c r="L1124" i="1" s="1"/>
  <c r="L1152" i="1" s="1"/>
  <c r="G1126" i="13"/>
  <c r="J1120" i="13"/>
  <c r="J1126" i="13" s="1"/>
  <c r="N1143" i="1"/>
  <c r="K1146" i="1"/>
  <c r="N1146" i="1" s="1"/>
  <c r="O1094" i="1"/>
  <c r="N1134" i="1"/>
  <c r="K1136" i="1"/>
  <c r="N1136" i="1" s="1"/>
  <c r="O1134" i="1"/>
  <c r="O1148" i="1"/>
  <c r="O1111" i="1"/>
  <c r="N1101" i="1"/>
  <c r="K1108" i="1"/>
  <c r="N1108" i="1" s="1"/>
  <c r="O1101" i="1"/>
  <c r="G1114" i="13"/>
  <c r="J1107" i="13"/>
  <c r="J1114" i="13" s="1"/>
  <c r="O1129" i="1"/>
  <c r="K1133" i="1"/>
  <c r="N1133" i="1" s="1"/>
  <c r="N1129" i="1"/>
  <c r="L1150" i="1"/>
  <c r="L1151" i="1" s="1"/>
  <c r="G1134" i="13"/>
  <c r="G1155" i="13" s="1"/>
  <c r="G1156" i="13" s="1"/>
  <c r="F157" i="15" s="1"/>
  <c r="F159" i="15" s="1"/>
  <c r="J1131" i="13"/>
  <c r="J1134" i="13" s="1"/>
  <c r="J1155" i="13" s="1"/>
  <c r="J1156" i="13" s="1"/>
  <c r="I157" i="15" s="1"/>
  <c r="I159" i="15" s="1"/>
  <c r="O1119" i="1"/>
  <c r="G1095" i="13"/>
  <c r="F150" i="15"/>
  <c r="F153" i="15" s="1"/>
  <c r="K1072" i="1"/>
  <c r="N1067" i="1"/>
  <c r="O1067" i="1"/>
  <c r="I150" i="15"/>
  <c r="I153" i="15" s="1"/>
  <c r="J1095" i="13"/>
  <c r="O980" i="1"/>
  <c r="G894" i="13"/>
  <c r="G922" i="13"/>
  <c r="G923" i="13" s="1"/>
  <c r="F127" i="15" s="1"/>
  <c r="F129" i="15" s="1"/>
  <c r="D135" i="15"/>
  <c r="N955" i="1"/>
  <c r="K972" i="1"/>
  <c r="O955" i="1"/>
  <c r="N880" i="1"/>
  <c r="K888" i="1"/>
  <c r="N888" i="1" s="1"/>
  <c r="K1003" i="1"/>
  <c r="N1003" i="1" s="1"/>
  <c r="N997" i="1"/>
  <c r="N1026" i="1"/>
  <c r="K1029" i="1"/>
  <c r="N1029" i="1" s="1"/>
  <c r="G1002" i="13"/>
  <c r="J999" i="13"/>
  <c r="J1002" i="13" s="1"/>
  <c r="M1033" i="1"/>
  <c r="O981" i="1"/>
  <c r="O1003" i="1"/>
  <c r="L1033" i="1"/>
  <c r="L1034" i="1" s="1"/>
  <c r="J1023" i="13"/>
  <c r="J1025" i="13" s="1"/>
  <c r="G1025" i="13"/>
  <c r="O888" i="1"/>
  <c r="M890" i="1"/>
  <c r="N1030" i="1"/>
  <c r="K1032" i="1"/>
  <c r="N1032" i="1" s="1"/>
  <c r="G989" i="13"/>
  <c r="J979" i="13"/>
  <c r="J989" i="13" s="1"/>
  <c r="L890" i="1"/>
  <c r="L891" i="1" s="1"/>
  <c r="L919" i="1" s="1"/>
  <c r="O1020" i="1"/>
  <c r="N1020" i="1"/>
  <c r="K1025" i="1"/>
  <c r="N1025" i="1" s="1"/>
  <c r="O1026" i="1"/>
  <c r="O1023" i="1"/>
  <c r="N989" i="1"/>
  <c r="O989" i="1"/>
  <c r="N971" i="1"/>
  <c r="D136" i="15"/>
  <c r="E136" i="15" s="1"/>
  <c r="O971" i="1"/>
  <c r="O982" i="1"/>
  <c r="O903" i="1"/>
  <c r="J882" i="13"/>
  <c r="J896" i="13" s="1"/>
  <c r="N867" i="1"/>
  <c r="K876" i="1"/>
  <c r="K991" i="1"/>
  <c r="N991" i="1" s="1"/>
  <c r="N984" i="1"/>
  <c r="O984" i="1"/>
  <c r="G1017" i="13"/>
  <c r="J1014" i="13"/>
  <c r="J1017" i="13" s="1"/>
  <c r="O976" i="1"/>
  <c r="O1010" i="1"/>
  <c r="O1002" i="1"/>
  <c r="G579" i="13"/>
  <c r="N895" i="1"/>
  <c r="K917" i="1"/>
  <c r="M918" i="1"/>
  <c r="O917" i="1"/>
  <c r="O918" i="1" s="1"/>
  <c r="G1009" i="13"/>
  <c r="J1003" i="13"/>
  <c r="J1009" i="13" s="1"/>
  <c r="G1034" i="13"/>
  <c r="J1031" i="13"/>
  <c r="J1034" i="13" s="1"/>
  <c r="L1004" i="1"/>
  <c r="L1006" i="1" s="1"/>
  <c r="L1007" i="1" s="1"/>
  <c r="L1035" i="1" s="1"/>
  <c r="N993" i="1"/>
  <c r="K996" i="1"/>
  <c r="O1009" i="1"/>
  <c r="O997" i="1"/>
  <c r="N1017" i="1"/>
  <c r="K1019" i="1"/>
  <c r="O1017" i="1"/>
  <c r="O1031" i="1"/>
  <c r="O880" i="1"/>
  <c r="M992" i="1"/>
  <c r="O1032" i="1"/>
  <c r="O994" i="1"/>
  <c r="F135" i="15"/>
  <c r="F138" i="15" s="1"/>
  <c r="G978" i="13"/>
  <c r="O973" i="1"/>
  <c r="K983" i="1"/>
  <c r="N973" i="1"/>
  <c r="O988" i="1"/>
  <c r="G1030" i="13"/>
  <c r="J1026" i="13"/>
  <c r="J1030" i="13" s="1"/>
  <c r="O1029" i="1"/>
  <c r="N950" i="1"/>
  <c r="O950" i="1"/>
  <c r="M1004" i="1"/>
  <c r="O916" i="1"/>
  <c r="J978" i="13"/>
  <c r="I135" i="15"/>
  <c r="I138" i="15" s="1"/>
  <c r="O1013" i="1"/>
  <c r="N987" i="1"/>
  <c r="O987" i="1"/>
  <c r="O1028" i="1"/>
  <c r="G882" i="13"/>
  <c r="G896" i="13" s="1"/>
  <c r="G997" i="13"/>
  <c r="J990" i="13"/>
  <c r="J997" i="13" s="1"/>
  <c r="K1016" i="1"/>
  <c r="N1016" i="1" s="1"/>
  <c r="N1012" i="1"/>
  <c r="G1022" i="13"/>
  <c r="J1018" i="13"/>
  <c r="J1022" i="13" s="1"/>
  <c r="N1008" i="1"/>
  <c r="K1011" i="1"/>
  <c r="J922" i="13"/>
  <c r="J923" i="13" s="1"/>
  <c r="I127" i="15" s="1"/>
  <c r="I129" i="15" s="1"/>
  <c r="O913" i="1"/>
  <c r="D120" i="15"/>
  <c r="K856" i="1"/>
  <c r="N839" i="1"/>
  <c r="O839" i="1"/>
  <c r="O788" i="1"/>
  <c r="O801" i="1"/>
  <c r="J579" i="13"/>
  <c r="F100" i="15"/>
  <c r="L775" i="1"/>
  <c r="L776" i="1" s="1"/>
  <c r="L804" i="1" s="1"/>
  <c r="O798" i="1"/>
  <c r="J807" i="13"/>
  <c r="J808" i="13" s="1"/>
  <c r="I112" i="15" s="1"/>
  <c r="I114" i="15" s="1"/>
  <c r="E93" i="15"/>
  <c r="M775" i="1"/>
  <c r="D108" i="15"/>
  <c r="E105" i="15"/>
  <c r="N741" i="1"/>
  <c r="O741" i="1"/>
  <c r="K660" i="1"/>
  <c r="N646" i="1"/>
  <c r="D51" i="15"/>
  <c r="E49" i="15"/>
  <c r="K688" i="1"/>
  <c r="D97" i="15" s="1"/>
  <c r="N687" i="1"/>
  <c r="N688" i="1" s="1"/>
  <c r="O687" i="1"/>
  <c r="O688" i="1" s="1"/>
  <c r="K761" i="1"/>
  <c r="O761" i="1" s="1"/>
  <c r="N752" i="1"/>
  <c r="O658" i="1"/>
  <c r="G779" i="13"/>
  <c r="G781" i="13" s="1"/>
  <c r="G782" i="13" s="1"/>
  <c r="N780" i="1"/>
  <c r="K802" i="1"/>
  <c r="G694" i="13"/>
  <c r="O752" i="1"/>
  <c r="I94" i="15"/>
  <c r="I96" i="15" s="1"/>
  <c r="I100" i="15" s="1"/>
  <c r="J694" i="13"/>
  <c r="O760" i="1"/>
  <c r="E36" i="15"/>
  <c r="D40" i="15"/>
  <c r="E40" i="15" s="1"/>
  <c r="O785" i="1"/>
  <c r="N765" i="1"/>
  <c r="K773" i="1"/>
  <c r="N773" i="1" s="1"/>
  <c r="D64" i="15"/>
  <c r="K461" i="1"/>
  <c r="M661" i="1"/>
  <c r="M689" i="1" s="1"/>
  <c r="O348" i="1"/>
  <c r="N348" i="1"/>
  <c r="E82" i="15"/>
  <c r="D84" i="15"/>
  <c r="E84" i="15" s="1"/>
  <c r="N545" i="1"/>
  <c r="N546" i="1" s="1"/>
  <c r="K546" i="1"/>
  <c r="N794" i="1"/>
  <c r="O794" i="1"/>
  <c r="J779" i="13"/>
  <c r="J781" i="13" s="1"/>
  <c r="J782" i="13" s="1"/>
  <c r="G807" i="13"/>
  <c r="G808" i="13" s="1"/>
  <c r="F112" i="15" s="1"/>
  <c r="F114" i="15" s="1"/>
  <c r="O765" i="1"/>
  <c r="I22" i="16"/>
  <c r="O991" i="1" l="1"/>
  <c r="G1127" i="13"/>
  <c r="G1115" i="13"/>
  <c r="O1108" i="1"/>
  <c r="M1151" i="1"/>
  <c r="J998" i="13"/>
  <c r="N1100" i="1"/>
  <c r="K1109" i="1"/>
  <c r="O1109" i="1" s="1"/>
  <c r="J1127" i="13"/>
  <c r="O1113" i="1"/>
  <c r="K1121" i="1"/>
  <c r="N1113" i="1"/>
  <c r="N1128" i="1"/>
  <c r="K1150" i="1"/>
  <c r="O1120" i="1"/>
  <c r="O1146" i="1"/>
  <c r="J1115" i="13"/>
  <c r="M1123" i="1"/>
  <c r="O1149" i="1"/>
  <c r="O1133" i="1"/>
  <c r="O1128" i="1"/>
  <c r="O1136" i="1"/>
  <c r="D150" i="15"/>
  <c r="K1089" i="1"/>
  <c r="N1072" i="1"/>
  <c r="O1072" i="1"/>
  <c r="D123" i="15"/>
  <c r="E120" i="15"/>
  <c r="M1006" i="1"/>
  <c r="O1016" i="1"/>
  <c r="N917" i="1"/>
  <c r="N918" i="1" s="1"/>
  <c r="K918" i="1"/>
  <c r="D127" i="15" s="1"/>
  <c r="K890" i="1"/>
  <c r="N876" i="1"/>
  <c r="I124" i="15"/>
  <c r="I126" i="15" s="1"/>
  <c r="I130" i="15" s="1"/>
  <c r="J897" i="13"/>
  <c r="J924" i="13" s="1"/>
  <c r="O876" i="1"/>
  <c r="M1034" i="1"/>
  <c r="J1010" i="13"/>
  <c r="N856" i="1"/>
  <c r="O856" i="1"/>
  <c r="N1011" i="1"/>
  <c r="K1033" i="1"/>
  <c r="F124" i="15"/>
  <c r="F126" i="15" s="1"/>
  <c r="F130" i="15" s="1"/>
  <c r="G897" i="13"/>
  <c r="G924" i="13" s="1"/>
  <c r="N983" i="1"/>
  <c r="K992" i="1"/>
  <c r="O983" i="1"/>
  <c r="O1019" i="1"/>
  <c r="N1019" i="1"/>
  <c r="O1025" i="1"/>
  <c r="O996" i="1"/>
  <c r="N996" i="1"/>
  <c r="K1004" i="1"/>
  <c r="N1004" i="1" s="1"/>
  <c r="J1038" i="13"/>
  <c r="J1039" i="13" s="1"/>
  <c r="I142" i="15" s="1"/>
  <c r="I144" i="15" s="1"/>
  <c r="G998" i="13"/>
  <c r="M891" i="1"/>
  <c r="M919" i="1" s="1"/>
  <c r="O890" i="1"/>
  <c r="O891" i="1" s="1"/>
  <c r="G1038" i="13"/>
  <c r="G1039" i="13" s="1"/>
  <c r="F142" i="15" s="1"/>
  <c r="F144" i="15" s="1"/>
  <c r="O1011" i="1"/>
  <c r="G1010" i="13"/>
  <c r="N972" i="1"/>
  <c r="O972" i="1"/>
  <c r="D138" i="15"/>
  <c r="E135" i="15"/>
  <c r="F109" i="15"/>
  <c r="F111" i="15" s="1"/>
  <c r="F115" i="15" s="1"/>
  <c r="G809" i="13"/>
  <c r="I109" i="15"/>
  <c r="I111" i="15" s="1"/>
  <c r="I115" i="15" s="1"/>
  <c r="J809" i="13"/>
  <c r="D79" i="15"/>
  <c r="K574" i="1"/>
  <c r="N461" i="1"/>
  <c r="O461" i="1"/>
  <c r="D99" i="15"/>
  <c r="E99" i="15" s="1"/>
  <c r="E97" i="15"/>
  <c r="E51" i="15"/>
  <c r="D55" i="15"/>
  <c r="E55" i="15" s="1"/>
  <c r="N660" i="1"/>
  <c r="N661" i="1" s="1"/>
  <c r="K661" i="1"/>
  <c r="O660" i="1"/>
  <c r="O661" i="1" s="1"/>
  <c r="E64" i="15"/>
  <c r="D66" i="15"/>
  <c r="O773" i="1"/>
  <c r="O802" i="1"/>
  <c r="O803" i="1" s="1"/>
  <c r="N802" i="1"/>
  <c r="N803" i="1" s="1"/>
  <c r="K803" i="1"/>
  <c r="D112" i="15" s="1"/>
  <c r="K775" i="1"/>
  <c r="N761" i="1"/>
  <c r="E108" i="15"/>
  <c r="M776" i="1"/>
  <c r="M804" i="1" s="1"/>
  <c r="O775" i="1"/>
  <c r="O776" i="1" s="1"/>
  <c r="I43" i="16"/>
  <c r="J1012" i="13" l="1"/>
  <c r="J1013" i="13" s="1"/>
  <c r="J1040" i="13" s="1"/>
  <c r="M1124" i="1"/>
  <c r="M1152" i="1" s="1"/>
  <c r="N1150" i="1"/>
  <c r="N1151" i="1" s="1"/>
  <c r="K1151" i="1"/>
  <c r="D157" i="15" s="1"/>
  <c r="N1109" i="1"/>
  <c r="K1123" i="1"/>
  <c r="N1121" i="1"/>
  <c r="O1121" i="1"/>
  <c r="J1129" i="13"/>
  <c r="J1130" i="13" s="1"/>
  <c r="O1150" i="1"/>
  <c r="O1151" i="1" s="1"/>
  <c r="G1129" i="13"/>
  <c r="G1130" i="13" s="1"/>
  <c r="D153" i="15"/>
  <c r="E150" i="15"/>
  <c r="N1089" i="1"/>
  <c r="O1089" i="1"/>
  <c r="G1012" i="13"/>
  <c r="G1013" i="13" s="1"/>
  <c r="K1006" i="1"/>
  <c r="O1006" i="1" s="1"/>
  <c r="O1007" i="1" s="1"/>
  <c r="N992" i="1"/>
  <c r="O1004" i="1"/>
  <c r="N890" i="1"/>
  <c r="N891" i="1" s="1"/>
  <c r="K891" i="1"/>
  <c r="O992" i="1"/>
  <c r="E138" i="15"/>
  <c r="K1034" i="1"/>
  <c r="D142" i="15" s="1"/>
  <c r="N1033" i="1"/>
  <c r="N1034" i="1" s="1"/>
  <c r="O1033" i="1"/>
  <c r="O1034" i="1" s="1"/>
  <c r="D129" i="15"/>
  <c r="E129" i="15" s="1"/>
  <c r="E127" i="15"/>
  <c r="M1007" i="1"/>
  <c r="M1035" i="1" s="1"/>
  <c r="E123" i="15"/>
  <c r="D114" i="15"/>
  <c r="E114" i="15" s="1"/>
  <c r="E112" i="15"/>
  <c r="E66" i="15"/>
  <c r="D70" i="15"/>
  <c r="E70" i="15" s="1"/>
  <c r="O574" i="1"/>
  <c r="N574" i="1"/>
  <c r="K776" i="1"/>
  <c r="N775" i="1"/>
  <c r="N776" i="1" s="1"/>
  <c r="D94" i="15"/>
  <c r="K689" i="1"/>
  <c r="E79" i="15"/>
  <c r="D81" i="15"/>
  <c r="G70" i="13"/>
  <c r="I139" i="15" l="1"/>
  <c r="I141" i="15" s="1"/>
  <c r="I145" i="15" s="1"/>
  <c r="K1124" i="1"/>
  <c r="N1123" i="1"/>
  <c r="N1124" i="1" s="1"/>
  <c r="D159" i="15"/>
  <c r="E159" i="15" s="1"/>
  <c r="E157" i="15"/>
  <c r="O1123" i="1"/>
  <c r="O1124" i="1" s="1"/>
  <c r="F154" i="15"/>
  <c r="F156" i="15" s="1"/>
  <c r="F160" i="15" s="1"/>
  <c r="G1157" i="13"/>
  <c r="I154" i="15"/>
  <c r="I156" i="15" s="1"/>
  <c r="I160" i="15" s="1"/>
  <c r="J1157" i="13"/>
  <c r="E153" i="15"/>
  <c r="D144" i="15"/>
  <c r="E144" i="15" s="1"/>
  <c r="E142" i="15"/>
  <c r="N1006" i="1"/>
  <c r="N1007" i="1" s="1"/>
  <c r="K1007" i="1"/>
  <c r="D124" i="15"/>
  <c r="K919" i="1"/>
  <c r="F139" i="15"/>
  <c r="F141" i="15" s="1"/>
  <c r="F145" i="15" s="1"/>
  <c r="G1040" i="13"/>
  <c r="E94" i="15"/>
  <c r="D96" i="15"/>
  <c r="D109" i="15"/>
  <c r="K804" i="1"/>
  <c r="E81" i="15"/>
  <c r="D85" i="15"/>
  <c r="E85" i="15" s="1"/>
  <c r="N689" i="1"/>
  <c r="O689" i="1"/>
  <c r="J70" i="13"/>
  <c r="K67" i="1"/>
  <c r="O67" i="1" s="1"/>
  <c r="D154" i="15" l="1"/>
  <c r="K1152" i="1"/>
  <c r="E124" i="15"/>
  <c r="D126" i="15"/>
  <c r="N919" i="1"/>
  <c r="O919" i="1"/>
  <c r="D139" i="15"/>
  <c r="K1035" i="1"/>
  <c r="N804" i="1"/>
  <c r="O804" i="1"/>
  <c r="E96" i="15"/>
  <c r="D100" i="15"/>
  <c r="E100" i="15" s="1"/>
  <c r="E109" i="15"/>
  <c r="D111" i="15"/>
  <c r="I38" i="16"/>
  <c r="I39" i="16"/>
  <c r="O1152" i="1" l="1"/>
  <c r="N1152" i="1"/>
  <c r="D156" i="15"/>
  <c r="E154" i="15"/>
  <c r="N1035" i="1"/>
  <c r="O1035" i="1"/>
  <c r="E126" i="15"/>
  <c r="D130" i="15"/>
  <c r="E130" i="15" s="1"/>
  <c r="D141" i="15"/>
  <c r="E139" i="15"/>
  <c r="E111" i="15"/>
  <c r="D115" i="15"/>
  <c r="E115" i="15" s="1"/>
  <c r="I28" i="16"/>
  <c r="E156" i="15" l="1"/>
  <c r="D160" i="15"/>
  <c r="E160" i="15" s="1"/>
  <c r="E141" i="15"/>
  <c r="D145" i="15"/>
  <c r="E145" i="15" s="1"/>
  <c r="L70" i="17"/>
  <c r="L71" i="17" s="1"/>
  <c r="L72" i="17" s="1"/>
  <c r="J68" i="17" l="1"/>
  <c r="Q68" i="17"/>
  <c r="Q70" i="17" s="1"/>
  <c r="Q71" i="17" s="1"/>
  <c r="K70" i="17"/>
  <c r="K71" i="17" s="1"/>
  <c r="G22" i="15" l="1"/>
  <c r="G24" i="15" s="1"/>
  <c r="G25" i="15" s="1"/>
  <c r="K72" i="17"/>
  <c r="M68" i="17"/>
  <c r="N68" i="17"/>
  <c r="J70" i="17"/>
  <c r="H22" i="15"/>
  <c r="H24" i="15" s="1"/>
  <c r="H25" i="15" s="1"/>
  <c r="Q72" i="17"/>
  <c r="N70" i="17" l="1"/>
  <c r="M70" i="17"/>
  <c r="J71" i="17"/>
  <c r="N71" i="17" l="1"/>
  <c r="M71" i="17"/>
  <c r="J72" i="17"/>
  <c r="M72" i="17" l="1"/>
  <c r="N72" i="17"/>
  <c r="I110" i="16" l="1"/>
  <c r="I48" i="16" l="1"/>
  <c r="I47" i="16"/>
  <c r="I49" i="16" l="1"/>
  <c r="G74" i="13" l="1"/>
  <c r="J74" i="13" s="1"/>
  <c r="K72" i="1"/>
  <c r="N72" i="1" l="1"/>
  <c r="O72" i="1"/>
  <c r="G77" i="13"/>
  <c r="J77" i="13" s="1"/>
  <c r="I116" i="16" l="1"/>
  <c r="I117" i="16" s="1"/>
  <c r="I53" i="16" l="1"/>
  <c r="I50" i="16"/>
  <c r="F54" i="16"/>
  <c r="I16" i="16"/>
  <c r="I54" i="16" l="1"/>
  <c r="J17" i="15" s="1"/>
  <c r="I90" i="16"/>
  <c r="I32" i="16"/>
  <c r="I57" i="16" l="1"/>
  <c r="I17" i="16"/>
  <c r="I33" i="16" l="1"/>
  <c r="I91" i="16"/>
  <c r="I61" i="16" l="1"/>
  <c r="I63" i="16"/>
  <c r="I93" i="16"/>
  <c r="I60" i="16"/>
  <c r="I59" i="16"/>
  <c r="I58" i="16"/>
  <c r="I34" i="16" l="1"/>
  <c r="I92" i="16"/>
  <c r="I81" i="16"/>
  <c r="I71" i="16"/>
  <c r="I85" i="16"/>
  <c r="I44" i="16"/>
  <c r="I67" i="16"/>
  <c r="I36" i="16"/>
  <c r="I87" i="16"/>
  <c r="I83" i="16"/>
  <c r="I73" i="16"/>
  <c r="I45" i="16"/>
  <c r="I21" i="16"/>
  <c r="I19" i="16"/>
  <c r="I41" i="16"/>
  <c r="I37" i="16"/>
  <c r="I35" i="16"/>
  <c r="I23" i="16"/>
  <c r="I20" i="16"/>
  <c r="I40" i="16"/>
  <c r="I25" i="16"/>
  <c r="I88" i="16"/>
  <c r="I86" i="16"/>
  <c r="I84" i="16"/>
  <c r="I82" i="16"/>
  <c r="I80" i="16"/>
  <c r="I72" i="16"/>
  <c r="I68" i="16"/>
  <c r="I66" i="16"/>
  <c r="I42" i="16"/>
  <c r="I30" i="16"/>
  <c r="I29" i="16"/>
  <c r="I26" i="16"/>
  <c r="I24" i="16"/>
  <c r="I65" i="16" l="1"/>
  <c r="I46" i="16"/>
  <c r="F46" i="16"/>
  <c r="I96" i="16"/>
  <c r="I69" i="16"/>
  <c r="I70" i="16"/>
  <c r="I89" i="16" l="1"/>
  <c r="J19" i="15" s="1"/>
  <c r="J21" i="15" s="1"/>
  <c r="I94" i="16"/>
  <c r="I106" i="16"/>
  <c r="I113" i="16"/>
  <c r="I95" i="16"/>
  <c r="I108" i="16"/>
  <c r="I104" i="16"/>
  <c r="I102" i="16"/>
  <c r="I99" i="16"/>
  <c r="I97" i="16"/>
  <c r="I111" i="16"/>
  <c r="I109" i="16"/>
  <c r="I107" i="16"/>
  <c r="J16" i="15"/>
  <c r="F89" i="16"/>
  <c r="I105" i="16"/>
  <c r="I103" i="16"/>
  <c r="I100" i="16"/>
  <c r="I98" i="16"/>
  <c r="I114" i="16"/>
  <c r="I15" i="16" l="1"/>
  <c r="I115" i="16"/>
  <c r="F115" i="16"/>
  <c r="J22" i="15" l="1"/>
  <c r="J24" i="15" s="1"/>
  <c r="I18" i="16"/>
  <c r="I31" i="16" s="1"/>
  <c r="F31" i="16"/>
  <c r="F56" i="16" s="1"/>
  <c r="F118" i="16" s="1"/>
  <c r="J15" i="15" l="1"/>
  <c r="J18" i="15" s="1"/>
  <c r="J25" i="15" s="1"/>
  <c r="I56" i="16"/>
  <c r="I118" i="16" l="1"/>
  <c r="G115" i="13" l="1"/>
  <c r="J115" i="13" s="1"/>
  <c r="K85" i="1"/>
  <c r="G109" i="13"/>
  <c r="N1052" i="2"/>
  <c r="L1052" i="2"/>
  <c r="K1052" i="2"/>
  <c r="J1052" i="2"/>
  <c r="O1052" i="2" s="1"/>
  <c r="F1052" i="2"/>
  <c r="N1051" i="2"/>
  <c r="K1051" i="2"/>
  <c r="I1051" i="2" s="1"/>
  <c r="J1051" i="2"/>
  <c r="O1051" i="2" s="1"/>
  <c r="F1051" i="2"/>
  <c r="N1050" i="2"/>
  <c r="K1050" i="2"/>
  <c r="J1050" i="2"/>
  <c r="I1050" i="2" s="1"/>
  <c r="F1050" i="2"/>
  <c r="N1049" i="2"/>
  <c r="K1049" i="2"/>
  <c r="J1049" i="2"/>
  <c r="L1049" i="2" s="1"/>
  <c r="I1049" i="2"/>
  <c r="F1049" i="2"/>
  <c r="N1048" i="2"/>
  <c r="L1048" i="2"/>
  <c r="K1048" i="2"/>
  <c r="J1048" i="2"/>
  <c r="O1048" i="2" s="1"/>
  <c r="F1048" i="2"/>
  <c r="N1047" i="2"/>
  <c r="K1047" i="2"/>
  <c r="I1047" i="2" s="1"/>
  <c r="J1047" i="2"/>
  <c r="O1047" i="2" s="1"/>
  <c r="F1047" i="2"/>
  <c r="N1046" i="2"/>
  <c r="F1046" i="2"/>
  <c r="N1045" i="2"/>
  <c r="K1045" i="2"/>
  <c r="J1045" i="2"/>
  <c r="L1045" i="2" s="1"/>
  <c r="I1045" i="2"/>
  <c r="F1045" i="2"/>
  <c r="N1044" i="2"/>
  <c r="L1044" i="2"/>
  <c r="K1044" i="2"/>
  <c r="J1044" i="2"/>
  <c r="O1044" i="2" s="1"/>
  <c r="F1044" i="2"/>
  <c r="N1043" i="2"/>
  <c r="F1043" i="2"/>
  <c r="N1042" i="2"/>
  <c r="K1042" i="2"/>
  <c r="J1042" i="2"/>
  <c r="I1042" i="2" s="1"/>
  <c r="F1042" i="2"/>
  <c r="O1041" i="2"/>
  <c r="N1041" i="2"/>
  <c r="K1041" i="2"/>
  <c r="J1041" i="2"/>
  <c r="I1041" i="2"/>
  <c r="F1041" i="2"/>
  <c r="N1040" i="2"/>
  <c r="L1040" i="2"/>
  <c r="K1040" i="2"/>
  <c r="J1040" i="2"/>
  <c r="O1040" i="2" s="1"/>
  <c r="F1040" i="2"/>
  <c r="N1039" i="2"/>
  <c r="K1039" i="2"/>
  <c r="J1039" i="2"/>
  <c r="I1039" i="2" s="1"/>
  <c r="F1039" i="2"/>
  <c r="N1038" i="2"/>
  <c r="F1038" i="2"/>
  <c r="N1037" i="2"/>
  <c r="F1037" i="2"/>
  <c r="N1036" i="2"/>
  <c r="L1036" i="2"/>
  <c r="K1036" i="2"/>
  <c r="J1036" i="2"/>
  <c r="O1036" i="2" s="1"/>
  <c r="F1036" i="2"/>
  <c r="N1035" i="2"/>
  <c r="K1035" i="2"/>
  <c r="J1035" i="2"/>
  <c r="I1035" i="2" s="1"/>
  <c r="F1035" i="2"/>
  <c r="N1034" i="2"/>
  <c r="K1034" i="2"/>
  <c r="J1034" i="2"/>
  <c r="L1034" i="2" s="1"/>
  <c r="I1034" i="2"/>
  <c r="F1034" i="2"/>
  <c r="N1033" i="2"/>
  <c r="L1033" i="2"/>
  <c r="K1033" i="2"/>
  <c r="J1033" i="2"/>
  <c r="O1033" i="2" s="1"/>
  <c r="I1033" i="2"/>
  <c r="F1033" i="2"/>
  <c r="N1032" i="2"/>
  <c r="L1032" i="2"/>
  <c r="K1032" i="2"/>
  <c r="J1032" i="2"/>
  <c r="O1032" i="2" s="1"/>
  <c r="F1032" i="2"/>
  <c r="N1031" i="2"/>
  <c r="K1031" i="2"/>
  <c r="J1031" i="2"/>
  <c r="I1031" i="2" s="1"/>
  <c r="F1031" i="2"/>
  <c r="N1030" i="2"/>
  <c r="K1030" i="2"/>
  <c r="J1030" i="2"/>
  <c r="L1030" i="2" s="1"/>
  <c r="I1030" i="2"/>
  <c r="F1030" i="2"/>
  <c r="N1029" i="2"/>
  <c r="L1029" i="2"/>
  <c r="K1029" i="2"/>
  <c r="J1029" i="2"/>
  <c r="O1029" i="2" s="1"/>
  <c r="I1029" i="2"/>
  <c r="F1029" i="2"/>
  <c r="N1028" i="2"/>
  <c r="F1028" i="2"/>
  <c r="N1027" i="2"/>
  <c r="K1027" i="2"/>
  <c r="J1027" i="2"/>
  <c r="I1027" i="2" s="1"/>
  <c r="F1027" i="2"/>
  <c r="N1026" i="2"/>
  <c r="K1026" i="2"/>
  <c r="J1026" i="2"/>
  <c r="L1026" i="2" s="1"/>
  <c r="I1026" i="2"/>
  <c r="F1026" i="2"/>
  <c r="N1025" i="2"/>
  <c r="F1025" i="2"/>
  <c r="N1023" i="2"/>
  <c r="L1023" i="2"/>
  <c r="K1023" i="2"/>
  <c r="J1023" i="2"/>
  <c r="O1023" i="2" s="1"/>
  <c r="F1023" i="2"/>
  <c r="H1022" i="2"/>
  <c r="G1022" i="2"/>
  <c r="E1022" i="2"/>
  <c r="D1022" i="2"/>
  <c r="N1021" i="2"/>
  <c r="K1021" i="2"/>
  <c r="J1021" i="2"/>
  <c r="L1021" i="2" s="1"/>
  <c r="I1021" i="2"/>
  <c r="F1021" i="2"/>
  <c r="N1020" i="2"/>
  <c r="L1020" i="2"/>
  <c r="K1020" i="2"/>
  <c r="J1020" i="2"/>
  <c r="O1020" i="2" s="1"/>
  <c r="F1020" i="2"/>
  <c r="N1019" i="2"/>
  <c r="K1019" i="2"/>
  <c r="J1019" i="2"/>
  <c r="O1019" i="2" s="1"/>
  <c r="F1019" i="2"/>
  <c r="I1019" i="2" s="1"/>
  <c r="N1018" i="2"/>
  <c r="N1022" i="2" s="1"/>
  <c r="K1018" i="2"/>
  <c r="K1022" i="2" s="1"/>
  <c r="J1018" i="2"/>
  <c r="I1018" i="2" s="1"/>
  <c r="F1018" i="2"/>
  <c r="N1017" i="2"/>
  <c r="H1017" i="2"/>
  <c r="G1017" i="2"/>
  <c r="E1017" i="2"/>
  <c r="D1017" i="2"/>
  <c r="N1016" i="2"/>
  <c r="L1016" i="2"/>
  <c r="K1016" i="2"/>
  <c r="J1016" i="2"/>
  <c r="O1016" i="2" s="1"/>
  <c r="F1016" i="2"/>
  <c r="N1015" i="2"/>
  <c r="K1015" i="2"/>
  <c r="I1015" i="2" s="1"/>
  <c r="J1015" i="2"/>
  <c r="O1015" i="2" s="1"/>
  <c r="F1015" i="2"/>
  <c r="N1014" i="2"/>
  <c r="K1014" i="2"/>
  <c r="J1014" i="2"/>
  <c r="I1014" i="2" s="1"/>
  <c r="F1014" i="2"/>
  <c r="N1013" i="2"/>
  <c r="K1013" i="2"/>
  <c r="J1013" i="2"/>
  <c r="O1013" i="2" s="1"/>
  <c r="F1013" i="2"/>
  <c r="N1012" i="2"/>
  <c r="K1012" i="2"/>
  <c r="I1012" i="2" s="1"/>
  <c r="J1012" i="2"/>
  <c r="O1012" i="2" s="1"/>
  <c r="F1012" i="2"/>
  <c r="N1011" i="2"/>
  <c r="K1011" i="2"/>
  <c r="J1011" i="2"/>
  <c r="I1011" i="2" s="1"/>
  <c r="F1011" i="2"/>
  <c r="N1010" i="2"/>
  <c r="L1010" i="2"/>
  <c r="K1010" i="2"/>
  <c r="K1017" i="2" s="1"/>
  <c r="J1010" i="2"/>
  <c r="J1017" i="2" s="1"/>
  <c r="I1010" i="2"/>
  <c r="F1010" i="2"/>
  <c r="F1017" i="2" s="1"/>
  <c r="H1008" i="2"/>
  <c r="G1008" i="2"/>
  <c r="K1007" i="2"/>
  <c r="K1008" i="2" s="1"/>
  <c r="J1007" i="2"/>
  <c r="O1007" i="2" s="1"/>
  <c r="N1006" i="2"/>
  <c r="L1006" i="2"/>
  <c r="K1006" i="2"/>
  <c r="J1006" i="2"/>
  <c r="O1006" i="2" s="1"/>
  <c r="I1006" i="2"/>
  <c r="F1006" i="2"/>
  <c r="N1005" i="2"/>
  <c r="L1005" i="2"/>
  <c r="K1005" i="2"/>
  <c r="J1005" i="2"/>
  <c r="O1005" i="2" s="1"/>
  <c r="F1005" i="2"/>
  <c r="O1004" i="2"/>
  <c r="K1004" i="2"/>
  <c r="J1004" i="2"/>
  <c r="I1004" i="2"/>
  <c r="F1004" i="2"/>
  <c r="N1003" i="2"/>
  <c r="L1003" i="2"/>
  <c r="K1003" i="2"/>
  <c r="J1003" i="2"/>
  <c r="J1008" i="2" s="1"/>
  <c r="F1003" i="2"/>
  <c r="H1002" i="2"/>
  <c r="G1002" i="2"/>
  <c r="O1001" i="2"/>
  <c r="N1001" i="2"/>
  <c r="K1001" i="2"/>
  <c r="J1001" i="2"/>
  <c r="I1001" i="2"/>
  <c r="F1001" i="2"/>
  <c r="N1000" i="2"/>
  <c r="L1000" i="2"/>
  <c r="K1000" i="2"/>
  <c r="J1000" i="2"/>
  <c r="O1000" i="2" s="1"/>
  <c r="F1000" i="2"/>
  <c r="N999" i="2"/>
  <c r="K999" i="2"/>
  <c r="J999" i="2"/>
  <c r="O999" i="2" s="1"/>
  <c r="F999" i="2"/>
  <c r="O998" i="2"/>
  <c r="N998" i="2"/>
  <c r="K998" i="2"/>
  <c r="J998" i="2"/>
  <c r="I998" i="2"/>
  <c r="F998" i="2"/>
  <c r="N997" i="2"/>
  <c r="K997" i="2"/>
  <c r="J997" i="2"/>
  <c r="O997" i="2" s="1"/>
  <c r="F997" i="2"/>
  <c r="N996" i="2"/>
  <c r="K996" i="2"/>
  <c r="J996" i="2"/>
  <c r="O996" i="2" s="1"/>
  <c r="F996" i="2"/>
  <c r="N995" i="2"/>
  <c r="K995" i="2"/>
  <c r="K1002" i="2" s="1"/>
  <c r="J995" i="2"/>
  <c r="L995" i="2" s="1"/>
  <c r="F995" i="2"/>
  <c r="F1002" i="2" s="1"/>
  <c r="O85" i="1" l="1"/>
  <c r="N85" i="1"/>
  <c r="K115" i="1"/>
  <c r="N115" i="1" s="1"/>
  <c r="G116" i="13"/>
  <c r="J116" i="13" s="1"/>
  <c r="G106" i="13"/>
  <c r="L106" i="1"/>
  <c r="M103" i="1"/>
  <c r="G107" i="13"/>
  <c r="J107" i="13" s="1"/>
  <c r="K105" i="1"/>
  <c r="N105" i="1" s="1"/>
  <c r="G111" i="13"/>
  <c r="J111" i="13" s="1"/>
  <c r="K109" i="1"/>
  <c r="N109" i="1" s="1"/>
  <c r="J109" i="13"/>
  <c r="G101" i="13"/>
  <c r="K99" i="1"/>
  <c r="K110" i="1"/>
  <c r="N110" i="1" s="1"/>
  <c r="G112" i="13"/>
  <c r="J112" i="13" s="1"/>
  <c r="L119" i="1"/>
  <c r="G120" i="13" s="1"/>
  <c r="G118" i="13"/>
  <c r="K117" i="1"/>
  <c r="M98" i="1"/>
  <c r="K75" i="1"/>
  <c r="N75" i="1" s="1"/>
  <c r="K118" i="1"/>
  <c r="N118" i="1" s="1"/>
  <c r="G119" i="13"/>
  <c r="K102" i="1"/>
  <c r="N102" i="1" s="1"/>
  <c r="G104" i="13"/>
  <c r="J104" i="13" s="1"/>
  <c r="K86" i="1"/>
  <c r="G98" i="13"/>
  <c r="J98" i="13" s="1"/>
  <c r="K96" i="1"/>
  <c r="K113" i="1"/>
  <c r="G114" i="13"/>
  <c r="O115" i="1"/>
  <c r="K97" i="1"/>
  <c r="N97" i="1" s="1"/>
  <c r="G99" i="13"/>
  <c r="J99" i="13" s="1"/>
  <c r="M119" i="1"/>
  <c r="O117" i="1"/>
  <c r="G97" i="13"/>
  <c r="L98" i="1"/>
  <c r="K95" i="1"/>
  <c r="G103" i="13"/>
  <c r="J103" i="13" s="1"/>
  <c r="K101" i="1"/>
  <c r="N101" i="1" s="1"/>
  <c r="K108" i="1"/>
  <c r="N108" i="1" s="1"/>
  <c r="G110" i="13"/>
  <c r="J110" i="13" s="1"/>
  <c r="L116" i="1"/>
  <c r="F1022" i="2"/>
  <c r="I1008" i="2"/>
  <c r="F1008" i="2"/>
  <c r="L997" i="2"/>
  <c r="I995" i="2"/>
  <c r="L1017" i="2"/>
  <c r="K1024" i="2"/>
  <c r="O1011" i="2"/>
  <c r="J1022" i="2"/>
  <c r="L1022" i="2" s="1"/>
  <c r="O1027" i="2"/>
  <c r="O1035" i="2"/>
  <c r="O1039" i="2"/>
  <c r="O1050" i="2"/>
  <c r="O995" i="2"/>
  <c r="O1002" i="2" s="1"/>
  <c r="I997" i="2"/>
  <c r="L999" i="2"/>
  <c r="I1000" i="2"/>
  <c r="J1002" i="2"/>
  <c r="I1002" i="2" s="1"/>
  <c r="I1003" i="2"/>
  <c r="I1005" i="2"/>
  <c r="L1007" i="2"/>
  <c r="O1010" i="2"/>
  <c r="L1012" i="2"/>
  <c r="I1013" i="2"/>
  <c r="L1015" i="2"/>
  <c r="I1016" i="2"/>
  <c r="I1017" i="2" s="1"/>
  <c r="L1019" i="2"/>
  <c r="I1020" i="2"/>
  <c r="I1022" i="2" s="1"/>
  <c r="O1021" i="2"/>
  <c r="O1026" i="2"/>
  <c r="O1030" i="2"/>
  <c r="O1034" i="2"/>
  <c r="I1044" i="2"/>
  <c r="O1045" i="2"/>
  <c r="L1047" i="2"/>
  <c r="I1048" i="2"/>
  <c r="O1049" i="2"/>
  <c r="L1051" i="2"/>
  <c r="I1052" i="2"/>
  <c r="O1014" i="2"/>
  <c r="I999" i="2"/>
  <c r="O1003" i="2"/>
  <c r="O1008" i="2" s="1"/>
  <c r="I1007" i="2"/>
  <c r="L1011" i="2"/>
  <c r="L1014" i="2"/>
  <c r="L1018" i="2"/>
  <c r="I1023" i="2"/>
  <c r="L1027" i="2"/>
  <c r="L1031" i="2"/>
  <c r="I1032" i="2"/>
  <c r="L1035" i="2"/>
  <c r="I1036" i="2"/>
  <c r="L1039" i="2"/>
  <c r="I1040" i="2"/>
  <c r="L1042" i="2"/>
  <c r="L1050" i="2"/>
  <c r="O1018" i="2"/>
  <c r="O1022" i="2" s="1"/>
  <c r="O1031" i="2"/>
  <c r="O1042" i="2"/>
  <c r="I996" i="2"/>
  <c r="O75" i="1" l="1"/>
  <c r="O86" i="1"/>
  <c r="N86" i="1"/>
  <c r="O105" i="1"/>
  <c r="G82" i="13"/>
  <c r="K80" i="1"/>
  <c r="O80" i="1" s="1"/>
  <c r="L83" i="1"/>
  <c r="N95" i="1"/>
  <c r="K98" i="1"/>
  <c r="O98" i="1" s="1"/>
  <c r="O95" i="1"/>
  <c r="G100" i="13"/>
  <c r="J97" i="13"/>
  <c r="J100" i="13" s="1"/>
  <c r="G86" i="13"/>
  <c r="K84" i="1"/>
  <c r="O84" i="1" s="1"/>
  <c r="N113" i="1"/>
  <c r="N96" i="1"/>
  <c r="O96" i="1"/>
  <c r="G102" i="13"/>
  <c r="J102" i="13" s="1"/>
  <c r="K100" i="1"/>
  <c r="M83" i="1"/>
  <c r="O108" i="1"/>
  <c r="N99" i="1"/>
  <c r="K103" i="1"/>
  <c r="N103" i="1" s="1"/>
  <c r="G84" i="13"/>
  <c r="J84" i="13" s="1"/>
  <c r="K82" i="1"/>
  <c r="N82" i="1" s="1"/>
  <c r="G113" i="13"/>
  <c r="O99" i="1"/>
  <c r="G108" i="13"/>
  <c r="J106" i="13"/>
  <c r="J108" i="13" s="1"/>
  <c r="O109" i="1"/>
  <c r="O110" i="1"/>
  <c r="O113" i="1"/>
  <c r="M112" i="1"/>
  <c r="K107" i="1"/>
  <c r="O82" i="1"/>
  <c r="K77" i="1"/>
  <c r="G79" i="13"/>
  <c r="J79" i="13" s="1"/>
  <c r="G117" i="13"/>
  <c r="J114" i="13"/>
  <c r="J117" i="13" s="1"/>
  <c r="O101" i="1"/>
  <c r="K81" i="1"/>
  <c r="N81" i="1" s="1"/>
  <c r="G83" i="13"/>
  <c r="J83" i="13" s="1"/>
  <c r="N117" i="1"/>
  <c r="K119" i="1"/>
  <c r="N119" i="1" s="1"/>
  <c r="O118" i="1"/>
  <c r="L103" i="1"/>
  <c r="J101" i="13"/>
  <c r="M90" i="1"/>
  <c r="M106" i="1"/>
  <c r="K114" i="1"/>
  <c r="N114" i="1" s="1"/>
  <c r="J113" i="13"/>
  <c r="O103" i="1"/>
  <c r="K104" i="1"/>
  <c r="O104" i="1" s="1"/>
  <c r="O102" i="1"/>
  <c r="O97" i="1"/>
  <c r="M116" i="1"/>
  <c r="J1024" i="2"/>
  <c r="I1024" i="2" s="1"/>
  <c r="O1009" i="2"/>
  <c r="O1017" i="2"/>
  <c r="O1024" i="2" s="1"/>
  <c r="N987" i="2"/>
  <c r="L987" i="2"/>
  <c r="K987" i="2"/>
  <c r="J987" i="2"/>
  <c r="O987" i="2" s="1"/>
  <c r="F987" i="2"/>
  <c r="N986" i="2"/>
  <c r="K986" i="2"/>
  <c r="J986" i="2"/>
  <c r="O986" i="2" s="1"/>
  <c r="F986" i="2"/>
  <c r="N985" i="2"/>
  <c r="K985" i="2"/>
  <c r="J985" i="2"/>
  <c r="I985" i="2" s="1"/>
  <c r="F985" i="2"/>
  <c r="N984" i="2"/>
  <c r="L984" i="2"/>
  <c r="K984" i="2"/>
  <c r="J984" i="2"/>
  <c r="O984" i="2" s="1"/>
  <c r="I984" i="2"/>
  <c r="F984" i="2"/>
  <c r="N983" i="2"/>
  <c r="L983" i="2"/>
  <c r="K983" i="2"/>
  <c r="J983" i="2"/>
  <c r="O983" i="2" s="1"/>
  <c r="F983" i="2"/>
  <c r="N982" i="2"/>
  <c r="K982" i="2"/>
  <c r="J982" i="2"/>
  <c r="O982" i="2" s="1"/>
  <c r="F982" i="2"/>
  <c r="N981" i="2"/>
  <c r="K981" i="2"/>
  <c r="K1046" i="2" s="1"/>
  <c r="J981" i="2"/>
  <c r="J1046" i="2" s="1"/>
  <c r="F981" i="2"/>
  <c r="N980" i="2"/>
  <c r="L980" i="2"/>
  <c r="K980" i="2"/>
  <c r="J980" i="2"/>
  <c r="O980" i="2" s="1"/>
  <c r="I980" i="2"/>
  <c r="F980" i="2"/>
  <c r="N979" i="2"/>
  <c r="L979" i="2"/>
  <c r="K979" i="2"/>
  <c r="J979" i="2"/>
  <c r="O979" i="2" s="1"/>
  <c r="F979" i="2"/>
  <c r="N978" i="2"/>
  <c r="K978" i="2"/>
  <c r="K1043" i="2" s="1"/>
  <c r="J978" i="2"/>
  <c r="F978" i="2"/>
  <c r="N977" i="2"/>
  <c r="K977" i="2"/>
  <c r="J977" i="2"/>
  <c r="I977" i="2" s="1"/>
  <c r="F977" i="2"/>
  <c r="N976" i="2"/>
  <c r="K976" i="2"/>
  <c r="J976" i="2"/>
  <c r="O976" i="2" s="1"/>
  <c r="F976" i="2"/>
  <c r="N975" i="2"/>
  <c r="K975" i="2"/>
  <c r="J975" i="2"/>
  <c r="O975" i="2" s="1"/>
  <c r="F975" i="2"/>
  <c r="N974" i="2"/>
  <c r="K974" i="2"/>
  <c r="J974" i="2"/>
  <c r="I974" i="2" s="1"/>
  <c r="F974" i="2"/>
  <c r="N973" i="2"/>
  <c r="K973" i="2"/>
  <c r="K1038" i="2" s="1"/>
  <c r="J973" i="2"/>
  <c r="L973" i="2" s="1"/>
  <c r="F973" i="2"/>
  <c r="N972" i="2"/>
  <c r="K972" i="2"/>
  <c r="K1037" i="2" s="1"/>
  <c r="J972" i="2"/>
  <c r="F972" i="2"/>
  <c r="N971" i="2"/>
  <c r="K971" i="2"/>
  <c r="J971" i="2"/>
  <c r="O971" i="2" s="1"/>
  <c r="F971" i="2"/>
  <c r="N970" i="2"/>
  <c r="K970" i="2"/>
  <c r="J970" i="2"/>
  <c r="I970" i="2" s="1"/>
  <c r="F970" i="2"/>
  <c r="N969" i="2"/>
  <c r="L969" i="2"/>
  <c r="K969" i="2"/>
  <c r="J969" i="2"/>
  <c r="O969" i="2" s="1"/>
  <c r="I969" i="2"/>
  <c r="F969" i="2"/>
  <c r="N968" i="2"/>
  <c r="L968" i="2"/>
  <c r="K968" i="2"/>
  <c r="J968" i="2"/>
  <c r="O968" i="2" s="1"/>
  <c r="F968" i="2"/>
  <c r="N967" i="2"/>
  <c r="K967" i="2"/>
  <c r="J967" i="2"/>
  <c r="O967" i="2" s="1"/>
  <c r="F967" i="2"/>
  <c r="N966" i="2"/>
  <c r="K966" i="2"/>
  <c r="J966" i="2"/>
  <c r="I966" i="2" s="1"/>
  <c r="F966" i="2"/>
  <c r="N965" i="2"/>
  <c r="L965" i="2"/>
  <c r="K965" i="2"/>
  <c r="J965" i="2"/>
  <c r="O965" i="2" s="1"/>
  <c r="I965" i="2"/>
  <c r="F965" i="2"/>
  <c r="N964" i="2"/>
  <c r="L964" i="2"/>
  <c r="K964" i="2"/>
  <c r="I964" i="2" s="1"/>
  <c r="J964" i="2"/>
  <c r="O964" i="2" s="1"/>
  <c r="F964" i="2"/>
  <c r="N963" i="2"/>
  <c r="K963" i="2"/>
  <c r="K1028" i="2" s="1"/>
  <c r="J963" i="2"/>
  <c r="F963" i="2"/>
  <c r="N962" i="2"/>
  <c r="K962" i="2"/>
  <c r="J962" i="2"/>
  <c r="I962" i="2" s="1"/>
  <c r="F962" i="2"/>
  <c r="N961" i="2"/>
  <c r="L961" i="2"/>
  <c r="K961" i="2"/>
  <c r="J961" i="2"/>
  <c r="O961" i="2" s="1"/>
  <c r="I961" i="2"/>
  <c r="F961" i="2"/>
  <c r="N960" i="2"/>
  <c r="L960" i="2"/>
  <c r="K960" i="2"/>
  <c r="J960" i="2"/>
  <c r="F960" i="2"/>
  <c r="N958" i="2"/>
  <c r="K958" i="2"/>
  <c r="J958" i="2"/>
  <c r="O958" i="2" s="1"/>
  <c r="F958" i="2"/>
  <c r="H957" i="2"/>
  <c r="G957" i="2"/>
  <c r="E957" i="2"/>
  <c r="D957" i="2"/>
  <c r="N956" i="2"/>
  <c r="L956" i="2"/>
  <c r="K956" i="2"/>
  <c r="J956" i="2"/>
  <c r="O956" i="2" s="1"/>
  <c r="I956" i="2"/>
  <c r="F956" i="2"/>
  <c r="N955" i="2"/>
  <c r="L955" i="2"/>
  <c r="K955" i="2"/>
  <c r="J955" i="2"/>
  <c r="O955" i="2" s="1"/>
  <c r="F955" i="2"/>
  <c r="N954" i="2"/>
  <c r="K954" i="2"/>
  <c r="J954" i="2"/>
  <c r="O954" i="2" s="1"/>
  <c r="F954" i="2"/>
  <c r="I954" i="2" s="1"/>
  <c r="N953" i="2"/>
  <c r="N957" i="2" s="1"/>
  <c r="K953" i="2"/>
  <c r="K957" i="2" s="1"/>
  <c r="J953" i="2"/>
  <c r="I953" i="2" s="1"/>
  <c r="F953" i="2"/>
  <c r="N952" i="2"/>
  <c r="H952" i="2"/>
  <c r="G952" i="2"/>
  <c r="E952" i="2"/>
  <c r="D952" i="2"/>
  <c r="N951" i="2"/>
  <c r="L951" i="2"/>
  <c r="K951" i="2"/>
  <c r="J951" i="2"/>
  <c r="O951" i="2" s="1"/>
  <c r="F951" i="2"/>
  <c r="N950" i="2"/>
  <c r="K950" i="2"/>
  <c r="J950" i="2"/>
  <c r="O950" i="2" s="1"/>
  <c r="F950" i="2"/>
  <c r="N949" i="2"/>
  <c r="K949" i="2"/>
  <c r="J949" i="2"/>
  <c r="I949" i="2" s="1"/>
  <c r="F949" i="2"/>
  <c r="N948" i="2"/>
  <c r="K948" i="2"/>
  <c r="J948" i="2"/>
  <c r="O948" i="2" s="1"/>
  <c r="F948" i="2"/>
  <c r="N947" i="2"/>
  <c r="K947" i="2"/>
  <c r="J947" i="2"/>
  <c r="O947" i="2" s="1"/>
  <c r="F947" i="2"/>
  <c r="N946" i="2"/>
  <c r="K946" i="2"/>
  <c r="J946" i="2"/>
  <c r="I946" i="2" s="1"/>
  <c r="F946" i="2"/>
  <c r="N945" i="2"/>
  <c r="L945" i="2"/>
  <c r="K945" i="2"/>
  <c r="K952" i="2" s="1"/>
  <c r="J945" i="2"/>
  <c r="J952" i="2" s="1"/>
  <c r="I945" i="2"/>
  <c r="F945" i="2"/>
  <c r="F952" i="2" s="1"/>
  <c r="H943" i="2"/>
  <c r="G943" i="2"/>
  <c r="K942" i="2"/>
  <c r="K943" i="2" s="1"/>
  <c r="J942" i="2"/>
  <c r="O942" i="2" s="1"/>
  <c r="N941" i="2"/>
  <c r="L941" i="2"/>
  <c r="K941" i="2"/>
  <c r="J941" i="2"/>
  <c r="O941" i="2" s="1"/>
  <c r="I941" i="2"/>
  <c r="F941" i="2"/>
  <c r="N940" i="2"/>
  <c r="L940" i="2"/>
  <c r="K940" i="2"/>
  <c r="J940" i="2"/>
  <c r="O940" i="2" s="1"/>
  <c r="F940" i="2"/>
  <c r="O939" i="2"/>
  <c r="K939" i="2"/>
  <c r="J939" i="2"/>
  <c r="I939" i="2"/>
  <c r="F939" i="2"/>
  <c r="O938" i="2"/>
  <c r="N938" i="2"/>
  <c r="L938" i="2"/>
  <c r="K938" i="2"/>
  <c r="J938" i="2"/>
  <c r="F938" i="2"/>
  <c r="H937" i="2"/>
  <c r="G937" i="2"/>
  <c r="O936" i="2"/>
  <c r="N936" i="2"/>
  <c r="K936" i="2"/>
  <c r="J936" i="2"/>
  <c r="I936" i="2"/>
  <c r="F936" i="2"/>
  <c r="N935" i="2"/>
  <c r="L935" i="2"/>
  <c r="K935" i="2"/>
  <c r="J935" i="2"/>
  <c r="O935" i="2" s="1"/>
  <c r="F935" i="2"/>
  <c r="N934" i="2"/>
  <c r="K934" i="2"/>
  <c r="I934" i="2" s="1"/>
  <c r="J934" i="2"/>
  <c r="O934" i="2" s="1"/>
  <c r="F934" i="2"/>
  <c r="O933" i="2"/>
  <c r="N933" i="2"/>
  <c r="K933" i="2"/>
  <c r="J933" i="2"/>
  <c r="I933" i="2"/>
  <c r="F933" i="2"/>
  <c r="N932" i="2"/>
  <c r="K932" i="2"/>
  <c r="J932" i="2"/>
  <c r="O932" i="2" s="1"/>
  <c r="F932" i="2"/>
  <c r="N931" i="2"/>
  <c r="K931" i="2"/>
  <c r="J931" i="2"/>
  <c r="O931" i="2" s="1"/>
  <c r="F931" i="2"/>
  <c r="N930" i="2"/>
  <c r="K930" i="2"/>
  <c r="K937" i="2" s="1"/>
  <c r="J930" i="2"/>
  <c r="F930" i="2"/>
  <c r="F937" i="2" s="1"/>
  <c r="O81" i="1" l="1"/>
  <c r="J105" i="13"/>
  <c r="J121" i="13" s="1"/>
  <c r="J122" i="13" s="1"/>
  <c r="I22" i="15" s="1"/>
  <c r="I24" i="15" s="1"/>
  <c r="G105" i="13"/>
  <c r="G121" i="13" s="1"/>
  <c r="G122" i="13" s="1"/>
  <c r="F22" i="15" s="1"/>
  <c r="F24" i="15" s="1"/>
  <c r="L90" i="1"/>
  <c r="L91" i="1" s="1"/>
  <c r="G54" i="13"/>
  <c r="J54" i="13" s="1"/>
  <c r="K52" i="1"/>
  <c r="N52" i="1" s="1"/>
  <c r="G56" i="13"/>
  <c r="J56" i="13" s="1"/>
  <c r="K54" i="1"/>
  <c r="N54" i="1" s="1"/>
  <c r="K40" i="1"/>
  <c r="N40" i="1" s="1"/>
  <c r="G42" i="13"/>
  <c r="J42" i="13" s="1"/>
  <c r="K49" i="1"/>
  <c r="N49" i="1" s="1"/>
  <c r="G51" i="13"/>
  <c r="J51" i="13" s="1"/>
  <c r="K31" i="1"/>
  <c r="N31" i="1" s="1"/>
  <c r="G33" i="13"/>
  <c r="J33" i="13" s="1"/>
  <c r="K48" i="1"/>
  <c r="O48" i="1" s="1"/>
  <c r="G50" i="13"/>
  <c r="K53" i="1"/>
  <c r="N53" i="1" s="1"/>
  <c r="G55" i="13"/>
  <c r="J55" i="13" s="1"/>
  <c r="O31" i="1"/>
  <c r="M70" i="1"/>
  <c r="G38" i="13"/>
  <c r="J38" i="13" s="1"/>
  <c r="K36" i="1"/>
  <c r="N36" i="1" s="1"/>
  <c r="K29" i="1"/>
  <c r="N29" i="1" s="1"/>
  <c r="G31" i="13"/>
  <c r="J31" i="13" s="1"/>
  <c r="K24" i="1"/>
  <c r="N24" i="1" s="1"/>
  <c r="G26" i="13"/>
  <c r="J26" i="13" s="1"/>
  <c r="G91" i="13"/>
  <c r="J91" i="13" s="1"/>
  <c r="K89" i="1"/>
  <c r="G73" i="13"/>
  <c r="K71" i="1"/>
  <c r="O71" i="1" s="1"/>
  <c r="L78" i="1"/>
  <c r="N77" i="1"/>
  <c r="O77" i="1"/>
  <c r="O119" i="1"/>
  <c r="N107" i="1"/>
  <c r="G62" i="13"/>
  <c r="K60" i="1"/>
  <c r="O60" i="1" s="1"/>
  <c r="K45" i="1"/>
  <c r="N45" i="1" s="1"/>
  <c r="G47" i="13"/>
  <c r="J47" i="13" s="1"/>
  <c r="G34" i="13"/>
  <c r="J34" i="13" s="1"/>
  <c r="K32" i="1"/>
  <c r="N32" i="1" s="1"/>
  <c r="K18" i="1"/>
  <c r="O18" i="1" s="1"/>
  <c r="G20" i="13"/>
  <c r="G46" i="13"/>
  <c r="J46" i="13" s="1"/>
  <c r="K44" i="1"/>
  <c r="N44" i="1" s="1"/>
  <c r="G30" i="13"/>
  <c r="J30" i="13" s="1"/>
  <c r="K28" i="1"/>
  <c r="N28" i="1" s="1"/>
  <c r="G37" i="13"/>
  <c r="J37" i="13" s="1"/>
  <c r="K35" i="1"/>
  <c r="N35" i="1" s="1"/>
  <c r="G18" i="13"/>
  <c r="J18" i="13" s="1"/>
  <c r="K16" i="1"/>
  <c r="K51" i="1"/>
  <c r="N51" i="1" s="1"/>
  <c r="G53" i="13"/>
  <c r="J53" i="13" s="1"/>
  <c r="G22" i="13"/>
  <c r="J22" i="13" s="1"/>
  <c r="K20" i="1"/>
  <c r="N20" i="1" s="1"/>
  <c r="K73" i="1"/>
  <c r="G75" i="13"/>
  <c r="J75" i="13" s="1"/>
  <c r="M78" i="1"/>
  <c r="G16" i="13"/>
  <c r="K14" i="1"/>
  <c r="O14" i="1" s="1"/>
  <c r="G25" i="13"/>
  <c r="J25" i="13" s="1"/>
  <c r="K23" i="1"/>
  <c r="N23" i="1" s="1"/>
  <c r="J86" i="13"/>
  <c r="N80" i="1"/>
  <c r="K83" i="1"/>
  <c r="G71" i="13"/>
  <c r="G63" i="13"/>
  <c r="G48" i="13"/>
  <c r="J48" i="13" s="1"/>
  <c r="K46" i="1"/>
  <c r="N46" i="1" s="1"/>
  <c r="K111" i="1"/>
  <c r="L112" i="1"/>
  <c r="L120" i="1" s="1"/>
  <c r="L121" i="1" s="1"/>
  <c r="K15" i="1"/>
  <c r="N15" i="1" s="1"/>
  <c r="G17" i="13"/>
  <c r="J17" i="13" s="1"/>
  <c r="N104" i="1"/>
  <c r="K106" i="1"/>
  <c r="N106" i="1" s="1"/>
  <c r="O114" i="1"/>
  <c r="O106" i="1"/>
  <c r="M120" i="1"/>
  <c r="M33" i="1"/>
  <c r="O107" i="1"/>
  <c r="G66" i="13"/>
  <c r="G69" i="13"/>
  <c r="G68" i="13"/>
  <c r="G45" i="13"/>
  <c r="K43" i="1"/>
  <c r="O43" i="1" s="1"/>
  <c r="L58" i="1"/>
  <c r="M41" i="1"/>
  <c r="G32" i="13"/>
  <c r="J32" i="13" s="1"/>
  <c r="K30" i="1"/>
  <c r="N30" i="1" s="1"/>
  <c r="K56" i="1"/>
  <c r="N56" i="1" s="1"/>
  <c r="G58" i="13"/>
  <c r="J58" i="13" s="1"/>
  <c r="G41" i="13"/>
  <c r="J41" i="13" s="1"/>
  <c r="K39" i="1"/>
  <c r="N39" i="1" s="1"/>
  <c r="G23" i="13"/>
  <c r="J23" i="13" s="1"/>
  <c r="K21" i="1"/>
  <c r="N21" i="1" s="1"/>
  <c r="M37" i="1"/>
  <c r="K38" i="1"/>
  <c r="G40" i="13"/>
  <c r="L41" i="1"/>
  <c r="G36" i="13"/>
  <c r="K34" i="1"/>
  <c r="L37" i="1"/>
  <c r="M91" i="1"/>
  <c r="O83" i="1"/>
  <c r="K87" i="1"/>
  <c r="G89" i="13"/>
  <c r="J89" i="13" s="1"/>
  <c r="N100" i="1"/>
  <c r="O100" i="1"/>
  <c r="K22" i="1"/>
  <c r="N22" i="1" s="1"/>
  <c r="G24" i="13"/>
  <c r="J24" i="13" s="1"/>
  <c r="G28" i="13"/>
  <c r="K26" i="1"/>
  <c r="O26" i="1" s="1"/>
  <c r="G21" i="13"/>
  <c r="J21" i="13" s="1"/>
  <c r="K19" i="1"/>
  <c r="N19" i="1" s="1"/>
  <c r="K27" i="1"/>
  <c r="N27" i="1" s="1"/>
  <c r="G29" i="13"/>
  <c r="J29" i="13" s="1"/>
  <c r="K50" i="1"/>
  <c r="N50" i="1" s="1"/>
  <c r="G52" i="13"/>
  <c r="J52" i="13" s="1"/>
  <c r="M25" i="1"/>
  <c r="M47" i="1"/>
  <c r="K116" i="1"/>
  <c r="N116" i="1" s="1"/>
  <c r="N84" i="1"/>
  <c r="N98" i="1"/>
  <c r="G85" i="13"/>
  <c r="J82" i="13"/>
  <c r="J85" i="13" s="1"/>
  <c r="G64" i="13"/>
  <c r="G67" i="13"/>
  <c r="G65" i="13"/>
  <c r="I1046" i="2"/>
  <c r="L1046" i="2"/>
  <c r="O1046" i="2"/>
  <c r="O978" i="2"/>
  <c r="J1043" i="2"/>
  <c r="O972" i="2"/>
  <c r="J1037" i="2"/>
  <c r="L972" i="2"/>
  <c r="I973" i="2"/>
  <c r="O973" i="2"/>
  <c r="J1038" i="2"/>
  <c r="O963" i="2"/>
  <c r="J1028" i="2"/>
  <c r="K988" i="2"/>
  <c r="K1025" i="2"/>
  <c r="K1053" i="2" s="1"/>
  <c r="O960" i="2"/>
  <c r="J1025" i="2"/>
  <c r="K959" i="2"/>
  <c r="F957" i="2"/>
  <c r="I981" i="2"/>
  <c r="F943" i="2"/>
  <c r="J943" i="2"/>
  <c r="I943" i="2" s="1"/>
  <c r="O943" i="2"/>
  <c r="J937" i="2"/>
  <c r="L932" i="2"/>
  <c r="L930" i="2"/>
  <c r="I930" i="2"/>
  <c r="I937" i="2"/>
  <c r="L952" i="2"/>
  <c r="J959" i="2"/>
  <c r="I959" i="2" s="1"/>
  <c r="O949" i="2"/>
  <c r="J957" i="2"/>
  <c r="L957" i="2" s="1"/>
  <c r="O962" i="2"/>
  <c r="O970" i="2"/>
  <c r="O974" i="2"/>
  <c r="O977" i="2"/>
  <c r="O981" i="2"/>
  <c r="O985" i="2"/>
  <c r="J988" i="2"/>
  <c r="O930" i="2"/>
  <c r="O937" i="2" s="1"/>
  <c r="I932" i="2"/>
  <c r="L934" i="2"/>
  <c r="I935" i="2"/>
  <c r="I938" i="2"/>
  <c r="I940" i="2"/>
  <c r="L942" i="2"/>
  <c r="O945" i="2"/>
  <c r="O952" i="2" s="1"/>
  <c r="L947" i="2"/>
  <c r="I948" i="2"/>
  <c r="L950" i="2"/>
  <c r="I951" i="2"/>
  <c r="I952" i="2" s="1"/>
  <c r="L954" i="2"/>
  <c r="I955" i="2"/>
  <c r="I957" i="2" s="1"/>
  <c r="L958" i="2"/>
  <c r="I960" i="2"/>
  <c r="L963" i="2"/>
  <c r="L967" i="2"/>
  <c r="I968" i="2"/>
  <c r="L971" i="2"/>
  <c r="I972" i="2"/>
  <c r="L975" i="2"/>
  <c r="I976" i="2"/>
  <c r="L978" i="2"/>
  <c r="I979" i="2"/>
  <c r="L982" i="2"/>
  <c r="I983" i="2"/>
  <c r="L986" i="2"/>
  <c r="I987" i="2"/>
  <c r="I942" i="2"/>
  <c r="L946" i="2"/>
  <c r="I947" i="2"/>
  <c r="L949" i="2"/>
  <c r="I950" i="2"/>
  <c r="L953" i="2"/>
  <c r="I958" i="2"/>
  <c r="L962" i="2"/>
  <c r="I963" i="2"/>
  <c r="L966" i="2"/>
  <c r="I967" i="2"/>
  <c r="L970" i="2"/>
  <c r="I971" i="2"/>
  <c r="L974" i="2"/>
  <c r="I975" i="2"/>
  <c r="L977" i="2"/>
  <c r="I978" i="2"/>
  <c r="L981" i="2"/>
  <c r="I982" i="2"/>
  <c r="L985" i="2"/>
  <c r="I986" i="2"/>
  <c r="O946" i="2"/>
  <c r="O953" i="2"/>
  <c r="O957" i="2" s="1"/>
  <c r="O959" i="2" s="1"/>
  <c r="O966" i="2"/>
  <c r="I931" i="2"/>
  <c r="N922" i="2"/>
  <c r="L922" i="2"/>
  <c r="K922" i="2"/>
  <c r="J922" i="2"/>
  <c r="O922" i="2" s="1"/>
  <c r="I922" i="2"/>
  <c r="F922" i="2"/>
  <c r="N921" i="2"/>
  <c r="L921" i="2"/>
  <c r="K921" i="2"/>
  <c r="I921" i="2" s="1"/>
  <c r="J921" i="2"/>
  <c r="O921" i="2" s="1"/>
  <c r="F921" i="2"/>
  <c r="N920" i="2"/>
  <c r="K920" i="2"/>
  <c r="J920" i="2"/>
  <c r="I920" i="2" s="1"/>
  <c r="F920" i="2"/>
  <c r="N919" i="2"/>
  <c r="K919" i="2"/>
  <c r="J919" i="2"/>
  <c r="L919" i="2" s="1"/>
  <c r="I919" i="2"/>
  <c r="F919" i="2"/>
  <c r="N918" i="2"/>
  <c r="L918" i="2"/>
  <c r="K918" i="2"/>
  <c r="J918" i="2"/>
  <c r="O918" i="2" s="1"/>
  <c r="I918" i="2"/>
  <c r="F918" i="2"/>
  <c r="N917" i="2"/>
  <c r="L917" i="2"/>
  <c r="K917" i="2"/>
  <c r="I917" i="2" s="1"/>
  <c r="J917" i="2"/>
  <c r="O917" i="2" s="1"/>
  <c r="F917" i="2"/>
  <c r="N916" i="2"/>
  <c r="K916" i="2"/>
  <c r="J916" i="2"/>
  <c r="I916" i="2" s="1"/>
  <c r="F916" i="2"/>
  <c r="N915" i="2"/>
  <c r="K915" i="2"/>
  <c r="J915" i="2"/>
  <c r="L915" i="2" s="1"/>
  <c r="I915" i="2"/>
  <c r="F915" i="2"/>
  <c r="N914" i="2"/>
  <c r="L914" i="2"/>
  <c r="K914" i="2"/>
  <c r="J914" i="2"/>
  <c r="O914" i="2" s="1"/>
  <c r="I914" i="2"/>
  <c r="F914" i="2"/>
  <c r="N913" i="2"/>
  <c r="L913" i="2"/>
  <c r="K913" i="2"/>
  <c r="J913" i="2"/>
  <c r="O913" i="2" s="1"/>
  <c r="F913" i="2"/>
  <c r="N912" i="2"/>
  <c r="K912" i="2"/>
  <c r="J912" i="2"/>
  <c r="F912" i="2"/>
  <c r="O911" i="2"/>
  <c r="N911" i="2"/>
  <c r="K911" i="2"/>
  <c r="J911" i="2"/>
  <c r="I911" i="2"/>
  <c r="F911" i="2"/>
  <c r="N910" i="2"/>
  <c r="L910" i="2"/>
  <c r="K910" i="2"/>
  <c r="I910" i="2" s="1"/>
  <c r="J910" i="2"/>
  <c r="O910" i="2" s="1"/>
  <c r="F910" i="2"/>
  <c r="N909" i="2"/>
  <c r="K909" i="2"/>
  <c r="J909" i="2"/>
  <c r="F909" i="2"/>
  <c r="N908" i="2"/>
  <c r="K908" i="2"/>
  <c r="J908" i="2"/>
  <c r="L908" i="2" s="1"/>
  <c r="I908" i="2"/>
  <c r="F908" i="2"/>
  <c r="N907" i="2"/>
  <c r="L907" i="2"/>
  <c r="K907" i="2"/>
  <c r="J907" i="2"/>
  <c r="O907" i="2" s="1"/>
  <c r="I907" i="2"/>
  <c r="F907" i="2"/>
  <c r="N906" i="2"/>
  <c r="L906" i="2"/>
  <c r="K906" i="2"/>
  <c r="I906" i="2" s="1"/>
  <c r="J906" i="2"/>
  <c r="O906" i="2" s="1"/>
  <c r="F906" i="2"/>
  <c r="N905" i="2"/>
  <c r="K905" i="2"/>
  <c r="J905" i="2"/>
  <c r="I905" i="2" s="1"/>
  <c r="F905" i="2"/>
  <c r="N904" i="2"/>
  <c r="K904" i="2"/>
  <c r="J904" i="2"/>
  <c r="L904" i="2" s="1"/>
  <c r="I904" i="2"/>
  <c r="F904" i="2"/>
  <c r="N903" i="2"/>
  <c r="K903" i="2"/>
  <c r="J903" i="2"/>
  <c r="O903" i="2" s="1"/>
  <c r="I903" i="2"/>
  <c r="F903" i="2"/>
  <c r="N902" i="2"/>
  <c r="L902" i="2"/>
  <c r="K902" i="2"/>
  <c r="I902" i="2" s="1"/>
  <c r="J902" i="2"/>
  <c r="O902" i="2" s="1"/>
  <c r="F902" i="2"/>
  <c r="N901" i="2"/>
  <c r="K901" i="2"/>
  <c r="J901" i="2"/>
  <c r="F901" i="2"/>
  <c r="N900" i="2"/>
  <c r="K900" i="2"/>
  <c r="J900" i="2"/>
  <c r="L900" i="2" s="1"/>
  <c r="I900" i="2"/>
  <c r="F900" i="2"/>
  <c r="N899" i="2"/>
  <c r="L899" i="2"/>
  <c r="K899" i="2"/>
  <c r="J899" i="2"/>
  <c r="O899" i="2" s="1"/>
  <c r="I899" i="2"/>
  <c r="F899" i="2"/>
  <c r="N898" i="2"/>
  <c r="K898" i="2"/>
  <c r="J898" i="2"/>
  <c r="O898" i="2" s="1"/>
  <c r="F898" i="2"/>
  <c r="N897" i="2"/>
  <c r="K897" i="2"/>
  <c r="J897" i="2"/>
  <c r="I897" i="2" s="1"/>
  <c r="F897" i="2"/>
  <c r="N896" i="2"/>
  <c r="K896" i="2"/>
  <c r="J896" i="2"/>
  <c r="L896" i="2" s="1"/>
  <c r="I896" i="2"/>
  <c r="F896" i="2"/>
  <c r="N895" i="2"/>
  <c r="K895" i="2"/>
  <c r="J895" i="2"/>
  <c r="O895" i="2" s="1"/>
  <c r="F895" i="2"/>
  <c r="N893" i="2"/>
  <c r="L893" i="2"/>
  <c r="K893" i="2"/>
  <c r="J893" i="2"/>
  <c r="O893" i="2" s="1"/>
  <c r="F893" i="2"/>
  <c r="H892" i="2"/>
  <c r="G892" i="2"/>
  <c r="E892" i="2"/>
  <c r="D892" i="2"/>
  <c r="N891" i="2"/>
  <c r="K891" i="2"/>
  <c r="J891" i="2"/>
  <c r="L891" i="2" s="1"/>
  <c r="I891" i="2"/>
  <c r="F891" i="2"/>
  <c r="N890" i="2"/>
  <c r="L890" i="2"/>
  <c r="K890" i="2"/>
  <c r="J890" i="2"/>
  <c r="O890" i="2" s="1"/>
  <c r="F890" i="2"/>
  <c r="F892" i="2" s="1"/>
  <c r="N889" i="2"/>
  <c r="L889" i="2"/>
  <c r="K889" i="2"/>
  <c r="J889" i="2"/>
  <c r="O889" i="2" s="1"/>
  <c r="F889" i="2"/>
  <c r="I889" i="2" s="1"/>
  <c r="N888" i="2"/>
  <c r="N892" i="2" s="1"/>
  <c r="K888" i="2"/>
  <c r="K892" i="2" s="1"/>
  <c r="J888" i="2"/>
  <c r="I888" i="2" s="1"/>
  <c r="F888" i="2"/>
  <c r="H887" i="2"/>
  <c r="G887" i="2"/>
  <c r="E887" i="2"/>
  <c r="D887" i="2"/>
  <c r="N886" i="2"/>
  <c r="L886" i="2"/>
  <c r="K886" i="2"/>
  <c r="J886" i="2"/>
  <c r="O886" i="2" s="1"/>
  <c r="I886" i="2"/>
  <c r="F886" i="2"/>
  <c r="N885" i="2"/>
  <c r="L885" i="2"/>
  <c r="K885" i="2"/>
  <c r="J885" i="2"/>
  <c r="O885" i="2" s="1"/>
  <c r="F885" i="2"/>
  <c r="N884" i="2"/>
  <c r="N887" i="2" s="1"/>
  <c r="K884" i="2"/>
  <c r="J884" i="2"/>
  <c r="F884" i="2"/>
  <c r="O883" i="2"/>
  <c r="N883" i="2"/>
  <c r="K883" i="2"/>
  <c r="J883" i="2"/>
  <c r="I883" i="2"/>
  <c r="F883" i="2"/>
  <c r="N882" i="2"/>
  <c r="L882" i="2"/>
  <c r="K882" i="2"/>
  <c r="J882" i="2"/>
  <c r="O882" i="2" s="1"/>
  <c r="F882" i="2"/>
  <c r="N881" i="2"/>
  <c r="K881" i="2"/>
  <c r="J881" i="2"/>
  <c r="I881" i="2" s="1"/>
  <c r="F881" i="2"/>
  <c r="N880" i="2"/>
  <c r="K880" i="2"/>
  <c r="J880" i="2"/>
  <c r="L880" i="2" s="1"/>
  <c r="I880" i="2"/>
  <c r="F880" i="2"/>
  <c r="H878" i="2"/>
  <c r="G878" i="2"/>
  <c r="F878" i="2" s="1"/>
  <c r="N876" i="2"/>
  <c r="K876" i="2"/>
  <c r="J876" i="2"/>
  <c r="L876" i="2" s="1"/>
  <c r="I876" i="2"/>
  <c r="F876" i="2"/>
  <c r="N875" i="2"/>
  <c r="L875" i="2"/>
  <c r="K875" i="2"/>
  <c r="J875" i="2"/>
  <c r="O875" i="2" s="1"/>
  <c r="I875" i="2"/>
  <c r="F875" i="2"/>
  <c r="K874" i="2"/>
  <c r="J874" i="2"/>
  <c r="O874" i="2" s="1"/>
  <c r="I874" i="2"/>
  <c r="F874" i="2"/>
  <c r="N873" i="2"/>
  <c r="L873" i="2"/>
  <c r="K873" i="2"/>
  <c r="J873" i="2"/>
  <c r="I873" i="2"/>
  <c r="F873" i="2"/>
  <c r="H872" i="2"/>
  <c r="G872" i="2"/>
  <c r="O871" i="2"/>
  <c r="N871" i="2"/>
  <c r="K871" i="2"/>
  <c r="J871" i="2"/>
  <c r="I871" i="2"/>
  <c r="F871" i="2"/>
  <c r="N870" i="2"/>
  <c r="L870" i="2"/>
  <c r="K870" i="2"/>
  <c r="J870" i="2"/>
  <c r="O870" i="2" s="1"/>
  <c r="I870" i="2"/>
  <c r="F870" i="2"/>
  <c r="N869" i="2"/>
  <c r="F869" i="2"/>
  <c r="O868" i="2"/>
  <c r="N868" i="2"/>
  <c r="K868" i="2"/>
  <c r="J868" i="2"/>
  <c r="I868" i="2"/>
  <c r="F868" i="2"/>
  <c r="N867" i="2"/>
  <c r="F867" i="2"/>
  <c r="N866" i="2"/>
  <c r="K866" i="2"/>
  <c r="J866" i="2"/>
  <c r="O866" i="2" s="1"/>
  <c r="F866" i="2"/>
  <c r="N865" i="2"/>
  <c r="K865" i="2"/>
  <c r="J865" i="2"/>
  <c r="L865" i="2" s="1"/>
  <c r="F865" i="2"/>
  <c r="L42" i="1" l="1"/>
  <c r="O23" i="1"/>
  <c r="O54" i="1"/>
  <c r="O36" i="1"/>
  <c r="K90" i="1"/>
  <c r="N90" i="1" s="1"/>
  <c r="O15" i="1"/>
  <c r="O52" i="1"/>
  <c r="O46" i="1"/>
  <c r="O35" i="1"/>
  <c r="O19" i="1"/>
  <c r="O49" i="1"/>
  <c r="O40" i="1"/>
  <c r="O29" i="1"/>
  <c r="O24" i="1"/>
  <c r="O53" i="1"/>
  <c r="L70" i="1"/>
  <c r="L79" i="1" s="1"/>
  <c r="L93" i="1" s="1"/>
  <c r="L94" i="1" s="1"/>
  <c r="G35" i="13"/>
  <c r="J28" i="13"/>
  <c r="J35" i="13" s="1"/>
  <c r="O50" i="1"/>
  <c r="N87" i="1"/>
  <c r="O87" i="1"/>
  <c r="O34" i="1"/>
  <c r="N34" i="1"/>
  <c r="K37" i="1"/>
  <c r="N37" i="1" s="1"/>
  <c r="K41" i="1"/>
  <c r="N41" i="1" s="1"/>
  <c r="N38" i="1"/>
  <c r="O38" i="1"/>
  <c r="G49" i="13"/>
  <c r="J45" i="13"/>
  <c r="J49" i="13" s="1"/>
  <c r="J69" i="13"/>
  <c r="K68" i="1"/>
  <c r="O68" i="1" s="1"/>
  <c r="O90" i="1"/>
  <c r="N111" i="1"/>
  <c r="O111" i="1"/>
  <c r="O30" i="1"/>
  <c r="N83" i="1"/>
  <c r="K91" i="1"/>
  <c r="N91" i="1" s="1"/>
  <c r="G92" i="13"/>
  <c r="L59" i="1"/>
  <c r="J16" i="13"/>
  <c r="J19" i="13" s="1"/>
  <c r="G19" i="13"/>
  <c r="N16" i="1"/>
  <c r="O16" i="1"/>
  <c r="N18" i="1"/>
  <c r="K25" i="1"/>
  <c r="N25" i="1" s="1"/>
  <c r="J62" i="13"/>
  <c r="K112" i="1"/>
  <c r="K78" i="1"/>
  <c r="N78" i="1" s="1"/>
  <c r="N71" i="1"/>
  <c r="O22" i="1"/>
  <c r="O45" i="1"/>
  <c r="O44" i="1"/>
  <c r="K57" i="1"/>
  <c r="N57" i="1" s="1"/>
  <c r="N48" i="1"/>
  <c r="O21" i="1"/>
  <c r="J67" i="13"/>
  <c r="K65" i="1"/>
  <c r="O65" i="1" s="1"/>
  <c r="J64" i="13"/>
  <c r="K62" i="1"/>
  <c r="O62" i="1" s="1"/>
  <c r="J65" i="13"/>
  <c r="K63" i="1"/>
  <c r="O63" i="1" s="1"/>
  <c r="G93" i="13"/>
  <c r="M58" i="1"/>
  <c r="N26" i="1"/>
  <c r="K33" i="1"/>
  <c r="N33" i="1" s="1"/>
  <c r="J36" i="13"/>
  <c r="J39" i="13" s="1"/>
  <c r="G39" i="13"/>
  <c r="G43" i="13"/>
  <c r="J40" i="13"/>
  <c r="J43" i="13" s="1"/>
  <c r="N43" i="1"/>
  <c r="K47" i="1"/>
  <c r="J68" i="13"/>
  <c r="K66" i="1"/>
  <c r="O66" i="1" s="1"/>
  <c r="J66" i="13"/>
  <c r="K64" i="1"/>
  <c r="O64" i="1" s="1"/>
  <c r="M121" i="1"/>
  <c r="O56" i="1"/>
  <c r="K61" i="1"/>
  <c r="J63" i="13"/>
  <c r="J71" i="13"/>
  <c r="K69" i="1"/>
  <c r="J92" i="13"/>
  <c r="J93" i="13" s="1"/>
  <c r="M42" i="1"/>
  <c r="N14" i="1"/>
  <c r="K17" i="1"/>
  <c r="O17" i="1" s="1"/>
  <c r="N73" i="1"/>
  <c r="O73" i="1"/>
  <c r="O51" i="1"/>
  <c r="G27" i="13"/>
  <c r="J20" i="13"/>
  <c r="J27" i="13" s="1"/>
  <c r="O20" i="1"/>
  <c r="N60" i="1"/>
  <c r="G80" i="13"/>
  <c r="J73" i="13"/>
  <c r="J80" i="13" s="1"/>
  <c r="O32" i="1"/>
  <c r="O39" i="1"/>
  <c r="N89" i="1"/>
  <c r="O89" i="1"/>
  <c r="O116" i="1"/>
  <c r="M79" i="1"/>
  <c r="O27" i="1"/>
  <c r="J50" i="13"/>
  <c r="J59" i="13" s="1"/>
  <c r="G59" i="13"/>
  <c r="O28" i="1"/>
  <c r="O1043" i="2"/>
  <c r="L1043" i="2"/>
  <c r="I1043" i="2"/>
  <c r="O1037" i="2"/>
  <c r="L1037" i="2"/>
  <c r="I1037" i="2"/>
  <c r="L1038" i="2"/>
  <c r="I1038" i="2"/>
  <c r="O1038" i="2"/>
  <c r="I988" i="2"/>
  <c r="O1028" i="2"/>
  <c r="L1028" i="2"/>
  <c r="I1028" i="2"/>
  <c r="O1025" i="2"/>
  <c r="L1025" i="2"/>
  <c r="I1025" i="2"/>
  <c r="J1053" i="2"/>
  <c r="O944" i="2"/>
  <c r="O988" i="2"/>
  <c r="I895" i="2"/>
  <c r="I865" i="2"/>
  <c r="F872" i="2"/>
  <c r="I912" i="2"/>
  <c r="I909" i="2"/>
  <c r="I913" i="2"/>
  <c r="L903" i="2"/>
  <c r="K923" i="2"/>
  <c r="I901" i="2"/>
  <c r="L898" i="2"/>
  <c r="L895" i="2"/>
  <c r="F887" i="2"/>
  <c r="I884" i="2"/>
  <c r="K887" i="2"/>
  <c r="K894" i="2" s="1"/>
  <c r="J892" i="2"/>
  <c r="L892" i="2" s="1"/>
  <c r="O881" i="2"/>
  <c r="O901" i="2"/>
  <c r="O916" i="2"/>
  <c r="J923" i="2"/>
  <c r="O865" i="2"/>
  <c r="O876" i="2"/>
  <c r="J887" i="2"/>
  <c r="I890" i="2"/>
  <c r="I892" i="2" s="1"/>
  <c r="O891" i="2"/>
  <c r="O896" i="2"/>
  <c r="O900" i="2"/>
  <c r="O904" i="2"/>
  <c r="O908" i="2"/>
  <c r="O915" i="2"/>
  <c r="O919" i="2"/>
  <c r="O873" i="2"/>
  <c r="L881" i="2"/>
  <c r="I882" i="2"/>
  <c r="L884" i="2"/>
  <c r="I885" i="2"/>
  <c r="I887" i="2" s="1"/>
  <c r="L888" i="2"/>
  <c r="I893" i="2"/>
  <c r="L897" i="2"/>
  <c r="I898" i="2"/>
  <c r="L901" i="2"/>
  <c r="L905" i="2"/>
  <c r="L909" i="2"/>
  <c r="L912" i="2"/>
  <c r="L916" i="2"/>
  <c r="L920" i="2"/>
  <c r="O884" i="2"/>
  <c r="O888" i="2"/>
  <c r="O892" i="2" s="1"/>
  <c r="O897" i="2"/>
  <c r="O905" i="2"/>
  <c r="O909" i="2"/>
  <c r="O912" i="2"/>
  <c r="O920" i="2"/>
  <c r="O880" i="2"/>
  <c r="I866" i="2"/>
  <c r="O78" i="1" l="1"/>
  <c r="O41" i="1"/>
  <c r="L122" i="1"/>
  <c r="K70" i="1"/>
  <c r="N70" i="1" s="1"/>
  <c r="M93" i="1"/>
  <c r="N69" i="1"/>
  <c r="O69" i="1"/>
  <c r="N47" i="1"/>
  <c r="K58" i="1"/>
  <c r="G44" i="13"/>
  <c r="O47" i="1"/>
  <c r="N112" i="1"/>
  <c r="O112" i="1"/>
  <c r="K120" i="1"/>
  <c r="G72" i="13"/>
  <c r="G81" i="13" s="1"/>
  <c r="G95" i="13" s="1"/>
  <c r="G96" i="13" s="1"/>
  <c r="F19" i="15" s="1"/>
  <c r="F21" i="15" s="1"/>
  <c r="G60" i="13"/>
  <c r="F16" i="15" s="1"/>
  <c r="N17" i="1"/>
  <c r="K42" i="1"/>
  <c r="M59" i="1"/>
  <c r="N61" i="1"/>
  <c r="O61" i="1"/>
  <c r="O33" i="1"/>
  <c r="O37" i="1"/>
  <c r="J72" i="13"/>
  <c r="J81" i="13" s="1"/>
  <c r="J95" i="13" s="1"/>
  <c r="J96" i="13" s="1"/>
  <c r="J44" i="13"/>
  <c r="O57" i="1"/>
  <c r="J60" i="13"/>
  <c r="I16" i="15" s="1"/>
  <c r="O91" i="1"/>
  <c r="O25" i="1"/>
  <c r="O1053" i="2"/>
  <c r="I1053" i="2"/>
  <c r="O1055" i="2"/>
  <c r="O990" i="2"/>
  <c r="I923" i="2"/>
  <c r="O923" i="2"/>
  <c r="O887" i="2"/>
  <c r="O894" i="2" s="1"/>
  <c r="L887" i="2"/>
  <c r="J894" i="2"/>
  <c r="I894" i="2" s="1"/>
  <c r="O58" i="1" l="1"/>
  <c r="D16" i="15"/>
  <c r="O42" i="1"/>
  <c r="D15" i="15"/>
  <c r="O70" i="1"/>
  <c r="K79" i="1"/>
  <c r="K93" i="1" s="1"/>
  <c r="O93" i="1" s="1"/>
  <c r="O94" i="1" s="1"/>
  <c r="J61" i="13"/>
  <c r="J123" i="13" s="1"/>
  <c r="I15" i="15"/>
  <c r="I18" i="15" s="1"/>
  <c r="N120" i="1"/>
  <c r="N121" i="1" s="1"/>
  <c r="K121" i="1"/>
  <c r="D22" i="15" s="1"/>
  <c r="O120" i="1"/>
  <c r="O121" i="1" s="1"/>
  <c r="M94" i="1"/>
  <c r="M122" i="1" s="1"/>
  <c r="I19" i="15"/>
  <c r="I21" i="15" s="1"/>
  <c r="N42" i="1"/>
  <c r="K59" i="1"/>
  <c r="O59" i="1" s="1"/>
  <c r="F15" i="15"/>
  <c r="F18" i="15" s="1"/>
  <c r="F25" i="15" s="1"/>
  <c r="G61" i="13"/>
  <c r="G123" i="13" s="1"/>
  <c r="E16" i="15"/>
  <c r="N58" i="1"/>
  <c r="N857" i="2"/>
  <c r="L857" i="2"/>
  <c r="K857" i="2"/>
  <c r="J857" i="2"/>
  <c r="O857" i="2" s="1"/>
  <c r="I857" i="2"/>
  <c r="F857" i="2"/>
  <c r="N856" i="2"/>
  <c r="L856" i="2"/>
  <c r="K856" i="2"/>
  <c r="I856" i="2" s="1"/>
  <c r="J856" i="2"/>
  <c r="O856" i="2" s="1"/>
  <c r="F856" i="2"/>
  <c r="N855" i="2"/>
  <c r="K855" i="2"/>
  <c r="J855" i="2"/>
  <c r="I855" i="2" s="1"/>
  <c r="F855" i="2"/>
  <c r="N854" i="2"/>
  <c r="K854" i="2"/>
  <c r="J854" i="2"/>
  <c r="L854" i="2" s="1"/>
  <c r="I854" i="2"/>
  <c r="F854" i="2"/>
  <c r="N853" i="2"/>
  <c r="L853" i="2"/>
  <c r="K853" i="2"/>
  <c r="J853" i="2"/>
  <c r="O853" i="2" s="1"/>
  <c r="I853" i="2"/>
  <c r="F853" i="2"/>
  <c r="N852" i="2"/>
  <c r="L852" i="2"/>
  <c r="K852" i="2"/>
  <c r="I852" i="2" s="1"/>
  <c r="J852" i="2"/>
  <c r="O852" i="2" s="1"/>
  <c r="F852" i="2"/>
  <c r="N851" i="2"/>
  <c r="K851" i="2"/>
  <c r="J851" i="2"/>
  <c r="F851" i="2"/>
  <c r="N850" i="2"/>
  <c r="K850" i="2"/>
  <c r="J850" i="2"/>
  <c r="L850" i="2" s="1"/>
  <c r="I850" i="2"/>
  <c r="F850" i="2"/>
  <c r="N849" i="2"/>
  <c r="L849" i="2"/>
  <c r="K849" i="2"/>
  <c r="J849" i="2"/>
  <c r="O849" i="2" s="1"/>
  <c r="I849" i="2"/>
  <c r="F849" i="2"/>
  <c r="N848" i="2"/>
  <c r="K848" i="2"/>
  <c r="J848" i="2"/>
  <c r="O848" i="2" s="1"/>
  <c r="F848" i="2"/>
  <c r="N847" i="2"/>
  <c r="K847" i="2"/>
  <c r="J847" i="2"/>
  <c r="F847" i="2"/>
  <c r="O846" i="2"/>
  <c r="N846" i="2"/>
  <c r="K846" i="2"/>
  <c r="J846" i="2"/>
  <c r="I846" i="2"/>
  <c r="F846" i="2"/>
  <c r="N845" i="2"/>
  <c r="L845" i="2"/>
  <c r="K845" i="2"/>
  <c r="J845" i="2"/>
  <c r="O845" i="2" s="1"/>
  <c r="F845" i="2"/>
  <c r="N844" i="2"/>
  <c r="K844" i="2"/>
  <c r="J844" i="2"/>
  <c r="F844" i="2"/>
  <c r="N843" i="2"/>
  <c r="K843" i="2"/>
  <c r="J843" i="2"/>
  <c r="L843" i="2" s="1"/>
  <c r="I843" i="2"/>
  <c r="F843" i="2"/>
  <c r="N842" i="2"/>
  <c r="L842" i="2"/>
  <c r="K842" i="2"/>
  <c r="J842" i="2"/>
  <c r="O842" i="2" s="1"/>
  <c r="I842" i="2"/>
  <c r="F842" i="2"/>
  <c r="N841" i="2"/>
  <c r="L841" i="2"/>
  <c r="K841" i="2"/>
  <c r="I841" i="2" s="1"/>
  <c r="J841" i="2"/>
  <c r="O841" i="2" s="1"/>
  <c r="F841" i="2"/>
  <c r="N840" i="2"/>
  <c r="K840" i="2"/>
  <c r="J840" i="2"/>
  <c r="I840" i="2" s="1"/>
  <c r="F840" i="2"/>
  <c r="N839" i="2"/>
  <c r="K839" i="2"/>
  <c r="J839" i="2"/>
  <c r="L839" i="2" s="1"/>
  <c r="I839" i="2"/>
  <c r="F839" i="2"/>
  <c r="N838" i="2"/>
  <c r="L838" i="2"/>
  <c r="K838" i="2"/>
  <c r="I838" i="2" s="1"/>
  <c r="J838" i="2"/>
  <c r="O838" i="2" s="1"/>
  <c r="F838" i="2"/>
  <c r="N837" i="2"/>
  <c r="L837" i="2"/>
  <c r="K837" i="2"/>
  <c r="I837" i="2" s="1"/>
  <c r="J837" i="2"/>
  <c r="O837" i="2" s="1"/>
  <c r="F837" i="2"/>
  <c r="N836" i="2"/>
  <c r="K836" i="2"/>
  <c r="J836" i="2"/>
  <c r="I836" i="2" s="1"/>
  <c r="F836" i="2"/>
  <c r="N835" i="2"/>
  <c r="K835" i="2"/>
  <c r="J835" i="2"/>
  <c r="L835" i="2" s="1"/>
  <c r="I835" i="2"/>
  <c r="F835" i="2"/>
  <c r="N834" i="2"/>
  <c r="L834" i="2"/>
  <c r="K834" i="2"/>
  <c r="J834" i="2"/>
  <c r="O834" i="2" s="1"/>
  <c r="I834" i="2"/>
  <c r="F834" i="2"/>
  <c r="N833" i="2"/>
  <c r="K833" i="2"/>
  <c r="J833" i="2"/>
  <c r="O833" i="2" s="1"/>
  <c r="F833" i="2"/>
  <c r="N832" i="2"/>
  <c r="K832" i="2"/>
  <c r="J832" i="2"/>
  <c r="I832" i="2" s="1"/>
  <c r="F832" i="2"/>
  <c r="N831" i="2"/>
  <c r="K831" i="2"/>
  <c r="J831" i="2"/>
  <c r="L831" i="2" s="1"/>
  <c r="I831" i="2"/>
  <c r="F831" i="2"/>
  <c r="N830" i="2"/>
  <c r="K830" i="2"/>
  <c r="I830" i="2" s="1"/>
  <c r="J830" i="2"/>
  <c r="O830" i="2" s="1"/>
  <c r="F830" i="2"/>
  <c r="N828" i="2"/>
  <c r="L828" i="2"/>
  <c r="K828" i="2"/>
  <c r="J828" i="2"/>
  <c r="O828" i="2" s="1"/>
  <c r="F828" i="2"/>
  <c r="H827" i="2"/>
  <c r="G827" i="2"/>
  <c r="E827" i="2"/>
  <c r="D827" i="2"/>
  <c r="N826" i="2"/>
  <c r="K826" i="2"/>
  <c r="J826" i="2"/>
  <c r="L826" i="2" s="1"/>
  <c r="I826" i="2"/>
  <c r="F826" i="2"/>
  <c r="N825" i="2"/>
  <c r="L825" i="2"/>
  <c r="K825" i="2"/>
  <c r="J825" i="2"/>
  <c r="O825" i="2" s="1"/>
  <c r="F825" i="2"/>
  <c r="F827" i="2" s="1"/>
  <c r="N824" i="2"/>
  <c r="L824" i="2"/>
  <c r="K824" i="2"/>
  <c r="J824" i="2"/>
  <c r="O824" i="2" s="1"/>
  <c r="F824" i="2"/>
  <c r="I824" i="2" s="1"/>
  <c r="N823" i="2"/>
  <c r="N827" i="2" s="1"/>
  <c r="K823" i="2"/>
  <c r="K827" i="2" s="1"/>
  <c r="J823" i="2"/>
  <c r="I823" i="2" s="1"/>
  <c r="F823" i="2"/>
  <c r="H822" i="2"/>
  <c r="G822" i="2"/>
  <c r="E822" i="2"/>
  <c r="D822" i="2"/>
  <c r="N821" i="2"/>
  <c r="L821" i="2"/>
  <c r="K821" i="2"/>
  <c r="J821" i="2"/>
  <c r="O821" i="2" s="1"/>
  <c r="I821" i="2"/>
  <c r="F821" i="2"/>
  <c r="N820" i="2"/>
  <c r="L820" i="2"/>
  <c r="K820" i="2"/>
  <c r="J820" i="2"/>
  <c r="O820" i="2" s="1"/>
  <c r="F820" i="2"/>
  <c r="N819" i="2"/>
  <c r="N822" i="2" s="1"/>
  <c r="K819" i="2"/>
  <c r="J819" i="2"/>
  <c r="F819" i="2"/>
  <c r="O818" i="2"/>
  <c r="N818" i="2"/>
  <c r="K818" i="2"/>
  <c r="J818" i="2"/>
  <c r="I818" i="2"/>
  <c r="F818" i="2"/>
  <c r="N817" i="2"/>
  <c r="L817" i="2"/>
  <c r="K817" i="2"/>
  <c r="J817" i="2"/>
  <c r="O817" i="2" s="1"/>
  <c r="F817" i="2"/>
  <c r="N816" i="2"/>
  <c r="K816" i="2"/>
  <c r="J816" i="2"/>
  <c r="I816" i="2" s="1"/>
  <c r="F816" i="2"/>
  <c r="N815" i="2"/>
  <c r="K815" i="2"/>
  <c r="J815" i="2"/>
  <c r="L815" i="2" s="1"/>
  <c r="I815" i="2"/>
  <c r="F815" i="2"/>
  <c r="H813" i="2"/>
  <c r="G813" i="2"/>
  <c r="K812" i="2"/>
  <c r="J812" i="2"/>
  <c r="N811" i="2"/>
  <c r="K811" i="2"/>
  <c r="J811" i="2"/>
  <c r="L811" i="2" s="1"/>
  <c r="I811" i="2"/>
  <c r="F811" i="2"/>
  <c r="N810" i="2"/>
  <c r="L810" i="2"/>
  <c r="K810" i="2"/>
  <c r="J810" i="2"/>
  <c r="O810" i="2" s="1"/>
  <c r="I810" i="2"/>
  <c r="F810" i="2"/>
  <c r="K809" i="2"/>
  <c r="J809" i="2"/>
  <c r="J813" i="2" s="1"/>
  <c r="I809" i="2"/>
  <c r="F809" i="2"/>
  <c r="N808" i="2"/>
  <c r="L808" i="2"/>
  <c r="K808" i="2"/>
  <c r="J808" i="2"/>
  <c r="O808" i="2" s="1"/>
  <c r="I808" i="2"/>
  <c r="F808" i="2"/>
  <c r="H807" i="2"/>
  <c r="G807" i="2"/>
  <c r="O806" i="2"/>
  <c r="N806" i="2"/>
  <c r="K806" i="2"/>
  <c r="J806" i="2"/>
  <c r="I806" i="2"/>
  <c r="F806" i="2"/>
  <c r="N805" i="2"/>
  <c r="L805" i="2"/>
  <c r="K805" i="2"/>
  <c r="J805" i="2"/>
  <c r="O805" i="2" s="1"/>
  <c r="I805" i="2"/>
  <c r="F805" i="2"/>
  <c r="N804" i="2"/>
  <c r="K804" i="2"/>
  <c r="K869" i="2" s="1"/>
  <c r="J804" i="2"/>
  <c r="F804" i="2"/>
  <c r="O803" i="2"/>
  <c r="N803" i="2"/>
  <c r="K803" i="2"/>
  <c r="J803" i="2"/>
  <c r="I803" i="2"/>
  <c r="F803" i="2"/>
  <c r="N802" i="2"/>
  <c r="K802" i="2"/>
  <c r="K867" i="2" s="1"/>
  <c r="K872" i="2" s="1"/>
  <c r="J802" i="2"/>
  <c r="F802" i="2"/>
  <c r="N801" i="2"/>
  <c r="K801" i="2"/>
  <c r="J801" i="2"/>
  <c r="O801" i="2" s="1"/>
  <c r="F801" i="2"/>
  <c r="N800" i="2"/>
  <c r="K800" i="2"/>
  <c r="J800" i="2"/>
  <c r="L800" i="2" s="1"/>
  <c r="I800" i="2"/>
  <c r="F800" i="2"/>
  <c r="N79" i="1" l="1"/>
  <c r="O79" i="1"/>
  <c r="D24" i="15"/>
  <c r="E24" i="15" s="1"/>
  <c r="E22" i="15"/>
  <c r="I25" i="15"/>
  <c r="K94" i="1"/>
  <c r="D19" i="15" s="1"/>
  <c r="N93" i="1"/>
  <c r="N94" i="1" s="1"/>
  <c r="N59" i="1"/>
  <c r="E15" i="15"/>
  <c r="D18" i="15"/>
  <c r="K813" i="2"/>
  <c r="K877" i="2"/>
  <c r="K878" i="2" s="1"/>
  <c r="O812" i="2"/>
  <c r="J877" i="2"/>
  <c r="O804" i="2"/>
  <c r="J869" i="2"/>
  <c r="F807" i="2"/>
  <c r="L804" i="2"/>
  <c r="K807" i="2"/>
  <c r="O802" i="2"/>
  <c r="J867" i="2"/>
  <c r="I847" i="2"/>
  <c r="L848" i="2"/>
  <c r="I851" i="2"/>
  <c r="I844" i="2"/>
  <c r="I848" i="2"/>
  <c r="K858" i="2"/>
  <c r="L833" i="2"/>
  <c r="L830" i="2"/>
  <c r="I819" i="2"/>
  <c r="K822" i="2"/>
  <c r="K829" i="2" s="1"/>
  <c r="F822" i="2"/>
  <c r="F813" i="2"/>
  <c r="L812" i="2"/>
  <c r="L802" i="2"/>
  <c r="I802" i="2"/>
  <c r="I813" i="2"/>
  <c r="J827" i="2"/>
  <c r="L827" i="2" s="1"/>
  <c r="O836" i="2"/>
  <c r="O844" i="2"/>
  <c r="O855" i="2"/>
  <c r="O815" i="2"/>
  <c r="J822" i="2"/>
  <c r="I825" i="2"/>
  <c r="I827" i="2" s="1"/>
  <c r="O826" i="2"/>
  <c r="O831" i="2"/>
  <c r="O835" i="2"/>
  <c r="O839" i="2"/>
  <c r="O843" i="2"/>
  <c r="O850" i="2"/>
  <c r="O854" i="2"/>
  <c r="O816" i="2"/>
  <c r="O832" i="2"/>
  <c r="O840" i="2"/>
  <c r="O847" i="2"/>
  <c r="O851" i="2"/>
  <c r="J858" i="2"/>
  <c r="J807" i="2"/>
  <c r="O811" i="2"/>
  <c r="I804" i="2"/>
  <c r="I812" i="2"/>
  <c r="L816" i="2"/>
  <c r="I817" i="2"/>
  <c r="L819" i="2"/>
  <c r="I820" i="2"/>
  <c r="L823" i="2"/>
  <c r="I828" i="2"/>
  <c r="L832" i="2"/>
  <c r="I833" i="2"/>
  <c r="L836" i="2"/>
  <c r="L840" i="2"/>
  <c r="L844" i="2"/>
  <c r="I845" i="2"/>
  <c r="L847" i="2"/>
  <c r="L851" i="2"/>
  <c r="L855" i="2"/>
  <c r="O819" i="2"/>
  <c r="O823" i="2"/>
  <c r="O827" i="2" s="1"/>
  <c r="O800" i="2"/>
  <c r="O807" i="2" s="1"/>
  <c r="I801" i="2"/>
  <c r="O809" i="2"/>
  <c r="O813" i="2" s="1"/>
  <c r="K122" i="1" l="1"/>
  <c r="N122" i="1" s="1"/>
  <c r="E18" i="15"/>
  <c r="D21" i="15"/>
  <c r="E21" i="15" s="1"/>
  <c r="E19" i="15"/>
  <c r="O877" i="2"/>
  <c r="O878" i="2" s="1"/>
  <c r="L877" i="2"/>
  <c r="J878" i="2"/>
  <c r="I878" i="2" s="1"/>
  <c r="I877" i="2"/>
  <c r="O869" i="2"/>
  <c r="L869" i="2"/>
  <c r="I869" i="2"/>
  <c r="O867" i="2"/>
  <c r="O872" i="2" s="1"/>
  <c r="I867" i="2"/>
  <c r="L867" i="2"/>
  <c r="J872" i="2"/>
  <c r="I872" i="2" s="1"/>
  <c r="I807" i="2"/>
  <c r="O858" i="2"/>
  <c r="I858" i="2"/>
  <c r="I822" i="2"/>
  <c r="O814" i="2"/>
  <c r="O822" i="2"/>
  <c r="O829" i="2" s="1"/>
  <c r="L822" i="2"/>
  <c r="J829" i="2"/>
  <c r="O122" i="1" l="1"/>
  <c r="D25" i="15"/>
  <c r="E25" i="15" s="1"/>
  <c r="O879" i="2"/>
  <c r="O925" i="2" s="1"/>
  <c r="I829" i="2"/>
  <c r="O860" i="2"/>
  <c r="N792" i="2"/>
  <c r="L792" i="2"/>
  <c r="K792" i="2"/>
  <c r="J792" i="2"/>
  <c r="O792" i="2" s="1"/>
  <c r="I792" i="2"/>
  <c r="F792" i="2"/>
  <c r="N791" i="2"/>
  <c r="L791" i="2"/>
  <c r="K791" i="2"/>
  <c r="I791" i="2" s="1"/>
  <c r="J791" i="2"/>
  <c r="O791" i="2" s="1"/>
  <c r="F791" i="2"/>
  <c r="N790" i="2"/>
  <c r="K790" i="2"/>
  <c r="J790" i="2"/>
  <c r="I790" i="2" s="1"/>
  <c r="F790" i="2"/>
  <c r="N789" i="2"/>
  <c r="K789" i="2"/>
  <c r="J789" i="2"/>
  <c r="L789" i="2" s="1"/>
  <c r="I789" i="2"/>
  <c r="F789" i="2"/>
  <c r="N788" i="2"/>
  <c r="L788" i="2"/>
  <c r="K788" i="2"/>
  <c r="J788" i="2"/>
  <c r="O788" i="2" s="1"/>
  <c r="I788" i="2"/>
  <c r="F788" i="2"/>
  <c r="N787" i="2"/>
  <c r="L787" i="2"/>
  <c r="K787" i="2"/>
  <c r="I787" i="2" s="1"/>
  <c r="J787" i="2"/>
  <c r="O787" i="2" s="1"/>
  <c r="F787" i="2"/>
  <c r="N786" i="2"/>
  <c r="K786" i="2"/>
  <c r="J786" i="2"/>
  <c r="F786" i="2"/>
  <c r="N785" i="2"/>
  <c r="K785" i="2"/>
  <c r="J785" i="2"/>
  <c r="L785" i="2" s="1"/>
  <c r="I785" i="2"/>
  <c r="F785" i="2"/>
  <c r="N784" i="2"/>
  <c r="L784" i="2"/>
  <c r="K784" i="2"/>
  <c r="J784" i="2"/>
  <c r="O784" i="2" s="1"/>
  <c r="I784" i="2"/>
  <c r="F784" i="2"/>
  <c r="N783" i="2"/>
  <c r="K783" i="2"/>
  <c r="J783" i="2"/>
  <c r="O783" i="2" s="1"/>
  <c r="F783" i="2"/>
  <c r="N782" i="2"/>
  <c r="K782" i="2"/>
  <c r="J782" i="2"/>
  <c r="F782" i="2"/>
  <c r="O781" i="2"/>
  <c r="N781" i="2"/>
  <c r="K781" i="2"/>
  <c r="J781" i="2"/>
  <c r="I781" i="2"/>
  <c r="F781" i="2"/>
  <c r="N780" i="2"/>
  <c r="L780" i="2"/>
  <c r="K780" i="2"/>
  <c r="I780" i="2" s="1"/>
  <c r="J780" i="2"/>
  <c r="O780" i="2" s="1"/>
  <c r="F780" i="2"/>
  <c r="N779" i="2"/>
  <c r="K779" i="2"/>
  <c r="J779" i="2"/>
  <c r="I779" i="2" s="1"/>
  <c r="F779" i="2"/>
  <c r="N778" i="2"/>
  <c r="K778" i="2"/>
  <c r="J778" i="2"/>
  <c r="L778" i="2" s="1"/>
  <c r="I778" i="2"/>
  <c r="F778" i="2"/>
  <c r="N777" i="2"/>
  <c r="L777" i="2"/>
  <c r="K777" i="2"/>
  <c r="J777" i="2"/>
  <c r="O777" i="2" s="1"/>
  <c r="I777" i="2"/>
  <c r="F777" i="2"/>
  <c r="N776" i="2"/>
  <c r="L776" i="2"/>
  <c r="K776" i="2"/>
  <c r="I776" i="2" s="1"/>
  <c r="J776" i="2"/>
  <c r="O776" i="2" s="1"/>
  <c r="F776" i="2"/>
  <c r="N775" i="2"/>
  <c r="K775" i="2"/>
  <c r="J775" i="2"/>
  <c r="I775" i="2" s="1"/>
  <c r="F775" i="2"/>
  <c r="N774" i="2"/>
  <c r="K774" i="2"/>
  <c r="J774" i="2"/>
  <c r="L774" i="2" s="1"/>
  <c r="I774" i="2"/>
  <c r="F774" i="2"/>
  <c r="N773" i="2"/>
  <c r="K773" i="2"/>
  <c r="J773" i="2"/>
  <c r="O773" i="2" s="1"/>
  <c r="I773" i="2"/>
  <c r="F773" i="2"/>
  <c r="N772" i="2"/>
  <c r="L772" i="2"/>
  <c r="K772" i="2"/>
  <c r="I772" i="2" s="1"/>
  <c r="J772" i="2"/>
  <c r="O772" i="2" s="1"/>
  <c r="F772" i="2"/>
  <c r="N771" i="2"/>
  <c r="K771" i="2"/>
  <c r="J771" i="2"/>
  <c r="F771" i="2"/>
  <c r="N770" i="2"/>
  <c r="K770" i="2"/>
  <c r="J770" i="2"/>
  <c r="L770" i="2" s="1"/>
  <c r="I770" i="2"/>
  <c r="F770" i="2"/>
  <c r="N769" i="2"/>
  <c r="L769" i="2"/>
  <c r="K769" i="2"/>
  <c r="J769" i="2"/>
  <c r="O769" i="2" s="1"/>
  <c r="I769" i="2"/>
  <c r="F769" i="2"/>
  <c r="N768" i="2"/>
  <c r="K768" i="2"/>
  <c r="J768" i="2"/>
  <c r="O768" i="2" s="1"/>
  <c r="F768" i="2"/>
  <c r="N767" i="2"/>
  <c r="K767" i="2"/>
  <c r="J767" i="2"/>
  <c r="I767" i="2" s="1"/>
  <c r="F767" i="2"/>
  <c r="N766" i="2"/>
  <c r="K766" i="2"/>
  <c r="J766" i="2"/>
  <c r="L766" i="2" s="1"/>
  <c r="I766" i="2"/>
  <c r="F766" i="2"/>
  <c r="N765" i="2"/>
  <c r="K765" i="2"/>
  <c r="I765" i="2" s="1"/>
  <c r="J765" i="2"/>
  <c r="O765" i="2" s="1"/>
  <c r="F765" i="2"/>
  <c r="N763" i="2"/>
  <c r="L763" i="2"/>
  <c r="K763" i="2"/>
  <c r="I763" i="2" s="1"/>
  <c r="J763" i="2"/>
  <c r="O763" i="2" s="1"/>
  <c r="F763" i="2"/>
  <c r="H762" i="2"/>
  <c r="G762" i="2"/>
  <c r="E762" i="2"/>
  <c r="D762" i="2"/>
  <c r="N761" i="2"/>
  <c r="K761" i="2"/>
  <c r="J761" i="2"/>
  <c r="L761" i="2" s="1"/>
  <c r="I761" i="2"/>
  <c r="F761" i="2"/>
  <c r="N760" i="2"/>
  <c r="L760" i="2"/>
  <c r="K760" i="2"/>
  <c r="J760" i="2"/>
  <c r="O760" i="2" s="1"/>
  <c r="F760" i="2"/>
  <c r="F762" i="2" s="1"/>
  <c r="N759" i="2"/>
  <c r="L759" i="2"/>
  <c r="K759" i="2"/>
  <c r="J759" i="2"/>
  <c r="O759" i="2" s="1"/>
  <c r="F759" i="2"/>
  <c r="I759" i="2" s="1"/>
  <c r="N758" i="2"/>
  <c r="N762" i="2" s="1"/>
  <c r="K758" i="2"/>
  <c r="K762" i="2" s="1"/>
  <c r="J758" i="2"/>
  <c r="I758" i="2" s="1"/>
  <c r="F758" i="2"/>
  <c r="H757" i="2"/>
  <c r="G757" i="2"/>
  <c r="E757" i="2"/>
  <c r="D757" i="2"/>
  <c r="N756" i="2"/>
  <c r="L756" i="2"/>
  <c r="K756" i="2"/>
  <c r="J756" i="2"/>
  <c r="O756" i="2" s="1"/>
  <c r="I756" i="2"/>
  <c r="F756" i="2"/>
  <c r="N755" i="2"/>
  <c r="L755" i="2"/>
  <c r="K755" i="2"/>
  <c r="I755" i="2" s="1"/>
  <c r="J755" i="2"/>
  <c r="O755" i="2" s="1"/>
  <c r="F755" i="2"/>
  <c r="N754" i="2"/>
  <c r="N757" i="2" s="1"/>
  <c r="K754" i="2"/>
  <c r="J754" i="2"/>
  <c r="F754" i="2"/>
  <c r="O753" i="2"/>
  <c r="N753" i="2"/>
  <c r="K753" i="2"/>
  <c r="J753" i="2"/>
  <c r="I753" i="2"/>
  <c r="F753" i="2"/>
  <c r="N752" i="2"/>
  <c r="L752" i="2"/>
  <c r="K752" i="2"/>
  <c r="I752" i="2" s="1"/>
  <c r="J752" i="2"/>
  <c r="O752" i="2" s="1"/>
  <c r="F752" i="2"/>
  <c r="N751" i="2"/>
  <c r="K751" i="2"/>
  <c r="J751" i="2"/>
  <c r="I751" i="2" s="1"/>
  <c r="F751" i="2"/>
  <c r="N750" i="2"/>
  <c r="K750" i="2"/>
  <c r="J750" i="2"/>
  <c r="L750" i="2" s="1"/>
  <c r="I750" i="2"/>
  <c r="F750" i="2"/>
  <c r="H748" i="2"/>
  <c r="G748" i="2"/>
  <c r="K747" i="2"/>
  <c r="K748" i="2" s="1"/>
  <c r="J747" i="2"/>
  <c r="L747" i="2" s="1"/>
  <c r="N746" i="2"/>
  <c r="K746" i="2"/>
  <c r="J746" i="2"/>
  <c r="L746" i="2" s="1"/>
  <c r="I746" i="2"/>
  <c r="F746" i="2"/>
  <c r="N745" i="2"/>
  <c r="L745" i="2"/>
  <c r="K745" i="2"/>
  <c r="J745" i="2"/>
  <c r="O745" i="2" s="1"/>
  <c r="I745" i="2"/>
  <c r="F745" i="2"/>
  <c r="K744" i="2"/>
  <c r="J744" i="2"/>
  <c r="O744" i="2" s="1"/>
  <c r="I744" i="2"/>
  <c r="F744" i="2"/>
  <c r="N743" i="2"/>
  <c r="L743" i="2"/>
  <c r="K743" i="2"/>
  <c r="J743" i="2"/>
  <c r="I743" i="2"/>
  <c r="F743" i="2"/>
  <c r="H742" i="2"/>
  <c r="G742" i="2"/>
  <c r="O741" i="2"/>
  <c r="N741" i="2"/>
  <c r="K741" i="2"/>
  <c r="J741" i="2"/>
  <c r="I741" i="2"/>
  <c r="F741" i="2"/>
  <c r="N740" i="2"/>
  <c r="L740" i="2"/>
  <c r="K740" i="2"/>
  <c r="J740" i="2"/>
  <c r="O740" i="2" s="1"/>
  <c r="I740" i="2"/>
  <c r="F740" i="2"/>
  <c r="N739" i="2"/>
  <c r="L739" i="2"/>
  <c r="K739" i="2"/>
  <c r="I739" i="2" s="1"/>
  <c r="J739" i="2"/>
  <c r="O739" i="2" s="1"/>
  <c r="F739" i="2"/>
  <c r="O738" i="2"/>
  <c r="N738" i="2"/>
  <c r="K738" i="2"/>
  <c r="J738" i="2"/>
  <c r="I738" i="2"/>
  <c r="F738" i="2"/>
  <c r="N737" i="2"/>
  <c r="K737" i="2"/>
  <c r="J737" i="2"/>
  <c r="O737" i="2" s="1"/>
  <c r="F737" i="2"/>
  <c r="F742" i="2" s="1"/>
  <c r="N736" i="2"/>
  <c r="K736" i="2"/>
  <c r="J736" i="2"/>
  <c r="O736" i="2" s="1"/>
  <c r="F736" i="2"/>
  <c r="N735" i="2"/>
  <c r="K735" i="2"/>
  <c r="K742" i="2" s="1"/>
  <c r="J735" i="2"/>
  <c r="L735" i="2" s="1"/>
  <c r="I735" i="2"/>
  <c r="F735" i="2"/>
  <c r="O747" i="2" l="1"/>
  <c r="I737" i="2"/>
  <c r="I786" i="2"/>
  <c r="I768" i="2"/>
  <c r="L768" i="2"/>
  <c r="K793" i="2"/>
  <c r="I782" i="2"/>
  <c r="L783" i="2"/>
  <c r="I783" i="2"/>
  <c r="L773" i="2"/>
  <c r="I771" i="2"/>
  <c r="L765" i="2"/>
  <c r="F757" i="2"/>
  <c r="I754" i="2"/>
  <c r="I757" i="2" s="1"/>
  <c r="K757" i="2"/>
  <c r="K764" i="2" s="1"/>
  <c r="F748" i="2"/>
  <c r="J748" i="2"/>
  <c r="I748" i="2" s="1"/>
  <c r="L737" i="2"/>
  <c r="O754" i="2"/>
  <c r="O779" i="2"/>
  <c r="O790" i="2"/>
  <c r="J793" i="2"/>
  <c r="O735" i="2"/>
  <c r="O742" i="2" s="1"/>
  <c r="O746" i="2"/>
  <c r="O750" i="2"/>
  <c r="J757" i="2"/>
  <c r="O766" i="2"/>
  <c r="O770" i="2"/>
  <c r="J762" i="2"/>
  <c r="L762" i="2" s="1"/>
  <c r="O771" i="2"/>
  <c r="I760" i="2"/>
  <c r="I762" i="2" s="1"/>
  <c r="O785" i="2"/>
  <c r="I747" i="2"/>
  <c r="L751" i="2"/>
  <c r="L754" i="2"/>
  <c r="L758" i="2"/>
  <c r="L767" i="2"/>
  <c r="L771" i="2"/>
  <c r="L775" i="2"/>
  <c r="L779" i="2"/>
  <c r="L782" i="2"/>
  <c r="L786" i="2"/>
  <c r="L790" i="2"/>
  <c r="O751" i="2"/>
  <c r="O758" i="2"/>
  <c r="O767" i="2"/>
  <c r="O775" i="2"/>
  <c r="O782" i="2"/>
  <c r="O786" i="2"/>
  <c r="J742" i="2"/>
  <c r="I742" i="2" s="1"/>
  <c r="O761" i="2"/>
  <c r="O774" i="2"/>
  <c r="O778" i="2"/>
  <c r="O789" i="2"/>
  <c r="O743" i="2"/>
  <c r="O748" i="2" s="1"/>
  <c r="I736" i="2"/>
  <c r="I793" i="2" l="1"/>
  <c r="O793" i="2"/>
  <c r="L757" i="2"/>
  <c r="J764" i="2"/>
  <c r="I764" i="2" s="1"/>
  <c r="O749" i="2"/>
  <c r="O762" i="2"/>
  <c r="O764" i="2" s="1"/>
  <c r="O757" i="2"/>
  <c r="O795" i="2" l="1"/>
  <c r="N727" i="2" l="1"/>
  <c r="L727" i="2"/>
  <c r="K727" i="2"/>
  <c r="J727" i="2"/>
  <c r="O727" i="2" s="1"/>
  <c r="F727" i="2"/>
  <c r="N726" i="2"/>
  <c r="K726" i="2"/>
  <c r="I726" i="2" s="1"/>
  <c r="J726" i="2"/>
  <c r="O726" i="2" s="1"/>
  <c r="F726" i="2"/>
  <c r="N725" i="2"/>
  <c r="K725" i="2"/>
  <c r="J725" i="2"/>
  <c r="I725" i="2" s="1"/>
  <c r="F725" i="2"/>
  <c r="N724" i="2"/>
  <c r="K724" i="2"/>
  <c r="J724" i="2"/>
  <c r="L724" i="2" s="1"/>
  <c r="I724" i="2"/>
  <c r="F724" i="2"/>
  <c r="N723" i="2"/>
  <c r="L723" i="2"/>
  <c r="K723" i="2"/>
  <c r="J723" i="2"/>
  <c r="O723" i="2" s="1"/>
  <c r="F723" i="2"/>
  <c r="N722" i="2"/>
  <c r="K722" i="2"/>
  <c r="J722" i="2"/>
  <c r="O722" i="2" s="1"/>
  <c r="F722" i="2"/>
  <c r="N721" i="2"/>
  <c r="K721" i="2"/>
  <c r="J721" i="2"/>
  <c r="F721" i="2"/>
  <c r="N720" i="2"/>
  <c r="K720" i="2"/>
  <c r="J720" i="2"/>
  <c r="L720" i="2" s="1"/>
  <c r="I720" i="2"/>
  <c r="F720" i="2"/>
  <c r="N719" i="2"/>
  <c r="L719" i="2"/>
  <c r="K719" i="2"/>
  <c r="J719" i="2"/>
  <c r="O719" i="2" s="1"/>
  <c r="F719" i="2"/>
  <c r="N718" i="2"/>
  <c r="K718" i="2"/>
  <c r="J718" i="2"/>
  <c r="O718" i="2" s="1"/>
  <c r="F718" i="2"/>
  <c r="N717" i="2"/>
  <c r="K717" i="2"/>
  <c r="J717" i="2"/>
  <c r="I717" i="2" s="1"/>
  <c r="F717" i="2"/>
  <c r="N716" i="2"/>
  <c r="K716" i="2"/>
  <c r="J716" i="2"/>
  <c r="O716" i="2" s="1"/>
  <c r="F716" i="2"/>
  <c r="N715" i="2"/>
  <c r="K715" i="2"/>
  <c r="J715" i="2"/>
  <c r="O715" i="2" s="1"/>
  <c r="F715" i="2"/>
  <c r="N714" i="2"/>
  <c r="K714" i="2"/>
  <c r="J714" i="2"/>
  <c r="I714" i="2" s="1"/>
  <c r="F714" i="2"/>
  <c r="N713" i="2"/>
  <c r="L713" i="2"/>
  <c r="K713" i="2"/>
  <c r="J713" i="2"/>
  <c r="O713" i="2" s="1"/>
  <c r="I713" i="2"/>
  <c r="F713" i="2"/>
  <c r="N712" i="2"/>
  <c r="L712" i="2"/>
  <c r="K712" i="2"/>
  <c r="J712" i="2"/>
  <c r="O712" i="2" s="1"/>
  <c r="F712" i="2"/>
  <c r="N711" i="2"/>
  <c r="K711" i="2"/>
  <c r="J711" i="2"/>
  <c r="O711" i="2" s="1"/>
  <c r="F711" i="2"/>
  <c r="N710" i="2"/>
  <c r="K710" i="2"/>
  <c r="J710" i="2"/>
  <c r="F710" i="2"/>
  <c r="N709" i="2"/>
  <c r="L709" i="2"/>
  <c r="K709" i="2"/>
  <c r="J709" i="2"/>
  <c r="O709" i="2" s="1"/>
  <c r="I709" i="2"/>
  <c r="F709" i="2"/>
  <c r="N708" i="2"/>
  <c r="L708" i="2"/>
  <c r="K708" i="2"/>
  <c r="J708" i="2"/>
  <c r="O708" i="2" s="1"/>
  <c r="F708" i="2"/>
  <c r="N707" i="2"/>
  <c r="K707" i="2"/>
  <c r="J707" i="2"/>
  <c r="O707" i="2" s="1"/>
  <c r="F707" i="2"/>
  <c r="N706" i="2"/>
  <c r="K706" i="2"/>
  <c r="J706" i="2"/>
  <c r="F706" i="2"/>
  <c r="N705" i="2"/>
  <c r="L705" i="2"/>
  <c r="K705" i="2"/>
  <c r="J705" i="2"/>
  <c r="O705" i="2" s="1"/>
  <c r="I705" i="2"/>
  <c r="F705" i="2"/>
  <c r="N704" i="2"/>
  <c r="L704" i="2"/>
  <c r="K704" i="2"/>
  <c r="J704" i="2"/>
  <c r="O704" i="2" s="1"/>
  <c r="F704" i="2"/>
  <c r="N703" i="2"/>
  <c r="K703" i="2"/>
  <c r="J703" i="2"/>
  <c r="O703" i="2" s="1"/>
  <c r="F703" i="2"/>
  <c r="N702" i="2"/>
  <c r="K702" i="2"/>
  <c r="J702" i="2"/>
  <c r="I702" i="2" s="1"/>
  <c r="F702" i="2"/>
  <c r="N701" i="2"/>
  <c r="L701" i="2"/>
  <c r="K701" i="2"/>
  <c r="I701" i="2" s="1"/>
  <c r="J701" i="2"/>
  <c r="O701" i="2" s="1"/>
  <c r="F701" i="2"/>
  <c r="N700" i="2"/>
  <c r="K700" i="2"/>
  <c r="J700" i="2"/>
  <c r="O700" i="2" s="1"/>
  <c r="F700" i="2"/>
  <c r="N698" i="2"/>
  <c r="K698" i="2"/>
  <c r="J698" i="2"/>
  <c r="O698" i="2" s="1"/>
  <c r="F698" i="2"/>
  <c r="H697" i="2"/>
  <c r="G697" i="2"/>
  <c r="E697" i="2"/>
  <c r="D697" i="2"/>
  <c r="N696" i="2"/>
  <c r="L696" i="2"/>
  <c r="K696" i="2"/>
  <c r="J696" i="2"/>
  <c r="O696" i="2" s="1"/>
  <c r="I696" i="2"/>
  <c r="F696" i="2"/>
  <c r="N695" i="2"/>
  <c r="L695" i="2"/>
  <c r="K695" i="2"/>
  <c r="J695" i="2"/>
  <c r="O695" i="2" s="1"/>
  <c r="F695" i="2"/>
  <c r="I695" i="2" s="1"/>
  <c r="N694" i="2"/>
  <c r="K694" i="2"/>
  <c r="J694" i="2"/>
  <c r="O694" i="2" s="1"/>
  <c r="I694" i="2"/>
  <c r="F694" i="2"/>
  <c r="N693" i="2"/>
  <c r="N697" i="2" s="1"/>
  <c r="K693" i="2"/>
  <c r="K697" i="2" s="1"/>
  <c r="J693" i="2"/>
  <c r="I693" i="2" s="1"/>
  <c r="I697" i="2" s="1"/>
  <c r="F693" i="2"/>
  <c r="H692" i="2"/>
  <c r="G692" i="2"/>
  <c r="E692" i="2"/>
  <c r="D692" i="2"/>
  <c r="N691" i="2"/>
  <c r="L691" i="2"/>
  <c r="K691" i="2"/>
  <c r="J691" i="2"/>
  <c r="O691" i="2" s="1"/>
  <c r="F691" i="2"/>
  <c r="N690" i="2"/>
  <c r="K690" i="2"/>
  <c r="J690" i="2"/>
  <c r="O690" i="2" s="1"/>
  <c r="F690" i="2"/>
  <c r="N689" i="2"/>
  <c r="N692" i="2" s="1"/>
  <c r="K689" i="2"/>
  <c r="J689" i="2"/>
  <c r="F689" i="2"/>
  <c r="N688" i="2"/>
  <c r="K688" i="2"/>
  <c r="J688" i="2"/>
  <c r="O688" i="2" s="1"/>
  <c r="F688" i="2"/>
  <c r="N687" i="2"/>
  <c r="K687" i="2"/>
  <c r="J687" i="2"/>
  <c r="O687" i="2" s="1"/>
  <c r="F687" i="2"/>
  <c r="N686" i="2"/>
  <c r="K686" i="2"/>
  <c r="J686" i="2"/>
  <c r="I686" i="2" s="1"/>
  <c r="F686" i="2"/>
  <c r="N685" i="2"/>
  <c r="L685" i="2"/>
  <c r="K685" i="2"/>
  <c r="J685" i="2"/>
  <c r="I685" i="2"/>
  <c r="F685" i="2"/>
  <c r="H683" i="2"/>
  <c r="G683" i="2"/>
  <c r="K682" i="2"/>
  <c r="K683" i="2" s="1"/>
  <c r="J682" i="2"/>
  <c r="J683" i="2" s="1"/>
  <c r="N681" i="2"/>
  <c r="L681" i="2"/>
  <c r="K681" i="2"/>
  <c r="J681" i="2"/>
  <c r="O681" i="2" s="1"/>
  <c r="I681" i="2"/>
  <c r="F681" i="2"/>
  <c r="N680" i="2"/>
  <c r="L680" i="2"/>
  <c r="K680" i="2"/>
  <c r="J680" i="2"/>
  <c r="O680" i="2" s="1"/>
  <c r="F680" i="2"/>
  <c r="O679" i="2"/>
  <c r="K679" i="2"/>
  <c r="J679" i="2"/>
  <c r="I679" i="2"/>
  <c r="F679" i="2"/>
  <c r="N678" i="2"/>
  <c r="L678" i="2"/>
  <c r="K678" i="2"/>
  <c r="J678" i="2"/>
  <c r="O678" i="2" s="1"/>
  <c r="F678" i="2"/>
  <c r="H677" i="2"/>
  <c r="G677" i="2"/>
  <c r="O676" i="2"/>
  <c r="N676" i="2"/>
  <c r="K676" i="2"/>
  <c r="J676" i="2"/>
  <c r="I676" i="2"/>
  <c r="F676" i="2"/>
  <c r="N675" i="2"/>
  <c r="L675" i="2"/>
  <c r="K675" i="2"/>
  <c r="J675" i="2"/>
  <c r="O675" i="2" s="1"/>
  <c r="F675" i="2"/>
  <c r="N674" i="2"/>
  <c r="K674" i="2"/>
  <c r="J674" i="2"/>
  <c r="O674" i="2" s="1"/>
  <c r="F674" i="2"/>
  <c r="O673" i="2"/>
  <c r="N673" i="2"/>
  <c r="K673" i="2"/>
  <c r="J673" i="2"/>
  <c r="I673" i="2"/>
  <c r="F673" i="2"/>
  <c r="N672" i="2"/>
  <c r="K672" i="2"/>
  <c r="J672" i="2"/>
  <c r="O672" i="2" s="1"/>
  <c r="F672" i="2"/>
  <c r="N671" i="2"/>
  <c r="K671" i="2"/>
  <c r="J671" i="2"/>
  <c r="O671" i="2" s="1"/>
  <c r="F671" i="2"/>
  <c r="N670" i="2"/>
  <c r="L670" i="2"/>
  <c r="K670" i="2"/>
  <c r="J670" i="2"/>
  <c r="J677" i="2" s="1"/>
  <c r="I670" i="2"/>
  <c r="F670" i="2"/>
  <c r="F677" i="2" s="1"/>
  <c r="I721" i="2" l="1"/>
  <c r="K728" i="2"/>
  <c r="I706" i="2"/>
  <c r="F683" i="2"/>
  <c r="L672" i="2"/>
  <c r="I710" i="2"/>
  <c r="L700" i="2"/>
  <c r="K692" i="2"/>
  <c r="K699" i="2" s="1"/>
  <c r="I689" i="2"/>
  <c r="J692" i="2"/>
  <c r="F692" i="2"/>
  <c r="K677" i="2"/>
  <c r="I677" i="2" s="1"/>
  <c r="L692" i="2"/>
  <c r="I683" i="2"/>
  <c r="O686" i="2"/>
  <c r="F697" i="2"/>
  <c r="O702" i="2"/>
  <c r="O706" i="2"/>
  <c r="O710" i="2"/>
  <c r="O721" i="2"/>
  <c r="O725" i="2"/>
  <c r="J728" i="2"/>
  <c r="O670" i="2"/>
  <c r="O677" i="2" s="1"/>
  <c r="I672" i="2"/>
  <c r="L674" i="2"/>
  <c r="I675" i="2"/>
  <c r="I678" i="2"/>
  <c r="I680" i="2"/>
  <c r="L682" i="2"/>
  <c r="O685" i="2"/>
  <c r="L687" i="2"/>
  <c r="I688" i="2"/>
  <c r="L690" i="2"/>
  <c r="I691" i="2"/>
  <c r="L694" i="2"/>
  <c r="L698" i="2"/>
  <c r="I700" i="2"/>
  <c r="L703" i="2"/>
  <c r="I704" i="2"/>
  <c r="L707" i="2"/>
  <c r="I708" i="2"/>
  <c r="L711" i="2"/>
  <c r="I712" i="2"/>
  <c r="L715" i="2"/>
  <c r="I716" i="2"/>
  <c r="L718" i="2"/>
  <c r="I719" i="2"/>
  <c r="O720" i="2"/>
  <c r="L722" i="2"/>
  <c r="I723" i="2"/>
  <c r="O724" i="2"/>
  <c r="L726" i="2"/>
  <c r="I727" i="2"/>
  <c r="I674" i="2"/>
  <c r="I682" i="2"/>
  <c r="O682" i="2"/>
  <c r="O683" i="2" s="1"/>
  <c r="L686" i="2"/>
  <c r="I687" i="2"/>
  <c r="L689" i="2"/>
  <c r="I690" i="2"/>
  <c r="I692" i="2" s="1"/>
  <c r="L693" i="2"/>
  <c r="I698" i="2"/>
  <c r="L702" i="2"/>
  <c r="I703" i="2"/>
  <c r="L706" i="2"/>
  <c r="I707" i="2"/>
  <c r="L710" i="2"/>
  <c r="I711" i="2"/>
  <c r="L714" i="2"/>
  <c r="I715" i="2"/>
  <c r="L717" i="2"/>
  <c r="I718" i="2"/>
  <c r="L721" i="2"/>
  <c r="I722" i="2"/>
  <c r="L725" i="2"/>
  <c r="O689" i="2"/>
  <c r="O693" i="2"/>
  <c r="O697" i="2" s="1"/>
  <c r="J697" i="2"/>
  <c r="L697" i="2" s="1"/>
  <c r="O714" i="2"/>
  <c r="O717" i="2"/>
  <c r="I671" i="2"/>
  <c r="N662" i="2"/>
  <c r="K662" i="2"/>
  <c r="J662" i="2"/>
  <c r="O662" i="2" s="1"/>
  <c r="F662" i="2"/>
  <c r="N661" i="2"/>
  <c r="K661" i="2"/>
  <c r="J661" i="2"/>
  <c r="L661" i="2" s="1"/>
  <c r="I661" i="2"/>
  <c r="F661" i="2"/>
  <c r="N660" i="2"/>
  <c r="L660" i="2"/>
  <c r="K660" i="2"/>
  <c r="J660" i="2"/>
  <c r="O660" i="2" s="1"/>
  <c r="I660" i="2"/>
  <c r="F660" i="2"/>
  <c r="N659" i="2"/>
  <c r="L659" i="2"/>
  <c r="K659" i="2"/>
  <c r="J659" i="2"/>
  <c r="O659" i="2" s="1"/>
  <c r="F659" i="2"/>
  <c r="N658" i="2"/>
  <c r="K658" i="2"/>
  <c r="J658" i="2"/>
  <c r="O658" i="2" s="1"/>
  <c r="F658" i="2"/>
  <c r="N657" i="2"/>
  <c r="K657" i="2"/>
  <c r="J657" i="2"/>
  <c r="L657" i="2" s="1"/>
  <c r="I657" i="2"/>
  <c r="F657" i="2"/>
  <c r="N656" i="2"/>
  <c r="K656" i="2"/>
  <c r="J656" i="2"/>
  <c r="O656" i="2" s="1"/>
  <c r="F656" i="2"/>
  <c r="N655" i="2"/>
  <c r="K655" i="2"/>
  <c r="J655" i="2"/>
  <c r="O655" i="2" s="1"/>
  <c r="F655" i="2"/>
  <c r="N654" i="2"/>
  <c r="K654" i="2"/>
  <c r="J654" i="2"/>
  <c r="O654" i="2" s="1"/>
  <c r="F654" i="2"/>
  <c r="N653" i="2"/>
  <c r="K653" i="2"/>
  <c r="J653" i="2"/>
  <c r="L653" i="2" s="1"/>
  <c r="I653" i="2"/>
  <c r="F653" i="2"/>
  <c r="N652" i="2"/>
  <c r="K652" i="2"/>
  <c r="J652" i="2"/>
  <c r="O652" i="2" s="1"/>
  <c r="F652" i="2"/>
  <c r="N651" i="2"/>
  <c r="K651" i="2"/>
  <c r="J651" i="2"/>
  <c r="O651" i="2" s="1"/>
  <c r="F651" i="2"/>
  <c r="N650" i="2"/>
  <c r="K650" i="2"/>
  <c r="J650" i="2"/>
  <c r="L650" i="2" s="1"/>
  <c r="I650" i="2"/>
  <c r="F650" i="2"/>
  <c r="N649" i="2"/>
  <c r="K649" i="2"/>
  <c r="J649" i="2"/>
  <c r="O649" i="2" s="1"/>
  <c r="F649" i="2"/>
  <c r="N648" i="2"/>
  <c r="L648" i="2"/>
  <c r="K648" i="2"/>
  <c r="J648" i="2"/>
  <c r="O648" i="2" s="1"/>
  <c r="F648" i="2"/>
  <c r="N647" i="2"/>
  <c r="K647" i="2"/>
  <c r="J647" i="2"/>
  <c r="O647" i="2" s="1"/>
  <c r="F647" i="2"/>
  <c r="N646" i="2"/>
  <c r="K646" i="2"/>
  <c r="J646" i="2"/>
  <c r="L646" i="2" s="1"/>
  <c r="I646" i="2"/>
  <c r="F646" i="2"/>
  <c r="N645" i="2"/>
  <c r="K645" i="2"/>
  <c r="J645" i="2"/>
  <c r="O645" i="2" s="1"/>
  <c r="F645" i="2"/>
  <c r="N644" i="2"/>
  <c r="L644" i="2"/>
  <c r="K644" i="2"/>
  <c r="J644" i="2"/>
  <c r="O644" i="2" s="1"/>
  <c r="F644" i="2"/>
  <c r="N643" i="2"/>
  <c r="K643" i="2"/>
  <c r="J643" i="2"/>
  <c r="O643" i="2" s="1"/>
  <c r="F643" i="2"/>
  <c r="N642" i="2"/>
  <c r="K642" i="2"/>
  <c r="J642" i="2"/>
  <c r="L642" i="2" s="1"/>
  <c r="I642" i="2"/>
  <c r="F642" i="2"/>
  <c r="N641" i="2"/>
  <c r="K641" i="2"/>
  <c r="J641" i="2"/>
  <c r="O641" i="2" s="1"/>
  <c r="F641" i="2"/>
  <c r="N640" i="2"/>
  <c r="L640" i="2"/>
  <c r="K640" i="2"/>
  <c r="J640" i="2"/>
  <c r="O640" i="2" s="1"/>
  <c r="F640" i="2"/>
  <c r="N639" i="2"/>
  <c r="K639" i="2"/>
  <c r="J639" i="2"/>
  <c r="O639" i="2" s="1"/>
  <c r="F639" i="2"/>
  <c r="N638" i="2"/>
  <c r="K638" i="2"/>
  <c r="J638" i="2"/>
  <c r="L638" i="2" s="1"/>
  <c r="F638" i="2"/>
  <c r="N637" i="2"/>
  <c r="L637" i="2"/>
  <c r="K637" i="2"/>
  <c r="J637" i="2"/>
  <c r="O637" i="2" s="1"/>
  <c r="I637" i="2"/>
  <c r="F637" i="2"/>
  <c r="N636" i="2"/>
  <c r="K636" i="2"/>
  <c r="J636" i="2"/>
  <c r="O636" i="2" s="1"/>
  <c r="F636" i="2"/>
  <c r="N635" i="2"/>
  <c r="K635" i="2"/>
  <c r="J635" i="2"/>
  <c r="F635" i="2"/>
  <c r="N633" i="2"/>
  <c r="K633" i="2"/>
  <c r="J633" i="2"/>
  <c r="L633" i="2" s="1"/>
  <c r="I633" i="2"/>
  <c r="F633" i="2"/>
  <c r="H632" i="2"/>
  <c r="G632" i="2"/>
  <c r="E632" i="2"/>
  <c r="D632" i="2"/>
  <c r="N631" i="2"/>
  <c r="L631" i="2"/>
  <c r="K631" i="2"/>
  <c r="J631" i="2"/>
  <c r="O631" i="2" s="1"/>
  <c r="F631" i="2"/>
  <c r="I631" i="2" s="1"/>
  <c r="N630" i="2"/>
  <c r="K630" i="2"/>
  <c r="J630" i="2"/>
  <c r="O630" i="2" s="1"/>
  <c r="I630" i="2"/>
  <c r="F630" i="2"/>
  <c r="N629" i="2"/>
  <c r="K629" i="2"/>
  <c r="J629" i="2"/>
  <c r="L629" i="2" s="1"/>
  <c r="I629" i="2"/>
  <c r="F629" i="2"/>
  <c r="N628" i="2"/>
  <c r="N632" i="2" s="1"/>
  <c r="L628" i="2"/>
  <c r="K628" i="2"/>
  <c r="K632" i="2" s="1"/>
  <c r="J628" i="2"/>
  <c r="J632" i="2" s="1"/>
  <c r="L632" i="2" s="1"/>
  <c r="I628" i="2"/>
  <c r="I632" i="2" s="1"/>
  <c r="F628" i="2"/>
  <c r="F632" i="2" s="1"/>
  <c r="H627" i="2"/>
  <c r="G627" i="2"/>
  <c r="E627" i="2"/>
  <c r="D627" i="2"/>
  <c r="N626" i="2"/>
  <c r="K626" i="2"/>
  <c r="J626" i="2"/>
  <c r="O626" i="2" s="1"/>
  <c r="F626" i="2"/>
  <c r="N625" i="2"/>
  <c r="K625" i="2"/>
  <c r="J625" i="2"/>
  <c r="L625" i="2" s="1"/>
  <c r="I625" i="2"/>
  <c r="F625" i="2"/>
  <c r="N624" i="2"/>
  <c r="N627" i="2" s="1"/>
  <c r="K624" i="2"/>
  <c r="J624" i="2"/>
  <c r="O624" i="2" s="1"/>
  <c r="I624" i="2"/>
  <c r="F624" i="2"/>
  <c r="N623" i="2"/>
  <c r="K623" i="2"/>
  <c r="J623" i="2"/>
  <c r="O623" i="2" s="1"/>
  <c r="F623" i="2"/>
  <c r="N622" i="2"/>
  <c r="K622" i="2"/>
  <c r="J622" i="2"/>
  <c r="L622" i="2" s="1"/>
  <c r="I622" i="2"/>
  <c r="F622" i="2"/>
  <c r="N621" i="2"/>
  <c r="L621" i="2"/>
  <c r="K621" i="2"/>
  <c r="J621" i="2"/>
  <c r="O621" i="2" s="1"/>
  <c r="I621" i="2"/>
  <c r="F621" i="2"/>
  <c r="N620" i="2"/>
  <c r="L620" i="2"/>
  <c r="K620" i="2"/>
  <c r="K627" i="2" s="1"/>
  <c r="K634" i="2" s="1"/>
  <c r="J620" i="2"/>
  <c r="J627" i="2" s="1"/>
  <c r="F620" i="2"/>
  <c r="F627" i="2" s="1"/>
  <c r="H618" i="2"/>
  <c r="G618" i="2"/>
  <c r="F618" i="2" s="1"/>
  <c r="K617" i="2"/>
  <c r="J617" i="2"/>
  <c r="L617" i="2" s="1"/>
  <c r="N616" i="2"/>
  <c r="L616" i="2"/>
  <c r="K616" i="2"/>
  <c r="J616" i="2"/>
  <c r="O616" i="2" s="1"/>
  <c r="F616" i="2"/>
  <c r="N615" i="2"/>
  <c r="K615" i="2"/>
  <c r="J615" i="2"/>
  <c r="O615" i="2" s="1"/>
  <c r="F615" i="2"/>
  <c r="O614" i="2"/>
  <c r="K614" i="2"/>
  <c r="J614" i="2"/>
  <c r="I614" i="2" s="1"/>
  <c r="F614" i="2"/>
  <c r="N613" i="2"/>
  <c r="K613" i="2"/>
  <c r="K618" i="2" s="1"/>
  <c r="J613" i="2"/>
  <c r="O613" i="2" s="1"/>
  <c r="F613" i="2"/>
  <c r="H612" i="2"/>
  <c r="G612" i="2"/>
  <c r="N611" i="2"/>
  <c r="K611" i="2"/>
  <c r="J611" i="2"/>
  <c r="O611" i="2" s="1"/>
  <c r="F611" i="2"/>
  <c r="N610" i="2"/>
  <c r="K610" i="2"/>
  <c r="J610" i="2"/>
  <c r="I610" i="2" s="1"/>
  <c r="F610" i="2"/>
  <c r="N609" i="2"/>
  <c r="K609" i="2"/>
  <c r="J609" i="2"/>
  <c r="L609" i="2" s="1"/>
  <c r="I609" i="2"/>
  <c r="F609" i="2"/>
  <c r="N608" i="2"/>
  <c r="K608" i="2"/>
  <c r="J608" i="2"/>
  <c r="O608" i="2" s="1"/>
  <c r="F608" i="2"/>
  <c r="N607" i="2"/>
  <c r="K607" i="2"/>
  <c r="J607" i="2"/>
  <c r="F607" i="2"/>
  <c r="O606" i="2"/>
  <c r="N606" i="2"/>
  <c r="K606" i="2"/>
  <c r="J606" i="2"/>
  <c r="I606" i="2"/>
  <c r="F606" i="2"/>
  <c r="N605" i="2"/>
  <c r="L605" i="2"/>
  <c r="K605" i="2"/>
  <c r="J605" i="2"/>
  <c r="F605" i="2"/>
  <c r="I728" i="2" l="1"/>
  <c r="O728" i="2"/>
  <c r="O692" i="2"/>
  <c r="O699" i="2" s="1"/>
  <c r="J699" i="2"/>
  <c r="I699" i="2" s="1"/>
  <c r="O684" i="2"/>
  <c r="O617" i="2"/>
  <c r="O618" i="2"/>
  <c r="I617" i="2"/>
  <c r="L624" i="2"/>
  <c r="I652" i="2"/>
  <c r="L652" i="2"/>
  <c r="L645" i="2"/>
  <c r="I645" i="2"/>
  <c r="K663" i="2"/>
  <c r="L641" i="2"/>
  <c r="I641" i="2"/>
  <c r="L636" i="2"/>
  <c r="I635" i="2"/>
  <c r="L656" i="2"/>
  <c r="I656" i="2"/>
  <c r="L655" i="2"/>
  <c r="L649" i="2"/>
  <c r="I649" i="2"/>
  <c r="I638" i="2"/>
  <c r="K612" i="2"/>
  <c r="F612" i="2"/>
  <c r="I607" i="2"/>
  <c r="J612" i="2"/>
  <c r="J634" i="2"/>
  <c r="I634" i="2" s="1"/>
  <c r="L627" i="2"/>
  <c r="O607" i="2"/>
  <c r="O610" i="2"/>
  <c r="O635" i="2"/>
  <c r="O609" i="2"/>
  <c r="O625" i="2"/>
  <c r="I605" i="2"/>
  <c r="L607" i="2"/>
  <c r="I608" i="2"/>
  <c r="L610" i="2"/>
  <c r="I611" i="2"/>
  <c r="L613" i="2"/>
  <c r="L615" i="2"/>
  <c r="I616" i="2"/>
  <c r="I620" i="2"/>
  <c r="L626" i="2"/>
  <c r="O628" i="2"/>
  <c r="O632" i="2" s="1"/>
  <c r="L630" i="2"/>
  <c r="L635" i="2"/>
  <c r="I636" i="2"/>
  <c r="L639" i="2"/>
  <c r="I640" i="2"/>
  <c r="L643" i="2"/>
  <c r="I644" i="2"/>
  <c r="L647" i="2"/>
  <c r="I648" i="2"/>
  <c r="L654" i="2"/>
  <c r="I655" i="2"/>
  <c r="L658" i="2"/>
  <c r="I659" i="2"/>
  <c r="L662" i="2"/>
  <c r="J663" i="2"/>
  <c r="J618" i="2"/>
  <c r="O622" i="2"/>
  <c r="O629" i="2"/>
  <c r="O633" i="2"/>
  <c r="O638" i="2"/>
  <c r="O642" i="2"/>
  <c r="O646" i="2"/>
  <c r="O650" i="2"/>
  <c r="O653" i="2"/>
  <c r="O657" i="2"/>
  <c r="O661" i="2"/>
  <c r="O605" i="2"/>
  <c r="I613" i="2"/>
  <c r="I615" i="2"/>
  <c r="O620" i="2"/>
  <c r="O627" i="2" s="1"/>
  <c r="I623" i="2"/>
  <c r="I626" i="2"/>
  <c r="I627" i="2" s="1"/>
  <c r="I639" i="2"/>
  <c r="I643" i="2"/>
  <c r="I647" i="2"/>
  <c r="I651" i="2"/>
  <c r="I654" i="2"/>
  <c r="I658" i="2"/>
  <c r="I662" i="2"/>
  <c r="O730" i="2" l="1"/>
  <c r="I618" i="2"/>
  <c r="I663" i="2"/>
  <c r="I612" i="2"/>
  <c r="O634" i="2"/>
  <c r="O612" i="2"/>
  <c r="O663" i="2"/>
  <c r="O619" i="2" l="1"/>
  <c r="O665" i="2"/>
  <c r="N597" i="2" l="1"/>
  <c r="L597" i="2"/>
  <c r="K597" i="2"/>
  <c r="J597" i="2"/>
  <c r="O597" i="2" s="1"/>
  <c r="I597" i="2"/>
  <c r="F597" i="2"/>
  <c r="N596" i="2"/>
  <c r="L596" i="2"/>
  <c r="K596" i="2"/>
  <c r="I596" i="2" s="1"/>
  <c r="J596" i="2"/>
  <c r="O596" i="2" s="1"/>
  <c r="F596" i="2"/>
  <c r="N595" i="2"/>
  <c r="K595" i="2"/>
  <c r="J595" i="2"/>
  <c r="I595" i="2" s="1"/>
  <c r="F595" i="2"/>
  <c r="N594" i="2"/>
  <c r="K594" i="2"/>
  <c r="J594" i="2"/>
  <c r="L594" i="2" s="1"/>
  <c r="I594" i="2"/>
  <c r="F594" i="2"/>
  <c r="N593" i="2"/>
  <c r="K593" i="2"/>
  <c r="J593" i="2"/>
  <c r="O593" i="2" s="1"/>
  <c r="F593" i="2"/>
  <c r="N592" i="2"/>
  <c r="L592" i="2"/>
  <c r="K592" i="2"/>
  <c r="I592" i="2" s="1"/>
  <c r="J592" i="2"/>
  <c r="O592" i="2" s="1"/>
  <c r="F592" i="2"/>
  <c r="N591" i="2"/>
  <c r="K591" i="2"/>
  <c r="J591" i="2"/>
  <c r="I591" i="2" s="1"/>
  <c r="F591" i="2"/>
  <c r="N590" i="2"/>
  <c r="K590" i="2"/>
  <c r="J590" i="2"/>
  <c r="L590" i="2" s="1"/>
  <c r="F590" i="2"/>
  <c r="N589" i="2"/>
  <c r="L589" i="2"/>
  <c r="K589" i="2"/>
  <c r="J589" i="2"/>
  <c r="O589" i="2" s="1"/>
  <c r="I589" i="2"/>
  <c r="F589" i="2"/>
  <c r="N588" i="2"/>
  <c r="L588" i="2"/>
  <c r="K588" i="2"/>
  <c r="J588" i="2"/>
  <c r="O588" i="2" s="1"/>
  <c r="F588" i="2"/>
  <c r="N587" i="2"/>
  <c r="K587" i="2"/>
  <c r="J587" i="2"/>
  <c r="F587" i="2"/>
  <c r="O586" i="2"/>
  <c r="N586" i="2"/>
  <c r="K586" i="2"/>
  <c r="J586" i="2"/>
  <c r="I586" i="2"/>
  <c r="F586" i="2"/>
  <c r="N585" i="2"/>
  <c r="L585" i="2"/>
  <c r="K585" i="2"/>
  <c r="J585" i="2"/>
  <c r="O585" i="2" s="1"/>
  <c r="F585" i="2"/>
  <c r="N584" i="2"/>
  <c r="K584" i="2"/>
  <c r="J584" i="2"/>
  <c r="F584" i="2"/>
  <c r="N583" i="2"/>
  <c r="K583" i="2"/>
  <c r="J583" i="2"/>
  <c r="L583" i="2" s="1"/>
  <c r="I583" i="2"/>
  <c r="F583" i="2"/>
  <c r="N582" i="2"/>
  <c r="L582" i="2"/>
  <c r="K582" i="2"/>
  <c r="J582" i="2"/>
  <c r="O582" i="2" s="1"/>
  <c r="I582" i="2"/>
  <c r="F582" i="2"/>
  <c r="N581" i="2"/>
  <c r="L581" i="2"/>
  <c r="K581" i="2"/>
  <c r="J581" i="2"/>
  <c r="O581" i="2" s="1"/>
  <c r="F581" i="2"/>
  <c r="N580" i="2"/>
  <c r="K580" i="2"/>
  <c r="J580" i="2"/>
  <c r="I580" i="2" s="1"/>
  <c r="F580" i="2"/>
  <c r="N579" i="2"/>
  <c r="K579" i="2"/>
  <c r="J579" i="2"/>
  <c r="L579" i="2" s="1"/>
  <c r="I579" i="2"/>
  <c r="F579" i="2"/>
  <c r="N578" i="2"/>
  <c r="L578" i="2"/>
  <c r="K578" i="2"/>
  <c r="J578" i="2"/>
  <c r="O578" i="2" s="1"/>
  <c r="I578" i="2"/>
  <c r="F578" i="2"/>
  <c r="N577" i="2"/>
  <c r="L577" i="2"/>
  <c r="K577" i="2"/>
  <c r="J577" i="2"/>
  <c r="O577" i="2" s="1"/>
  <c r="F577" i="2"/>
  <c r="N576" i="2"/>
  <c r="K576" i="2"/>
  <c r="J576" i="2"/>
  <c r="I576" i="2" s="1"/>
  <c r="F576" i="2"/>
  <c r="N575" i="2"/>
  <c r="K575" i="2"/>
  <c r="J575" i="2"/>
  <c r="L575" i="2" s="1"/>
  <c r="I575" i="2"/>
  <c r="F575" i="2"/>
  <c r="N574" i="2"/>
  <c r="L574" i="2"/>
  <c r="K574" i="2"/>
  <c r="J574" i="2"/>
  <c r="O574" i="2" s="1"/>
  <c r="I574" i="2"/>
  <c r="F574" i="2"/>
  <c r="N573" i="2"/>
  <c r="K573" i="2"/>
  <c r="J573" i="2"/>
  <c r="O573" i="2" s="1"/>
  <c r="F573" i="2"/>
  <c r="N572" i="2"/>
  <c r="K572" i="2"/>
  <c r="J572" i="2"/>
  <c r="I572" i="2" s="1"/>
  <c r="F572" i="2"/>
  <c r="N571" i="2"/>
  <c r="K571" i="2"/>
  <c r="F571" i="2"/>
  <c r="N570" i="2"/>
  <c r="L570" i="2"/>
  <c r="K570" i="2"/>
  <c r="J570" i="2"/>
  <c r="O570" i="2" s="1"/>
  <c r="I570" i="2"/>
  <c r="F570" i="2"/>
  <c r="N568" i="2"/>
  <c r="L568" i="2"/>
  <c r="K568" i="2"/>
  <c r="J568" i="2"/>
  <c r="O568" i="2" s="1"/>
  <c r="F568" i="2"/>
  <c r="H567" i="2"/>
  <c r="G567" i="2"/>
  <c r="E567" i="2"/>
  <c r="D567" i="2"/>
  <c r="N566" i="2"/>
  <c r="K566" i="2"/>
  <c r="J566" i="2"/>
  <c r="L566" i="2" s="1"/>
  <c r="I566" i="2"/>
  <c r="F566" i="2"/>
  <c r="N565" i="2"/>
  <c r="L565" i="2"/>
  <c r="K565" i="2"/>
  <c r="J565" i="2"/>
  <c r="O565" i="2" s="1"/>
  <c r="F565" i="2"/>
  <c r="I565" i="2" s="1"/>
  <c r="N564" i="2"/>
  <c r="L564" i="2"/>
  <c r="K564" i="2"/>
  <c r="J564" i="2"/>
  <c r="O564" i="2" s="1"/>
  <c r="F564" i="2"/>
  <c r="I564" i="2" s="1"/>
  <c r="N563" i="2"/>
  <c r="N567" i="2" s="1"/>
  <c r="K563" i="2"/>
  <c r="K567" i="2" s="1"/>
  <c r="J563" i="2"/>
  <c r="I563" i="2" s="1"/>
  <c r="I567" i="2" s="1"/>
  <c r="F563" i="2"/>
  <c r="H562" i="2"/>
  <c r="G562" i="2"/>
  <c r="E562" i="2"/>
  <c r="D562" i="2"/>
  <c r="N561" i="2"/>
  <c r="L561" i="2"/>
  <c r="K561" i="2"/>
  <c r="J561" i="2"/>
  <c r="O561" i="2" s="1"/>
  <c r="I561" i="2"/>
  <c r="F561" i="2"/>
  <c r="N560" i="2"/>
  <c r="L560" i="2"/>
  <c r="K560" i="2"/>
  <c r="I560" i="2" s="1"/>
  <c r="J560" i="2"/>
  <c r="O560" i="2" s="1"/>
  <c r="F560" i="2"/>
  <c r="N559" i="2"/>
  <c r="N562" i="2" s="1"/>
  <c r="K559" i="2"/>
  <c r="J559" i="2"/>
  <c r="F559" i="2"/>
  <c r="O558" i="2"/>
  <c r="N558" i="2"/>
  <c r="K558" i="2"/>
  <c r="J558" i="2"/>
  <c r="I558" i="2"/>
  <c r="F558" i="2"/>
  <c r="N557" i="2"/>
  <c r="L557" i="2"/>
  <c r="K557" i="2"/>
  <c r="I557" i="2" s="1"/>
  <c r="J557" i="2"/>
  <c r="O557" i="2" s="1"/>
  <c r="F557" i="2"/>
  <c r="F562" i="2" s="1"/>
  <c r="N556" i="2"/>
  <c r="K556" i="2"/>
  <c r="J556" i="2"/>
  <c r="I556" i="2" s="1"/>
  <c r="F556" i="2"/>
  <c r="N555" i="2"/>
  <c r="K555" i="2"/>
  <c r="J555" i="2"/>
  <c r="L555" i="2" s="1"/>
  <c r="I555" i="2"/>
  <c r="F555" i="2"/>
  <c r="H553" i="2"/>
  <c r="G553" i="2"/>
  <c r="F553" i="2" s="1"/>
  <c r="L552" i="2"/>
  <c r="K552" i="2"/>
  <c r="K553" i="2" s="1"/>
  <c r="J552" i="2"/>
  <c r="O552" i="2" s="1"/>
  <c r="N551" i="2"/>
  <c r="K551" i="2"/>
  <c r="J551" i="2"/>
  <c r="L551" i="2" s="1"/>
  <c r="I551" i="2"/>
  <c r="F551" i="2"/>
  <c r="N550" i="2"/>
  <c r="L550" i="2"/>
  <c r="K550" i="2"/>
  <c r="J550" i="2"/>
  <c r="O550" i="2" s="1"/>
  <c r="I550" i="2"/>
  <c r="F550" i="2"/>
  <c r="K549" i="2"/>
  <c r="J549" i="2"/>
  <c r="O549" i="2" s="1"/>
  <c r="I549" i="2"/>
  <c r="F549" i="2"/>
  <c r="N548" i="2"/>
  <c r="L548" i="2"/>
  <c r="K548" i="2"/>
  <c r="J548" i="2"/>
  <c r="J553" i="2" s="1"/>
  <c r="I553" i="2" s="1"/>
  <c r="I548" i="2"/>
  <c r="F548" i="2"/>
  <c r="H547" i="2"/>
  <c r="G547" i="2"/>
  <c r="O546" i="2"/>
  <c r="N546" i="2"/>
  <c r="K546" i="2"/>
  <c r="J546" i="2"/>
  <c r="I546" i="2"/>
  <c r="F546" i="2"/>
  <c r="N545" i="2"/>
  <c r="L545" i="2"/>
  <c r="K545" i="2"/>
  <c r="J545" i="2"/>
  <c r="O545" i="2" s="1"/>
  <c r="I545" i="2"/>
  <c r="F545" i="2"/>
  <c r="N544" i="2"/>
  <c r="L544" i="2"/>
  <c r="K544" i="2"/>
  <c r="J544" i="2"/>
  <c r="O544" i="2" s="1"/>
  <c r="F544" i="2"/>
  <c r="O543" i="2"/>
  <c r="N543" i="2"/>
  <c r="K543" i="2"/>
  <c r="J543" i="2"/>
  <c r="I543" i="2"/>
  <c r="F543" i="2"/>
  <c r="N542" i="2"/>
  <c r="K542" i="2"/>
  <c r="J542" i="2"/>
  <c r="O542" i="2" s="1"/>
  <c r="F542" i="2"/>
  <c r="N541" i="2"/>
  <c r="K541" i="2"/>
  <c r="J541" i="2"/>
  <c r="O541" i="2" s="1"/>
  <c r="F541" i="2"/>
  <c r="N540" i="2"/>
  <c r="K540" i="2"/>
  <c r="K547" i="2" s="1"/>
  <c r="J540" i="2"/>
  <c r="L540" i="2" s="1"/>
  <c r="F540" i="2"/>
  <c r="K562" i="2" l="1"/>
  <c r="I559" i="2"/>
  <c r="I562" i="2" s="1"/>
  <c r="L593" i="2"/>
  <c r="I593" i="2"/>
  <c r="I590" i="2"/>
  <c r="L573" i="2"/>
  <c r="K598" i="2"/>
  <c r="L542" i="2"/>
  <c r="I542" i="2"/>
  <c r="I540" i="2"/>
  <c r="F547" i="2"/>
  <c r="I587" i="2"/>
  <c r="I584" i="2"/>
  <c r="K569" i="2"/>
  <c r="J567" i="2"/>
  <c r="L567" i="2" s="1"/>
  <c r="O576" i="2"/>
  <c r="O591" i="2"/>
  <c r="O540" i="2"/>
  <c r="O547" i="2" s="1"/>
  <c r="O551" i="2"/>
  <c r="O555" i="2"/>
  <c r="J562" i="2"/>
  <c r="O566" i="2"/>
  <c r="I544" i="2"/>
  <c r="O548" i="2"/>
  <c r="I552" i="2"/>
  <c r="L556" i="2"/>
  <c r="L559" i="2"/>
  <c r="L563" i="2"/>
  <c r="I568" i="2"/>
  <c r="L572" i="2"/>
  <c r="I573" i="2"/>
  <c r="L576" i="2"/>
  <c r="I577" i="2"/>
  <c r="L580" i="2"/>
  <c r="I581" i="2"/>
  <c r="L584" i="2"/>
  <c r="I585" i="2"/>
  <c r="L587" i="2"/>
  <c r="I588" i="2"/>
  <c r="L591" i="2"/>
  <c r="L595" i="2"/>
  <c r="O556" i="2"/>
  <c r="O559" i="2"/>
  <c r="O563" i="2"/>
  <c r="F567" i="2"/>
  <c r="O572" i="2"/>
  <c r="O580" i="2"/>
  <c r="O584" i="2"/>
  <c r="O587" i="2"/>
  <c r="O595" i="2"/>
  <c r="J547" i="2"/>
  <c r="I547" i="2" s="1"/>
  <c r="O575" i="2"/>
  <c r="O579" i="2"/>
  <c r="O583" i="2"/>
  <c r="O590" i="2"/>
  <c r="O594" i="2"/>
  <c r="I541" i="2"/>
  <c r="O567" i="2" l="1"/>
  <c r="O553" i="2"/>
  <c r="O554" i="2" s="1"/>
  <c r="L562" i="2"/>
  <c r="J569" i="2"/>
  <c r="I569" i="2" s="1"/>
  <c r="O562" i="2"/>
  <c r="O569" i="2" l="1"/>
  <c r="N532" i="2"/>
  <c r="L532" i="2"/>
  <c r="K532" i="2"/>
  <c r="J532" i="2"/>
  <c r="O532" i="2" s="1"/>
  <c r="F532" i="2"/>
  <c r="N531" i="2"/>
  <c r="K531" i="2"/>
  <c r="J531" i="2"/>
  <c r="O531" i="2" s="1"/>
  <c r="F531" i="2"/>
  <c r="N530" i="2"/>
  <c r="K530" i="2"/>
  <c r="J530" i="2"/>
  <c r="I530" i="2" s="1"/>
  <c r="F530" i="2"/>
  <c r="N529" i="2"/>
  <c r="K529" i="2"/>
  <c r="J529" i="2"/>
  <c r="L529" i="2" s="1"/>
  <c r="I529" i="2"/>
  <c r="F529" i="2"/>
  <c r="N528" i="2"/>
  <c r="L528" i="2"/>
  <c r="K528" i="2"/>
  <c r="J528" i="2"/>
  <c r="O528" i="2" s="1"/>
  <c r="F528" i="2"/>
  <c r="N527" i="2"/>
  <c r="K527" i="2"/>
  <c r="J527" i="2"/>
  <c r="O527" i="2" s="1"/>
  <c r="F527" i="2"/>
  <c r="N526" i="2"/>
  <c r="F526" i="2"/>
  <c r="N525" i="2"/>
  <c r="F525" i="2"/>
  <c r="N524" i="2"/>
  <c r="L524" i="2"/>
  <c r="K524" i="2"/>
  <c r="J524" i="2"/>
  <c r="O524" i="2" s="1"/>
  <c r="F524" i="2"/>
  <c r="N523" i="2"/>
  <c r="K523" i="2"/>
  <c r="J523" i="2"/>
  <c r="O523" i="2" s="1"/>
  <c r="F523" i="2"/>
  <c r="N522" i="2"/>
  <c r="J522" i="2"/>
  <c r="F522" i="2"/>
  <c r="N521" i="2"/>
  <c r="K521" i="2"/>
  <c r="J521" i="2"/>
  <c r="O521" i="2" s="1"/>
  <c r="F521" i="2"/>
  <c r="N520" i="2"/>
  <c r="K520" i="2"/>
  <c r="J520" i="2"/>
  <c r="O520" i="2" s="1"/>
  <c r="F520" i="2"/>
  <c r="N519" i="2"/>
  <c r="F519" i="2"/>
  <c r="N518" i="2"/>
  <c r="K518" i="2"/>
  <c r="J518" i="2"/>
  <c r="L518" i="2" s="1"/>
  <c r="I518" i="2"/>
  <c r="F518" i="2"/>
  <c r="N517" i="2"/>
  <c r="L517" i="2"/>
  <c r="K517" i="2"/>
  <c r="I517" i="2" s="1"/>
  <c r="J517" i="2"/>
  <c r="O517" i="2" s="1"/>
  <c r="F517" i="2"/>
  <c r="N516" i="2"/>
  <c r="K516" i="2"/>
  <c r="J516" i="2"/>
  <c r="O516" i="2" s="1"/>
  <c r="F516" i="2"/>
  <c r="N515" i="2"/>
  <c r="K515" i="2"/>
  <c r="J515" i="2"/>
  <c r="I515" i="2" s="1"/>
  <c r="F515" i="2"/>
  <c r="N514" i="2"/>
  <c r="K514" i="2"/>
  <c r="J514" i="2"/>
  <c r="L514" i="2" s="1"/>
  <c r="I514" i="2"/>
  <c r="F514" i="2"/>
  <c r="N513" i="2"/>
  <c r="L513" i="2"/>
  <c r="K513" i="2"/>
  <c r="J513" i="2"/>
  <c r="O513" i="2" s="1"/>
  <c r="F513" i="2"/>
  <c r="N512" i="2"/>
  <c r="K512" i="2"/>
  <c r="J512" i="2"/>
  <c r="O512" i="2" s="1"/>
  <c r="F512" i="2"/>
  <c r="N511" i="2"/>
  <c r="K511" i="2"/>
  <c r="J511" i="2"/>
  <c r="I511" i="2" s="1"/>
  <c r="F511" i="2"/>
  <c r="N510" i="2"/>
  <c r="F510" i="2"/>
  <c r="N509" i="2"/>
  <c r="L509" i="2"/>
  <c r="K509" i="2"/>
  <c r="J509" i="2"/>
  <c r="O509" i="2" s="1"/>
  <c r="F509" i="2"/>
  <c r="N508" i="2"/>
  <c r="F508" i="2"/>
  <c r="N507" i="2"/>
  <c r="K507" i="2"/>
  <c r="J507" i="2"/>
  <c r="I507" i="2" s="1"/>
  <c r="F507" i="2"/>
  <c r="N506" i="2"/>
  <c r="K506" i="2"/>
  <c r="F506" i="2"/>
  <c r="N505" i="2"/>
  <c r="L505" i="2"/>
  <c r="K505" i="2"/>
  <c r="J505" i="2"/>
  <c r="O505" i="2" s="1"/>
  <c r="F505" i="2"/>
  <c r="N503" i="2"/>
  <c r="K503" i="2"/>
  <c r="J503" i="2"/>
  <c r="O503" i="2" s="1"/>
  <c r="F503" i="2"/>
  <c r="H502" i="2"/>
  <c r="G502" i="2"/>
  <c r="E502" i="2"/>
  <c r="D502" i="2"/>
  <c r="N501" i="2"/>
  <c r="L501" i="2"/>
  <c r="K501" i="2"/>
  <c r="J501" i="2"/>
  <c r="O501" i="2" s="1"/>
  <c r="I501" i="2"/>
  <c r="F501" i="2"/>
  <c r="N500" i="2"/>
  <c r="L500" i="2"/>
  <c r="K500" i="2"/>
  <c r="J500" i="2"/>
  <c r="O500" i="2" s="1"/>
  <c r="F500" i="2"/>
  <c r="F502" i="2" s="1"/>
  <c r="N499" i="2"/>
  <c r="K499" i="2"/>
  <c r="J499" i="2"/>
  <c r="O499" i="2" s="1"/>
  <c r="I499" i="2"/>
  <c r="F499" i="2"/>
  <c r="N498" i="2"/>
  <c r="N502" i="2" s="1"/>
  <c r="K498" i="2"/>
  <c r="K502" i="2" s="1"/>
  <c r="J498" i="2"/>
  <c r="I498" i="2" s="1"/>
  <c r="F498" i="2"/>
  <c r="H497" i="2"/>
  <c r="G497" i="2"/>
  <c r="E497" i="2"/>
  <c r="D497" i="2"/>
  <c r="N496" i="2"/>
  <c r="L496" i="2"/>
  <c r="K496" i="2"/>
  <c r="J496" i="2"/>
  <c r="O496" i="2" s="1"/>
  <c r="F496" i="2"/>
  <c r="N495" i="2"/>
  <c r="K495" i="2"/>
  <c r="J495" i="2"/>
  <c r="O495" i="2" s="1"/>
  <c r="F495" i="2"/>
  <c r="N494" i="2"/>
  <c r="N497" i="2" s="1"/>
  <c r="K494" i="2"/>
  <c r="J494" i="2"/>
  <c r="F494" i="2"/>
  <c r="N493" i="2"/>
  <c r="K493" i="2"/>
  <c r="J493" i="2"/>
  <c r="O493" i="2" s="1"/>
  <c r="F493" i="2"/>
  <c r="N492" i="2"/>
  <c r="K492" i="2"/>
  <c r="J492" i="2"/>
  <c r="O492" i="2" s="1"/>
  <c r="F492" i="2"/>
  <c r="N491" i="2"/>
  <c r="K491" i="2"/>
  <c r="J491" i="2"/>
  <c r="I491" i="2" s="1"/>
  <c r="F491" i="2"/>
  <c r="N490" i="2"/>
  <c r="L490" i="2"/>
  <c r="K490" i="2"/>
  <c r="J490" i="2"/>
  <c r="I490" i="2"/>
  <c r="F490" i="2"/>
  <c r="H488" i="2"/>
  <c r="G488" i="2"/>
  <c r="K487" i="2"/>
  <c r="K488" i="2" s="1"/>
  <c r="J487" i="2"/>
  <c r="O487" i="2" s="1"/>
  <c r="N486" i="2"/>
  <c r="L486" i="2"/>
  <c r="K486" i="2"/>
  <c r="J486" i="2"/>
  <c r="O486" i="2" s="1"/>
  <c r="I486" i="2"/>
  <c r="F486" i="2"/>
  <c r="N485" i="2"/>
  <c r="L485" i="2"/>
  <c r="K485" i="2"/>
  <c r="J485" i="2"/>
  <c r="O485" i="2" s="1"/>
  <c r="F485" i="2"/>
  <c r="O484" i="2"/>
  <c r="K484" i="2"/>
  <c r="J484" i="2"/>
  <c r="I484" i="2"/>
  <c r="F484" i="2"/>
  <c r="N483" i="2"/>
  <c r="L483" i="2"/>
  <c r="K483" i="2"/>
  <c r="J483" i="2"/>
  <c r="J488" i="2" s="1"/>
  <c r="F483" i="2"/>
  <c r="O481" i="2"/>
  <c r="N481" i="2"/>
  <c r="K481" i="2"/>
  <c r="J481" i="2"/>
  <c r="I481" i="2"/>
  <c r="F481" i="2"/>
  <c r="N480" i="2"/>
  <c r="L480" i="2"/>
  <c r="K480" i="2"/>
  <c r="J480" i="2"/>
  <c r="O480" i="2" s="1"/>
  <c r="F480" i="2"/>
  <c r="N479" i="2"/>
  <c r="K479" i="2"/>
  <c r="J479" i="2"/>
  <c r="O479" i="2" s="1"/>
  <c r="F479" i="2"/>
  <c r="O478" i="2"/>
  <c r="N478" i="2"/>
  <c r="K478" i="2"/>
  <c r="J478" i="2"/>
  <c r="I478" i="2"/>
  <c r="F478" i="2"/>
  <c r="H482" i="2"/>
  <c r="G482" i="2"/>
  <c r="N476" i="2"/>
  <c r="K476" i="2"/>
  <c r="J476" i="2"/>
  <c r="O476" i="2" s="1"/>
  <c r="F476" i="2"/>
  <c r="N475" i="2"/>
  <c r="K475" i="2"/>
  <c r="J475" i="2"/>
  <c r="O475" i="2" s="1"/>
  <c r="F475" i="2"/>
  <c r="H412" i="2"/>
  <c r="G412" i="2"/>
  <c r="N467" i="2"/>
  <c r="K467" i="2"/>
  <c r="J467" i="2"/>
  <c r="O467" i="2" s="1"/>
  <c r="F467" i="2"/>
  <c r="N466" i="2"/>
  <c r="K466" i="2"/>
  <c r="J466" i="2"/>
  <c r="I466" i="2" s="1"/>
  <c r="F466" i="2"/>
  <c r="N465" i="2"/>
  <c r="L465" i="2"/>
  <c r="K465" i="2"/>
  <c r="J465" i="2"/>
  <c r="O465" i="2" s="1"/>
  <c r="I465" i="2"/>
  <c r="F465" i="2"/>
  <c r="N464" i="2"/>
  <c r="L464" i="2"/>
  <c r="K464" i="2"/>
  <c r="J464" i="2"/>
  <c r="O464" i="2" s="1"/>
  <c r="F464" i="2"/>
  <c r="N463" i="2"/>
  <c r="K463" i="2"/>
  <c r="J463" i="2"/>
  <c r="O463" i="2" s="1"/>
  <c r="F463" i="2"/>
  <c r="N462" i="2"/>
  <c r="K462" i="2"/>
  <c r="J462" i="2"/>
  <c r="I462" i="2" s="1"/>
  <c r="F462" i="2"/>
  <c r="N461" i="2"/>
  <c r="K461" i="2"/>
  <c r="K526" i="2" s="1"/>
  <c r="J461" i="2"/>
  <c r="O461" i="2" s="1"/>
  <c r="F461" i="2"/>
  <c r="N460" i="2"/>
  <c r="K460" i="2"/>
  <c r="K525" i="2" s="1"/>
  <c r="J460" i="2"/>
  <c r="O460" i="2" s="1"/>
  <c r="F460" i="2"/>
  <c r="N459" i="2"/>
  <c r="K459" i="2"/>
  <c r="J459" i="2"/>
  <c r="O459" i="2" s="1"/>
  <c r="F459" i="2"/>
  <c r="N458" i="2"/>
  <c r="K458" i="2"/>
  <c r="J458" i="2"/>
  <c r="I458" i="2" s="1"/>
  <c r="F458" i="2"/>
  <c r="N457" i="2"/>
  <c r="K457" i="2"/>
  <c r="K522" i="2" s="1"/>
  <c r="J457" i="2"/>
  <c r="O457" i="2" s="1"/>
  <c r="F457" i="2"/>
  <c r="N456" i="2"/>
  <c r="K456" i="2"/>
  <c r="J456" i="2"/>
  <c r="O456" i="2" s="1"/>
  <c r="F456" i="2"/>
  <c r="N455" i="2"/>
  <c r="K455" i="2"/>
  <c r="J455" i="2"/>
  <c r="I455" i="2" s="1"/>
  <c r="F455" i="2"/>
  <c r="N454" i="2"/>
  <c r="K454" i="2"/>
  <c r="K519" i="2" s="1"/>
  <c r="J454" i="2"/>
  <c r="O454" i="2" s="1"/>
  <c r="F454" i="2"/>
  <c r="N453" i="2"/>
  <c r="L453" i="2"/>
  <c r="K453" i="2"/>
  <c r="J453" i="2"/>
  <c r="O453" i="2" s="1"/>
  <c r="F453" i="2"/>
  <c r="N452" i="2"/>
  <c r="K452" i="2"/>
  <c r="J452" i="2"/>
  <c r="O452" i="2" s="1"/>
  <c r="F452" i="2"/>
  <c r="N451" i="2"/>
  <c r="K451" i="2"/>
  <c r="J451" i="2"/>
  <c r="I451" i="2" s="1"/>
  <c r="F451" i="2"/>
  <c r="N450" i="2"/>
  <c r="L450" i="2"/>
  <c r="K450" i="2"/>
  <c r="J450" i="2"/>
  <c r="O450" i="2" s="1"/>
  <c r="I450" i="2"/>
  <c r="F450" i="2"/>
  <c r="N449" i="2"/>
  <c r="L449" i="2"/>
  <c r="K449" i="2"/>
  <c r="J449" i="2"/>
  <c r="O449" i="2" s="1"/>
  <c r="F449" i="2"/>
  <c r="N448" i="2"/>
  <c r="K448" i="2"/>
  <c r="J448" i="2"/>
  <c r="O448" i="2" s="1"/>
  <c r="F448" i="2"/>
  <c r="N447" i="2"/>
  <c r="K447" i="2"/>
  <c r="J447" i="2"/>
  <c r="I447" i="2" s="1"/>
  <c r="F447" i="2"/>
  <c r="N446" i="2"/>
  <c r="L446" i="2"/>
  <c r="K446" i="2"/>
  <c r="J446" i="2"/>
  <c r="O446" i="2" s="1"/>
  <c r="I446" i="2"/>
  <c r="F446" i="2"/>
  <c r="N445" i="2"/>
  <c r="K445" i="2"/>
  <c r="K510" i="2" s="1"/>
  <c r="J445" i="2"/>
  <c r="O445" i="2" s="1"/>
  <c r="F445" i="2"/>
  <c r="N444" i="2"/>
  <c r="K444" i="2"/>
  <c r="J444" i="2"/>
  <c r="O444" i="2" s="1"/>
  <c r="F444" i="2"/>
  <c r="N443" i="2"/>
  <c r="K443" i="2"/>
  <c r="K508" i="2" s="1"/>
  <c r="J443" i="2"/>
  <c r="I443" i="2" s="1"/>
  <c r="F443" i="2"/>
  <c r="N442" i="2"/>
  <c r="L442" i="2"/>
  <c r="K442" i="2"/>
  <c r="J442" i="2"/>
  <c r="O442" i="2" s="1"/>
  <c r="I442" i="2"/>
  <c r="F442" i="2"/>
  <c r="N441" i="2"/>
  <c r="K441" i="2"/>
  <c r="F441" i="2"/>
  <c r="N440" i="2"/>
  <c r="K440" i="2"/>
  <c r="J440" i="2"/>
  <c r="O440" i="2" s="1"/>
  <c r="F440" i="2"/>
  <c r="N438" i="2"/>
  <c r="K438" i="2"/>
  <c r="J438" i="2"/>
  <c r="I438" i="2" s="1"/>
  <c r="F438" i="2"/>
  <c r="H437" i="2"/>
  <c r="G437" i="2"/>
  <c r="E437" i="2"/>
  <c r="D437" i="2"/>
  <c r="N436" i="2"/>
  <c r="L436" i="2"/>
  <c r="K436" i="2"/>
  <c r="J436" i="2"/>
  <c r="O436" i="2" s="1"/>
  <c r="F436" i="2"/>
  <c r="I436" i="2" s="1"/>
  <c r="N435" i="2"/>
  <c r="K435" i="2"/>
  <c r="J435" i="2"/>
  <c r="O435" i="2" s="1"/>
  <c r="I435" i="2"/>
  <c r="F435" i="2"/>
  <c r="N434" i="2"/>
  <c r="K434" i="2"/>
  <c r="J434" i="2"/>
  <c r="L434" i="2" s="1"/>
  <c r="I434" i="2"/>
  <c r="F434" i="2"/>
  <c r="N433" i="2"/>
  <c r="N437" i="2" s="1"/>
  <c r="L433" i="2"/>
  <c r="K433" i="2"/>
  <c r="K437" i="2" s="1"/>
  <c r="J433" i="2"/>
  <c r="J437" i="2" s="1"/>
  <c r="L437" i="2" s="1"/>
  <c r="I433" i="2"/>
  <c r="I437" i="2" s="1"/>
  <c r="F433" i="2"/>
  <c r="F437" i="2" s="1"/>
  <c r="H432" i="2"/>
  <c r="G432" i="2"/>
  <c r="E432" i="2"/>
  <c r="D432" i="2"/>
  <c r="N431" i="2"/>
  <c r="K431" i="2"/>
  <c r="J431" i="2"/>
  <c r="O431" i="2" s="1"/>
  <c r="F431" i="2"/>
  <c r="N430" i="2"/>
  <c r="K430" i="2"/>
  <c r="J430" i="2"/>
  <c r="I430" i="2" s="1"/>
  <c r="F430" i="2"/>
  <c r="N429" i="2"/>
  <c r="N432" i="2" s="1"/>
  <c r="L429" i="2"/>
  <c r="K429" i="2"/>
  <c r="J429" i="2"/>
  <c r="O429" i="2" s="1"/>
  <c r="F429" i="2"/>
  <c r="N428" i="2"/>
  <c r="K428" i="2"/>
  <c r="J428" i="2"/>
  <c r="O428" i="2" s="1"/>
  <c r="F428" i="2"/>
  <c r="N427" i="2"/>
  <c r="K427" i="2"/>
  <c r="J427" i="2"/>
  <c r="I427" i="2" s="1"/>
  <c r="F427" i="2"/>
  <c r="N426" i="2"/>
  <c r="L426" i="2"/>
  <c r="K426" i="2"/>
  <c r="J426" i="2"/>
  <c r="O426" i="2" s="1"/>
  <c r="I426" i="2"/>
  <c r="F426" i="2"/>
  <c r="N425" i="2"/>
  <c r="L425" i="2"/>
  <c r="K425" i="2"/>
  <c r="J425" i="2"/>
  <c r="J432" i="2" s="1"/>
  <c r="F425" i="2"/>
  <c r="H423" i="2"/>
  <c r="G423" i="2"/>
  <c r="K422" i="2"/>
  <c r="J422" i="2"/>
  <c r="O422" i="2" s="1"/>
  <c r="N421" i="2"/>
  <c r="L421" i="2"/>
  <c r="K421" i="2"/>
  <c r="J421" i="2"/>
  <c r="O421" i="2" s="1"/>
  <c r="F421" i="2"/>
  <c r="N420" i="2"/>
  <c r="K420" i="2"/>
  <c r="J420" i="2"/>
  <c r="O420" i="2" s="1"/>
  <c r="F420" i="2"/>
  <c r="O419" i="2"/>
  <c r="K419" i="2"/>
  <c r="J419" i="2"/>
  <c r="I419" i="2" s="1"/>
  <c r="F419" i="2"/>
  <c r="N418" i="2"/>
  <c r="K418" i="2"/>
  <c r="K423" i="2" s="1"/>
  <c r="J418" i="2"/>
  <c r="O418" i="2" s="1"/>
  <c r="F418" i="2"/>
  <c r="H417" i="2"/>
  <c r="G417" i="2"/>
  <c r="N416" i="2"/>
  <c r="K416" i="2"/>
  <c r="J416" i="2"/>
  <c r="O416" i="2" s="1"/>
  <c r="F416" i="2"/>
  <c r="N415" i="2"/>
  <c r="K415" i="2"/>
  <c r="J415" i="2"/>
  <c r="O415" i="2" s="1"/>
  <c r="F415" i="2"/>
  <c r="N414" i="2"/>
  <c r="K414" i="2"/>
  <c r="J414" i="2"/>
  <c r="I414" i="2" s="1"/>
  <c r="F414" i="2"/>
  <c r="N413" i="2"/>
  <c r="K413" i="2"/>
  <c r="J413" i="2"/>
  <c r="O413" i="2" s="1"/>
  <c r="F413" i="2"/>
  <c r="N412" i="2"/>
  <c r="K412" i="2"/>
  <c r="J412" i="2"/>
  <c r="O412" i="2" s="1"/>
  <c r="F412" i="2"/>
  <c r="N411" i="2"/>
  <c r="K411" i="2"/>
  <c r="J411" i="2"/>
  <c r="O411" i="2" s="1"/>
  <c r="F411" i="2"/>
  <c r="N410" i="2"/>
  <c r="K410" i="2"/>
  <c r="J410" i="2"/>
  <c r="J417" i="2" s="1"/>
  <c r="F410" i="2"/>
  <c r="F417" i="2" s="1"/>
  <c r="L461" i="2" l="1"/>
  <c r="J526" i="2"/>
  <c r="I526" i="2" s="1"/>
  <c r="I461" i="2"/>
  <c r="L460" i="2"/>
  <c r="J525" i="2"/>
  <c r="I522" i="2"/>
  <c r="I457" i="2"/>
  <c r="L457" i="2"/>
  <c r="J519" i="2"/>
  <c r="I519" i="2" s="1"/>
  <c r="J510" i="2"/>
  <c r="K533" i="2"/>
  <c r="J508" i="2"/>
  <c r="O508" i="2" s="1"/>
  <c r="K497" i="2"/>
  <c r="I494" i="2"/>
  <c r="J497" i="2"/>
  <c r="L497" i="2" s="1"/>
  <c r="F497" i="2"/>
  <c r="F488" i="2"/>
  <c r="K504" i="2"/>
  <c r="I502" i="2"/>
  <c r="I488" i="2"/>
  <c r="O491" i="2"/>
  <c r="J502" i="2"/>
  <c r="L502" i="2" s="1"/>
  <c r="L475" i="2"/>
  <c r="I476" i="2"/>
  <c r="N477" i="2"/>
  <c r="L479" i="2"/>
  <c r="I480" i="2"/>
  <c r="J482" i="2"/>
  <c r="I483" i="2"/>
  <c r="I485" i="2"/>
  <c r="L487" i="2"/>
  <c r="O490" i="2"/>
  <c r="L492" i="2"/>
  <c r="I493" i="2"/>
  <c r="L495" i="2"/>
  <c r="I496" i="2"/>
  <c r="L499" i="2"/>
  <c r="I500" i="2"/>
  <c r="L503" i="2"/>
  <c r="I505" i="2"/>
  <c r="L508" i="2"/>
  <c r="I509" i="2"/>
  <c r="O510" i="2"/>
  <c r="L512" i="2"/>
  <c r="I513" i="2"/>
  <c r="O514" i="2"/>
  <c r="L516" i="2"/>
  <c r="O518" i="2"/>
  <c r="L520" i="2"/>
  <c r="I521" i="2"/>
  <c r="L523" i="2"/>
  <c r="I524" i="2"/>
  <c r="O525" i="2"/>
  <c r="L527" i="2"/>
  <c r="I528" i="2"/>
  <c r="O529" i="2"/>
  <c r="L531" i="2"/>
  <c r="I532" i="2"/>
  <c r="O507" i="2"/>
  <c r="O519" i="2"/>
  <c r="O522" i="2"/>
  <c r="O526" i="2"/>
  <c r="O530" i="2"/>
  <c r="I475" i="2"/>
  <c r="F477" i="2"/>
  <c r="F482" i="2" s="1"/>
  <c r="J477" i="2"/>
  <c r="I479" i="2"/>
  <c r="O483" i="2"/>
  <c r="O488" i="2" s="1"/>
  <c r="I487" i="2"/>
  <c r="L491" i="2"/>
  <c r="I492" i="2"/>
  <c r="L494" i="2"/>
  <c r="I495" i="2"/>
  <c r="L498" i="2"/>
  <c r="I503" i="2"/>
  <c r="L507" i="2"/>
  <c r="I508" i="2"/>
  <c r="L511" i="2"/>
  <c r="I512" i="2"/>
  <c r="L515" i="2"/>
  <c r="I516" i="2"/>
  <c r="L519" i="2"/>
  <c r="I520" i="2"/>
  <c r="L522" i="2"/>
  <c r="I523" i="2"/>
  <c r="L526" i="2"/>
  <c r="I527" i="2"/>
  <c r="L530" i="2"/>
  <c r="I531" i="2"/>
  <c r="O494" i="2"/>
  <c r="O498" i="2"/>
  <c r="O502" i="2" s="1"/>
  <c r="O511" i="2"/>
  <c r="O515" i="2"/>
  <c r="K477" i="2"/>
  <c r="K482" i="2" s="1"/>
  <c r="K432" i="2"/>
  <c r="K439" i="2" s="1"/>
  <c r="F432" i="2"/>
  <c r="I429" i="2"/>
  <c r="F423" i="2"/>
  <c r="O423" i="2"/>
  <c r="L410" i="2"/>
  <c r="I410" i="2"/>
  <c r="K468" i="2"/>
  <c r="L454" i="2"/>
  <c r="I454" i="2"/>
  <c r="L445" i="2"/>
  <c r="K417" i="2"/>
  <c r="I417" i="2" s="1"/>
  <c r="L432" i="2"/>
  <c r="J439" i="2"/>
  <c r="I439" i="2" s="1"/>
  <c r="O434" i="2"/>
  <c r="O447" i="2"/>
  <c r="O458" i="2"/>
  <c r="O410" i="2"/>
  <c r="O417" i="2" s="1"/>
  <c r="O424" i="2" s="1"/>
  <c r="L412" i="2"/>
  <c r="I413" i="2"/>
  <c r="L415" i="2"/>
  <c r="I416" i="2"/>
  <c r="L418" i="2"/>
  <c r="L420" i="2"/>
  <c r="I421" i="2"/>
  <c r="I425" i="2"/>
  <c r="L431" i="2"/>
  <c r="O433" i="2"/>
  <c r="O437" i="2" s="1"/>
  <c r="L435" i="2"/>
  <c r="L440" i="2"/>
  <c r="L444" i="2"/>
  <c r="I445" i="2"/>
  <c r="L448" i="2"/>
  <c r="I449" i="2"/>
  <c r="L452" i="2"/>
  <c r="I453" i="2"/>
  <c r="L459" i="2"/>
  <c r="I460" i="2"/>
  <c r="L463" i="2"/>
  <c r="I464" i="2"/>
  <c r="L467" i="2"/>
  <c r="O414" i="2"/>
  <c r="J423" i="2"/>
  <c r="I423" i="2" s="1"/>
  <c r="O430" i="2"/>
  <c r="O455" i="2"/>
  <c r="I412" i="2"/>
  <c r="L414" i="2"/>
  <c r="I415" i="2"/>
  <c r="I418" i="2"/>
  <c r="I420" i="2"/>
  <c r="L422" i="2"/>
  <c r="O425" i="2"/>
  <c r="O432" i="2" s="1"/>
  <c r="L427" i="2"/>
  <c r="I428" i="2"/>
  <c r="L430" i="2"/>
  <c r="I431" i="2"/>
  <c r="I432" i="2" s="1"/>
  <c r="L438" i="2"/>
  <c r="I440" i="2"/>
  <c r="L443" i="2"/>
  <c r="I444" i="2"/>
  <c r="L447" i="2"/>
  <c r="I448" i="2"/>
  <c r="L451" i="2"/>
  <c r="I452" i="2"/>
  <c r="L455" i="2"/>
  <c r="I456" i="2"/>
  <c r="L458" i="2"/>
  <c r="I459" i="2"/>
  <c r="L462" i="2"/>
  <c r="I463" i="2"/>
  <c r="L466" i="2"/>
  <c r="I467" i="2"/>
  <c r="O427" i="2"/>
  <c r="O438" i="2"/>
  <c r="O443" i="2"/>
  <c r="O451" i="2"/>
  <c r="O462" i="2"/>
  <c r="O466" i="2"/>
  <c r="I411" i="2"/>
  <c r="I422" i="2"/>
  <c r="J364" i="2"/>
  <c r="L525" i="2" l="1"/>
  <c r="I525" i="2"/>
  <c r="L510" i="2"/>
  <c r="I510" i="2"/>
  <c r="I497" i="2"/>
  <c r="O497" i="2"/>
  <c r="O504" i="2" s="1"/>
  <c r="O477" i="2"/>
  <c r="O482" i="2" s="1"/>
  <c r="O489" i="2" s="1"/>
  <c r="I477" i="2"/>
  <c r="L477" i="2"/>
  <c r="I482" i="2"/>
  <c r="J504" i="2"/>
  <c r="I504" i="2" s="1"/>
  <c r="O439" i="2"/>
  <c r="H347" i="2"/>
  <c r="N402" i="2"/>
  <c r="K402" i="2"/>
  <c r="J402" i="2"/>
  <c r="O402" i="2" s="1"/>
  <c r="F402" i="2"/>
  <c r="N401" i="2"/>
  <c r="K401" i="2"/>
  <c r="I401" i="2" s="1"/>
  <c r="J401" i="2"/>
  <c r="O401" i="2" s="1"/>
  <c r="F401" i="2"/>
  <c r="N400" i="2"/>
  <c r="K400" i="2"/>
  <c r="J400" i="2"/>
  <c r="I400" i="2" s="1"/>
  <c r="F400" i="2"/>
  <c r="N399" i="2"/>
  <c r="K399" i="2"/>
  <c r="J399" i="2"/>
  <c r="L399" i="2" s="1"/>
  <c r="I399" i="2"/>
  <c r="F399" i="2"/>
  <c r="N398" i="2"/>
  <c r="L398" i="2"/>
  <c r="K398" i="2"/>
  <c r="J398" i="2"/>
  <c r="O398" i="2" s="1"/>
  <c r="F398" i="2"/>
  <c r="N397" i="2"/>
  <c r="K397" i="2"/>
  <c r="I397" i="2" s="1"/>
  <c r="J397" i="2"/>
  <c r="O397" i="2" s="1"/>
  <c r="F397" i="2"/>
  <c r="N396" i="2"/>
  <c r="K396" i="2"/>
  <c r="J396" i="2"/>
  <c r="I396" i="2" s="1"/>
  <c r="F396" i="2"/>
  <c r="N395" i="2"/>
  <c r="K395" i="2"/>
  <c r="J395" i="2"/>
  <c r="L395" i="2" s="1"/>
  <c r="F395" i="2"/>
  <c r="N394" i="2"/>
  <c r="L394" i="2"/>
  <c r="K394" i="2"/>
  <c r="J394" i="2"/>
  <c r="O394" i="2" s="1"/>
  <c r="F394" i="2"/>
  <c r="N393" i="2"/>
  <c r="K393" i="2"/>
  <c r="I393" i="2" s="1"/>
  <c r="J393" i="2"/>
  <c r="O393" i="2" s="1"/>
  <c r="F393" i="2"/>
  <c r="N392" i="2"/>
  <c r="K392" i="2"/>
  <c r="J392" i="2"/>
  <c r="I392" i="2" s="1"/>
  <c r="F392" i="2"/>
  <c r="N391" i="2"/>
  <c r="K391" i="2"/>
  <c r="J391" i="2"/>
  <c r="O391" i="2" s="1"/>
  <c r="F391" i="2"/>
  <c r="N390" i="2"/>
  <c r="K390" i="2"/>
  <c r="I390" i="2" s="1"/>
  <c r="J390" i="2"/>
  <c r="O390" i="2" s="1"/>
  <c r="F390" i="2"/>
  <c r="N389" i="2"/>
  <c r="K389" i="2"/>
  <c r="J389" i="2"/>
  <c r="F389" i="2"/>
  <c r="N388" i="2"/>
  <c r="K388" i="2"/>
  <c r="J388" i="2"/>
  <c r="L388" i="2" s="1"/>
  <c r="I388" i="2"/>
  <c r="F388" i="2"/>
  <c r="N387" i="2"/>
  <c r="L387" i="2"/>
  <c r="K387" i="2"/>
  <c r="J387" i="2"/>
  <c r="O387" i="2" s="1"/>
  <c r="F387" i="2"/>
  <c r="N386" i="2"/>
  <c r="K386" i="2"/>
  <c r="I386" i="2" s="1"/>
  <c r="J386" i="2"/>
  <c r="O386" i="2" s="1"/>
  <c r="F386" i="2"/>
  <c r="N385" i="2"/>
  <c r="K385" i="2"/>
  <c r="J385" i="2"/>
  <c r="F385" i="2"/>
  <c r="N384" i="2"/>
  <c r="K384" i="2"/>
  <c r="J384" i="2"/>
  <c r="L384" i="2" s="1"/>
  <c r="I384" i="2"/>
  <c r="F384" i="2"/>
  <c r="N383" i="2"/>
  <c r="L383" i="2"/>
  <c r="K383" i="2"/>
  <c r="J383" i="2"/>
  <c r="O383" i="2" s="1"/>
  <c r="F383" i="2"/>
  <c r="N382" i="2"/>
  <c r="K382" i="2"/>
  <c r="I382" i="2" s="1"/>
  <c r="J382" i="2"/>
  <c r="O382" i="2" s="1"/>
  <c r="F382" i="2"/>
  <c r="N381" i="2"/>
  <c r="K381" i="2"/>
  <c r="J381" i="2"/>
  <c r="I381" i="2" s="1"/>
  <c r="F381" i="2"/>
  <c r="N380" i="2"/>
  <c r="K380" i="2"/>
  <c r="J380" i="2"/>
  <c r="L380" i="2" s="1"/>
  <c r="F380" i="2"/>
  <c r="N379" i="2"/>
  <c r="L379" i="2"/>
  <c r="K379" i="2"/>
  <c r="J379" i="2"/>
  <c r="O379" i="2" s="1"/>
  <c r="F379" i="2"/>
  <c r="N378" i="2"/>
  <c r="K378" i="2"/>
  <c r="I378" i="2" s="1"/>
  <c r="J378" i="2"/>
  <c r="O378" i="2" s="1"/>
  <c r="F378" i="2"/>
  <c r="N377" i="2"/>
  <c r="K377" i="2"/>
  <c r="J377" i="2"/>
  <c r="I377" i="2" s="1"/>
  <c r="F377" i="2"/>
  <c r="N376" i="2"/>
  <c r="K376" i="2"/>
  <c r="J376" i="2"/>
  <c r="F376" i="2"/>
  <c r="N375" i="2"/>
  <c r="L375" i="2"/>
  <c r="K375" i="2"/>
  <c r="J375" i="2"/>
  <c r="O375" i="2" s="1"/>
  <c r="F375" i="2"/>
  <c r="N373" i="2"/>
  <c r="K373" i="2"/>
  <c r="I373" i="2" s="1"/>
  <c r="J373" i="2"/>
  <c r="O373" i="2" s="1"/>
  <c r="F373" i="2"/>
  <c r="H372" i="2"/>
  <c r="G372" i="2"/>
  <c r="E372" i="2"/>
  <c r="D372" i="2"/>
  <c r="N371" i="2"/>
  <c r="K371" i="2"/>
  <c r="J371" i="2"/>
  <c r="L371" i="2" s="1"/>
  <c r="I371" i="2"/>
  <c r="F371" i="2"/>
  <c r="N370" i="2"/>
  <c r="L370" i="2"/>
  <c r="K370" i="2"/>
  <c r="J370" i="2"/>
  <c r="O370" i="2" s="1"/>
  <c r="F370" i="2"/>
  <c r="F372" i="2" s="1"/>
  <c r="N369" i="2"/>
  <c r="K369" i="2"/>
  <c r="J369" i="2"/>
  <c r="O369" i="2" s="1"/>
  <c r="I369" i="2"/>
  <c r="F369" i="2"/>
  <c r="N368" i="2"/>
  <c r="N372" i="2" s="1"/>
  <c r="K368" i="2"/>
  <c r="K372" i="2" s="1"/>
  <c r="J368" i="2"/>
  <c r="I368" i="2" s="1"/>
  <c r="F368" i="2"/>
  <c r="H367" i="2"/>
  <c r="G367" i="2"/>
  <c r="E367" i="2"/>
  <c r="D367" i="2"/>
  <c r="N366" i="2"/>
  <c r="L366" i="2"/>
  <c r="K366" i="2"/>
  <c r="J366" i="2"/>
  <c r="O366" i="2" s="1"/>
  <c r="F366" i="2"/>
  <c r="N365" i="2"/>
  <c r="K365" i="2"/>
  <c r="I365" i="2" s="1"/>
  <c r="J365" i="2"/>
  <c r="O365" i="2" s="1"/>
  <c r="F365" i="2"/>
  <c r="N364" i="2"/>
  <c r="N367" i="2" s="1"/>
  <c r="K364" i="2"/>
  <c r="F364" i="2"/>
  <c r="N363" i="2"/>
  <c r="K363" i="2"/>
  <c r="J363" i="2"/>
  <c r="O363" i="2" s="1"/>
  <c r="F363" i="2"/>
  <c r="N362" i="2"/>
  <c r="K362" i="2"/>
  <c r="I362" i="2" s="1"/>
  <c r="J362" i="2"/>
  <c r="O362" i="2" s="1"/>
  <c r="F362" i="2"/>
  <c r="N361" i="2"/>
  <c r="K361" i="2"/>
  <c r="J361" i="2"/>
  <c r="I361" i="2" s="1"/>
  <c r="F361" i="2"/>
  <c r="N360" i="2"/>
  <c r="L360" i="2"/>
  <c r="K360" i="2"/>
  <c r="K367" i="2" s="1"/>
  <c r="J360" i="2"/>
  <c r="J367" i="2" s="1"/>
  <c r="I360" i="2"/>
  <c r="F360" i="2"/>
  <c r="H358" i="2"/>
  <c r="G358" i="2"/>
  <c r="F358" i="2" s="1"/>
  <c r="O357" i="2"/>
  <c r="K357" i="2"/>
  <c r="K358" i="2" s="1"/>
  <c r="J357" i="2"/>
  <c r="L357" i="2" s="1"/>
  <c r="N356" i="2"/>
  <c r="L356" i="2"/>
  <c r="K356" i="2"/>
  <c r="J356" i="2"/>
  <c r="O356" i="2" s="1"/>
  <c r="I356" i="2"/>
  <c r="F356" i="2"/>
  <c r="N355" i="2"/>
  <c r="L355" i="2"/>
  <c r="K355" i="2"/>
  <c r="J355" i="2"/>
  <c r="O355" i="2" s="1"/>
  <c r="F355" i="2"/>
  <c r="O354" i="2"/>
  <c r="K354" i="2"/>
  <c r="J354" i="2"/>
  <c r="I354" i="2"/>
  <c r="F354" i="2"/>
  <c r="N353" i="2"/>
  <c r="L353" i="2"/>
  <c r="K353" i="2"/>
  <c r="J353" i="2"/>
  <c r="J358" i="2" s="1"/>
  <c r="F353" i="2"/>
  <c r="O351" i="2"/>
  <c r="N351" i="2"/>
  <c r="K351" i="2"/>
  <c r="J351" i="2"/>
  <c r="I351" i="2"/>
  <c r="F351" i="2"/>
  <c r="N350" i="2"/>
  <c r="L350" i="2"/>
  <c r="K350" i="2"/>
  <c r="J350" i="2"/>
  <c r="O350" i="2" s="1"/>
  <c r="F350" i="2"/>
  <c r="N349" i="2"/>
  <c r="K349" i="2"/>
  <c r="I349" i="2" s="1"/>
  <c r="J349" i="2"/>
  <c r="O349" i="2" s="1"/>
  <c r="F349" i="2"/>
  <c r="O348" i="2"/>
  <c r="N348" i="2"/>
  <c r="K348" i="2"/>
  <c r="J348" i="2"/>
  <c r="I348" i="2"/>
  <c r="F348" i="2"/>
  <c r="J347" i="2"/>
  <c r="O347" i="2" s="1"/>
  <c r="H352" i="2"/>
  <c r="G352" i="2"/>
  <c r="N346" i="2"/>
  <c r="K346" i="2"/>
  <c r="J346" i="2"/>
  <c r="O346" i="2" s="1"/>
  <c r="F346" i="2"/>
  <c r="N345" i="2"/>
  <c r="K345" i="2"/>
  <c r="J345" i="2"/>
  <c r="O345" i="2" s="1"/>
  <c r="F345" i="2"/>
  <c r="L376" i="2" l="1"/>
  <c r="J441" i="2"/>
  <c r="I364" i="2"/>
  <c r="F367" i="2"/>
  <c r="L402" i="2"/>
  <c r="I389" i="2"/>
  <c r="I395" i="2"/>
  <c r="I385" i="2"/>
  <c r="I380" i="2"/>
  <c r="K403" i="2"/>
  <c r="I376" i="2"/>
  <c r="L347" i="2"/>
  <c r="O352" i="2"/>
  <c r="L367" i="2"/>
  <c r="I358" i="2"/>
  <c r="K374" i="2"/>
  <c r="J372" i="2"/>
  <c r="L372" i="2" s="1"/>
  <c r="O377" i="2"/>
  <c r="O381" i="2"/>
  <c r="O389" i="2"/>
  <c r="O392" i="2"/>
  <c r="O400" i="2"/>
  <c r="J403" i="2"/>
  <c r="L345" i="2"/>
  <c r="I346" i="2"/>
  <c r="N347" i="2"/>
  <c r="L349" i="2"/>
  <c r="I350" i="2"/>
  <c r="J352" i="2"/>
  <c r="I353" i="2"/>
  <c r="I355" i="2"/>
  <c r="O360" i="2"/>
  <c r="L362" i="2"/>
  <c r="I363" i="2"/>
  <c r="L365" i="2"/>
  <c r="I366" i="2"/>
  <c r="I367" i="2" s="1"/>
  <c r="L369" i="2"/>
  <c r="I370" i="2"/>
  <c r="I372" i="2" s="1"/>
  <c r="O371" i="2"/>
  <c r="L373" i="2"/>
  <c r="I375" i="2"/>
  <c r="O376" i="2"/>
  <c r="L378" i="2"/>
  <c r="I379" i="2"/>
  <c r="O380" i="2"/>
  <c r="L382" i="2"/>
  <c r="I383" i="2"/>
  <c r="O384" i="2"/>
  <c r="L386" i="2"/>
  <c r="I387" i="2"/>
  <c r="O388" i="2"/>
  <c r="L390" i="2"/>
  <c r="I391" i="2"/>
  <c r="L393" i="2"/>
  <c r="I394" i="2"/>
  <c r="O395" i="2"/>
  <c r="L397" i="2"/>
  <c r="I398" i="2"/>
  <c r="O399" i="2"/>
  <c r="L401" i="2"/>
  <c r="I402" i="2"/>
  <c r="O364" i="2"/>
  <c r="O368" i="2"/>
  <c r="O372" i="2" s="1"/>
  <c r="I345" i="2"/>
  <c r="F347" i="2"/>
  <c r="F352" i="2" s="1"/>
  <c r="O353" i="2"/>
  <c r="O358" i="2" s="1"/>
  <c r="I357" i="2"/>
  <c r="L361" i="2"/>
  <c r="L364" i="2"/>
  <c r="L368" i="2"/>
  <c r="L377" i="2"/>
  <c r="L381" i="2"/>
  <c r="L385" i="2"/>
  <c r="L389" i="2"/>
  <c r="L392" i="2"/>
  <c r="L396" i="2"/>
  <c r="L400" i="2"/>
  <c r="O361" i="2"/>
  <c r="O385" i="2"/>
  <c r="O396" i="2"/>
  <c r="K347" i="2"/>
  <c r="I347" i="2" s="1"/>
  <c r="O441" i="2" l="1"/>
  <c r="O468" i="2" s="1"/>
  <c r="O470" i="2" s="1"/>
  <c r="J506" i="2"/>
  <c r="L441" i="2"/>
  <c r="I441" i="2"/>
  <c r="J468" i="2"/>
  <c r="I468" i="2" s="1"/>
  <c r="O403" i="2"/>
  <c r="I403" i="2"/>
  <c r="O367" i="2"/>
  <c r="O374" i="2" s="1"/>
  <c r="K352" i="2"/>
  <c r="I352" i="2" s="1"/>
  <c r="J374" i="2"/>
  <c r="I374" i="2" s="1"/>
  <c r="O359" i="2"/>
  <c r="L506" i="2" l="1"/>
  <c r="J571" i="2"/>
  <c r="I506" i="2"/>
  <c r="O506" i="2"/>
  <c r="O533" i="2" s="1"/>
  <c r="J533" i="2"/>
  <c r="O405" i="2"/>
  <c r="L571" i="2" l="1"/>
  <c r="I571" i="2"/>
  <c r="O571" i="2"/>
  <c r="O598" i="2" s="1"/>
  <c r="O600" i="2" s="1"/>
  <c r="J598" i="2"/>
  <c r="I598" i="2" s="1"/>
  <c r="I533" i="2"/>
  <c r="O535" i="2"/>
  <c r="H282" i="2"/>
  <c r="G282" i="2"/>
  <c r="N337" i="2"/>
  <c r="L337" i="2"/>
  <c r="K337" i="2"/>
  <c r="J337" i="2"/>
  <c r="O337" i="2" s="1"/>
  <c r="I337" i="2"/>
  <c r="F337" i="2"/>
  <c r="N336" i="2"/>
  <c r="L336" i="2"/>
  <c r="K336" i="2"/>
  <c r="I336" i="2" s="1"/>
  <c r="J336" i="2"/>
  <c r="O336" i="2" s="1"/>
  <c r="F336" i="2"/>
  <c r="N335" i="2"/>
  <c r="K335" i="2"/>
  <c r="J335" i="2"/>
  <c r="I335" i="2" s="1"/>
  <c r="F335" i="2"/>
  <c r="N334" i="2"/>
  <c r="K334" i="2"/>
  <c r="J334" i="2"/>
  <c r="L334" i="2" s="1"/>
  <c r="I334" i="2"/>
  <c r="F334" i="2"/>
  <c r="N333" i="2"/>
  <c r="L333" i="2"/>
  <c r="K333" i="2"/>
  <c r="J333" i="2"/>
  <c r="O333" i="2" s="1"/>
  <c r="I333" i="2"/>
  <c r="F333" i="2"/>
  <c r="N332" i="2"/>
  <c r="L332" i="2"/>
  <c r="K332" i="2"/>
  <c r="I332" i="2" s="1"/>
  <c r="J332" i="2"/>
  <c r="O332" i="2" s="1"/>
  <c r="F332" i="2"/>
  <c r="N331" i="2"/>
  <c r="K331" i="2"/>
  <c r="J331" i="2"/>
  <c r="I331" i="2" s="1"/>
  <c r="F331" i="2"/>
  <c r="N330" i="2"/>
  <c r="K330" i="2"/>
  <c r="J330" i="2"/>
  <c r="L330" i="2" s="1"/>
  <c r="F330" i="2"/>
  <c r="N329" i="2"/>
  <c r="L329" i="2"/>
  <c r="K329" i="2"/>
  <c r="J329" i="2"/>
  <c r="O329" i="2" s="1"/>
  <c r="I329" i="2"/>
  <c r="F329" i="2"/>
  <c r="N328" i="2"/>
  <c r="L328" i="2"/>
  <c r="K328" i="2"/>
  <c r="I328" i="2" s="1"/>
  <c r="J328" i="2"/>
  <c r="O328" i="2" s="1"/>
  <c r="F328" i="2"/>
  <c r="N327" i="2"/>
  <c r="K327" i="2"/>
  <c r="J327" i="2"/>
  <c r="I327" i="2" s="1"/>
  <c r="F327" i="2"/>
  <c r="O326" i="2"/>
  <c r="N326" i="2"/>
  <c r="K326" i="2"/>
  <c r="J326" i="2"/>
  <c r="I326" i="2"/>
  <c r="F326" i="2"/>
  <c r="N325" i="2"/>
  <c r="L325" i="2"/>
  <c r="K325" i="2"/>
  <c r="J325" i="2"/>
  <c r="O325" i="2" s="1"/>
  <c r="F325" i="2"/>
  <c r="N324" i="2"/>
  <c r="K324" i="2"/>
  <c r="J324" i="2"/>
  <c r="F324" i="2"/>
  <c r="N323" i="2"/>
  <c r="K323" i="2"/>
  <c r="J323" i="2"/>
  <c r="L323" i="2" s="1"/>
  <c r="I323" i="2"/>
  <c r="F323" i="2"/>
  <c r="N322" i="2"/>
  <c r="L322" i="2"/>
  <c r="K322" i="2"/>
  <c r="J322" i="2"/>
  <c r="O322" i="2" s="1"/>
  <c r="I322" i="2"/>
  <c r="F322" i="2"/>
  <c r="N321" i="2"/>
  <c r="L321" i="2"/>
  <c r="K321" i="2"/>
  <c r="J321" i="2"/>
  <c r="O321" i="2" s="1"/>
  <c r="F321" i="2"/>
  <c r="N320" i="2"/>
  <c r="K320" i="2"/>
  <c r="J320" i="2"/>
  <c r="F320" i="2"/>
  <c r="N319" i="2"/>
  <c r="K319" i="2"/>
  <c r="J319" i="2"/>
  <c r="L319" i="2" s="1"/>
  <c r="I319" i="2"/>
  <c r="F319" i="2"/>
  <c r="N318" i="2"/>
  <c r="K318" i="2"/>
  <c r="J318" i="2"/>
  <c r="O318" i="2" s="1"/>
  <c r="I318" i="2"/>
  <c r="F318" i="2"/>
  <c r="N317" i="2"/>
  <c r="L317" i="2"/>
  <c r="K317" i="2"/>
  <c r="J317" i="2"/>
  <c r="O317" i="2" s="1"/>
  <c r="F317" i="2"/>
  <c r="N316" i="2"/>
  <c r="K316" i="2"/>
  <c r="J316" i="2"/>
  <c r="F316" i="2"/>
  <c r="N315" i="2"/>
  <c r="K315" i="2"/>
  <c r="J315" i="2"/>
  <c r="L315" i="2" s="1"/>
  <c r="F315" i="2"/>
  <c r="N314" i="2"/>
  <c r="L314" i="2"/>
  <c r="K314" i="2"/>
  <c r="J314" i="2"/>
  <c r="O314" i="2" s="1"/>
  <c r="I314" i="2"/>
  <c r="F314" i="2"/>
  <c r="N313" i="2"/>
  <c r="F313" i="2"/>
  <c r="N312" i="2"/>
  <c r="K312" i="2"/>
  <c r="J312" i="2"/>
  <c r="I312" i="2" s="1"/>
  <c r="F312" i="2"/>
  <c r="N311" i="2"/>
  <c r="K311" i="2"/>
  <c r="J311" i="2"/>
  <c r="L311" i="2" s="1"/>
  <c r="F311" i="2"/>
  <c r="N310" i="2"/>
  <c r="L310" i="2"/>
  <c r="K310" i="2"/>
  <c r="J310" i="2"/>
  <c r="O310" i="2" s="1"/>
  <c r="I310" i="2"/>
  <c r="F310" i="2"/>
  <c r="N308" i="2"/>
  <c r="L308" i="2"/>
  <c r="K308" i="2"/>
  <c r="J308" i="2"/>
  <c r="O308" i="2" s="1"/>
  <c r="F308" i="2"/>
  <c r="H307" i="2"/>
  <c r="G307" i="2"/>
  <c r="E307" i="2"/>
  <c r="D307" i="2"/>
  <c r="N306" i="2"/>
  <c r="K306" i="2"/>
  <c r="J306" i="2"/>
  <c r="L306" i="2" s="1"/>
  <c r="I306" i="2"/>
  <c r="F306" i="2"/>
  <c r="N305" i="2"/>
  <c r="L305" i="2"/>
  <c r="K305" i="2"/>
  <c r="J305" i="2"/>
  <c r="O305" i="2" s="1"/>
  <c r="F305" i="2"/>
  <c r="I305" i="2" s="1"/>
  <c r="N304" i="2"/>
  <c r="K304" i="2"/>
  <c r="J304" i="2"/>
  <c r="O304" i="2" s="1"/>
  <c r="F304" i="2"/>
  <c r="I304" i="2" s="1"/>
  <c r="N303" i="2"/>
  <c r="N307" i="2" s="1"/>
  <c r="K303" i="2"/>
  <c r="K307" i="2" s="1"/>
  <c r="J303" i="2"/>
  <c r="I303" i="2" s="1"/>
  <c r="F303" i="2"/>
  <c r="H302" i="2"/>
  <c r="G302" i="2"/>
  <c r="E302" i="2"/>
  <c r="D302" i="2"/>
  <c r="N301" i="2"/>
  <c r="L301" i="2"/>
  <c r="K301" i="2"/>
  <c r="J301" i="2"/>
  <c r="O301" i="2" s="1"/>
  <c r="I301" i="2"/>
  <c r="F301" i="2"/>
  <c r="N300" i="2"/>
  <c r="L300" i="2"/>
  <c r="K300" i="2"/>
  <c r="I300" i="2" s="1"/>
  <c r="J300" i="2"/>
  <c r="O300" i="2" s="1"/>
  <c r="F300" i="2"/>
  <c r="N299" i="2"/>
  <c r="N302" i="2" s="1"/>
  <c r="K299" i="2"/>
  <c r="J299" i="2"/>
  <c r="F299" i="2"/>
  <c r="O298" i="2"/>
  <c r="N298" i="2"/>
  <c r="K298" i="2"/>
  <c r="J298" i="2"/>
  <c r="I298" i="2"/>
  <c r="F298" i="2"/>
  <c r="N297" i="2"/>
  <c r="L297" i="2"/>
  <c r="K297" i="2"/>
  <c r="J297" i="2"/>
  <c r="O297" i="2" s="1"/>
  <c r="F297" i="2"/>
  <c r="N296" i="2"/>
  <c r="K296" i="2"/>
  <c r="J296" i="2"/>
  <c r="I296" i="2" s="1"/>
  <c r="F296" i="2"/>
  <c r="N295" i="2"/>
  <c r="K295" i="2"/>
  <c r="J295" i="2"/>
  <c r="L295" i="2" s="1"/>
  <c r="I295" i="2"/>
  <c r="F295" i="2"/>
  <c r="H293" i="2"/>
  <c r="G293" i="2"/>
  <c r="F293" i="2" s="1"/>
  <c r="L292" i="2"/>
  <c r="K292" i="2"/>
  <c r="I292" i="2" s="1"/>
  <c r="J292" i="2"/>
  <c r="O292" i="2" s="1"/>
  <c r="N291" i="2"/>
  <c r="K291" i="2"/>
  <c r="J291" i="2"/>
  <c r="L291" i="2" s="1"/>
  <c r="I291" i="2"/>
  <c r="F291" i="2"/>
  <c r="N290" i="2"/>
  <c r="L290" i="2"/>
  <c r="K290" i="2"/>
  <c r="J290" i="2"/>
  <c r="O290" i="2" s="1"/>
  <c r="I290" i="2"/>
  <c r="F290" i="2"/>
  <c r="K289" i="2"/>
  <c r="J289" i="2"/>
  <c r="O289" i="2" s="1"/>
  <c r="I289" i="2"/>
  <c r="F289" i="2"/>
  <c r="N288" i="2"/>
  <c r="L288" i="2"/>
  <c r="K288" i="2"/>
  <c r="J288" i="2"/>
  <c r="J293" i="2" s="1"/>
  <c r="I288" i="2"/>
  <c r="F288" i="2"/>
  <c r="G287" i="2"/>
  <c r="O286" i="2"/>
  <c r="N286" i="2"/>
  <c r="K286" i="2"/>
  <c r="J286" i="2"/>
  <c r="I286" i="2"/>
  <c r="F286" i="2"/>
  <c r="N285" i="2"/>
  <c r="L285" i="2"/>
  <c r="K285" i="2"/>
  <c r="J285" i="2"/>
  <c r="O285" i="2" s="1"/>
  <c r="I285" i="2"/>
  <c r="F285" i="2"/>
  <c r="N284" i="2"/>
  <c r="L284" i="2"/>
  <c r="K284" i="2"/>
  <c r="J284" i="2"/>
  <c r="O284" i="2" s="1"/>
  <c r="F284" i="2"/>
  <c r="O283" i="2"/>
  <c r="N283" i="2"/>
  <c r="K283" i="2"/>
  <c r="J283" i="2"/>
  <c r="I283" i="2"/>
  <c r="F283" i="2"/>
  <c r="N282" i="2"/>
  <c r="J282" i="2"/>
  <c r="O282" i="2" s="1"/>
  <c r="H287" i="2"/>
  <c r="N281" i="2"/>
  <c r="K281" i="2"/>
  <c r="J281" i="2"/>
  <c r="O281" i="2" s="1"/>
  <c r="F281" i="2"/>
  <c r="N280" i="2"/>
  <c r="K280" i="2"/>
  <c r="J280" i="2"/>
  <c r="F280" i="2"/>
  <c r="I320" i="2" l="1"/>
  <c r="I315" i="2"/>
  <c r="I330" i="2"/>
  <c r="I324" i="2"/>
  <c r="L318" i="2"/>
  <c r="I316" i="2"/>
  <c r="I311" i="2"/>
  <c r="I307" i="2"/>
  <c r="L304" i="2"/>
  <c r="F302" i="2"/>
  <c r="I299" i="2"/>
  <c r="I302" i="2" s="1"/>
  <c r="K302" i="2"/>
  <c r="K309" i="2" s="1"/>
  <c r="L282" i="2"/>
  <c r="I280" i="2"/>
  <c r="O280" i="2"/>
  <c r="O287" i="2" s="1"/>
  <c r="K293" i="2"/>
  <c r="I293" i="2" s="1"/>
  <c r="O296" i="2"/>
  <c r="O303" i="2"/>
  <c r="F307" i="2"/>
  <c r="O312" i="2"/>
  <c r="O316" i="2"/>
  <c r="O324" i="2"/>
  <c r="O327" i="2"/>
  <c r="O335" i="2"/>
  <c r="J287" i="2"/>
  <c r="O291" i="2"/>
  <c r="O295" i="2"/>
  <c r="O306" i="2"/>
  <c r="O315" i="2"/>
  <c r="O330" i="2"/>
  <c r="L280" i="2"/>
  <c r="I281" i="2"/>
  <c r="I284" i="2"/>
  <c r="O288" i="2"/>
  <c r="O293" i="2" s="1"/>
  <c r="L296" i="2"/>
  <c r="I297" i="2"/>
  <c r="L299" i="2"/>
  <c r="L303" i="2"/>
  <c r="I308" i="2"/>
  <c r="L312" i="2"/>
  <c r="L316" i="2"/>
  <c r="I317" i="2"/>
  <c r="L320" i="2"/>
  <c r="I321" i="2"/>
  <c r="L324" i="2"/>
  <c r="I325" i="2"/>
  <c r="L327" i="2"/>
  <c r="L331" i="2"/>
  <c r="L335" i="2"/>
  <c r="O299" i="2"/>
  <c r="J307" i="2"/>
  <c r="L307" i="2" s="1"/>
  <c r="O320" i="2"/>
  <c r="O331" i="2"/>
  <c r="J302" i="2"/>
  <c r="O311" i="2"/>
  <c r="O319" i="2"/>
  <c r="O323" i="2"/>
  <c r="O334" i="2"/>
  <c r="F282" i="2"/>
  <c r="F287" i="2" s="1"/>
  <c r="K282" i="2"/>
  <c r="I282" i="2" s="1"/>
  <c r="K287" i="2" l="1"/>
  <c r="I287" i="2" s="1"/>
  <c r="L302" i="2"/>
  <c r="J309" i="2"/>
  <c r="I309" i="2" s="1"/>
  <c r="O302" i="2"/>
  <c r="O294" i="2"/>
  <c r="O307" i="2"/>
  <c r="H217" i="2"/>
  <c r="O309" i="2" l="1"/>
  <c r="H152" i="2"/>
  <c r="G152" i="2"/>
  <c r="N272" i="2"/>
  <c r="L272" i="2"/>
  <c r="K272" i="2"/>
  <c r="J272" i="2"/>
  <c r="O272" i="2" s="1"/>
  <c r="I272" i="2"/>
  <c r="F272" i="2"/>
  <c r="N271" i="2"/>
  <c r="L271" i="2"/>
  <c r="K271" i="2"/>
  <c r="I271" i="2" s="1"/>
  <c r="J271" i="2"/>
  <c r="O271" i="2" s="1"/>
  <c r="F271" i="2"/>
  <c r="N270" i="2"/>
  <c r="K270" i="2"/>
  <c r="J270" i="2"/>
  <c r="I270" i="2" s="1"/>
  <c r="F270" i="2"/>
  <c r="N269" i="2"/>
  <c r="K269" i="2"/>
  <c r="J269" i="2"/>
  <c r="L269" i="2" s="1"/>
  <c r="I269" i="2"/>
  <c r="F269" i="2"/>
  <c r="N268" i="2"/>
  <c r="L268" i="2"/>
  <c r="K268" i="2"/>
  <c r="J268" i="2"/>
  <c r="O268" i="2" s="1"/>
  <c r="I268" i="2"/>
  <c r="F268" i="2"/>
  <c r="N267" i="2"/>
  <c r="L267" i="2"/>
  <c r="K267" i="2"/>
  <c r="I267" i="2" s="1"/>
  <c r="J267" i="2"/>
  <c r="O267" i="2" s="1"/>
  <c r="F267" i="2"/>
  <c r="N266" i="2"/>
  <c r="K266" i="2"/>
  <c r="J266" i="2"/>
  <c r="I266" i="2" s="1"/>
  <c r="F266" i="2"/>
  <c r="N265" i="2"/>
  <c r="K265" i="2"/>
  <c r="J265" i="2"/>
  <c r="L265" i="2" s="1"/>
  <c r="I265" i="2"/>
  <c r="F265" i="2"/>
  <c r="N264" i="2"/>
  <c r="L264" i="2"/>
  <c r="K264" i="2"/>
  <c r="J264" i="2"/>
  <c r="O264" i="2" s="1"/>
  <c r="I264" i="2"/>
  <c r="F264" i="2"/>
  <c r="N263" i="2"/>
  <c r="L263" i="2"/>
  <c r="K263" i="2"/>
  <c r="I263" i="2" s="1"/>
  <c r="J263" i="2"/>
  <c r="O263" i="2" s="1"/>
  <c r="F263" i="2"/>
  <c r="N262" i="2"/>
  <c r="K262" i="2"/>
  <c r="J262" i="2"/>
  <c r="F262" i="2"/>
  <c r="O261" i="2"/>
  <c r="N261" i="2"/>
  <c r="K261" i="2"/>
  <c r="J261" i="2"/>
  <c r="I261" i="2"/>
  <c r="F261" i="2"/>
  <c r="N260" i="2"/>
  <c r="L260" i="2"/>
  <c r="K260" i="2"/>
  <c r="I260" i="2" s="1"/>
  <c r="J260" i="2"/>
  <c r="O260" i="2" s="1"/>
  <c r="F260" i="2"/>
  <c r="N259" i="2"/>
  <c r="K259" i="2"/>
  <c r="J259" i="2"/>
  <c r="F259" i="2"/>
  <c r="N258" i="2"/>
  <c r="K258" i="2"/>
  <c r="J258" i="2"/>
  <c r="L258" i="2" s="1"/>
  <c r="I258" i="2"/>
  <c r="F258" i="2"/>
  <c r="N257" i="2"/>
  <c r="L257" i="2"/>
  <c r="K257" i="2"/>
  <c r="J257" i="2"/>
  <c r="O257" i="2" s="1"/>
  <c r="I257" i="2"/>
  <c r="F257" i="2"/>
  <c r="N256" i="2"/>
  <c r="L256" i="2"/>
  <c r="K256" i="2"/>
  <c r="I256" i="2" s="1"/>
  <c r="J256" i="2"/>
  <c r="O256" i="2" s="1"/>
  <c r="F256" i="2"/>
  <c r="N255" i="2"/>
  <c r="K255" i="2"/>
  <c r="J255" i="2"/>
  <c r="I255" i="2" s="1"/>
  <c r="F255" i="2"/>
  <c r="N254" i="2"/>
  <c r="K254" i="2"/>
  <c r="J254" i="2"/>
  <c r="L254" i="2" s="1"/>
  <c r="I254" i="2"/>
  <c r="F254" i="2"/>
  <c r="N253" i="2"/>
  <c r="K253" i="2"/>
  <c r="J253" i="2"/>
  <c r="O253" i="2" s="1"/>
  <c r="F253" i="2"/>
  <c r="N252" i="2"/>
  <c r="L252" i="2"/>
  <c r="K252" i="2"/>
  <c r="I252" i="2" s="1"/>
  <c r="J252" i="2"/>
  <c r="O252" i="2" s="1"/>
  <c r="F252" i="2"/>
  <c r="N251" i="2"/>
  <c r="K251" i="2"/>
  <c r="J251" i="2"/>
  <c r="I251" i="2" s="1"/>
  <c r="F251" i="2"/>
  <c r="N250" i="2"/>
  <c r="K250" i="2"/>
  <c r="J250" i="2"/>
  <c r="L250" i="2" s="1"/>
  <c r="I250" i="2"/>
  <c r="F250" i="2"/>
  <c r="N249" i="2"/>
  <c r="L249" i="2"/>
  <c r="K249" i="2"/>
  <c r="J249" i="2"/>
  <c r="O249" i="2" s="1"/>
  <c r="I249" i="2"/>
  <c r="F249" i="2"/>
  <c r="N248" i="2"/>
  <c r="F248" i="2"/>
  <c r="N247" i="2"/>
  <c r="K247" i="2"/>
  <c r="J247" i="2"/>
  <c r="I247" i="2" s="1"/>
  <c r="F247" i="2"/>
  <c r="N246" i="2"/>
  <c r="K246" i="2"/>
  <c r="J246" i="2"/>
  <c r="L246" i="2" s="1"/>
  <c r="F246" i="2"/>
  <c r="N245" i="2"/>
  <c r="L245" i="2"/>
  <c r="K245" i="2"/>
  <c r="J245" i="2"/>
  <c r="O245" i="2" s="1"/>
  <c r="I245" i="2"/>
  <c r="F245" i="2"/>
  <c r="N243" i="2"/>
  <c r="L243" i="2"/>
  <c r="K243" i="2"/>
  <c r="I243" i="2" s="1"/>
  <c r="J243" i="2"/>
  <c r="O243" i="2" s="1"/>
  <c r="F243" i="2"/>
  <c r="H242" i="2"/>
  <c r="G242" i="2"/>
  <c r="E242" i="2"/>
  <c r="D242" i="2"/>
  <c r="N241" i="2"/>
  <c r="K241" i="2"/>
  <c r="J241" i="2"/>
  <c r="L241" i="2" s="1"/>
  <c r="I241" i="2"/>
  <c r="F241" i="2"/>
  <c r="N240" i="2"/>
  <c r="L240" i="2"/>
  <c r="K240" i="2"/>
  <c r="J240" i="2"/>
  <c r="O240" i="2" s="1"/>
  <c r="F240" i="2"/>
  <c r="I240" i="2" s="1"/>
  <c r="N239" i="2"/>
  <c r="K239" i="2"/>
  <c r="J239" i="2"/>
  <c r="O239" i="2" s="1"/>
  <c r="F239" i="2"/>
  <c r="I239" i="2" s="1"/>
  <c r="N238" i="2"/>
  <c r="K238" i="2"/>
  <c r="K242" i="2" s="1"/>
  <c r="J238" i="2"/>
  <c r="I238" i="2" s="1"/>
  <c r="F238" i="2"/>
  <c r="H237" i="2"/>
  <c r="G237" i="2"/>
  <c r="E237" i="2"/>
  <c r="D237" i="2"/>
  <c r="N236" i="2"/>
  <c r="L236" i="2"/>
  <c r="K236" i="2"/>
  <c r="J236" i="2"/>
  <c r="O236" i="2" s="1"/>
  <c r="I236" i="2"/>
  <c r="F236" i="2"/>
  <c r="N235" i="2"/>
  <c r="L235" i="2"/>
  <c r="K235" i="2"/>
  <c r="I235" i="2" s="1"/>
  <c r="J235" i="2"/>
  <c r="O235" i="2" s="1"/>
  <c r="F235" i="2"/>
  <c r="N234" i="2"/>
  <c r="N237" i="2" s="1"/>
  <c r="K234" i="2"/>
  <c r="J234" i="2"/>
  <c r="F234" i="2"/>
  <c r="O233" i="2"/>
  <c r="N233" i="2"/>
  <c r="K233" i="2"/>
  <c r="J233" i="2"/>
  <c r="I233" i="2"/>
  <c r="F233" i="2"/>
  <c r="N232" i="2"/>
  <c r="L232" i="2"/>
  <c r="K232" i="2"/>
  <c r="I232" i="2" s="1"/>
  <c r="J232" i="2"/>
  <c r="O232" i="2" s="1"/>
  <c r="F232" i="2"/>
  <c r="F237" i="2" s="1"/>
  <c r="N231" i="2"/>
  <c r="K231" i="2"/>
  <c r="J231" i="2"/>
  <c r="I231" i="2" s="1"/>
  <c r="F231" i="2"/>
  <c r="N230" i="2"/>
  <c r="K230" i="2"/>
  <c r="J230" i="2"/>
  <c r="L230" i="2" s="1"/>
  <c r="I230" i="2"/>
  <c r="F230" i="2"/>
  <c r="H228" i="2"/>
  <c r="G228" i="2"/>
  <c r="F228" i="2" s="1"/>
  <c r="O227" i="2"/>
  <c r="L227" i="2"/>
  <c r="K227" i="2"/>
  <c r="I227" i="2" s="1"/>
  <c r="J227" i="2"/>
  <c r="N226" i="2"/>
  <c r="K226" i="2"/>
  <c r="J226" i="2"/>
  <c r="L226" i="2" s="1"/>
  <c r="I226" i="2"/>
  <c r="F226" i="2"/>
  <c r="N225" i="2"/>
  <c r="L225" i="2"/>
  <c r="K225" i="2"/>
  <c r="J225" i="2"/>
  <c r="O225" i="2" s="1"/>
  <c r="I225" i="2"/>
  <c r="F225" i="2"/>
  <c r="K224" i="2"/>
  <c r="J224" i="2"/>
  <c r="O224" i="2" s="1"/>
  <c r="I224" i="2"/>
  <c r="F224" i="2"/>
  <c r="N223" i="2"/>
  <c r="L223" i="2"/>
  <c r="K223" i="2"/>
  <c r="J223" i="2"/>
  <c r="J228" i="2" s="1"/>
  <c r="I223" i="2"/>
  <c r="F223" i="2"/>
  <c r="H222" i="2"/>
  <c r="G222" i="2"/>
  <c r="O221" i="2"/>
  <c r="N221" i="2"/>
  <c r="K221" i="2"/>
  <c r="J221" i="2"/>
  <c r="I221" i="2"/>
  <c r="F221" i="2"/>
  <c r="N220" i="2"/>
  <c r="L220" i="2"/>
  <c r="K220" i="2"/>
  <c r="J220" i="2"/>
  <c r="O220" i="2" s="1"/>
  <c r="I220" i="2"/>
  <c r="F220" i="2"/>
  <c r="N219" i="2"/>
  <c r="L219" i="2"/>
  <c r="K219" i="2"/>
  <c r="I219" i="2" s="1"/>
  <c r="J219" i="2"/>
  <c r="O219" i="2" s="1"/>
  <c r="F219" i="2"/>
  <c r="O218" i="2"/>
  <c r="N218" i="2"/>
  <c r="K218" i="2"/>
  <c r="J218" i="2"/>
  <c r="I218" i="2"/>
  <c r="F218" i="2"/>
  <c r="N217" i="2"/>
  <c r="F217" i="2"/>
  <c r="N216" i="2"/>
  <c r="K216" i="2"/>
  <c r="J216" i="2"/>
  <c r="O216" i="2" s="1"/>
  <c r="F216" i="2"/>
  <c r="N215" i="2"/>
  <c r="K215" i="2"/>
  <c r="J215" i="2"/>
  <c r="L215" i="2" s="1"/>
  <c r="F215" i="2"/>
  <c r="L253" i="2" l="1"/>
  <c r="I246" i="2"/>
  <c r="I215" i="2"/>
  <c r="F222" i="2"/>
  <c r="K237" i="2"/>
  <c r="I234" i="2"/>
  <c r="I237" i="2" s="1"/>
  <c r="I242" i="2"/>
  <c r="N242" i="2"/>
  <c r="L239" i="2"/>
  <c r="I262" i="2"/>
  <c r="I259" i="2"/>
  <c r="I253" i="2"/>
  <c r="K244" i="2"/>
  <c r="K228" i="2"/>
  <c r="I228" i="2" s="1"/>
  <c r="O234" i="2"/>
  <c r="F242" i="2"/>
  <c r="O255" i="2"/>
  <c r="O266" i="2"/>
  <c r="O230" i="2"/>
  <c r="O246" i="2"/>
  <c r="O254" i="2"/>
  <c r="O258" i="2"/>
  <c r="O223" i="2"/>
  <c r="L231" i="2"/>
  <c r="L234" i="2"/>
  <c r="L238" i="2"/>
  <c r="L247" i="2"/>
  <c r="L251" i="2"/>
  <c r="L255" i="2"/>
  <c r="L259" i="2"/>
  <c r="L262" i="2"/>
  <c r="L266" i="2"/>
  <c r="L270" i="2"/>
  <c r="O231" i="2"/>
  <c r="O238" i="2"/>
  <c r="J242" i="2"/>
  <c r="L242" i="2" s="1"/>
  <c r="O247" i="2"/>
  <c r="O251" i="2"/>
  <c r="O259" i="2"/>
  <c r="O262" i="2"/>
  <c r="O270" i="2"/>
  <c r="O215" i="2"/>
  <c r="O226" i="2"/>
  <c r="J237" i="2"/>
  <c r="O241" i="2"/>
  <c r="O250" i="2"/>
  <c r="O265" i="2"/>
  <c r="O269" i="2"/>
  <c r="I216" i="2"/>
  <c r="O242" i="2" l="1"/>
  <c r="O244" i="2" s="1"/>
  <c r="O228" i="2"/>
  <c r="O237" i="2"/>
  <c r="L237" i="2"/>
  <c r="J244" i="2"/>
  <c r="I244" i="2" s="1"/>
  <c r="N207" i="2" l="1"/>
  <c r="K207" i="2"/>
  <c r="J207" i="2"/>
  <c r="I207" i="2" s="1"/>
  <c r="F207" i="2"/>
  <c r="N206" i="2"/>
  <c r="K206" i="2"/>
  <c r="J206" i="2"/>
  <c r="L206" i="2" s="1"/>
  <c r="I206" i="2"/>
  <c r="F206" i="2"/>
  <c r="N205" i="2"/>
  <c r="L205" i="2"/>
  <c r="K205" i="2"/>
  <c r="J205" i="2"/>
  <c r="O205" i="2" s="1"/>
  <c r="I205" i="2"/>
  <c r="F205" i="2"/>
  <c r="N204" i="2"/>
  <c r="L204" i="2"/>
  <c r="K204" i="2"/>
  <c r="J204" i="2"/>
  <c r="O204" i="2" s="1"/>
  <c r="F204" i="2"/>
  <c r="N203" i="2"/>
  <c r="F203" i="2"/>
  <c r="N202" i="2"/>
  <c r="K202" i="2"/>
  <c r="J202" i="2"/>
  <c r="L202" i="2" s="1"/>
  <c r="I202" i="2"/>
  <c r="F202" i="2"/>
  <c r="N201" i="2"/>
  <c r="L201" i="2"/>
  <c r="K201" i="2"/>
  <c r="J201" i="2"/>
  <c r="O201" i="2" s="1"/>
  <c r="I201" i="2"/>
  <c r="F201" i="2"/>
  <c r="N200" i="2"/>
  <c r="F200" i="2"/>
  <c r="N199" i="2"/>
  <c r="K199" i="2"/>
  <c r="J199" i="2"/>
  <c r="I199" i="2" s="1"/>
  <c r="F199" i="2"/>
  <c r="N198" i="2"/>
  <c r="K198" i="2"/>
  <c r="J198" i="2"/>
  <c r="L198" i="2" s="1"/>
  <c r="I198" i="2"/>
  <c r="F198" i="2"/>
  <c r="N197" i="2"/>
  <c r="F197" i="2"/>
  <c r="N196" i="2"/>
  <c r="K196" i="2"/>
  <c r="J196" i="2"/>
  <c r="O196" i="2" s="1"/>
  <c r="F196" i="2"/>
  <c r="N195" i="2"/>
  <c r="K195" i="2"/>
  <c r="J195" i="2"/>
  <c r="L195" i="2" s="1"/>
  <c r="I195" i="2"/>
  <c r="F195" i="2"/>
  <c r="N194" i="2"/>
  <c r="F194" i="2"/>
  <c r="N193" i="2"/>
  <c r="L193" i="2"/>
  <c r="K193" i="2"/>
  <c r="J193" i="2"/>
  <c r="O193" i="2" s="1"/>
  <c r="F193" i="2"/>
  <c r="N192" i="2"/>
  <c r="K192" i="2"/>
  <c r="J192" i="2"/>
  <c r="I192" i="2" s="1"/>
  <c r="F192" i="2"/>
  <c r="N191" i="2"/>
  <c r="K191" i="2"/>
  <c r="J191" i="2"/>
  <c r="L191" i="2" s="1"/>
  <c r="I191" i="2"/>
  <c r="F191" i="2"/>
  <c r="N190" i="2"/>
  <c r="L190" i="2"/>
  <c r="K190" i="2"/>
  <c r="J190" i="2"/>
  <c r="O190" i="2" s="1"/>
  <c r="I190" i="2"/>
  <c r="F190" i="2"/>
  <c r="N189" i="2"/>
  <c r="L189" i="2"/>
  <c r="K189" i="2"/>
  <c r="J189" i="2"/>
  <c r="O189" i="2" s="1"/>
  <c r="F189" i="2"/>
  <c r="N188" i="2"/>
  <c r="K188" i="2"/>
  <c r="J188" i="2"/>
  <c r="F188" i="2"/>
  <c r="N187" i="2"/>
  <c r="K187" i="2"/>
  <c r="J187" i="2"/>
  <c r="L187" i="2" s="1"/>
  <c r="I187" i="2"/>
  <c r="F187" i="2"/>
  <c r="N186" i="2"/>
  <c r="L186" i="2"/>
  <c r="K186" i="2"/>
  <c r="J186" i="2"/>
  <c r="O186" i="2" s="1"/>
  <c r="I186" i="2"/>
  <c r="F186" i="2"/>
  <c r="N185" i="2"/>
  <c r="L185" i="2"/>
  <c r="K185" i="2"/>
  <c r="J185" i="2"/>
  <c r="O185" i="2" s="1"/>
  <c r="F185" i="2"/>
  <c r="N184" i="2"/>
  <c r="K184" i="2"/>
  <c r="J184" i="2"/>
  <c r="I184" i="2" s="1"/>
  <c r="F184" i="2"/>
  <c r="N183" i="2"/>
  <c r="F183" i="2"/>
  <c r="N182" i="2"/>
  <c r="L182" i="2"/>
  <c r="K182" i="2"/>
  <c r="J182" i="2"/>
  <c r="O182" i="2" s="1"/>
  <c r="I182" i="2"/>
  <c r="F182" i="2"/>
  <c r="N181" i="2"/>
  <c r="L181" i="2"/>
  <c r="K181" i="2"/>
  <c r="J181" i="2"/>
  <c r="O181" i="2" s="1"/>
  <c r="F181" i="2"/>
  <c r="N180" i="2"/>
  <c r="K180" i="2"/>
  <c r="J180" i="2"/>
  <c r="I180" i="2" s="1"/>
  <c r="F180" i="2"/>
  <c r="N178" i="2"/>
  <c r="K178" i="2"/>
  <c r="J178" i="2"/>
  <c r="L178" i="2" s="1"/>
  <c r="I178" i="2"/>
  <c r="F178" i="2"/>
  <c r="H177" i="2"/>
  <c r="G177" i="2"/>
  <c r="E177" i="2"/>
  <c r="D177" i="2"/>
  <c r="N176" i="2"/>
  <c r="L176" i="2"/>
  <c r="K176" i="2"/>
  <c r="J176" i="2"/>
  <c r="O176" i="2" s="1"/>
  <c r="F176" i="2"/>
  <c r="I176" i="2" s="1"/>
  <c r="N175" i="2"/>
  <c r="K175" i="2"/>
  <c r="J175" i="2"/>
  <c r="L175" i="2" s="1"/>
  <c r="I175" i="2"/>
  <c r="F175" i="2"/>
  <c r="N174" i="2"/>
  <c r="K174" i="2"/>
  <c r="J174" i="2"/>
  <c r="L174" i="2" s="1"/>
  <c r="I174" i="2"/>
  <c r="F174" i="2"/>
  <c r="N173" i="2"/>
  <c r="N177" i="2" s="1"/>
  <c r="L173" i="2"/>
  <c r="K173" i="2"/>
  <c r="K177" i="2" s="1"/>
  <c r="J173" i="2"/>
  <c r="I173" i="2"/>
  <c r="F173" i="2"/>
  <c r="F177" i="2" s="1"/>
  <c r="H172" i="2"/>
  <c r="G172" i="2"/>
  <c r="E172" i="2"/>
  <c r="D172" i="2"/>
  <c r="N171" i="2"/>
  <c r="K171" i="2"/>
  <c r="J171" i="2"/>
  <c r="I171" i="2" s="1"/>
  <c r="F171" i="2"/>
  <c r="N170" i="2"/>
  <c r="K170" i="2"/>
  <c r="J170" i="2"/>
  <c r="L170" i="2" s="1"/>
  <c r="I170" i="2"/>
  <c r="F170" i="2"/>
  <c r="N169" i="2"/>
  <c r="N172" i="2" s="1"/>
  <c r="L169" i="2"/>
  <c r="K169" i="2"/>
  <c r="J169" i="2"/>
  <c r="O169" i="2" s="1"/>
  <c r="I169" i="2"/>
  <c r="F169" i="2"/>
  <c r="N168" i="2"/>
  <c r="K168" i="2"/>
  <c r="J168" i="2"/>
  <c r="O168" i="2" s="1"/>
  <c r="F168" i="2"/>
  <c r="N167" i="2"/>
  <c r="K167" i="2"/>
  <c r="J167" i="2"/>
  <c r="L167" i="2" s="1"/>
  <c r="I167" i="2"/>
  <c r="F167" i="2"/>
  <c r="N166" i="2"/>
  <c r="L166" i="2"/>
  <c r="K166" i="2"/>
  <c r="J166" i="2"/>
  <c r="O166" i="2" s="1"/>
  <c r="I166" i="2"/>
  <c r="F166" i="2"/>
  <c r="N165" i="2"/>
  <c r="L165" i="2"/>
  <c r="K165" i="2"/>
  <c r="K172" i="2" s="1"/>
  <c r="K179" i="2" s="1"/>
  <c r="J165" i="2"/>
  <c r="J172" i="2" s="1"/>
  <c r="F165" i="2"/>
  <c r="F172" i="2" s="1"/>
  <c r="H163" i="2"/>
  <c r="G163" i="2"/>
  <c r="F163" i="2"/>
  <c r="O162" i="2"/>
  <c r="K162" i="2"/>
  <c r="J162" i="2"/>
  <c r="L162" i="2" s="1"/>
  <c r="I162" i="2"/>
  <c r="N161" i="2"/>
  <c r="L161" i="2"/>
  <c r="K161" i="2"/>
  <c r="J161" i="2"/>
  <c r="O161" i="2" s="1"/>
  <c r="F161" i="2"/>
  <c r="N160" i="2"/>
  <c r="K160" i="2"/>
  <c r="J160" i="2"/>
  <c r="I160" i="2" s="1"/>
  <c r="F160" i="2"/>
  <c r="O159" i="2"/>
  <c r="K159" i="2"/>
  <c r="J159" i="2"/>
  <c r="I159" i="2" s="1"/>
  <c r="F159" i="2"/>
  <c r="N158" i="2"/>
  <c r="K158" i="2"/>
  <c r="K163" i="2" s="1"/>
  <c r="J158" i="2"/>
  <c r="I158" i="2" s="1"/>
  <c r="F158" i="2"/>
  <c r="H157" i="2"/>
  <c r="G157" i="2"/>
  <c r="N156" i="2"/>
  <c r="K156" i="2"/>
  <c r="J156" i="2"/>
  <c r="O156" i="2" s="1"/>
  <c r="F156" i="2"/>
  <c r="N155" i="2"/>
  <c r="K155" i="2"/>
  <c r="J155" i="2"/>
  <c r="I155" i="2" s="1"/>
  <c r="F155" i="2"/>
  <c r="N154" i="2"/>
  <c r="K154" i="2"/>
  <c r="J154" i="2"/>
  <c r="L154" i="2" s="1"/>
  <c r="I154" i="2"/>
  <c r="F154" i="2"/>
  <c r="N153" i="2"/>
  <c r="K153" i="2"/>
  <c r="J153" i="2"/>
  <c r="O153" i="2" s="1"/>
  <c r="F153" i="2"/>
  <c r="N152" i="2"/>
  <c r="K152" i="2"/>
  <c r="K217" i="2" s="1"/>
  <c r="K222" i="2" s="1"/>
  <c r="J152" i="2"/>
  <c r="J217" i="2" s="1"/>
  <c r="F152" i="2"/>
  <c r="O151" i="2"/>
  <c r="N151" i="2"/>
  <c r="K151" i="2"/>
  <c r="J151" i="2"/>
  <c r="I151" i="2"/>
  <c r="F151" i="2"/>
  <c r="N150" i="2"/>
  <c r="L150" i="2"/>
  <c r="K150" i="2"/>
  <c r="J150" i="2"/>
  <c r="F150" i="2"/>
  <c r="F157" i="2" l="1"/>
  <c r="K157" i="2"/>
  <c r="O217" i="2"/>
  <c r="O222" i="2" s="1"/>
  <c r="O229" i="2" s="1"/>
  <c r="I217" i="2"/>
  <c r="L217" i="2"/>
  <c r="J222" i="2"/>
  <c r="I222" i="2" s="1"/>
  <c r="I177" i="2"/>
  <c r="J177" i="2"/>
  <c r="L177" i="2" s="1"/>
  <c r="I188" i="2"/>
  <c r="I152" i="2"/>
  <c r="J157" i="2"/>
  <c r="J179" i="2"/>
  <c r="I179" i="2" s="1"/>
  <c r="L172" i="2"/>
  <c r="I172" i="2"/>
  <c r="I157" i="2"/>
  <c r="O152" i="2"/>
  <c r="O175" i="2"/>
  <c r="O180" i="2"/>
  <c r="O184" i="2"/>
  <c r="O188" i="2"/>
  <c r="O199" i="2"/>
  <c r="O154" i="2"/>
  <c r="J163" i="2"/>
  <c r="I163" i="2" s="1"/>
  <c r="O167" i="2"/>
  <c r="O170" i="2"/>
  <c r="O174" i="2"/>
  <c r="O178" i="2"/>
  <c r="O187" i="2"/>
  <c r="O191" i="2"/>
  <c r="O195" i="2"/>
  <c r="O198" i="2"/>
  <c r="O202" i="2"/>
  <c r="O206" i="2"/>
  <c r="I150" i="2"/>
  <c r="L152" i="2"/>
  <c r="I153" i="2"/>
  <c r="L155" i="2"/>
  <c r="I156" i="2"/>
  <c r="L158" i="2"/>
  <c r="L160" i="2"/>
  <c r="I161" i="2"/>
  <c r="I165" i="2"/>
  <c r="L171" i="2"/>
  <c r="O173" i="2"/>
  <c r="L180" i="2"/>
  <c r="I181" i="2"/>
  <c r="L184" i="2"/>
  <c r="I185" i="2"/>
  <c r="L188" i="2"/>
  <c r="I189" i="2"/>
  <c r="L192" i="2"/>
  <c r="I193" i="2"/>
  <c r="L199" i="2"/>
  <c r="L203" i="2"/>
  <c r="I204" i="2"/>
  <c r="L207" i="2"/>
  <c r="O155" i="2"/>
  <c r="O158" i="2"/>
  <c r="O160" i="2"/>
  <c r="O171" i="2"/>
  <c r="O192" i="2"/>
  <c r="O207" i="2"/>
  <c r="O150" i="2"/>
  <c r="O157" i="2" s="1"/>
  <c r="O165" i="2"/>
  <c r="I168" i="2"/>
  <c r="I196" i="2"/>
  <c r="K135" i="2"/>
  <c r="K200" i="2" s="1"/>
  <c r="K136" i="2"/>
  <c r="K137" i="2"/>
  <c r="K138" i="2"/>
  <c r="K203" i="2" s="1"/>
  <c r="K139" i="2"/>
  <c r="K140" i="2"/>
  <c r="K141" i="2"/>
  <c r="K142" i="2"/>
  <c r="K123" i="2"/>
  <c r="K124" i="2"/>
  <c r="K125" i="2"/>
  <c r="K126" i="2"/>
  <c r="I126" i="2" s="1"/>
  <c r="K127" i="2"/>
  <c r="K128" i="2"/>
  <c r="K129" i="2"/>
  <c r="K194" i="2" s="1"/>
  <c r="K130" i="2"/>
  <c r="I130" i="2" s="1"/>
  <c r="K131" i="2"/>
  <c r="K132" i="2"/>
  <c r="K197" i="2" s="1"/>
  <c r="K133" i="2"/>
  <c r="K134" i="2"/>
  <c r="K122" i="2"/>
  <c r="K117" i="2"/>
  <c r="K119" i="2"/>
  <c r="K120" i="2"/>
  <c r="K121" i="2"/>
  <c r="K116" i="2"/>
  <c r="K115" i="2"/>
  <c r="J140" i="2"/>
  <c r="J141" i="2"/>
  <c r="J142" i="2"/>
  <c r="J134" i="2"/>
  <c r="J135" i="2"/>
  <c r="J200" i="2" s="1"/>
  <c r="O200" i="2" s="1"/>
  <c r="J136" i="2"/>
  <c r="J137" i="2"/>
  <c r="O137" i="2" s="1"/>
  <c r="J138" i="2"/>
  <c r="J203" i="2" s="1"/>
  <c r="I203" i="2" s="1"/>
  <c r="J139" i="2"/>
  <c r="J128" i="2"/>
  <c r="J129" i="2"/>
  <c r="J194" i="2" s="1"/>
  <c r="O194" i="2" s="1"/>
  <c r="J130" i="2"/>
  <c r="O130" i="2" s="1"/>
  <c r="J131" i="2"/>
  <c r="O131" i="2" s="1"/>
  <c r="J132" i="2"/>
  <c r="J197" i="2" s="1"/>
  <c r="J133" i="2"/>
  <c r="J117" i="2"/>
  <c r="J119" i="2"/>
  <c r="J120" i="2"/>
  <c r="O120" i="2" s="1"/>
  <c r="J121" i="2"/>
  <c r="J122" i="2"/>
  <c r="J123" i="2"/>
  <c r="J124" i="2"/>
  <c r="O124" i="2" s="1"/>
  <c r="J125" i="2"/>
  <c r="J126" i="2"/>
  <c r="J127" i="2"/>
  <c r="J116" i="2"/>
  <c r="J115" i="2"/>
  <c r="K113" i="2"/>
  <c r="J113" i="2"/>
  <c r="K110" i="2"/>
  <c r="K111" i="2"/>
  <c r="J110" i="2"/>
  <c r="J111" i="2"/>
  <c r="K109" i="2"/>
  <c r="J109" i="2"/>
  <c r="K108" i="2"/>
  <c r="J108" i="2"/>
  <c r="K102" i="2"/>
  <c r="K103" i="2"/>
  <c r="K104" i="2"/>
  <c r="K105" i="2"/>
  <c r="K106" i="2"/>
  <c r="K101" i="2"/>
  <c r="J102" i="2"/>
  <c r="J103" i="2"/>
  <c r="J104" i="2"/>
  <c r="J105" i="2"/>
  <c r="O105" i="2" s="1"/>
  <c r="J106" i="2"/>
  <c r="J101" i="2"/>
  <c r="K100" i="2"/>
  <c r="J100" i="2"/>
  <c r="K95" i="2"/>
  <c r="K96" i="2"/>
  <c r="K97" i="2"/>
  <c r="J95" i="2"/>
  <c r="J96" i="2"/>
  <c r="J97" i="2"/>
  <c r="K94" i="2"/>
  <c r="J94" i="2"/>
  <c r="J93" i="2"/>
  <c r="K93" i="2"/>
  <c r="K87" i="2"/>
  <c r="K88" i="2"/>
  <c r="K89" i="2"/>
  <c r="K90" i="2"/>
  <c r="I90" i="2" s="1"/>
  <c r="K91" i="2"/>
  <c r="K86" i="2"/>
  <c r="J87" i="2"/>
  <c r="O87" i="2" s="1"/>
  <c r="J88" i="2"/>
  <c r="J89" i="2"/>
  <c r="J90" i="2"/>
  <c r="L90" i="2" s="1"/>
  <c r="J91" i="2"/>
  <c r="K92" i="2"/>
  <c r="J86" i="2"/>
  <c r="K85" i="2"/>
  <c r="J85" i="2"/>
  <c r="N142" i="2"/>
  <c r="O142" i="2"/>
  <c r="F142" i="2"/>
  <c r="N141" i="2"/>
  <c r="O141" i="2"/>
  <c r="I141" i="2"/>
  <c r="F141" i="2"/>
  <c r="N140" i="2"/>
  <c r="L140" i="2"/>
  <c r="O140" i="2"/>
  <c r="I140" i="2"/>
  <c r="F140" i="2"/>
  <c r="N139" i="2"/>
  <c r="L139" i="2"/>
  <c r="I139" i="2"/>
  <c r="O139" i="2"/>
  <c r="F139" i="2"/>
  <c r="N138" i="2"/>
  <c r="F138" i="2"/>
  <c r="N137" i="2"/>
  <c r="I137" i="2"/>
  <c r="F137" i="2"/>
  <c r="N136" i="2"/>
  <c r="L136" i="2"/>
  <c r="O136" i="2"/>
  <c r="I136" i="2"/>
  <c r="F136" i="2"/>
  <c r="N135" i="2"/>
  <c r="O135" i="2"/>
  <c r="F135" i="2"/>
  <c r="N134" i="2"/>
  <c r="O134" i="2"/>
  <c r="F134" i="2"/>
  <c r="N133" i="2"/>
  <c r="O133" i="2"/>
  <c r="I133" i="2"/>
  <c r="F133" i="2"/>
  <c r="N132" i="2"/>
  <c r="O132" i="2"/>
  <c r="F132" i="2"/>
  <c r="N131" i="2"/>
  <c r="F131" i="2"/>
  <c r="N130" i="2"/>
  <c r="F130" i="2"/>
  <c r="N129" i="2"/>
  <c r="O129" i="2"/>
  <c r="F129" i="2"/>
  <c r="N128" i="2"/>
  <c r="L128" i="2"/>
  <c r="I128" i="2"/>
  <c r="O128" i="2"/>
  <c r="F128" i="2"/>
  <c r="N127" i="2"/>
  <c r="O127" i="2"/>
  <c r="F127" i="2"/>
  <c r="N126" i="2"/>
  <c r="O126" i="2"/>
  <c r="F126" i="2"/>
  <c r="N125" i="2"/>
  <c r="L125" i="2"/>
  <c r="O125" i="2"/>
  <c r="I125" i="2"/>
  <c r="F125" i="2"/>
  <c r="N124" i="2"/>
  <c r="L124" i="2"/>
  <c r="F124" i="2"/>
  <c r="N123" i="2"/>
  <c r="O123" i="2"/>
  <c r="F123" i="2"/>
  <c r="N122" i="2"/>
  <c r="O122" i="2"/>
  <c r="I122" i="2"/>
  <c r="F122" i="2"/>
  <c r="N121" i="2"/>
  <c r="L121" i="2"/>
  <c r="O121" i="2"/>
  <c r="I121" i="2"/>
  <c r="F121" i="2"/>
  <c r="N120" i="2"/>
  <c r="L120" i="2"/>
  <c r="F120" i="2"/>
  <c r="N119" i="2"/>
  <c r="O119" i="2"/>
  <c r="F119" i="2"/>
  <c r="N118" i="2"/>
  <c r="F118" i="2"/>
  <c r="N117" i="2"/>
  <c r="L117" i="2"/>
  <c r="O117" i="2"/>
  <c r="I117" i="2"/>
  <c r="F117" i="2"/>
  <c r="N116" i="2"/>
  <c r="L116" i="2"/>
  <c r="I116" i="2"/>
  <c r="O116" i="2"/>
  <c r="F116" i="2"/>
  <c r="N115" i="2"/>
  <c r="O115" i="2"/>
  <c r="F115" i="2"/>
  <c r="N113" i="2"/>
  <c r="O113" i="2"/>
  <c r="I113" i="2"/>
  <c r="F113" i="2"/>
  <c r="E112" i="2"/>
  <c r="D112" i="2"/>
  <c r="N111" i="2"/>
  <c r="L111" i="2"/>
  <c r="O111" i="2"/>
  <c r="F111" i="2"/>
  <c r="I111" i="2" s="1"/>
  <c r="N110" i="2"/>
  <c r="O110" i="2"/>
  <c r="F110" i="2"/>
  <c r="I110" i="2" s="1"/>
  <c r="N109" i="2"/>
  <c r="O109" i="2"/>
  <c r="I109" i="2"/>
  <c r="F109" i="2"/>
  <c r="N108" i="2"/>
  <c r="N112" i="2" s="1"/>
  <c r="H112" i="2"/>
  <c r="G112" i="2"/>
  <c r="H107" i="2"/>
  <c r="G107" i="2"/>
  <c r="E107" i="2"/>
  <c r="D107" i="2"/>
  <c r="N106" i="2"/>
  <c r="L106" i="2"/>
  <c r="O106" i="2"/>
  <c r="I106" i="2"/>
  <c r="F106" i="2"/>
  <c r="N105" i="2"/>
  <c r="L105" i="2"/>
  <c r="F105" i="2"/>
  <c r="N104" i="2"/>
  <c r="N107" i="2" s="1"/>
  <c r="O104" i="2"/>
  <c r="F104" i="2"/>
  <c r="O103" i="2"/>
  <c r="N103" i="2"/>
  <c r="I103" i="2"/>
  <c r="F103" i="2"/>
  <c r="N102" i="2"/>
  <c r="L102" i="2"/>
  <c r="O102" i="2"/>
  <c r="F102" i="2"/>
  <c r="N101" i="2"/>
  <c r="O101" i="2"/>
  <c r="F101" i="2"/>
  <c r="N100" i="2"/>
  <c r="I100" i="2"/>
  <c r="F100" i="2"/>
  <c r="H98" i="2"/>
  <c r="G98" i="2"/>
  <c r="F98" i="2" s="1"/>
  <c r="L97" i="2"/>
  <c r="K98" i="2"/>
  <c r="O97" i="2"/>
  <c r="N96" i="2"/>
  <c r="O96" i="2"/>
  <c r="I96" i="2"/>
  <c r="F96" i="2"/>
  <c r="N95" i="2"/>
  <c r="L95" i="2"/>
  <c r="O95" i="2"/>
  <c r="I95" i="2"/>
  <c r="F95" i="2"/>
  <c r="J98" i="2"/>
  <c r="I94" i="2"/>
  <c r="F94" i="2"/>
  <c r="N93" i="2"/>
  <c r="L93" i="2"/>
  <c r="O93" i="2"/>
  <c r="I93" i="2"/>
  <c r="F93" i="2"/>
  <c r="H92" i="2"/>
  <c r="G92" i="2"/>
  <c r="O91" i="2"/>
  <c r="N91" i="2"/>
  <c r="I91" i="2"/>
  <c r="F91" i="2"/>
  <c r="N90" i="2"/>
  <c r="F90" i="2"/>
  <c r="N89" i="2"/>
  <c r="L89" i="2"/>
  <c r="O89" i="2"/>
  <c r="F89" i="2"/>
  <c r="O88" i="2"/>
  <c r="N88" i="2"/>
  <c r="I88" i="2"/>
  <c r="F88" i="2"/>
  <c r="N87" i="2"/>
  <c r="F87" i="2"/>
  <c r="F92" i="2" s="1"/>
  <c r="N86" i="2"/>
  <c r="O86" i="2"/>
  <c r="F86" i="2"/>
  <c r="N85" i="2"/>
  <c r="I85" i="2"/>
  <c r="F85" i="2"/>
  <c r="H43" i="2"/>
  <c r="G43" i="2"/>
  <c r="O138" i="2" l="1"/>
  <c r="O203" i="2"/>
  <c r="I200" i="2"/>
  <c r="L200" i="2"/>
  <c r="O197" i="2"/>
  <c r="L197" i="2"/>
  <c r="L132" i="2"/>
  <c r="I132" i="2"/>
  <c r="I197" i="2"/>
  <c r="I194" i="2"/>
  <c r="L194" i="2"/>
  <c r="O177" i="2"/>
  <c r="O163" i="2"/>
  <c r="O164" i="2" s="1"/>
  <c r="O172" i="2"/>
  <c r="L87" i="2"/>
  <c r="I87" i="2"/>
  <c r="I120" i="2"/>
  <c r="I124" i="2"/>
  <c r="I98" i="2"/>
  <c r="O90" i="2"/>
  <c r="J92" i="2"/>
  <c r="I92" i="2" s="1"/>
  <c r="I135" i="2"/>
  <c r="L135" i="2"/>
  <c r="L129" i="2"/>
  <c r="I129" i="2"/>
  <c r="K107" i="2"/>
  <c r="F107" i="2"/>
  <c r="J107" i="2"/>
  <c r="L107" i="2" s="1"/>
  <c r="I89" i="2"/>
  <c r="I97" i="2"/>
  <c r="L101" i="2"/>
  <c r="I102" i="2"/>
  <c r="L104" i="2"/>
  <c r="I105" i="2"/>
  <c r="F108" i="2"/>
  <c r="F112" i="2" s="1"/>
  <c r="L110" i="2"/>
  <c r="L115" i="2"/>
  <c r="L119" i="2"/>
  <c r="L123" i="2"/>
  <c r="L127" i="2"/>
  <c r="L134" i="2"/>
  <c r="L138" i="2"/>
  <c r="L142" i="2"/>
  <c r="L85" i="2"/>
  <c r="I86" i="2"/>
  <c r="O94" i="2"/>
  <c r="O98" i="2" s="1"/>
  <c r="L96" i="2"/>
  <c r="L100" i="2"/>
  <c r="I101" i="2"/>
  <c r="I104" i="2"/>
  <c r="I107" i="2" s="1"/>
  <c r="K112" i="2"/>
  <c r="K114" i="2" s="1"/>
  <c r="L109" i="2"/>
  <c r="L113" i="2"/>
  <c r="I115" i="2"/>
  <c r="I119" i="2"/>
  <c r="L122" i="2"/>
  <c r="I123" i="2"/>
  <c r="L126" i="2"/>
  <c r="I127" i="2"/>
  <c r="L130" i="2"/>
  <c r="I131" i="2"/>
  <c r="L133" i="2"/>
  <c r="I134" i="2"/>
  <c r="L137" i="2"/>
  <c r="I138" i="2"/>
  <c r="L141" i="2"/>
  <c r="I142" i="2"/>
  <c r="O85" i="2"/>
  <c r="O92" i="2" s="1"/>
  <c r="O100" i="2"/>
  <c r="O107" i="2" s="1"/>
  <c r="O179" i="2" l="1"/>
  <c r="I108" i="2"/>
  <c r="I112" i="2" s="1"/>
  <c r="L108" i="2"/>
  <c r="J112" i="2"/>
  <c r="O108" i="2"/>
  <c r="O112" i="2" s="1"/>
  <c r="O114" i="2" s="1"/>
  <c r="O99" i="2"/>
  <c r="L112" i="2" l="1"/>
  <c r="J114" i="2"/>
  <c r="I114" i="2" s="1"/>
  <c r="K75" i="2" l="1"/>
  <c r="K76" i="2"/>
  <c r="K77" i="2"/>
  <c r="K69" i="2"/>
  <c r="K70" i="2"/>
  <c r="K71" i="2"/>
  <c r="K72" i="2"/>
  <c r="K73" i="2"/>
  <c r="K74" i="2"/>
  <c r="K63" i="2"/>
  <c r="K64" i="2"/>
  <c r="K65" i="2"/>
  <c r="K66" i="2"/>
  <c r="K67" i="2"/>
  <c r="K68" i="2"/>
  <c r="K58" i="2"/>
  <c r="K59" i="2"/>
  <c r="K60" i="2"/>
  <c r="K61" i="2"/>
  <c r="K62" i="2"/>
  <c r="K52" i="2"/>
  <c r="K53" i="2"/>
  <c r="K118" i="2" s="1"/>
  <c r="K54" i="2"/>
  <c r="K55" i="2"/>
  <c r="K56" i="2"/>
  <c r="K57" i="2"/>
  <c r="J69" i="2"/>
  <c r="J70" i="2"/>
  <c r="J71" i="2"/>
  <c r="J72" i="2"/>
  <c r="J73" i="2"/>
  <c r="J74" i="2"/>
  <c r="J75" i="2"/>
  <c r="J76" i="2"/>
  <c r="J77" i="2"/>
  <c r="J60" i="2"/>
  <c r="J61" i="2"/>
  <c r="J62" i="2"/>
  <c r="J63" i="2"/>
  <c r="J64" i="2"/>
  <c r="J65" i="2"/>
  <c r="J66" i="2"/>
  <c r="J67" i="2"/>
  <c r="J68" i="2"/>
  <c r="J52" i="2"/>
  <c r="J53" i="2"/>
  <c r="J118" i="2" s="1"/>
  <c r="J54" i="2"/>
  <c r="J55" i="2"/>
  <c r="J56" i="2"/>
  <c r="J57" i="2"/>
  <c r="J58" i="2"/>
  <c r="J59" i="2"/>
  <c r="K51" i="2"/>
  <c r="J51" i="2"/>
  <c r="K50" i="2"/>
  <c r="J50" i="2"/>
  <c r="K48" i="2"/>
  <c r="J48" i="2"/>
  <c r="K45" i="2"/>
  <c r="K46" i="2"/>
  <c r="J45" i="2"/>
  <c r="J46" i="2"/>
  <c r="K44" i="2"/>
  <c r="J44" i="2"/>
  <c r="K43" i="2"/>
  <c r="J43" i="2"/>
  <c r="K37" i="2"/>
  <c r="K38" i="2"/>
  <c r="K39" i="2"/>
  <c r="K40" i="2"/>
  <c r="K41" i="2"/>
  <c r="J37" i="2"/>
  <c r="J38" i="2"/>
  <c r="J39" i="2"/>
  <c r="J40" i="2"/>
  <c r="J41" i="2"/>
  <c r="K36" i="2"/>
  <c r="J36" i="2"/>
  <c r="K35" i="2"/>
  <c r="J35" i="2"/>
  <c r="K30" i="2"/>
  <c r="K31" i="2"/>
  <c r="K32" i="2"/>
  <c r="J30" i="2"/>
  <c r="J31" i="2"/>
  <c r="J32" i="2"/>
  <c r="K29" i="2"/>
  <c r="J29" i="2"/>
  <c r="K28" i="2"/>
  <c r="J28" i="2"/>
  <c r="K22" i="2"/>
  <c r="K23" i="2"/>
  <c r="K24" i="2"/>
  <c r="K25" i="2"/>
  <c r="K26" i="2"/>
  <c r="J22" i="2"/>
  <c r="J23" i="2"/>
  <c r="J24" i="2"/>
  <c r="J25" i="2"/>
  <c r="J26" i="2"/>
  <c r="K21" i="2"/>
  <c r="J21" i="2"/>
  <c r="K20" i="2"/>
  <c r="J20" i="2"/>
  <c r="K183" i="2" l="1"/>
  <c r="K143" i="2"/>
  <c r="J183" i="2"/>
  <c r="O118" i="2"/>
  <c r="O143" i="2" s="1"/>
  <c r="O145" i="2" s="1"/>
  <c r="J143" i="2"/>
  <c r="I143" i="2" s="1"/>
  <c r="I118" i="2"/>
  <c r="L118" i="2"/>
  <c r="K248" i="2" l="1"/>
  <c r="K208" i="2"/>
  <c r="J248" i="2"/>
  <c r="O183" i="2"/>
  <c r="O208" i="2" s="1"/>
  <c r="O210" i="2" s="1"/>
  <c r="L183" i="2"/>
  <c r="I183" i="2"/>
  <c r="J208" i="2"/>
  <c r="I208" i="2" s="1"/>
  <c r="K313" i="2" l="1"/>
  <c r="K338" i="2" s="1"/>
  <c r="K273" i="2"/>
  <c r="J313" i="2"/>
  <c r="L248" i="2"/>
  <c r="I248" i="2"/>
  <c r="O248" i="2"/>
  <c r="O273" i="2" s="1"/>
  <c r="J273" i="2"/>
  <c r="O275" i="2" l="1"/>
  <c r="I273" i="2"/>
  <c r="J338" i="2"/>
  <c r="I338" i="2" s="1"/>
  <c r="I313" i="2"/>
  <c r="O313" i="2"/>
  <c r="O338" i="2" s="1"/>
  <c r="O340" i="2" s="1"/>
  <c r="L313" i="2"/>
  <c r="N77" i="2" l="1"/>
  <c r="O77" i="2"/>
  <c r="F77" i="2"/>
  <c r="N76" i="2"/>
  <c r="O76" i="2"/>
  <c r="F76" i="2"/>
  <c r="N75" i="2"/>
  <c r="I75" i="2"/>
  <c r="F75" i="2"/>
  <c r="N74" i="2"/>
  <c r="L74" i="2"/>
  <c r="I74" i="2"/>
  <c r="F74" i="2"/>
  <c r="N73" i="2"/>
  <c r="L73" i="2"/>
  <c r="O73" i="2"/>
  <c r="F73" i="2"/>
  <c r="N72" i="2"/>
  <c r="O72" i="2"/>
  <c r="F72" i="2"/>
  <c r="N71" i="2"/>
  <c r="F71" i="2"/>
  <c r="N70" i="2"/>
  <c r="O70" i="2"/>
  <c r="F70" i="2"/>
  <c r="N69" i="2"/>
  <c r="L69" i="2"/>
  <c r="O69" i="2"/>
  <c r="F69" i="2"/>
  <c r="N68" i="2"/>
  <c r="O68" i="2"/>
  <c r="F68" i="2"/>
  <c r="N67" i="2"/>
  <c r="F67" i="2"/>
  <c r="N66" i="2"/>
  <c r="O66" i="2"/>
  <c r="F66" i="2"/>
  <c r="N65" i="2"/>
  <c r="O65" i="2"/>
  <c r="F65" i="2"/>
  <c r="N64" i="2"/>
  <c r="F64" i="2"/>
  <c r="N63" i="2"/>
  <c r="L63" i="2"/>
  <c r="O63" i="2"/>
  <c r="I63" i="2"/>
  <c r="F63" i="2"/>
  <c r="N62" i="2"/>
  <c r="O62" i="2"/>
  <c r="F62" i="2"/>
  <c r="N61" i="2"/>
  <c r="O61" i="2"/>
  <c r="F61" i="2"/>
  <c r="N60" i="2"/>
  <c r="F60" i="2"/>
  <c r="N59" i="2"/>
  <c r="L59" i="2"/>
  <c r="O59" i="2"/>
  <c r="F59" i="2"/>
  <c r="N58" i="2"/>
  <c r="O58" i="2"/>
  <c r="F58" i="2"/>
  <c r="N57" i="2"/>
  <c r="O57" i="2"/>
  <c r="F57" i="2"/>
  <c r="N56" i="2"/>
  <c r="F56" i="2"/>
  <c r="N55" i="2"/>
  <c r="O55" i="2"/>
  <c r="F55" i="2"/>
  <c r="N54" i="2"/>
  <c r="L54" i="2"/>
  <c r="O54" i="2"/>
  <c r="F54" i="2"/>
  <c r="N53" i="2"/>
  <c r="O53" i="2"/>
  <c r="F53" i="2"/>
  <c r="N52" i="2"/>
  <c r="I52" i="2"/>
  <c r="F52" i="2"/>
  <c r="N51" i="2"/>
  <c r="O51" i="2"/>
  <c r="F51" i="2"/>
  <c r="N50" i="2"/>
  <c r="L50" i="2"/>
  <c r="O50" i="2"/>
  <c r="F50" i="2"/>
  <c r="N48" i="2"/>
  <c r="O48" i="2"/>
  <c r="F48" i="2"/>
  <c r="H47" i="2"/>
  <c r="G47" i="2"/>
  <c r="E47" i="2"/>
  <c r="D47" i="2"/>
  <c r="N46" i="2"/>
  <c r="O46" i="2"/>
  <c r="I46" i="2"/>
  <c r="F46" i="2"/>
  <c r="N45" i="2"/>
  <c r="L45" i="2"/>
  <c r="O45" i="2"/>
  <c r="F45" i="2"/>
  <c r="I45" i="2" s="1"/>
  <c r="N44" i="2"/>
  <c r="O44" i="2"/>
  <c r="F44" i="2"/>
  <c r="I44" i="2" s="1"/>
  <c r="N43" i="2"/>
  <c r="N47" i="2" s="1"/>
  <c r="K47" i="2"/>
  <c r="F43" i="2"/>
  <c r="H42" i="2"/>
  <c r="G42" i="2"/>
  <c r="E42" i="2"/>
  <c r="D42" i="2"/>
  <c r="N41" i="2"/>
  <c r="O41" i="2"/>
  <c r="F41" i="2"/>
  <c r="N40" i="2"/>
  <c r="O40" i="2"/>
  <c r="F40" i="2"/>
  <c r="N39" i="2"/>
  <c r="F39" i="2"/>
  <c r="N38" i="2"/>
  <c r="O38" i="2"/>
  <c r="F38" i="2"/>
  <c r="N37" i="2"/>
  <c r="O37" i="2"/>
  <c r="F37" i="2"/>
  <c r="N36" i="2"/>
  <c r="I36" i="2"/>
  <c r="F36" i="2"/>
  <c r="N35" i="2"/>
  <c r="K42" i="2"/>
  <c r="L35" i="2"/>
  <c r="I35" i="2"/>
  <c r="F35" i="2"/>
  <c r="H33" i="2"/>
  <c r="G33" i="2"/>
  <c r="F33" i="2" s="1"/>
  <c r="N31" i="2"/>
  <c r="L31" i="2"/>
  <c r="I31" i="2"/>
  <c r="O31" i="2"/>
  <c r="F31" i="2"/>
  <c r="N30" i="2"/>
  <c r="O30" i="2"/>
  <c r="F30" i="2"/>
  <c r="O29" i="2"/>
  <c r="I29" i="2"/>
  <c r="F29" i="2"/>
  <c r="N28" i="2"/>
  <c r="L28" i="2"/>
  <c r="O28" i="2"/>
  <c r="F28" i="2"/>
  <c r="H27" i="2"/>
  <c r="G27" i="2"/>
  <c r="N26" i="2"/>
  <c r="O26" i="2"/>
  <c r="F26" i="2"/>
  <c r="N25" i="2"/>
  <c r="O25" i="2"/>
  <c r="F25" i="2"/>
  <c r="N24" i="2"/>
  <c r="O24" i="2"/>
  <c r="F24" i="2"/>
  <c r="N23" i="2"/>
  <c r="O23" i="2"/>
  <c r="F23" i="2"/>
  <c r="N22" i="2"/>
  <c r="O22" i="2"/>
  <c r="F22" i="2"/>
  <c r="N21" i="2"/>
  <c r="O21" i="2"/>
  <c r="F21" i="2"/>
  <c r="N20" i="2"/>
  <c r="J27" i="2"/>
  <c r="F20" i="2"/>
  <c r="L55" i="2" l="1"/>
  <c r="I58" i="2"/>
  <c r="I59" i="2"/>
  <c r="L62" i="2"/>
  <c r="F27" i="2"/>
  <c r="L20" i="2"/>
  <c r="I23" i="2"/>
  <c r="L25" i="2"/>
  <c r="L51" i="2"/>
  <c r="I55" i="2"/>
  <c r="L58" i="2"/>
  <c r="K33" i="2"/>
  <c r="I20" i="2"/>
  <c r="L22" i="2"/>
  <c r="L30" i="2"/>
  <c r="J33" i="2"/>
  <c r="N42" i="2"/>
  <c r="L41" i="2"/>
  <c r="L46" i="2"/>
  <c r="I51" i="2"/>
  <c r="I71" i="2"/>
  <c r="L77" i="2"/>
  <c r="K78" i="2"/>
  <c r="L70" i="2"/>
  <c r="I70" i="2"/>
  <c r="I67" i="2"/>
  <c r="I64" i="2"/>
  <c r="I60" i="2"/>
  <c r="I56" i="2"/>
  <c r="I43" i="2"/>
  <c r="I47" i="2" s="1"/>
  <c r="I39" i="2"/>
  <c r="F42" i="2"/>
  <c r="J42" i="2"/>
  <c r="L42" i="2" s="1"/>
  <c r="K27" i="2"/>
  <c r="I27" i="2" s="1"/>
  <c r="I26" i="2"/>
  <c r="K49" i="2"/>
  <c r="O43" i="2"/>
  <c r="O47" i="2" s="1"/>
  <c r="F47" i="2"/>
  <c r="O60" i="2"/>
  <c r="O64" i="2"/>
  <c r="O71" i="2"/>
  <c r="J78" i="2"/>
  <c r="O20" i="2"/>
  <c r="O27" i="2" s="1"/>
  <c r="I22" i="2"/>
  <c r="L24" i="2"/>
  <c r="I25" i="2"/>
  <c r="I28" i="2"/>
  <c r="I30" i="2"/>
  <c r="L32" i="2"/>
  <c r="O35" i="2"/>
  <c r="L37" i="2"/>
  <c r="I38" i="2"/>
  <c r="L40" i="2"/>
  <c r="I41" i="2"/>
  <c r="L44" i="2"/>
  <c r="L48" i="2"/>
  <c r="I50" i="2"/>
  <c r="L53" i="2"/>
  <c r="I54" i="2"/>
  <c r="L57" i="2"/>
  <c r="L61" i="2"/>
  <c r="I62" i="2"/>
  <c r="L65" i="2"/>
  <c r="I66" i="2"/>
  <c r="L68" i="2"/>
  <c r="I69" i="2"/>
  <c r="L72" i="2"/>
  <c r="I73" i="2"/>
  <c r="O74" i="2"/>
  <c r="L76" i="2"/>
  <c r="I77" i="2"/>
  <c r="O36" i="2"/>
  <c r="O39" i="2"/>
  <c r="O56" i="2"/>
  <c r="O75" i="2"/>
  <c r="I24" i="2"/>
  <c r="I32" i="2"/>
  <c r="O32" i="2"/>
  <c r="O33" i="2" s="1"/>
  <c r="L36" i="2"/>
  <c r="I37" i="2"/>
  <c r="L39" i="2"/>
  <c r="I40" i="2"/>
  <c r="L43" i="2"/>
  <c r="I48" i="2"/>
  <c r="L52" i="2"/>
  <c r="I53" i="2"/>
  <c r="L56" i="2"/>
  <c r="I57" i="2"/>
  <c r="L60" i="2"/>
  <c r="I61" i="2"/>
  <c r="L64" i="2"/>
  <c r="I65" i="2"/>
  <c r="L67" i="2"/>
  <c r="I68" i="2"/>
  <c r="L71" i="2"/>
  <c r="I72" i="2"/>
  <c r="L75" i="2"/>
  <c r="I76" i="2"/>
  <c r="J47" i="2"/>
  <c r="L47" i="2" s="1"/>
  <c r="O52" i="2"/>
  <c r="O67" i="2"/>
  <c r="I21" i="2"/>
  <c r="I42" i="2" l="1"/>
  <c r="I33" i="2"/>
  <c r="I78" i="2"/>
  <c r="O78" i="2"/>
  <c r="J49" i="2"/>
  <c r="O34" i="2"/>
  <c r="O42" i="2"/>
  <c r="O49" i="2" s="1"/>
  <c r="I49" i="2" l="1"/>
  <c r="O80" i="2"/>
</calcChain>
</file>

<file path=xl/comments1.xml><?xml version="1.0" encoding="utf-8"?>
<comments xmlns="http://schemas.openxmlformats.org/spreadsheetml/2006/main">
  <authors>
    <author>Auteur</author>
  </authors>
  <commentList>
    <comment ref="H358" authorId="0" shapeId="0">
      <text>
        <r>
          <rPr>
            <b/>
            <sz val="9"/>
            <color indexed="81"/>
            <rFont val="Tahoma"/>
            <family val="2"/>
          </rPr>
          <t>deblocage</t>
        </r>
      </text>
    </comment>
    <comment ref="H601" authorId="0" shapeId="0">
      <text>
        <r>
          <rPr>
            <b/>
            <sz val="20"/>
            <color indexed="81"/>
            <rFont val="Tahoma"/>
            <family val="2"/>
          </rPr>
          <t>journée du 06/01/2011</t>
        </r>
        <r>
          <rPr>
            <sz val="20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M6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1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3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19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0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0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25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6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6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32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3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3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38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9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9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45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46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46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5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2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58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9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9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6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65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65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7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2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77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8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8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84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85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85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90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1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97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8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8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103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0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04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</commentList>
</comments>
</file>

<file path=xl/sharedStrings.xml><?xml version="1.0" encoding="utf-8"?>
<sst xmlns="http://schemas.openxmlformats.org/spreadsheetml/2006/main" count="13533" uniqueCount="561">
  <si>
    <t xml:space="preserve"> Consolidé</t>
  </si>
  <si>
    <t>Unité</t>
  </si>
  <si>
    <t xml:space="preserve">Ligne </t>
  </si>
  <si>
    <t>Désignations</t>
  </si>
  <si>
    <t>Production Physique</t>
  </si>
  <si>
    <r>
      <t>Production Valorisée (</t>
    </r>
    <r>
      <rPr>
        <sz val="9"/>
        <color rgb="FFFF0000"/>
        <rFont val="Arial"/>
        <family val="2"/>
      </rPr>
      <t>Valeur en DA</t>
    </r>
    <r>
      <rPr>
        <b/>
        <sz val="9"/>
        <color theme="1"/>
        <rFont val="Arial"/>
        <family val="2"/>
      </rPr>
      <t>)</t>
    </r>
  </si>
  <si>
    <r>
      <t>Observations
(</t>
    </r>
    <r>
      <rPr>
        <sz val="9"/>
        <color rgb="FFFF0000"/>
        <rFont val="Arial"/>
        <family val="2"/>
      </rPr>
      <t>Arrêts,…etc.</t>
    </r>
    <r>
      <rPr>
        <b/>
        <sz val="9"/>
        <color theme="1"/>
        <rFont val="Arial"/>
        <family val="2"/>
      </rPr>
      <t>)</t>
    </r>
  </si>
  <si>
    <t>Objectif</t>
  </si>
  <si>
    <t>Cumul Mois</t>
  </si>
  <si>
    <t>Taux de Réal</t>
  </si>
  <si>
    <t>Cout de
 Revient</t>
  </si>
  <si>
    <t>Montant 
Journée</t>
  </si>
  <si>
    <t>Montant Cumulé</t>
  </si>
  <si>
    <t>Brute</t>
  </si>
  <si>
    <t>Conforme</t>
  </si>
  <si>
    <t>Rebut</t>
  </si>
  <si>
    <t>T7 - 5/1</t>
  </si>
  <si>
    <t>T4</t>
  </si>
  <si>
    <t>T5</t>
  </si>
  <si>
    <t>T3</t>
  </si>
  <si>
    <t>T2</t>
  </si>
  <si>
    <t>TOTAL CONSEVRE</t>
  </si>
  <si>
    <t>Ligne 16oZ</t>
  </si>
  <si>
    <t>Ligne Pails</t>
  </si>
  <si>
    <t>PAILS 3 GLYLAC 2000</t>
  </si>
  <si>
    <t>TOTAL DIVERSE</t>
  </si>
  <si>
    <t>Train 1/2 A</t>
  </si>
  <si>
    <t>Bts 1/2 OT   4C+VBI+CB+VSI</t>
  </si>
  <si>
    <t>Train 1/2 B</t>
  </si>
  <si>
    <t>TOTAL 1/2</t>
  </si>
  <si>
    <t>Train 4/4</t>
  </si>
  <si>
    <t>TOTAL 4/4</t>
  </si>
  <si>
    <t xml:space="preserve">Ligne 4OZ </t>
  </si>
  <si>
    <t>Cblanc CYLINDRIQUE</t>
  </si>
  <si>
    <t>TOTAL 20 L</t>
  </si>
  <si>
    <t xml:space="preserve">Pails 18 l </t>
  </si>
  <si>
    <t>Pails 18 l C BLANC</t>
  </si>
  <si>
    <t>TOTAL 18 L</t>
  </si>
  <si>
    <t>TOTAL 10 L</t>
  </si>
  <si>
    <t>TOTAL 1LØ108</t>
  </si>
  <si>
    <t>Train 1/2 l Ø108</t>
  </si>
  <si>
    <t>TOTAL 1/2 L Ø108</t>
  </si>
  <si>
    <t>Ligne 83</t>
  </si>
  <si>
    <t>TOTAL 1 L Ø 83</t>
  </si>
  <si>
    <t>TOTAL 5/1</t>
  </si>
  <si>
    <t>TOTAL 1/4</t>
  </si>
  <si>
    <t xml:space="preserve">TOTAL 4 oz </t>
  </si>
  <si>
    <t xml:space="preserve">TOTAL 4/4 </t>
  </si>
  <si>
    <t xml:space="preserve">TOTAL 16 oz </t>
  </si>
  <si>
    <t>TOTAL 3 L</t>
  </si>
  <si>
    <t xml:space="preserve">TOTAL 4/4 OT </t>
  </si>
  <si>
    <t>TOTAL 4/4 ON</t>
  </si>
  <si>
    <t xml:space="preserve">TOTAL 1/2 OT </t>
  </si>
  <si>
    <t xml:space="preserve">Unité kouba </t>
  </si>
  <si>
    <t>Fds Ø52,6 VBI VOE  734*725*0,16</t>
  </si>
  <si>
    <t>Fds Ø73 VBI VOE  803*772*0,20</t>
  </si>
  <si>
    <t>Fds Ø73 VBI VOE  803*772*0,18</t>
  </si>
  <si>
    <t>Fds Ø153 VBI VOE  888*708*0,28</t>
  </si>
  <si>
    <t>Fds Ø169 FB NU  775*763*0,23</t>
  </si>
  <si>
    <t>Fds Ø169 VBI/ NU  775*763*0,23</t>
  </si>
  <si>
    <t>BCHS Ø180 CB NU  726*717*0,23</t>
  </si>
  <si>
    <t>CABOUCHONS 36*0,30</t>
  </si>
  <si>
    <t>Unité azzaba</t>
  </si>
  <si>
    <t xml:space="preserve">Presse 1/2 A </t>
  </si>
  <si>
    <t>TFS VBI+VOE</t>
  </si>
  <si>
    <t>FB VBI+VOE</t>
  </si>
  <si>
    <t>Presse 1/2 B</t>
  </si>
  <si>
    <t>Presse 4/4</t>
  </si>
  <si>
    <t>Presse 4oz</t>
  </si>
  <si>
    <t>Unité skikda</t>
  </si>
  <si>
    <t>FDS 20L</t>
  </si>
  <si>
    <t>FBN N/INT</t>
  </si>
  <si>
    <t>FBI V/INT</t>
  </si>
  <si>
    <t>FBN PERCE</t>
  </si>
  <si>
    <t>CVS 20L</t>
  </si>
  <si>
    <t>FBI N/INT</t>
  </si>
  <si>
    <t>FDS 10L</t>
  </si>
  <si>
    <t>FBN</t>
  </si>
  <si>
    <t>CVS 10L</t>
  </si>
  <si>
    <t>FBI NI</t>
  </si>
  <si>
    <t>ANSE 10L</t>
  </si>
  <si>
    <t>ANSE</t>
  </si>
  <si>
    <t>FDS D 108</t>
  </si>
  <si>
    <t>FBI OR</t>
  </si>
  <si>
    <t>BCH D108</t>
  </si>
  <si>
    <t>BGS D108</t>
  </si>
  <si>
    <t>FDS D83</t>
  </si>
  <si>
    <t>FDS PERCE 83</t>
  </si>
  <si>
    <t xml:space="preserve">CABOCHONS </t>
  </si>
  <si>
    <t>CABOUCHONS</t>
  </si>
  <si>
    <t>P.U</t>
  </si>
  <si>
    <t>Montant Journée</t>
  </si>
  <si>
    <t>TELLOISE</t>
  </si>
  <si>
    <t>ICA</t>
  </si>
  <si>
    <t xml:space="preserve">TELLOISE </t>
  </si>
  <si>
    <t>TOTAL AZDU</t>
  </si>
  <si>
    <t>Flash Journalier de Production Accessoires</t>
  </si>
  <si>
    <t>BCHS Ø180 CB VBI  726*717*0,23</t>
  </si>
  <si>
    <t>TOTAL KDU</t>
  </si>
  <si>
    <t xml:space="preserve">TOTAL SKDU </t>
  </si>
  <si>
    <t xml:space="preserve">TOTAL EPE EMB </t>
  </si>
  <si>
    <t>AZDU</t>
  </si>
  <si>
    <t>SKDU</t>
  </si>
  <si>
    <t>KDU</t>
  </si>
  <si>
    <t>TOTAL CONSERVE</t>
  </si>
  <si>
    <t>TOTAL DIVERS</t>
  </si>
  <si>
    <t>Fds Ø99 VBI VOE  850*777*0,21</t>
  </si>
  <si>
    <t>MENAA</t>
  </si>
  <si>
    <t xml:space="preserve">Capacité jour </t>
  </si>
  <si>
    <t xml:space="preserve">BCHS Ø52,6 (sub 10 l) FBN </t>
  </si>
  <si>
    <t>Fds Ø99 VBI VOE  927*911*0,21 (sub)</t>
  </si>
  <si>
    <t>TFS VBI+VOE SUB 1/8</t>
  </si>
  <si>
    <t>FBN SUB 1/8</t>
  </si>
  <si>
    <t>V/INT +4C+CB+VSI</t>
  </si>
  <si>
    <t xml:space="preserve">CAT -CB-ON </t>
  </si>
  <si>
    <t>Bts 1/2  VBI VSIMP OT</t>
  </si>
  <si>
    <t xml:space="preserve">Pails 10 L V/INT 4C+CB+VSI </t>
  </si>
  <si>
    <t xml:space="preserve">FBI V/INT </t>
  </si>
  <si>
    <t>FBN BANDE SUB 1/8</t>
  </si>
  <si>
    <t>BANDES FBN SUB 1/8</t>
  </si>
  <si>
    <t>Bts 4/4 VBI VSIMP ON</t>
  </si>
  <si>
    <t>FBI / V INT SUB</t>
  </si>
  <si>
    <t xml:space="preserve">CAT SICAM CF </t>
  </si>
  <si>
    <t>BANDES TFS FDS SUB 1/8</t>
  </si>
  <si>
    <t xml:space="preserve">CPS 1/12 SUB FDS </t>
  </si>
  <si>
    <t>Bts 16 OZ-NUVSIMP</t>
  </si>
  <si>
    <t>FB VBI+VOE+(VOIE) Ø65</t>
  </si>
  <si>
    <t>TFS VBI+VOE SUB 1/12</t>
  </si>
  <si>
    <t>FDS PERS Ø108</t>
  </si>
  <si>
    <t>BANDES BGS SUBT BCH</t>
  </si>
  <si>
    <t xml:space="preserve">CAT TRISTAR </t>
  </si>
  <si>
    <t>TFS VBI+VOE subt 6 OZ</t>
  </si>
  <si>
    <t>Pails 10 L N/INT CB+4C+VSI</t>
  </si>
  <si>
    <t>TFS VBI+VOE (VOIE)</t>
  </si>
  <si>
    <t>PETROSER</t>
  </si>
  <si>
    <t>FBN SUB 3L ,10L,20L</t>
  </si>
  <si>
    <t xml:space="preserve">C BLANC </t>
  </si>
  <si>
    <t xml:space="preserve">Montant journée </t>
  </si>
  <si>
    <t>Mois: Septembre 2021</t>
  </si>
  <si>
    <r>
      <t>Journée du:</t>
    </r>
    <r>
      <rPr>
        <b/>
        <sz val="9"/>
        <color rgb="FFFF0000"/>
        <rFont val="Arial"/>
        <family val="2"/>
      </rPr>
      <t xml:space="preserve"> 01/09/2021</t>
    </r>
  </si>
  <si>
    <r>
      <t>Journée du:</t>
    </r>
    <r>
      <rPr>
        <b/>
        <sz val="9"/>
        <color rgb="FFFF0000"/>
        <rFont val="Arial"/>
        <family val="2"/>
      </rPr>
      <t xml:space="preserve"> 02/09/2021</t>
    </r>
  </si>
  <si>
    <r>
      <t>Journée du:</t>
    </r>
    <r>
      <rPr>
        <b/>
        <sz val="9"/>
        <color rgb="FFFF0000"/>
        <rFont val="Arial"/>
        <family val="2"/>
      </rPr>
      <t xml:space="preserve"> 05/09/2021</t>
    </r>
  </si>
  <si>
    <r>
      <t>Journée du:</t>
    </r>
    <r>
      <rPr>
        <b/>
        <sz val="9"/>
        <color rgb="FFFF0000"/>
        <rFont val="Arial"/>
        <family val="2"/>
      </rPr>
      <t xml:space="preserve"> 06/09/2021</t>
    </r>
  </si>
  <si>
    <t>Fds Ø52,6 VBI VOE  sub 926*852*0,16</t>
  </si>
  <si>
    <r>
      <t>Journée du:</t>
    </r>
    <r>
      <rPr>
        <b/>
        <sz val="9"/>
        <color rgb="FFFF0000"/>
        <rFont val="Arial"/>
        <family val="2"/>
      </rPr>
      <t xml:space="preserve"> 07/09/2021</t>
    </r>
  </si>
  <si>
    <r>
      <t>Journée du:</t>
    </r>
    <r>
      <rPr>
        <b/>
        <sz val="9"/>
        <color rgb="FFFF0000"/>
        <rFont val="Arial"/>
        <family val="2"/>
      </rPr>
      <t xml:space="preserve"> 08/09/2021</t>
    </r>
  </si>
  <si>
    <r>
      <t>Journée du:</t>
    </r>
    <r>
      <rPr>
        <b/>
        <sz val="9"/>
        <color rgb="FFFF0000"/>
        <rFont val="Arial"/>
        <family val="2"/>
      </rPr>
      <t xml:space="preserve"> 09/09/2021</t>
    </r>
  </si>
  <si>
    <r>
      <t>Journée du:</t>
    </r>
    <r>
      <rPr>
        <b/>
        <sz val="9"/>
        <color rgb="FFFF0000"/>
        <rFont val="Arial"/>
        <family val="2"/>
      </rPr>
      <t xml:space="preserve"> 10+11/09/2021</t>
    </r>
  </si>
  <si>
    <r>
      <t>Journée du:</t>
    </r>
    <r>
      <rPr>
        <b/>
        <sz val="9"/>
        <color rgb="FFFF0000"/>
        <rFont val="Arial"/>
        <family val="2"/>
      </rPr>
      <t xml:space="preserve"> 12/09/2021</t>
    </r>
  </si>
  <si>
    <r>
      <t>Journée du:</t>
    </r>
    <r>
      <rPr>
        <b/>
        <sz val="9"/>
        <color rgb="FFFF0000"/>
        <rFont val="Arial"/>
        <family val="2"/>
      </rPr>
      <t xml:space="preserve"> 13/09/2021</t>
    </r>
  </si>
  <si>
    <r>
      <t>Journée du:</t>
    </r>
    <r>
      <rPr>
        <b/>
        <sz val="9"/>
        <color rgb="FFFF0000"/>
        <rFont val="Arial"/>
        <family val="2"/>
      </rPr>
      <t xml:space="preserve"> 14/09/2021</t>
    </r>
  </si>
  <si>
    <r>
      <t>Journée du:</t>
    </r>
    <r>
      <rPr>
        <b/>
        <sz val="9"/>
        <color rgb="FFFF0000"/>
        <rFont val="Arial"/>
        <family val="2"/>
      </rPr>
      <t xml:space="preserve"> 15/09/2021</t>
    </r>
  </si>
  <si>
    <r>
      <t>Journée du:</t>
    </r>
    <r>
      <rPr>
        <b/>
        <sz val="9"/>
        <color rgb="FFFF0000"/>
        <rFont val="Arial"/>
        <family val="2"/>
      </rPr>
      <t xml:space="preserve"> 18/09/2021</t>
    </r>
  </si>
  <si>
    <r>
      <t>Journée du:</t>
    </r>
    <r>
      <rPr>
        <b/>
        <sz val="9"/>
        <color rgb="FFFF0000"/>
        <rFont val="Arial"/>
        <family val="2"/>
      </rPr>
      <t xml:space="preserve"> 19/09/2021</t>
    </r>
  </si>
  <si>
    <r>
      <t>Journée du:</t>
    </r>
    <r>
      <rPr>
        <b/>
        <sz val="9"/>
        <color rgb="FFFF0000"/>
        <rFont val="Arial"/>
        <family val="2"/>
      </rPr>
      <t xml:space="preserve"> 20/09/2021</t>
    </r>
  </si>
  <si>
    <r>
      <t>Journée du:</t>
    </r>
    <r>
      <rPr>
        <b/>
        <sz val="9"/>
        <color rgb="FFFF0000"/>
        <rFont val="Arial"/>
        <family val="2"/>
      </rPr>
      <t xml:space="preserve"> 21/09/2021</t>
    </r>
  </si>
  <si>
    <t>Bts  0,8 l Ø108  N/INT +4C+CB+VSI</t>
  </si>
  <si>
    <t>Bts 1L Ø 108 V/INT+4C+CB+VSI</t>
  </si>
  <si>
    <t xml:space="preserve">Bts 1L Ø 108 FBN </t>
  </si>
  <si>
    <t>Bts 1/2 L Ø 108 NU/INT +CB+VSI+4C</t>
  </si>
  <si>
    <t>Bts 1 L Ø 83 4C LAQ</t>
  </si>
  <si>
    <t xml:space="preserve">Bts 1 L Ø 83 CB </t>
  </si>
  <si>
    <t>S/TOTAL 1/2</t>
  </si>
  <si>
    <t>S/TOTAL 4/4</t>
  </si>
  <si>
    <t xml:space="preserve">Taux 
rebut </t>
  </si>
  <si>
    <t>Taux de
Réal</t>
  </si>
  <si>
    <t>Taux
 jour</t>
  </si>
  <si>
    <t>Production Valorisée (DA)</t>
  </si>
  <si>
    <t>Avec prix de vente</t>
  </si>
  <si>
    <t>Avec cout de revient</t>
  </si>
  <si>
    <t>PU</t>
  </si>
  <si>
    <t>S/TOTAL -II- AZDU</t>
  </si>
  <si>
    <t>S/TOTAL -I- KDU</t>
  </si>
  <si>
    <t>S/TOTAL -III- SKDU</t>
  </si>
  <si>
    <t>TOTAL GENERAL I+II+III</t>
  </si>
  <si>
    <t xml:space="preserve">MDN </t>
  </si>
  <si>
    <t>Bts 1/2 HARR 0,16</t>
  </si>
  <si>
    <t xml:space="preserve">BOUKRAINE </t>
  </si>
  <si>
    <t>AMOUR</t>
  </si>
  <si>
    <t xml:space="preserve">Bts 1/2 CT </t>
  </si>
  <si>
    <t xml:space="preserve">Bts 1/2  </t>
  </si>
  <si>
    <t xml:space="preserve">ALPHYT  </t>
  </si>
  <si>
    <t>Bts Surpuissant</t>
  </si>
  <si>
    <t xml:space="preserve">SHRIKI </t>
  </si>
  <si>
    <t xml:space="preserve">Pails 18 l  </t>
  </si>
  <si>
    <t xml:space="preserve"> PIGMA </t>
  </si>
  <si>
    <t xml:space="preserve">Bts 1/2 L Ø 108 </t>
  </si>
  <si>
    <t>SOCOV MDN</t>
  </si>
  <si>
    <t xml:space="preserve">BELLAT </t>
  </si>
  <si>
    <t xml:space="preserve">SOCOV  </t>
  </si>
  <si>
    <t>-</t>
  </si>
  <si>
    <t>TRS= Tu ÷ Tr=
(TD x TP x TQ)</t>
  </si>
  <si>
    <t>TD: Taux de Disponibilité</t>
  </si>
  <si>
    <t>TP: Taux de Performance</t>
  </si>
  <si>
    <t>TQ: Taux de Qualité</t>
  </si>
  <si>
    <t>Tf: Temps De Fonctionnement =(Tr-C)</t>
  </si>
  <si>
    <t>Tr: Temps Requis =(To-B)</t>
  </si>
  <si>
    <t>Tn: Temps Net (Tf-A)</t>
  </si>
  <si>
    <t>Tf: Temps De Fonctionnement</t>
  </si>
  <si>
    <t>Tu: Temps Utile =Tn-(To-(To*F ÷ E))</t>
  </si>
  <si>
    <t>Tn: Temps Net</t>
  </si>
  <si>
    <t>Quantité 
Produite
(E)</t>
  </si>
  <si>
    <t>Quantité  
conforme
(F)</t>
  </si>
  <si>
    <t>Quantité 
Rebutée
(G)</t>
  </si>
  <si>
    <t>To: Temps D’ouverture= (8X60)</t>
  </si>
  <si>
    <r>
      <t>Arrêt Planifiés (</t>
    </r>
    <r>
      <rPr>
        <sz val="14"/>
        <color rgb="FFC00000"/>
        <rFont val="Century Gothic"/>
        <family val="2"/>
      </rPr>
      <t>pause repas...</t>
    </r>
    <r>
      <rPr>
        <b/>
        <sz val="14"/>
        <rFont val="Century Gothic"/>
        <family val="2"/>
      </rPr>
      <t>)
(B)</t>
    </r>
  </si>
  <si>
    <r>
      <t>Arrêt Non Planifiés (</t>
    </r>
    <r>
      <rPr>
        <sz val="14"/>
        <color rgb="FFC00000"/>
        <rFont val="Century Gothic"/>
        <family val="2"/>
      </rPr>
      <t>réglage+ fil de cuivre...</t>
    </r>
    <r>
      <rPr>
        <b/>
        <sz val="14"/>
        <rFont val="Century Gothic"/>
        <family val="2"/>
      </rPr>
      <t>)
(C)</t>
    </r>
  </si>
  <si>
    <t>ARRETS (Minutes)</t>
  </si>
  <si>
    <t>Ecarts De Cadences 
(A=B+C)</t>
  </si>
  <si>
    <t xml:space="preserve"> TAUX
(Tf ÷ Tr)</t>
  </si>
  <si>
    <t>TAUX
 (Tn ÷ Tf)</t>
  </si>
  <si>
    <t>TAUX
(Tu ÷ Tn)</t>
  </si>
  <si>
    <t>TANDEM</t>
  </si>
  <si>
    <t>VERNISSEUSE</t>
  </si>
  <si>
    <t>T5 1/2</t>
  </si>
  <si>
    <t>T4 1/4</t>
  </si>
  <si>
    <t>T2 4/4</t>
  </si>
  <si>
    <t>T3 4OZ</t>
  </si>
  <si>
    <t>TOTAL 1/2 L Ø108 + 1 L Ø 83</t>
  </si>
  <si>
    <t>TOTAL 18 L+20 L</t>
  </si>
  <si>
    <t>Conserves</t>
  </si>
  <si>
    <t>Diverses</t>
  </si>
  <si>
    <t>Autres</t>
  </si>
  <si>
    <t>S/TOTAL I</t>
  </si>
  <si>
    <t>S/TOTAL II</t>
  </si>
  <si>
    <t>S/TOTAL III</t>
  </si>
  <si>
    <t>Programme</t>
  </si>
  <si>
    <t>Accesoires</t>
  </si>
  <si>
    <t>Nbre
pièces</t>
  </si>
  <si>
    <t>Boites</t>
  </si>
  <si>
    <r>
      <rPr>
        <b/>
        <u/>
        <sz val="40"/>
        <color theme="0"/>
        <rFont val="Century Gothic"/>
        <family val="2"/>
      </rPr>
      <t>Graphique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Septembre 2021</t>
    </r>
  </si>
  <si>
    <t>CAB</t>
  </si>
  <si>
    <t xml:space="preserve">LFB MDN </t>
  </si>
  <si>
    <t xml:space="preserve">CAT </t>
  </si>
  <si>
    <t xml:space="preserve">TRISTAR </t>
  </si>
  <si>
    <t>4 OZ HARISSA</t>
  </si>
  <si>
    <t>PAILS 3 GLYCAR</t>
  </si>
  <si>
    <t xml:space="preserve">PAILS 3 VERINEX </t>
  </si>
  <si>
    <t>ENAP</t>
  </si>
  <si>
    <t>PAILS 3 SUPERLAC</t>
  </si>
  <si>
    <t>PAILS 3 PRIMAFER</t>
  </si>
  <si>
    <t>PAILS 3 PPI</t>
  </si>
  <si>
    <t>PAILS 3 THIXOMATE</t>
  </si>
  <si>
    <t>ENAP SIG</t>
  </si>
  <si>
    <t>BCHN Ø 180 CB NU       726*717*0,23</t>
  </si>
  <si>
    <t>FDS Ø 73 FB    803*772*0,20  VBI/VOE</t>
  </si>
  <si>
    <t>FDS Ø 52,6 TFS  926*852*0,16</t>
  </si>
  <si>
    <t xml:space="preserve"> N.Int  4C+CB+VSI</t>
  </si>
  <si>
    <t>S/TOTAL -I- AZDU</t>
  </si>
  <si>
    <t>S/TOTAL -I- SKDU</t>
  </si>
  <si>
    <t xml:space="preserve">FDS 20L </t>
  </si>
  <si>
    <t>CVS 20 L</t>
  </si>
  <si>
    <t xml:space="preserve">CPS 1/8 SUB FDS </t>
  </si>
  <si>
    <t>FDS Ø108</t>
  </si>
  <si>
    <t>FDS PER Ø108</t>
  </si>
  <si>
    <t xml:space="preserve">FBI OR </t>
  </si>
  <si>
    <t>BCHN Ø108</t>
  </si>
  <si>
    <t xml:space="preserve">FBN </t>
  </si>
  <si>
    <t xml:space="preserve">CPS 1/8 SUB BGS  </t>
  </si>
  <si>
    <t xml:space="preserve">BGS V/INT SUB </t>
  </si>
  <si>
    <t xml:space="preserve">C/BLANC 1L Ø SUB BGS </t>
  </si>
  <si>
    <t>BGS Ø 108</t>
  </si>
  <si>
    <t>Bidon 3/1</t>
  </si>
  <si>
    <t>Bts 16 OZ ALPHYT (875*865*0,18)</t>
  </si>
  <si>
    <t xml:space="preserve">1/4 CLUB </t>
  </si>
  <si>
    <t>GUETTAF BRAHIM</t>
  </si>
  <si>
    <t xml:space="preserve">S/TOTAL I  CONSERVE </t>
  </si>
  <si>
    <t xml:space="preserve">S/TOTAL II DIVERS </t>
  </si>
  <si>
    <t>S/TOTAL I  CONSERVE AZDU</t>
  </si>
  <si>
    <t>S/TOTAL KDU</t>
  </si>
  <si>
    <t>S/TOTAL II DIVERS  SKDU</t>
  </si>
  <si>
    <t>GLYLAC 2000  4C</t>
  </si>
  <si>
    <t>AUTRES</t>
  </si>
  <si>
    <t>18 L N/INT 4C+CB+VSI</t>
  </si>
  <si>
    <t>18 L V/INT 4C+CB+VSI</t>
  </si>
  <si>
    <t>800GRS Ø108 N/INT 4C+CB+VSI</t>
  </si>
  <si>
    <t xml:space="preserve">CAISSE CARTON </t>
  </si>
  <si>
    <t xml:space="preserve">FUTS </t>
  </si>
  <si>
    <t xml:space="preserve">PERSONNEL </t>
  </si>
  <si>
    <t>CARM</t>
  </si>
  <si>
    <t>OULHASSA</t>
  </si>
  <si>
    <t>1/2 OT 4C+CB+VSI+CPS EXCLU (PRESTATION)</t>
  </si>
  <si>
    <t xml:space="preserve">ROTAION TRANSPORT </t>
  </si>
  <si>
    <t>4/4 FB+VBI+VOE</t>
  </si>
  <si>
    <t>4 OZ TFS VBI +VOE</t>
  </si>
  <si>
    <t>Bidon pails 10 G/2000</t>
  </si>
  <si>
    <t>VERINEX</t>
  </si>
  <si>
    <t xml:space="preserve">16 OZ </t>
  </si>
  <si>
    <t xml:space="preserve">4 OZ harissa </t>
  </si>
  <si>
    <t xml:space="preserve">AMOUR </t>
  </si>
  <si>
    <t>Bts 1/2 OT   4C+VBI+CB+VSI sens inv CPS EXCLU</t>
  </si>
  <si>
    <t>Bts 4/4 OT VBI+VSI</t>
  </si>
  <si>
    <t>ALPHYT</t>
  </si>
  <si>
    <t xml:space="preserve">Bts 1/4 CORNET DE BŒUF </t>
  </si>
  <si>
    <t xml:space="preserve">Bts 1/4  VBI NU VSIMP </t>
  </si>
  <si>
    <t xml:space="preserve">5/1 CB ON </t>
  </si>
  <si>
    <t xml:space="preserve">Bidon pails 20 C/BLANC NI </t>
  </si>
  <si>
    <t xml:space="preserve">Bts 1/2 OT  2C+VBI+VOE sens invers (C B) </t>
  </si>
  <si>
    <t>1/2 OT 4C+VBI+VOE SUB 24 ELEM</t>
  </si>
  <si>
    <t xml:space="preserve">1/2 OT 4C+VBI+VOE </t>
  </si>
  <si>
    <t>BOITES PASTILLE PM</t>
  </si>
  <si>
    <t>1 L  Ø108 C/ BLANC</t>
  </si>
  <si>
    <t>GLYCAR</t>
  </si>
  <si>
    <t xml:space="preserve">MITRAILLE DE CUIVRE </t>
  </si>
  <si>
    <t>ENR</t>
  </si>
  <si>
    <t>*</t>
  </si>
  <si>
    <t>Bts  0,8 l Ø108  N/INT +4C+CB+VSI ENAP</t>
  </si>
  <si>
    <t>Bts  0,8 l Ø108  N/INT +4C+CB+VSI PIGMA</t>
  </si>
  <si>
    <t xml:space="preserve">vernis cellulosique </t>
  </si>
  <si>
    <t xml:space="preserve">divers clients </t>
  </si>
  <si>
    <t xml:space="preserve">PRIMAFER </t>
  </si>
  <si>
    <t xml:space="preserve">DECHET FER BLANC ROND </t>
  </si>
  <si>
    <t xml:space="preserve">1/2  FIGUE TELLOISE </t>
  </si>
  <si>
    <t xml:space="preserve">200 GRS V/TRANSP </t>
  </si>
  <si>
    <t>FDS Ø169  726*717*0,23</t>
  </si>
  <si>
    <t xml:space="preserve">1/2 B TFS VBI+VOE+(VOIE) </t>
  </si>
  <si>
    <t>4/4 OT MDN CAT</t>
  </si>
  <si>
    <t xml:space="preserve">DCT MDN </t>
  </si>
  <si>
    <t>LFB</t>
  </si>
  <si>
    <t xml:space="preserve">FDS Ø 153 VBI VOE </t>
  </si>
  <si>
    <t>FDS Ø169  763*775*0,23</t>
  </si>
  <si>
    <t xml:space="preserve">BCHN FBN SUB BGS </t>
  </si>
  <si>
    <t xml:space="preserve">200 GRS F/FONDU </t>
  </si>
  <si>
    <t>Bts 1/4 F,FONDU GP /CIVIL</t>
  </si>
  <si>
    <t xml:space="preserve">201 GRS F/FONDU GP /CIVIL </t>
  </si>
  <si>
    <t xml:space="preserve">LFB </t>
  </si>
  <si>
    <t>Capacité
 Théorique/M 
(D)</t>
  </si>
  <si>
    <t xml:space="preserve">200 GRS C/BEEF </t>
  </si>
  <si>
    <t xml:space="preserve">4/4 OT MDN COT MDN </t>
  </si>
  <si>
    <t xml:space="preserve">1 L Ø 83 C/BLANC </t>
  </si>
  <si>
    <t xml:space="preserve">20 L C/BLANC </t>
  </si>
  <si>
    <t xml:space="preserve">CONCORDAL </t>
  </si>
  <si>
    <t xml:space="preserve">1L C/BLANC </t>
  </si>
  <si>
    <t xml:space="preserve">Bts 1/2 OT   4C+VBI+VSI </t>
  </si>
  <si>
    <t>BOUKRAINE</t>
  </si>
  <si>
    <t xml:space="preserve">Bts 4/4 OT   4C+VBI+VSI </t>
  </si>
  <si>
    <t>4/4 DCT</t>
  </si>
  <si>
    <t xml:space="preserve">BELHOR SAYEH </t>
  </si>
  <si>
    <t>TRISTAR</t>
  </si>
  <si>
    <t xml:space="preserve">DECHET FER BLANC </t>
  </si>
  <si>
    <t>FDS 169 SUB FDS</t>
  </si>
  <si>
    <t>Bts 1/4 F/FONDU  sub (926*854*0,17) 2c</t>
  </si>
  <si>
    <t xml:space="preserve">1/10 PEINTURE </t>
  </si>
  <si>
    <t xml:space="preserve">20 L D CELLULOSIQUE </t>
  </si>
  <si>
    <t>Bts 1/4 F/FONDU  MDN (926*869*0,17)2c</t>
  </si>
  <si>
    <t xml:space="preserve">Bts 1L Ø 108 N/INT 4C+CB+VSI </t>
  </si>
  <si>
    <t>FDS 169 SUB FDS 108 PERCE</t>
  </si>
  <si>
    <t xml:space="preserve">CPS 10L SUB CVS </t>
  </si>
  <si>
    <t>THIXOMATE</t>
  </si>
  <si>
    <t xml:space="preserve">4/4 TFS VBI+VOE </t>
  </si>
  <si>
    <t xml:space="preserve">BCHN FBN SUB FDS </t>
  </si>
  <si>
    <t xml:space="preserve">Bts 1/4 CORNET  BŒUF  </t>
  </si>
  <si>
    <t>Bts 1/4 CORNET  BŒUF SOCOV (926*854*0,17 )1C</t>
  </si>
  <si>
    <t>4/4 FB VBI+VOE</t>
  </si>
  <si>
    <t>4/4 ON vbi+vsi</t>
  </si>
  <si>
    <t>4/4 OT vbi+vsi</t>
  </si>
  <si>
    <t>DJENADI MOHAMED</t>
  </si>
  <si>
    <t xml:space="preserve">200 grs C/BEEF </t>
  </si>
  <si>
    <t xml:space="preserve">ALVIAR </t>
  </si>
  <si>
    <t xml:space="preserve">4 OZ PURE TOMATE </t>
  </si>
  <si>
    <t>SEDDIKI</t>
  </si>
  <si>
    <t xml:space="preserve">CVS 10L SUB CVS </t>
  </si>
  <si>
    <t>Bts 16 OZ  (909*848*0,18)</t>
  </si>
  <si>
    <t xml:space="preserve">4/4 OT 4C+CB+VSI </t>
  </si>
  <si>
    <t>NAFTAL BEJAIA</t>
  </si>
  <si>
    <t>FDS Ø 99  850*777*0,23   FB</t>
  </si>
  <si>
    <t xml:space="preserve">divers </t>
  </si>
  <si>
    <t>Bts 1/4 CORNET  BŒUF  (926*969*0,17)</t>
  </si>
  <si>
    <t>Bidon 5/1 SIPA</t>
  </si>
  <si>
    <t>SAUCE-PIZZA</t>
  </si>
  <si>
    <t>SAYBOLT-MED</t>
  </si>
  <si>
    <t>1/2 L VERINEX</t>
  </si>
  <si>
    <t>FDS 73</t>
  </si>
  <si>
    <t>NAMAN</t>
  </si>
  <si>
    <t>SIPA</t>
  </si>
  <si>
    <t>FRITA</t>
  </si>
  <si>
    <t>Bidon 5/1 CHAMPION DJENADI MOHAMED</t>
  </si>
  <si>
    <t>4 OZ CT</t>
  </si>
  <si>
    <t>5/1 SAUCE PIZZA</t>
  </si>
  <si>
    <t xml:space="preserve">Mitraille de cuivre </t>
  </si>
  <si>
    <t>SUB  CVS 20L</t>
  </si>
  <si>
    <t>SUBS CVS 20L V/INT</t>
  </si>
  <si>
    <t>Bts 1/2 OT   VBI / VSIMP</t>
  </si>
  <si>
    <t>Bts 1/2 OT   VBI + VSI</t>
  </si>
  <si>
    <t>DIVERS</t>
  </si>
  <si>
    <t>Bts 1/2 OT   2C+VBI+VOE</t>
  </si>
  <si>
    <t>Bts 1/2 OT   2C VBI+VOE (CB)</t>
  </si>
  <si>
    <t>VERNIS MARINE</t>
  </si>
  <si>
    <t>P P I</t>
  </si>
  <si>
    <t>FDS 153 VBI/VOE</t>
  </si>
  <si>
    <t>20 L V/INT 4C+CB+VSI</t>
  </si>
  <si>
    <t>5/1 SAUCE PIZZA   FRITA CHAMPION</t>
  </si>
  <si>
    <t>FDS 99 VBI/VOE</t>
  </si>
  <si>
    <t>SEDDEKI</t>
  </si>
  <si>
    <t>PAILS 3 ANTIROUILLE</t>
  </si>
  <si>
    <t>FDS Ø 73 TFS  803*772*0,18   VBI/VOE</t>
  </si>
  <si>
    <t>Désignation</t>
  </si>
  <si>
    <t>Client</t>
  </si>
  <si>
    <t>Cumul mois</t>
  </si>
  <si>
    <t>Taux 
Réal</t>
  </si>
  <si>
    <t>Ligne 16 OZ</t>
  </si>
  <si>
    <t>Pails 20 L</t>
  </si>
  <si>
    <t>Pails 10 L</t>
  </si>
  <si>
    <t xml:space="preserve">Ligne 800 grs </t>
  </si>
  <si>
    <t>Train 1/2 L Ø108</t>
  </si>
  <si>
    <t>Production valorisée (DA)</t>
  </si>
  <si>
    <t>Montant cumulé</t>
  </si>
  <si>
    <t>Montant 
journée</t>
  </si>
  <si>
    <t>Avec coût de revient</t>
  </si>
  <si>
    <t>FDS 10 L</t>
  </si>
  <si>
    <t>CVS 10 L</t>
  </si>
  <si>
    <t>Valeur en DA/HT</t>
  </si>
  <si>
    <t>Quantité</t>
  </si>
  <si>
    <t>Journalière</t>
  </si>
  <si>
    <t>Cumulée</t>
  </si>
  <si>
    <t>Production
Réalisée</t>
  </si>
  <si>
    <t>Production
Vloriséé</t>
  </si>
  <si>
    <t>Production stockée</t>
  </si>
  <si>
    <t>Chiffre d'affaires</t>
  </si>
  <si>
    <t>/2  L  Ø108 C/ BLANC  N/INT</t>
  </si>
  <si>
    <t>C</t>
  </si>
  <si>
    <t>ANTIROUILLE</t>
  </si>
  <si>
    <t>PAILS 3 VC</t>
  </si>
  <si>
    <t>BOUKARAIN</t>
  </si>
  <si>
    <t xml:space="preserve">Bts 1/2 OT   2C+VBI+VOE </t>
  </si>
  <si>
    <t>1/2 OT  VBI+VSI</t>
  </si>
  <si>
    <t>Bidon pails 10 ANTIROUILLE</t>
  </si>
  <si>
    <t>DGO</t>
  </si>
  <si>
    <t>Bidon 3/1 SAUCE PIZZA</t>
  </si>
  <si>
    <t>Bts 4/4 OT VBI+VSI  FER SUBSTITUTION</t>
  </si>
  <si>
    <t>Bidon 5/1 VBI+CB   VSIMP   nouvelle ligne</t>
  </si>
  <si>
    <t>Bidon 5/1 VBI+CB  VSI nouvelle ligne</t>
  </si>
  <si>
    <t>Bts 1/2 OT   4C+VBI+VSI  INVERS</t>
  </si>
  <si>
    <t xml:space="preserve">Bts 1/2 OT   2C+VSI </t>
  </si>
  <si>
    <t>Bts 4/4 ON 4C +VBI+VSI</t>
  </si>
  <si>
    <t>Bts 4/4 ON   2C+VBI+VOE</t>
  </si>
  <si>
    <t>Bts 1/2 OT   4C+VBI+VSI</t>
  </si>
  <si>
    <t>Bts 1/2 OT   4C+VBI+VSI inverse</t>
  </si>
  <si>
    <t xml:space="preserve">Bts 4/4 ON   2C+VBI+VOE </t>
  </si>
  <si>
    <t>Bts 4/4 ON  4C +VBI+VSI</t>
  </si>
  <si>
    <t>RAHALI</t>
  </si>
  <si>
    <t>VC</t>
  </si>
  <si>
    <t>BTE 3/1 SAUCE PIZZA</t>
  </si>
  <si>
    <t>PIGMA</t>
  </si>
  <si>
    <t>1/2 OT 2C+VBI+VOE</t>
  </si>
  <si>
    <t>NOUICHI</t>
  </si>
  <si>
    <t>Bts 4/4 OT    4C+VBI+CB+VSI</t>
  </si>
  <si>
    <t>1/2 VBI+VOE  TFS</t>
  </si>
  <si>
    <t>Bts 4/4 OT VBI+VSI FER SUBSTITUTION</t>
  </si>
  <si>
    <t>Bts 4/4 ON    4C+VBI+CB+VSI</t>
  </si>
  <si>
    <t xml:space="preserve">Bts 4/4 ON   4C+VBI+CB+VSI </t>
  </si>
  <si>
    <t xml:space="preserve">4 OZ  CT </t>
  </si>
  <si>
    <t>Bts 4/4 ON    2C+VBI+VOE SUBSTITUTION</t>
  </si>
  <si>
    <t>YAMABON</t>
  </si>
  <si>
    <t>ROTATION TRANSPORT</t>
  </si>
  <si>
    <t>FBN PERCE   VI</t>
  </si>
  <si>
    <t>PAILS VERNIS MARINE</t>
  </si>
  <si>
    <t>PAILS 3L VERNIS MARINE</t>
  </si>
  <si>
    <t>Bts 1/2 OT  4C+VBI+CB+VSI</t>
  </si>
  <si>
    <t>Bts 4/4 ON VBI + VSIM</t>
  </si>
  <si>
    <t>Bts 1/2 OT   4C+VBI+CB+VSI    INVERSE</t>
  </si>
  <si>
    <t>4/4 ON 4C+VBI+VB+VSIMP</t>
  </si>
  <si>
    <t>4/4 ON 2C+VBI+VB+VSIMP</t>
  </si>
  <si>
    <t>4/4 OT 4C+VBI+VB+VSIMP</t>
  </si>
  <si>
    <t>SICAM</t>
  </si>
  <si>
    <t xml:space="preserve">1/2 OT 4C+VBI+CB+VSI </t>
  </si>
  <si>
    <t>1/2 OT 4C+VBI+VOE sub24 elem</t>
  </si>
  <si>
    <t>1/2 OT 4C+CB+VBI+VSI</t>
  </si>
  <si>
    <t>AMOR</t>
  </si>
  <si>
    <t>1/2 ON VBI+VOE</t>
  </si>
  <si>
    <t>Bidon 5/1 DJENADI MOHAMED</t>
  </si>
  <si>
    <t>FACTURE D4AVOIR</t>
  </si>
  <si>
    <t>4 OZ OT  HARISSA</t>
  </si>
  <si>
    <t>BOITE PASSTILLE</t>
  </si>
  <si>
    <t>journée du 02/01/2022</t>
  </si>
  <si>
    <t>Journée du: 02/01/2022</t>
  </si>
  <si>
    <r>
      <rPr>
        <b/>
        <u/>
        <sz val="40"/>
        <color theme="0"/>
        <rFont val="Century Gothic"/>
        <family val="2"/>
      </rPr>
      <t>Etat des Ventes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Janvier 2022</t>
    </r>
  </si>
  <si>
    <t>Production 02/01/2022</t>
  </si>
  <si>
    <t>PRODUCTION du 02/01/2022</t>
  </si>
  <si>
    <r>
      <rPr>
        <b/>
        <u/>
        <sz val="40"/>
        <color theme="0"/>
        <rFont val="Century Gothic"/>
        <family val="2"/>
      </rPr>
      <t>Production Valorisée Journalière (Boites)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janvier 2022</t>
    </r>
  </si>
  <si>
    <r>
      <rPr>
        <b/>
        <u/>
        <sz val="40"/>
        <color theme="0"/>
        <rFont val="Century Gothic"/>
        <family val="2"/>
      </rPr>
      <t>Production Physique Journalière (Accessoires)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Janvier 2022.</t>
    </r>
  </si>
  <si>
    <r>
      <rPr>
        <b/>
        <u/>
        <sz val="40"/>
        <color theme="0"/>
        <rFont val="Century Gothic"/>
        <family val="2"/>
      </rPr>
      <t>Activité Consolidée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Janvier 2022</t>
    </r>
  </si>
  <si>
    <r>
      <rPr>
        <b/>
        <u/>
        <sz val="40"/>
        <color theme="0"/>
        <rFont val="Century Gothic"/>
        <family val="2"/>
      </rPr>
      <t xml:space="preserve">Calcul Journalier Du Taux de Rendement Synthétique (T.R.S) 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Janvier 2022</t>
    </r>
  </si>
  <si>
    <t>journée du 03/01/2022</t>
  </si>
  <si>
    <t>Journée du: 03/01/2022</t>
  </si>
  <si>
    <t>Production 03/01/2022</t>
  </si>
  <si>
    <t>PRODUCTION du 03/01/2022</t>
  </si>
  <si>
    <r>
      <rPr>
        <b/>
        <u/>
        <sz val="40"/>
        <color theme="0"/>
        <rFont val="Century Gothic"/>
        <family val="2"/>
      </rPr>
      <t>Production Physique Journalière (Boites)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janvier 2022</t>
    </r>
  </si>
  <si>
    <t>journée du 04/01/2022</t>
  </si>
  <si>
    <t>Journée du: 04/01/2022</t>
  </si>
  <si>
    <t>Production 04/01/2022</t>
  </si>
  <si>
    <t>PRODUCTION du 04/01/2022</t>
  </si>
  <si>
    <t>BEN AMARA</t>
  </si>
  <si>
    <t>journée du 05/01/2022</t>
  </si>
  <si>
    <t>Journée du: 05/01/2022</t>
  </si>
  <si>
    <t>PRODUCTION du 05/01/2022</t>
  </si>
  <si>
    <t>Pails 18 l  V/INT  PIGMA</t>
  </si>
  <si>
    <t>Bts 1/2 L Ø 108 NU/INT +CB+VSI+4C ENAP</t>
  </si>
  <si>
    <t>Bts 1/2 L Ø 108  CONCORDAL</t>
  </si>
  <si>
    <t>Bts 1L Ø 108 N/INT 4C+CB+VSI CONCORDAL</t>
  </si>
  <si>
    <t>PAILS 3 CELOSIA</t>
  </si>
  <si>
    <t xml:space="preserve">Bts 4/4 OT   2C+VBI+VSI </t>
  </si>
  <si>
    <t>FDS Ø 52,6 833*801*0,18</t>
  </si>
  <si>
    <t>Production 05/01/2022</t>
  </si>
  <si>
    <t>journée du 06/07/ et 08/01/2022</t>
  </si>
  <si>
    <t>PRODUCTION du 06/07 et 08/01/2022</t>
  </si>
  <si>
    <t>journée du 06/07/08/01/2022</t>
  </si>
  <si>
    <t>Production 06/07/08/01/2022</t>
  </si>
  <si>
    <t>Journée du: 06/07/08/01/2022</t>
  </si>
  <si>
    <t>20 L N/INT 4C+CB+VSI    VC</t>
  </si>
  <si>
    <t>journée du 09/01/2022</t>
  </si>
  <si>
    <t>journée du09/01/2022</t>
  </si>
  <si>
    <t>Journée du: 09/01/2022</t>
  </si>
  <si>
    <t>PRODUCTION du 09/01/2022</t>
  </si>
  <si>
    <t>1 L  Ø108 N/INT 4C+CB+VSI</t>
  </si>
  <si>
    <t>journée du 10/01/2022</t>
  </si>
  <si>
    <t>Journée du: 10/01/2022</t>
  </si>
  <si>
    <t>Production 09/01/2022</t>
  </si>
  <si>
    <t>Production 10/01/2022</t>
  </si>
  <si>
    <t>PRODUCTION du 10/01/2022</t>
  </si>
  <si>
    <t>FDS FBN  108  PERC</t>
  </si>
  <si>
    <t xml:space="preserve">Bts 1/2 OT  4C+VBI+VOE sens invers (C B) </t>
  </si>
  <si>
    <t>CBA</t>
  </si>
  <si>
    <t>Production 15/01/2022</t>
  </si>
  <si>
    <t>PRODUCTION du 15/01/2022</t>
  </si>
  <si>
    <t>journée du 11 AU 15/01/2022</t>
  </si>
  <si>
    <t>Journée du: 11 AU 15/01/2022</t>
  </si>
  <si>
    <t>Bidon pails 10 N/INT 4C+CB+VSI</t>
  </si>
  <si>
    <t>Bts 1/4 CORNET DE BŒUF  SOCOV  CIVIL</t>
  </si>
  <si>
    <t>SOCOV</t>
  </si>
  <si>
    <t>Bts 1/4 BŒUF EN SAUCE SOCOV  CIVIL</t>
  </si>
  <si>
    <t>200 grs BŒUF EN SAUCE</t>
  </si>
  <si>
    <t>journée du 16/01/2022</t>
  </si>
  <si>
    <t>Journée du: 16/01/2022</t>
  </si>
  <si>
    <t>Production 16/01/2022</t>
  </si>
  <si>
    <t>PRODUCTION du 16/01/2022</t>
  </si>
  <si>
    <t>4 OZ DCT</t>
  </si>
  <si>
    <t>5/1 VBI VSIMP</t>
  </si>
  <si>
    <t>BTE 3/1 VBI / CB</t>
  </si>
  <si>
    <t>SARL MOSIDJAM</t>
  </si>
  <si>
    <t>ALGEROISE</t>
  </si>
  <si>
    <t>Bts 1/2 OT   4C+VBI+VOE</t>
  </si>
  <si>
    <t>journée du 17/01/2022</t>
  </si>
  <si>
    <t>Journée du: 17/01/2022</t>
  </si>
  <si>
    <t>Production 17/01/2022</t>
  </si>
  <si>
    <t>PRODUCTION du 17/01/2022</t>
  </si>
  <si>
    <t>PAILS PRIMAFER</t>
  </si>
  <si>
    <t xml:space="preserve">ENAP </t>
  </si>
  <si>
    <t>Bts 4/4 OT CT</t>
  </si>
  <si>
    <t>Bidon 5/1 SIPA  nouvelle ligne</t>
  </si>
  <si>
    <t>4 OZ DCT BANADORA</t>
  </si>
  <si>
    <t>4 OZ DCT  BANADORA</t>
  </si>
  <si>
    <t>journée du 18/01/2022</t>
  </si>
  <si>
    <t>Journée du: 18/01/2022</t>
  </si>
  <si>
    <t>Production 18/01/2022</t>
  </si>
  <si>
    <t>PRODUCTION du 18/01/2022</t>
  </si>
  <si>
    <t>journée du 19/01/2022</t>
  </si>
  <si>
    <t>Journée du: 19/01/2022</t>
  </si>
  <si>
    <t>Production 19/01/2022</t>
  </si>
  <si>
    <t>1/2 L</t>
  </si>
  <si>
    <t>PRODUCTION du 19/01/2022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</si>
</sst>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#,##0.0000"/>
    <numFmt numFmtId="166" formatCode="#,##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rgb="FFFF000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CC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rgb="FFC00000"/>
      <name val="Arial"/>
      <family val="2"/>
    </font>
    <font>
      <b/>
      <u/>
      <sz val="9"/>
      <color rgb="FF0000CC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b/>
      <sz val="11"/>
      <color rgb="FF0000CC"/>
      <name val="Century Gothic"/>
      <family val="2"/>
    </font>
    <font>
      <b/>
      <sz val="16"/>
      <name val="Century Gothic"/>
      <family val="2"/>
    </font>
    <font>
      <b/>
      <u/>
      <sz val="26"/>
      <color theme="0"/>
      <name val="Century Gothic"/>
      <family val="2"/>
    </font>
    <font>
      <sz val="12"/>
      <name val="Century Gothic"/>
      <family val="2"/>
    </font>
    <font>
      <b/>
      <sz val="26"/>
      <color theme="0"/>
      <name val="Century Gothic"/>
      <family val="2"/>
    </font>
    <font>
      <b/>
      <u/>
      <sz val="40"/>
      <color theme="0"/>
      <name val="Century Gothic"/>
      <family val="2"/>
    </font>
    <font>
      <b/>
      <sz val="18"/>
      <color theme="0"/>
      <name val="Century Gothic"/>
      <family val="2"/>
    </font>
    <font>
      <b/>
      <sz val="18"/>
      <name val="Century Gothic"/>
      <family val="2"/>
    </font>
    <font>
      <b/>
      <u/>
      <sz val="18"/>
      <color rgb="FFFF0000"/>
      <name val="Century Gothic"/>
      <family val="2"/>
    </font>
    <font>
      <sz val="18"/>
      <name val="Century Gothic"/>
      <family val="2"/>
    </font>
    <font>
      <b/>
      <sz val="18"/>
      <color rgb="FF0000CC"/>
      <name val="Century Gothic"/>
      <family val="2"/>
    </font>
    <font>
      <b/>
      <sz val="20"/>
      <color theme="0"/>
      <name val="Century Gothic"/>
      <family val="2"/>
    </font>
    <font>
      <b/>
      <sz val="14"/>
      <name val="Century Gothic"/>
      <family val="2"/>
    </font>
    <font>
      <sz val="18"/>
      <color rgb="FF0000CC"/>
      <name val="Century Gothic"/>
      <family val="2"/>
    </font>
    <font>
      <sz val="14"/>
      <color rgb="FFC00000"/>
      <name val="Century Gothic"/>
      <family val="2"/>
    </font>
    <font>
      <sz val="18"/>
      <color theme="1"/>
      <name val="Century Gothic"/>
      <family val="2"/>
    </font>
    <font>
      <b/>
      <sz val="24"/>
      <color theme="0"/>
      <name val="Century Gothic"/>
      <family val="2"/>
    </font>
    <font>
      <sz val="24"/>
      <name val="Century Gothic"/>
      <family val="2"/>
    </font>
    <font>
      <b/>
      <sz val="24"/>
      <name val="Century Gothic"/>
      <family val="2"/>
    </font>
    <font>
      <b/>
      <sz val="24"/>
      <color rgb="FF0000CC"/>
      <name val="Century Gothic"/>
      <family val="2"/>
    </font>
    <font>
      <b/>
      <sz val="18"/>
      <color rgb="FFFF0000"/>
      <name val="Century Gothic"/>
      <family val="2"/>
    </font>
    <font>
      <b/>
      <sz val="20"/>
      <name val="Century Gothic"/>
      <family val="2"/>
    </font>
    <font>
      <sz val="18"/>
      <color rgb="FFFF0000"/>
      <name val="Century Gothic"/>
      <family val="2"/>
    </font>
    <font>
      <b/>
      <sz val="18"/>
      <color theme="1"/>
      <name val="Century Gothic"/>
      <family val="2"/>
    </font>
    <font>
      <sz val="18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20"/>
      <color indexed="81"/>
      <name val="Tahoma"/>
      <family val="2"/>
    </font>
    <font>
      <sz val="20"/>
      <color indexed="81"/>
      <name val="Tahoma"/>
      <family val="2"/>
    </font>
  </fonts>
  <fills count="20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rgb="FFFFFF00"/>
        </stop>
      </gradientFill>
    </fill>
    <fill>
      <patternFill patternType="solid">
        <fgColor theme="7" tint="0.79998168889431442"/>
        <bgColor auto="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auto="1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auto="1"/>
      </patternFill>
    </fill>
    <fill>
      <patternFill patternType="solid">
        <fgColor theme="4" tint="-0.499984740745262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3" fillId="0" borderId="0"/>
  </cellStyleXfs>
  <cellXfs count="1156">
    <xf numFmtId="0" fontId="0" fillId="0" borderId="0" xfId="0"/>
    <xf numFmtId="0" fontId="4" fillId="0" borderId="0" xfId="0" applyFont="1" applyAlignment="1">
      <alignment vertical="center"/>
    </xf>
    <xf numFmtId="0" fontId="7" fillId="6" borderId="20" xfId="0" applyFont="1" applyFill="1" applyBorder="1" applyAlignment="1">
      <alignment horizontal="center" vertical="center" wrapText="1"/>
    </xf>
    <xf numFmtId="3" fontId="11" fillId="4" borderId="25" xfId="0" applyNumberFormat="1" applyFont="1" applyFill="1" applyBorder="1" applyAlignment="1">
      <alignment horizontal="center" vertical="center"/>
    </xf>
    <xf numFmtId="3" fontId="12" fillId="4" borderId="26" xfId="0" applyNumberFormat="1" applyFont="1" applyFill="1" applyBorder="1" applyAlignment="1">
      <alignment horizontal="center" vertical="center"/>
    </xf>
    <xf numFmtId="3" fontId="11" fillId="4" borderId="3" xfId="0" applyNumberFormat="1" applyFont="1" applyFill="1" applyBorder="1" applyAlignment="1">
      <alignment horizontal="center" vertical="center"/>
    </xf>
    <xf numFmtId="3" fontId="12" fillId="4" borderId="25" xfId="0" applyNumberFormat="1" applyFont="1" applyFill="1" applyBorder="1" applyAlignment="1">
      <alignment horizontal="center" vertical="center"/>
    </xf>
    <xf numFmtId="4" fontId="12" fillId="5" borderId="26" xfId="1" applyNumberFormat="1" applyFont="1" applyFill="1" applyBorder="1" applyAlignment="1">
      <alignment horizontal="right" vertical="center"/>
    </xf>
    <xf numFmtId="3" fontId="11" fillId="4" borderId="28" xfId="0" applyNumberFormat="1" applyFont="1" applyFill="1" applyBorder="1" applyAlignment="1">
      <alignment horizontal="center" vertical="center"/>
    </xf>
    <xf numFmtId="3" fontId="12" fillId="4" borderId="13" xfId="0" applyNumberFormat="1" applyFont="1" applyFill="1" applyBorder="1" applyAlignment="1">
      <alignment horizontal="center" vertical="center"/>
    </xf>
    <xf numFmtId="3" fontId="11" fillId="4" borderId="11" xfId="0" applyNumberFormat="1" applyFont="1" applyFill="1" applyBorder="1" applyAlignment="1">
      <alignment horizontal="center" vertical="center"/>
    </xf>
    <xf numFmtId="4" fontId="12" fillId="5" borderId="13" xfId="1" applyNumberFormat="1" applyFont="1" applyFill="1" applyBorder="1" applyAlignment="1">
      <alignment horizontal="right" vertical="center"/>
    </xf>
    <xf numFmtId="3" fontId="12" fillId="4" borderId="40" xfId="0" applyNumberFormat="1" applyFont="1" applyFill="1" applyBorder="1" applyAlignment="1">
      <alignment horizontal="center" vertical="center"/>
    </xf>
    <xf numFmtId="3" fontId="11" fillId="4" borderId="34" xfId="0" applyNumberFormat="1" applyFont="1" applyFill="1" applyBorder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 vertical="center"/>
    </xf>
    <xf numFmtId="4" fontId="12" fillId="5" borderId="7" xfId="1" applyNumberFormat="1" applyFont="1" applyFill="1" applyBorder="1" applyAlignment="1">
      <alignment horizontal="right" vertical="center"/>
    </xf>
    <xf numFmtId="3" fontId="12" fillId="4" borderId="12" xfId="0" applyNumberFormat="1" applyFont="1" applyFill="1" applyBorder="1" applyAlignment="1">
      <alignment horizontal="center" vertical="center"/>
    </xf>
    <xf numFmtId="3" fontId="12" fillId="4" borderId="58" xfId="0" applyNumberFormat="1" applyFont="1" applyFill="1" applyBorder="1" applyAlignment="1">
      <alignment horizontal="center" vertical="center"/>
    </xf>
    <xf numFmtId="0" fontId="11" fillId="0" borderId="42" xfId="0" applyFont="1" applyFill="1" applyBorder="1" applyAlignment="1">
      <alignment horizontal="left" vertical="center" wrapText="1"/>
    </xf>
    <xf numFmtId="3" fontId="12" fillId="4" borderId="45" xfId="0" applyNumberFormat="1" applyFont="1" applyFill="1" applyBorder="1" applyAlignment="1">
      <alignment horizontal="center" vertical="center"/>
    </xf>
    <xf numFmtId="3" fontId="12" fillId="4" borderId="46" xfId="0" applyNumberFormat="1" applyFont="1" applyFill="1" applyBorder="1" applyAlignment="1">
      <alignment horizontal="center" vertical="center"/>
    </xf>
    <xf numFmtId="3" fontId="12" fillId="4" borderId="32" xfId="0" applyNumberFormat="1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left" vertical="center"/>
    </xf>
    <xf numFmtId="0" fontId="11" fillId="0" borderId="15" xfId="0" applyFont="1" applyFill="1" applyBorder="1" applyAlignment="1">
      <alignment horizontal="left" vertical="center"/>
    </xf>
    <xf numFmtId="3" fontId="11" fillId="4" borderId="47" xfId="0" applyNumberFormat="1" applyFont="1" applyFill="1" applyBorder="1" applyAlignment="1">
      <alignment horizontal="center" vertical="center"/>
    </xf>
    <xf numFmtId="3" fontId="11" fillId="4" borderId="45" xfId="0" applyNumberFormat="1" applyFont="1" applyFill="1" applyBorder="1" applyAlignment="1">
      <alignment horizontal="center" vertical="center"/>
    </xf>
    <xf numFmtId="4" fontId="12" fillId="5" borderId="46" xfId="1" applyNumberFormat="1" applyFont="1" applyFill="1" applyBorder="1" applyAlignment="1">
      <alignment horizontal="right" vertical="center"/>
    </xf>
    <xf numFmtId="0" fontId="11" fillId="0" borderId="42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17" fontId="14" fillId="0" borderId="73" xfId="0" applyNumberFormat="1" applyFont="1" applyBorder="1" applyAlignment="1">
      <alignment horizontal="center" vertical="center"/>
    </xf>
    <xf numFmtId="10" fontId="11" fillId="4" borderId="3" xfId="1" applyNumberFormat="1" applyFont="1" applyFill="1" applyBorder="1" applyAlignment="1">
      <alignment horizontal="center" vertical="center"/>
    </xf>
    <xf numFmtId="4" fontId="12" fillId="5" borderId="7" xfId="0" applyNumberFormat="1" applyFont="1" applyFill="1" applyBorder="1" applyAlignment="1">
      <alignment horizontal="center" vertical="center"/>
    </xf>
    <xf numFmtId="17" fontId="14" fillId="0" borderId="68" xfId="0" applyNumberFormat="1" applyFont="1" applyBorder="1" applyAlignment="1">
      <alignment horizontal="center" vertical="center"/>
    </xf>
    <xf numFmtId="10" fontId="11" fillId="4" borderId="28" xfId="1" applyNumberFormat="1" applyFont="1" applyFill="1" applyBorder="1" applyAlignment="1">
      <alignment horizontal="center" vertical="center"/>
    </xf>
    <xf numFmtId="4" fontId="12" fillId="5" borderId="26" xfId="0" applyNumberFormat="1" applyFont="1" applyFill="1" applyBorder="1" applyAlignment="1">
      <alignment horizontal="center" vertical="center"/>
    </xf>
    <xf numFmtId="17" fontId="14" fillId="0" borderId="14" xfId="0" applyNumberFormat="1" applyFont="1" applyBorder="1" applyAlignment="1">
      <alignment horizontal="center" vertical="center"/>
    </xf>
    <xf numFmtId="4" fontId="12" fillId="5" borderId="13" xfId="0" applyNumberFormat="1" applyFont="1" applyFill="1" applyBorder="1" applyAlignment="1">
      <alignment horizontal="center" vertical="center"/>
    </xf>
    <xf numFmtId="0" fontId="10" fillId="0" borderId="57" xfId="0" applyFont="1" applyFill="1" applyBorder="1" applyAlignment="1">
      <alignment vertical="center"/>
    </xf>
    <xf numFmtId="3" fontId="11" fillId="4" borderId="58" xfId="0" applyNumberFormat="1" applyFont="1" applyFill="1" applyBorder="1" applyAlignment="1">
      <alignment horizontal="center" vertical="center"/>
    </xf>
    <xf numFmtId="0" fontId="10" fillId="0" borderId="59" xfId="0" applyFont="1" applyFill="1" applyBorder="1" applyAlignment="1">
      <alignment vertical="center"/>
    </xf>
    <xf numFmtId="10" fontId="11" fillId="4" borderId="11" xfId="1" applyNumberFormat="1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vertical="center"/>
    </xf>
    <xf numFmtId="3" fontId="11" fillId="0" borderId="45" xfId="0" applyNumberFormat="1" applyFont="1" applyFill="1" applyBorder="1" applyAlignment="1">
      <alignment horizontal="center" vertical="center"/>
    </xf>
    <xf numFmtId="3" fontId="12" fillId="0" borderId="46" xfId="0" applyNumberFormat="1" applyFont="1" applyFill="1" applyBorder="1" applyAlignment="1">
      <alignment horizontal="center" vertical="center"/>
    </xf>
    <xf numFmtId="3" fontId="11" fillId="0" borderId="47" xfId="0" applyNumberFormat="1" applyFont="1" applyFill="1" applyBorder="1" applyAlignment="1">
      <alignment horizontal="center" vertical="center"/>
    </xf>
    <xf numFmtId="3" fontId="12" fillId="0" borderId="45" xfId="0" applyNumberFormat="1" applyFont="1" applyFill="1" applyBorder="1" applyAlignment="1">
      <alignment horizontal="center" vertical="center"/>
    </xf>
    <xf numFmtId="10" fontId="11" fillId="0" borderId="63" xfId="1" applyNumberFormat="1" applyFont="1" applyFill="1" applyBorder="1" applyAlignment="1">
      <alignment horizontal="center" vertical="center"/>
    </xf>
    <xf numFmtId="4" fontId="11" fillId="0" borderId="48" xfId="1" applyNumberFormat="1" applyFont="1" applyFill="1" applyBorder="1" applyAlignment="1">
      <alignment horizontal="right" vertical="center"/>
    </xf>
    <xf numFmtId="4" fontId="12" fillId="0" borderId="46" xfId="1" applyNumberFormat="1" applyFont="1" applyFill="1" applyBorder="1" applyAlignment="1">
      <alignment horizontal="right" vertical="center"/>
    </xf>
    <xf numFmtId="4" fontId="12" fillId="0" borderId="47" xfId="1" applyNumberFormat="1" applyFont="1" applyFill="1" applyBorder="1" applyAlignment="1">
      <alignment horizontal="right" vertical="center"/>
    </xf>
    <xf numFmtId="10" fontId="11" fillId="4" borderId="70" xfId="1" applyNumberFormat="1" applyFont="1" applyFill="1" applyBorder="1" applyAlignment="1">
      <alignment horizontal="center" vertical="center"/>
    </xf>
    <xf numFmtId="10" fontId="11" fillId="4" borderId="62" xfId="1" applyNumberFormat="1" applyFont="1" applyFill="1" applyBorder="1" applyAlignment="1">
      <alignment horizontal="center" vertical="center"/>
    </xf>
    <xf numFmtId="10" fontId="11" fillId="4" borderId="63" xfId="1" applyNumberFormat="1" applyFont="1" applyFill="1" applyBorder="1" applyAlignment="1">
      <alignment horizontal="center" vertical="center"/>
    </xf>
    <xf numFmtId="3" fontId="11" fillId="0" borderId="42" xfId="0" applyNumberFormat="1" applyFont="1" applyFill="1" applyBorder="1" applyAlignment="1">
      <alignment horizontal="center" vertical="center" wrapText="1"/>
    </xf>
    <xf numFmtId="0" fontId="13" fillId="0" borderId="8" xfId="0" applyFont="1" applyBorder="1"/>
    <xf numFmtId="0" fontId="13" fillId="4" borderId="58" xfId="0" applyFont="1" applyFill="1" applyBorder="1" applyAlignment="1">
      <alignment horizontal="center"/>
    </xf>
    <xf numFmtId="3" fontId="7" fillId="4" borderId="7" xfId="0" applyNumberFormat="1" applyFont="1" applyFill="1" applyBorder="1" applyAlignment="1">
      <alignment horizontal="center"/>
    </xf>
    <xf numFmtId="3" fontId="7" fillId="4" borderId="74" xfId="0" applyNumberFormat="1" applyFont="1" applyFill="1" applyBorder="1" applyAlignment="1">
      <alignment horizontal="center"/>
    </xf>
    <xf numFmtId="0" fontId="13" fillId="4" borderId="3" xfId="0" applyFont="1" applyFill="1" applyBorder="1"/>
    <xf numFmtId="0" fontId="13" fillId="5" borderId="58" xfId="0" applyFont="1" applyFill="1" applyBorder="1" applyAlignment="1">
      <alignment horizontal="right"/>
    </xf>
    <xf numFmtId="4" fontId="13" fillId="5" borderId="7" xfId="0" applyNumberFormat="1" applyFont="1" applyFill="1" applyBorder="1"/>
    <xf numFmtId="0" fontId="13" fillId="0" borderId="15" xfId="0" applyFont="1" applyBorder="1"/>
    <xf numFmtId="0" fontId="13" fillId="4" borderId="12" xfId="0" applyFont="1" applyFill="1" applyBorder="1" applyAlignment="1">
      <alignment horizontal="center"/>
    </xf>
    <xf numFmtId="3" fontId="7" fillId="4" borderId="13" xfId="0" applyNumberFormat="1" applyFont="1" applyFill="1" applyBorder="1" applyAlignment="1">
      <alignment horizontal="center"/>
    </xf>
    <xf numFmtId="3" fontId="7" fillId="4" borderId="62" xfId="0" applyNumberFormat="1" applyFont="1" applyFill="1" applyBorder="1" applyAlignment="1">
      <alignment horizontal="center"/>
    </xf>
    <xf numFmtId="0" fontId="13" fillId="4" borderId="11" xfId="0" applyFont="1" applyFill="1" applyBorder="1"/>
    <xf numFmtId="0" fontId="13" fillId="5" borderId="12" xfId="0" applyFont="1" applyFill="1" applyBorder="1" applyAlignment="1">
      <alignment horizontal="right"/>
    </xf>
    <xf numFmtId="4" fontId="13" fillId="5" borderId="13" xfId="0" applyNumberFormat="1" applyFont="1" applyFill="1" applyBorder="1"/>
    <xf numFmtId="0" fontId="10" fillId="0" borderId="75" xfId="0" applyFont="1" applyBorder="1" applyAlignment="1">
      <alignment horizontal="left" vertical="center"/>
    </xf>
    <xf numFmtId="0" fontId="13" fillId="0" borderId="23" xfId="0" applyFont="1" applyBorder="1"/>
    <xf numFmtId="0" fontId="13" fillId="4" borderId="19" xfId="0" applyFont="1" applyFill="1" applyBorder="1" applyAlignment="1">
      <alignment horizontal="center"/>
    </xf>
    <xf numFmtId="3" fontId="7" fillId="4" borderId="20" xfId="0" applyNumberFormat="1" applyFont="1" applyFill="1" applyBorder="1" applyAlignment="1">
      <alignment horizontal="center"/>
    </xf>
    <xf numFmtId="3" fontId="7" fillId="4" borderId="71" xfId="0" applyNumberFormat="1" applyFont="1" applyFill="1" applyBorder="1" applyAlignment="1">
      <alignment horizontal="center"/>
    </xf>
    <xf numFmtId="0" fontId="13" fillId="5" borderId="19" xfId="0" applyFont="1" applyFill="1" applyBorder="1" applyAlignment="1">
      <alignment horizontal="right"/>
    </xf>
    <xf numFmtId="4" fontId="13" fillId="5" borderId="20" xfId="0" applyNumberFormat="1" applyFont="1" applyFill="1" applyBorder="1"/>
    <xf numFmtId="0" fontId="14" fillId="5" borderId="2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" fontId="12" fillId="5" borderId="42" xfId="1" applyNumberFormat="1" applyFont="1" applyFill="1" applyBorder="1" applyAlignment="1">
      <alignment horizontal="right" vertical="center"/>
    </xf>
    <xf numFmtId="3" fontId="7" fillId="4" borderId="2" xfId="0" applyNumberFormat="1" applyFont="1" applyFill="1" applyBorder="1" applyAlignment="1">
      <alignment horizontal="center"/>
    </xf>
    <xf numFmtId="3" fontId="7" fillId="4" borderId="10" xfId="0" applyNumberFormat="1" applyFont="1" applyFill="1" applyBorder="1" applyAlignment="1">
      <alignment horizontal="center"/>
    </xf>
    <xf numFmtId="3" fontId="7" fillId="4" borderId="21" xfId="0" applyNumberFormat="1" applyFont="1" applyFill="1" applyBorder="1" applyAlignment="1">
      <alignment horizontal="center"/>
    </xf>
    <xf numFmtId="10" fontId="11" fillId="4" borderId="31" xfId="1" applyNumberFormat="1" applyFont="1" applyFill="1" applyBorder="1" applyAlignment="1">
      <alignment horizontal="center" vertical="center"/>
    </xf>
    <xf numFmtId="17" fontId="14" fillId="0" borderId="22" xfId="0" applyNumberFormat="1" applyFont="1" applyBorder="1" applyAlignment="1">
      <alignment horizontal="center" vertical="center"/>
    </xf>
    <xf numFmtId="4" fontId="12" fillId="5" borderId="42" xfId="0" applyNumberFormat="1" applyFont="1" applyFill="1" applyBorder="1" applyAlignment="1">
      <alignment horizontal="center" vertical="center"/>
    </xf>
    <xf numFmtId="3" fontId="11" fillId="0" borderId="51" xfId="0" applyNumberFormat="1" applyFont="1" applyFill="1" applyBorder="1" applyAlignment="1">
      <alignment horizontal="center" vertical="center" wrapText="1"/>
    </xf>
    <xf numFmtId="4" fontId="11" fillId="5" borderId="28" xfId="1" applyNumberFormat="1" applyFont="1" applyFill="1" applyBorder="1" applyAlignment="1">
      <alignment horizontal="right" vertical="center"/>
    </xf>
    <xf numFmtId="4" fontId="11" fillId="5" borderId="7" xfId="0" applyNumberFormat="1" applyFont="1" applyFill="1" applyBorder="1" applyAlignment="1">
      <alignment horizontal="center" vertical="center"/>
    </xf>
    <xf numFmtId="4" fontId="11" fillId="5" borderId="26" xfId="0" applyNumberFormat="1" applyFont="1" applyFill="1" applyBorder="1" applyAlignment="1">
      <alignment horizontal="center" vertical="center"/>
    </xf>
    <xf numFmtId="4" fontId="11" fillId="5" borderId="13" xfId="0" applyNumberFormat="1" applyFont="1" applyFill="1" applyBorder="1" applyAlignment="1">
      <alignment horizontal="center" vertical="center"/>
    </xf>
    <xf numFmtId="4" fontId="11" fillId="5" borderId="20" xfId="0" applyNumberFormat="1" applyFont="1" applyFill="1" applyBorder="1" applyAlignment="1">
      <alignment horizontal="center" vertical="center"/>
    </xf>
    <xf numFmtId="4" fontId="11" fillId="5" borderId="3" xfId="1" applyNumberFormat="1" applyFont="1" applyFill="1" applyBorder="1" applyAlignment="1">
      <alignment horizontal="right" vertical="center"/>
    </xf>
    <xf numFmtId="4" fontId="11" fillId="5" borderId="11" xfId="1" applyNumberFormat="1" applyFont="1" applyFill="1" applyBorder="1" applyAlignment="1">
      <alignment horizontal="right" vertical="center"/>
    </xf>
    <xf numFmtId="4" fontId="11" fillId="0" borderId="47" xfId="1" applyNumberFormat="1" applyFont="1" applyFill="1" applyBorder="1" applyAlignment="1">
      <alignment horizontal="right" vertical="center"/>
    </xf>
    <xf numFmtId="4" fontId="11" fillId="5" borderId="70" xfId="1" applyNumberFormat="1" applyFont="1" applyFill="1" applyBorder="1" applyAlignment="1">
      <alignment horizontal="right" vertical="center"/>
    </xf>
    <xf numFmtId="4" fontId="11" fillId="5" borderId="62" xfId="1" applyNumberFormat="1" applyFont="1" applyFill="1" applyBorder="1" applyAlignment="1">
      <alignment horizontal="right" vertical="center"/>
    </xf>
    <xf numFmtId="4" fontId="11" fillId="5" borderId="47" xfId="1" applyNumberFormat="1" applyFont="1" applyFill="1" applyBorder="1" applyAlignment="1">
      <alignment horizontal="right" vertical="center"/>
    </xf>
    <xf numFmtId="0" fontId="0" fillId="0" borderId="42" xfId="0" applyBorder="1"/>
    <xf numFmtId="4" fontId="2" fillId="0" borderId="42" xfId="0" applyNumberFormat="1" applyFont="1" applyBorder="1" applyAlignment="1">
      <alignment horizontal="center"/>
    </xf>
    <xf numFmtId="0" fontId="14" fillId="4" borderId="36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0" borderId="59" xfId="0" applyBorder="1"/>
    <xf numFmtId="0" fontId="0" fillId="0" borderId="0" xfId="0" applyBorder="1"/>
    <xf numFmtId="0" fontId="0" fillId="0" borderId="39" xfId="0" applyBorder="1"/>
    <xf numFmtId="4" fontId="2" fillId="10" borderId="42" xfId="0" applyNumberFormat="1" applyFont="1" applyFill="1" applyBorder="1"/>
    <xf numFmtId="0" fontId="11" fillId="5" borderId="58" xfId="0" applyFont="1" applyFill="1" applyBorder="1" applyAlignment="1">
      <alignment horizontal="right" vertical="center"/>
    </xf>
    <xf numFmtId="0" fontId="11" fillId="5" borderId="25" xfId="0" applyFont="1" applyFill="1" applyBorder="1" applyAlignment="1">
      <alignment horizontal="right" vertical="center"/>
    </xf>
    <xf numFmtId="0" fontId="11" fillId="5" borderId="12" xfId="0" applyFont="1" applyFill="1" applyBorder="1" applyAlignment="1">
      <alignment horizontal="right" vertical="center"/>
    </xf>
    <xf numFmtId="0" fontId="11" fillId="5" borderId="19" xfId="0" applyFont="1" applyFill="1" applyBorder="1" applyAlignment="1">
      <alignment horizontal="right" vertical="center"/>
    </xf>
    <xf numFmtId="0" fontId="14" fillId="4" borderId="17" xfId="0" applyFont="1" applyFill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3" fontId="2" fillId="4" borderId="42" xfId="0" applyNumberFormat="1" applyFont="1" applyFill="1" applyBorder="1" applyAlignment="1">
      <alignment vertical="center"/>
    </xf>
    <xf numFmtId="0" fontId="2" fillId="4" borderId="44" xfId="0" applyFont="1" applyFill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61" xfId="0" applyFont="1" applyBorder="1" applyAlignment="1"/>
    <xf numFmtId="0" fontId="2" fillId="0" borderId="42" xfId="0" applyFont="1" applyBorder="1" applyAlignment="1"/>
    <xf numFmtId="3" fontId="2" fillId="0" borderId="42" xfId="0" applyNumberFormat="1" applyFont="1" applyBorder="1" applyAlignment="1"/>
    <xf numFmtId="3" fontId="2" fillId="0" borderId="61" xfId="0" applyNumberFormat="1" applyFont="1" applyBorder="1" applyAlignment="1"/>
    <xf numFmtId="0" fontId="11" fillId="0" borderId="72" xfId="0" applyFont="1" applyFill="1" applyBorder="1" applyAlignment="1">
      <alignment vertical="center"/>
    </xf>
    <xf numFmtId="0" fontId="11" fillId="0" borderId="78" xfId="0" applyFont="1" applyFill="1" applyBorder="1" applyAlignment="1">
      <alignment vertical="center"/>
    </xf>
    <xf numFmtId="0" fontId="11" fillId="0" borderId="65" xfId="0" applyFont="1" applyFill="1" applyBorder="1" applyAlignment="1">
      <alignment vertical="center"/>
    </xf>
    <xf numFmtId="0" fontId="11" fillId="0" borderId="66" xfId="0" applyFont="1" applyFill="1" applyBorder="1" applyAlignment="1">
      <alignment vertical="center"/>
    </xf>
    <xf numFmtId="3" fontId="12" fillId="8" borderId="44" xfId="0" applyNumberFormat="1" applyFont="1" applyFill="1" applyBorder="1" applyAlignment="1">
      <alignment horizontal="center" vertical="center"/>
    </xf>
    <xf numFmtId="3" fontId="12" fillId="8" borderId="61" xfId="0" applyNumberFormat="1" applyFont="1" applyFill="1" applyBorder="1" applyAlignment="1">
      <alignment horizontal="center" vertical="center"/>
    </xf>
    <xf numFmtId="3" fontId="12" fillId="8" borderId="42" xfId="0" applyNumberFormat="1" applyFont="1" applyFill="1" applyBorder="1" applyAlignment="1">
      <alignment horizontal="center" vertical="center"/>
    </xf>
    <xf numFmtId="0" fontId="2" fillId="8" borderId="48" xfId="0" applyFont="1" applyFill="1" applyBorder="1" applyAlignment="1">
      <alignment vertical="center"/>
    </xf>
    <xf numFmtId="3" fontId="2" fillId="8" borderId="46" xfId="0" applyNumberFormat="1" applyFont="1" applyFill="1" applyBorder="1" applyAlignment="1">
      <alignment horizontal="center" vertical="center"/>
    </xf>
    <xf numFmtId="3" fontId="2" fillId="8" borderId="47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right" vertical="center"/>
    </xf>
    <xf numFmtId="4" fontId="11" fillId="5" borderId="40" xfId="0" applyNumberFormat="1" applyFont="1" applyFill="1" applyBorder="1" applyAlignment="1">
      <alignment horizontal="center" vertical="center"/>
    </xf>
    <xf numFmtId="0" fontId="12" fillId="8" borderId="48" xfId="0" applyFont="1" applyFill="1" applyBorder="1" applyAlignment="1">
      <alignment vertical="center"/>
    </xf>
    <xf numFmtId="3" fontId="12" fillId="8" borderId="46" xfId="0" applyNumberFormat="1" applyFont="1" applyFill="1" applyBorder="1" applyAlignment="1">
      <alignment horizontal="center" vertical="center"/>
    </xf>
    <xf numFmtId="3" fontId="12" fillId="8" borderId="47" xfId="0" applyNumberFormat="1" applyFont="1" applyFill="1" applyBorder="1" applyAlignment="1">
      <alignment horizontal="center" vertical="center"/>
    </xf>
    <xf numFmtId="3" fontId="11" fillId="8" borderId="45" xfId="0" applyNumberFormat="1" applyFont="1" applyFill="1" applyBorder="1" applyAlignment="1">
      <alignment horizontal="center" vertical="center"/>
    </xf>
    <xf numFmtId="3" fontId="11" fillId="8" borderId="46" xfId="0" applyNumberFormat="1" applyFont="1" applyFill="1" applyBorder="1" applyAlignment="1">
      <alignment horizontal="center" vertical="center"/>
    </xf>
    <xf numFmtId="10" fontId="11" fillId="8" borderId="47" xfId="1" applyNumberFormat="1" applyFont="1" applyFill="1" applyBorder="1" applyAlignment="1">
      <alignment horizontal="center" vertical="center"/>
    </xf>
    <xf numFmtId="0" fontId="11" fillId="8" borderId="45" xfId="0" applyFont="1" applyFill="1" applyBorder="1" applyAlignment="1">
      <alignment horizontal="right" vertical="center"/>
    </xf>
    <xf numFmtId="4" fontId="12" fillId="8" borderId="46" xfId="0" applyNumberFormat="1" applyFont="1" applyFill="1" applyBorder="1" applyAlignment="1">
      <alignment horizontal="center" vertical="center"/>
    </xf>
    <xf numFmtId="4" fontId="12" fillId="8" borderId="47" xfId="0" applyNumberFormat="1" applyFont="1" applyFill="1" applyBorder="1" applyAlignment="1">
      <alignment horizontal="center" vertical="center"/>
    </xf>
    <xf numFmtId="10" fontId="11" fillId="8" borderId="44" xfId="1" applyNumberFormat="1" applyFont="1" applyFill="1" applyBorder="1" applyAlignment="1">
      <alignment horizontal="center" vertical="center"/>
    </xf>
    <xf numFmtId="0" fontId="11" fillId="8" borderId="49" xfId="0" applyFont="1" applyFill="1" applyBorder="1" applyAlignment="1">
      <alignment horizontal="right" vertical="center"/>
    </xf>
    <xf numFmtId="0" fontId="14" fillId="8" borderId="49" xfId="0" applyFont="1" applyFill="1" applyBorder="1" applyAlignment="1">
      <alignment horizontal="center" vertical="center"/>
    </xf>
    <xf numFmtId="4" fontId="11" fillId="8" borderId="42" xfId="0" applyNumberFormat="1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right" vertical="center"/>
    </xf>
    <xf numFmtId="165" fontId="11" fillId="5" borderId="36" xfId="1" applyNumberFormat="1" applyFont="1" applyFill="1" applyBorder="1" applyAlignment="1">
      <alignment horizontal="right" vertical="center"/>
    </xf>
    <xf numFmtId="165" fontId="11" fillId="5" borderId="10" xfId="1" applyNumberFormat="1" applyFont="1" applyFill="1" applyBorder="1" applyAlignment="1">
      <alignment horizontal="right" vertical="center"/>
    </xf>
    <xf numFmtId="165" fontId="11" fillId="5" borderId="2" xfId="1" applyNumberFormat="1" applyFont="1" applyFill="1" applyBorder="1" applyAlignment="1">
      <alignment horizontal="right" vertical="center"/>
    </xf>
    <xf numFmtId="164" fontId="11" fillId="5" borderId="12" xfId="0" applyNumberFormat="1" applyFont="1" applyFill="1" applyBorder="1" applyAlignment="1">
      <alignment horizontal="right"/>
    </xf>
    <xf numFmtId="164" fontId="13" fillId="5" borderId="12" xfId="0" applyNumberFormat="1" applyFont="1" applyFill="1" applyBorder="1" applyAlignment="1">
      <alignment horizontal="right"/>
    </xf>
    <xf numFmtId="165" fontId="11" fillId="5" borderId="48" xfId="1" applyNumberFormat="1" applyFont="1" applyFill="1" applyBorder="1" applyAlignment="1">
      <alignment horizontal="right" vertical="center"/>
    </xf>
    <xf numFmtId="165" fontId="9" fillId="5" borderId="10" xfId="1" applyNumberFormat="1" applyFont="1" applyFill="1" applyBorder="1" applyAlignment="1">
      <alignment horizontal="right" vertical="center"/>
    </xf>
    <xf numFmtId="2" fontId="12" fillId="5" borderId="13" xfId="0" applyNumberFormat="1" applyFont="1" applyFill="1" applyBorder="1" applyAlignment="1">
      <alignment horizontal="center" vertical="center"/>
    </xf>
    <xf numFmtId="164" fontId="9" fillId="5" borderId="12" xfId="0" applyNumberFormat="1" applyFont="1" applyFill="1" applyBorder="1" applyAlignment="1">
      <alignment horizontal="right"/>
    </xf>
    <xf numFmtId="0" fontId="8" fillId="5" borderId="12" xfId="0" applyFont="1" applyFill="1" applyBorder="1" applyAlignment="1">
      <alignment horizontal="right"/>
    </xf>
    <xf numFmtId="4" fontId="12" fillId="5" borderId="11" xfId="1" applyNumberFormat="1" applyFont="1" applyFill="1" applyBorder="1" applyAlignment="1">
      <alignment horizontal="right" vertical="center"/>
    </xf>
    <xf numFmtId="3" fontId="12" fillId="4" borderId="13" xfId="0" applyNumberFormat="1" applyFont="1" applyFill="1" applyBorder="1" applyAlignment="1">
      <alignment horizontal="center"/>
    </xf>
    <xf numFmtId="3" fontId="12" fillId="4" borderId="62" xfId="0" applyNumberFormat="1" applyFont="1" applyFill="1" applyBorder="1" applyAlignment="1">
      <alignment horizontal="center"/>
    </xf>
    <xf numFmtId="3" fontId="12" fillId="4" borderId="10" xfId="0" applyNumberFormat="1" applyFont="1" applyFill="1" applyBorder="1" applyAlignment="1">
      <alignment horizontal="center"/>
    </xf>
    <xf numFmtId="0" fontId="11" fillId="4" borderId="11" xfId="0" applyFont="1" applyFill="1" applyBorder="1"/>
    <xf numFmtId="4" fontId="11" fillId="5" borderId="13" xfId="0" applyNumberFormat="1" applyFont="1" applyFill="1" applyBorder="1"/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7" fillId="6" borderId="1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22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left" vertical="center" wrapText="1"/>
      <protection locked="0"/>
    </xf>
    <xf numFmtId="3" fontId="19" fillId="0" borderId="0" xfId="0" applyNumberFormat="1" applyFont="1" applyAlignment="1" applyProtection="1">
      <alignment horizontal="center" vertical="center"/>
      <protection locked="0"/>
    </xf>
    <xf numFmtId="3" fontId="20" fillId="0" borderId="0" xfId="0" applyNumberFormat="1" applyFont="1" applyAlignment="1" applyProtection="1">
      <alignment horizontal="center" vertical="center"/>
      <protection locked="0"/>
    </xf>
    <xf numFmtId="10" fontId="21" fillId="0" borderId="0" xfId="1" applyNumberFormat="1" applyFont="1" applyAlignment="1" applyProtection="1">
      <alignment horizontal="center" vertical="center"/>
      <protection locked="0"/>
    </xf>
    <xf numFmtId="3" fontId="19" fillId="0" borderId="0" xfId="0" applyNumberFormat="1" applyFont="1" applyAlignment="1" applyProtection="1">
      <alignment horizontal="center" vertical="center" wrapText="1"/>
      <protection locked="0"/>
    </xf>
    <xf numFmtId="10" fontId="20" fillId="0" borderId="0" xfId="1" applyNumberFormat="1" applyFont="1" applyAlignment="1" applyProtection="1">
      <alignment horizontal="center" vertical="center" wrapText="1"/>
      <protection locked="0"/>
    </xf>
    <xf numFmtId="3" fontId="28" fillId="0" borderId="0" xfId="0" applyNumberFormat="1" applyFont="1" applyAlignment="1" applyProtection="1">
      <alignment vertical="center" wrapText="1"/>
      <protection locked="0"/>
    </xf>
    <xf numFmtId="10" fontId="21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vertical="center"/>
      <protection locked="0"/>
    </xf>
    <xf numFmtId="17" fontId="22" fillId="0" borderId="0" xfId="0" applyNumberFormat="1" applyFont="1" applyAlignment="1" applyProtection="1">
      <alignment vertical="center"/>
      <protection locked="0"/>
    </xf>
    <xf numFmtId="17" fontId="22" fillId="0" borderId="0" xfId="0" applyNumberFormat="1" applyFont="1" applyAlignment="1" applyProtection="1">
      <alignment horizontal="left" vertical="center"/>
      <protection locked="0"/>
    </xf>
    <xf numFmtId="3" fontId="22" fillId="0" borderId="0" xfId="0" applyNumberFormat="1" applyFont="1" applyAlignment="1" applyProtection="1">
      <alignment horizontal="center" vertical="center"/>
      <protection locked="0"/>
    </xf>
    <xf numFmtId="9" fontId="22" fillId="0" borderId="0" xfId="1" applyFont="1" applyAlignment="1" applyProtection="1">
      <alignment horizontal="center" vertical="center"/>
      <protection locked="0"/>
    </xf>
    <xf numFmtId="10" fontId="22" fillId="0" borderId="0" xfId="1" applyNumberFormat="1" applyFont="1" applyAlignment="1" applyProtection="1">
      <alignment horizontal="center" vertical="center"/>
      <protection locked="0"/>
    </xf>
    <xf numFmtId="3" fontId="33" fillId="12" borderId="21" xfId="0" applyNumberFormat="1" applyFont="1" applyFill="1" applyBorder="1" applyAlignment="1" applyProtection="1">
      <alignment horizontal="center" vertical="center" wrapText="1"/>
      <protection locked="0"/>
    </xf>
    <xf numFmtId="0" fontId="33" fillId="12" borderId="20" xfId="0" applyNumberFormat="1" applyFont="1" applyFill="1" applyBorder="1" applyAlignment="1" applyProtection="1">
      <alignment horizontal="center" vertical="center" wrapText="1"/>
      <protection locked="0"/>
    </xf>
    <xf numFmtId="0" fontId="33" fillId="12" borderId="18" xfId="0" applyNumberFormat="1" applyFont="1" applyFill="1" applyBorder="1" applyAlignment="1" applyProtection="1">
      <alignment horizontal="center" vertical="center" wrapText="1"/>
      <protection locked="0"/>
    </xf>
    <xf numFmtId="0" fontId="33" fillId="12" borderId="21" xfId="0" applyNumberFormat="1" applyFont="1" applyFill="1" applyBorder="1" applyAlignment="1" applyProtection="1">
      <alignment horizontal="center" vertical="center" wrapText="1"/>
      <protection locked="0"/>
    </xf>
    <xf numFmtId="3" fontId="33" fillId="12" borderId="20" xfId="0" applyNumberFormat="1" applyFont="1" applyFill="1" applyBorder="1" applyAlignment="1" applyProtection="1">
      <alignment horizontal="center" vertical="center" wrapText="1"/>
      <protection locked="0"/>
    </xf>
    <xf numFmtId="10" fontId="33" fillId="12" borderId="18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18" xfId="1" applyNumberFormat="1" applyFont="1" applyFill="1" applyBorder="1" applyAlignment="1" applyProtection="1">
      <alignment horizontal="center" vertical="center" wrapText="1"/>
      <protection locked="0"/>
    </xf>
    <xf numFmtId="3" fontId="33" fillId="12" borderId="19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71" xfId="1" applyNumberFormat="1" applyFont="1" applyFill="1" applyBorder="1" applyAlignment="1" applyProtection="1">
      <alignment horizontal="center" vertical="center" wrapText="1"/>
      <protection locked="0"/>
    </xf>
    <xf numFmtId="0" fontId="27" fillId="0" borderId="57" xfId="0" applyFont="1" applyBorder="1" applyAlignment="1" applyProtection="1">
      <alignment horizontal="center" vertical="center"/>
      <protection locked="0"/>
    </xf>
    <xf numFmtId="0" fontId="28" fillId="0" borderId="74" xfId="0" applyFont="1" applyFill="1" applyBorder="1" applyAlignment="1" applyProtection="1">
      <alignment horizontal="left" vertical="center" wrapText="1"/>
      <protection locked="0"/>
    </xf>
    <xf numFmtId="3" fontId="30" fillId="0" borderId="7" xfId="0" applyNumberFormat="1" applyFont="1" applyFill="1" applyBorder="1" applyAlignment="1" applyProtection="1">
      <alignment horizontal="center" vertical="center"/>
      <protection locked="0"/>
    </xf>
    <xf numFmtId="3" fontId="30" fillId="0" borderId="3" xfId="0" applyNumberFormat="1" applyFont="1" applyFill="1" applyBorder="1" applyAlignment="1" applyProtection="1">
      <alignment horizontal="center" vertical="center"/>
      <protection locked="0"/>
    </xf>
    <xf numFmtId="0" fontId="27" fillId="0" borderId="59" xfId="0" applyFont="1" applyBorder="1" applyAlignment="1" applyProtection="1">
      <alignment horizontal="center" vertical="center"/>
      <protection locked="0"/>
    </xf>
    <xf numFmtId="0" fontId="28" fillId="0" borderId="62" xfId="0" applyFont="1" applyFill="1" applyBorder="1" applyAlignment="1" applyProtection="1">
      <alignment horizontal="left" vertical="center" wrapText="1"/>
      <protection locked="0"/>
    </xf>
    <xf numFmtId="3" fontId="30" fillId="0" borderId="13" xfId="0" applyNumberFormat="1" applyFont="1" applyFill="1" applyBorder="1" applyAlignment="1" applyProtection="1">
      <alignment horizontal="center" vertical="center"/>
      <protection locked="0"/>
    </xf>
    <xf numFmtId="3" fontId="30" fillId="0" borderId="11" xfId="0" applyNumberFormat="1" applyFont="1" applyFill="1" applyBorder="1" applyAlignment="1" applyProtection="1">
      <alignment horizontal="center" vertical="center"/>
      <protection locked="0"/>
    </xf>
    <xf numFmtId="0" fontId="28" fillId="0" borderId="59" xfId="0" applyFont="1" applyBorder="1" applyAlignment="1" applyProtection="1">
      <alignment horizontal="center" vertical="center"/>
      <protection locked="0"/>
    </xf>
    <xf numFmtId="0" fontId="30" fillId="0" borderId="62" xfId="0" applyFont="1" applyFill="1" applyBorder="1" applyAlignment="1" applyProtection="1">
      <alignment horizontal="left" vertical="center" wrapText="1"/>
      <protection locked="0"/>
    </xf>
    <xf numFmtId="3" fontId="30" fillId="0" borderId="13" xfId="1" applyNumberFormat="1" applyFont="1" applyFill="1" applyBorder="1" applyAlignment="1" applyProtection="1">
      <alignment horizontal="center" vertical="center"/>
      <protection locked="0"/>
    </xf>
    <xf numFmtId="0" fontId="27" fillId="0" borderId="60" xfId="0" applyFont="1" applyBorder="1" applyAlignment="1" applyProtection="1">
      <alignment horizontal="center" vertical="center"/>
      <protection locked="0"/>
    </xf>
    <xf numFmtId="0" fontId="30" fillId="0" borderId="71" xfId="0" applyFont="1" applyFill="1" applyBorder="1" applyAlignment="1" applyProtection="1">
      <alignment horizontal="left" vertical="center" wrapText="1"/>
      <protection locked="0"/>
    </xf>
    <xf numFmtId="3" fontId="30" fillId="0" borderId="20" xfId="0" applyNumberFormat="1" applyFont="1" applyFill="1" applyBorder="1" applyAlignment="1" applyProtection="1">
      <alignment horizontal="center" vertical="center"/>
      <protection locked="0"/>
    </xf>
    <xf numFmtId="3" fontId="30" fillId="0" borderId="18" xfId="0" applyNumberFormat="1" applyFont="1" applyFill="1" applyBorder="1" applyAlignment="1" applyProtection="1">
      <alignment horizontal="center" vertical="center"/>
      <protection locked="0"/>
    </xf>
    <xf numFmtId="3" fontId="30" fillId="0" borderId="20" xfId="1" applyNumberFormat="1" applyFont="1" applyFill="1" applyBorder="1" applyAlignment="1" applyProtection="1">
      <alignment horizontal="center" vertical="center"/>
      <protection locked="0"/>
    </xf>
    <xf numFmtId="0" fontId="28" fillId="0" borderId="62" xfId="0" applyFont="1" applyFill="1" applyBorder="1" applyAlignment="1" applyProtection="1">
      <alignment horizontal="left" vertical="center"/>
      <protection locked="0"/>
    </xf>
    <xf numFmtId="0" fontId="28" fillId="0" borderId="71" xfId="0" applyFont="1" applyFill="1" applyBorder="1" applyAlignment="1" applyProtection="1">
      <alignment horizontal="left" vertical="center" wrapText="1"/>
      <protection locked="0"/>
    </xf>
    <xf numFmtId="10" fontId="20" fillId="0" borderId="0" xfId="1" applyNumberFormat="1" applyFont="1" applyAlignment="1" applyProtection="1">
      <alignment horizontal="center" vertical="center"/>
      <protection locked="0"/>
    </xf>
    <xf numFmtId="10" fontId="31" fillId="0" borderId="11" xfId="1" applyNumberFormat="1" applyFont="1" applyFill="1" applyBorder="1" applyAlignment="1" applyProtection="1">
      <alignment horizontal="center" vertical="center"/>
    </xf>
    <xf numFmtId="10" fontId="31" fillId="0" borderId="18" xfId="1" applyNumberFormat="1" applyFont="1" applyFill="1" applyBorder="1" applyAlignment="1" applyProtection="1">
      <alignment horizontal="center" vertical="center"/>
    </xf>
    <xf numFmtId="10" fontId="31" fillId="0" borderId="11" xfId="1" applyNumberFormat="1" applyFont="1" applyFill="1" applyBorder="1" applyAlignment="1" applyProtection="1">
      <alignment horizontal="center" vertical="center" wrapText="1"/>
    </xf>
    <xf numFmtId="0" fontId="20" fillId="0" borderId="0" xfId="0" applyFont="1" applyAlignment="1" applyProtection="1">
      <alignment horizontal="center" vertical="center" wrapText="1"/>
      <protection locked="0"/>
    </xf>
    <xf numFmtId="3" fontId="22" fillId="0" borderId="0" xfId="0" applyNumberFormat="1" applyFont="1" applyFill="1" applyAlignment="1" applyProtection="1">
      <alignment horizontal="center" vertical="center"/>
      <protection locked="0"/>
    </xf>
    <xf numFmtId="0" fontId="27" fillId="0" borderId="1" xfId="0" applyFont="1" applyBorder="1" applyAlignment="1" applyProtection="1">
      <alignment horizontal="center" vertical="center"/>
      <protection locked="0"/>
    </xf>
    <xf numFmtId="0" fontId="30" fillId="8" borderId="28" xfId="0" applyFont="1" applyFill="1" applyBorder="1" applyAlignment="1" applyProtection="1">
      <alignment vertical="center"/>
      <protection locked="0"/>
    </xf>
    <xf numFmtId="3" fontId="30" fillId="8" borderId="36" xfId="0" applyNumberFormat="1" applyFont="1" applyFill="1" applyBorder="1" applyAlignment="1" applyProtection="1">
      <alignment horizontal="center" vertical="center"/>
      <protection locked="0"/>
    </xf>
    <xf numFmtId="3" fontId="30" fillId="8" borderId="70" xfId="0" applyNumberFormat="1" applyFont="1" applyFill="1" applyBorder="1" applyAlignment="1" applyProtection="1">
      <alignment horizontal="center" vertical="center"/>
      <protection locked="0"/>
    </xf>
    <xf numFmtId="3" fontId="30" fillId="8" borderId="26" xfId="0" applyNumberFormat="1" applyFont="1" applyFill="1" applyBorder="1" applyAlignment="1" applyProtection="1">
      <alignment horizontal="center" vertical="center"/>
      <protection locked="0"/>
    </xf>
    <xf numFmtId="3" fontId="30" fillId="0" borderId="28" xfId="0" applyNumberFormat="1" applyFont="1" applyFill="1" applyBorder="1" applyAlignment="1" applyProtection="1">
      <alignment horizontal="center" vertical="center"/>
      <protection locked="0"/>
    </xf>
    <xf numFmtId="0" fontId="27" fillId="0" borderId="9" xfId="0" applyFont="1" applyBorder="1" applyAlignment="1" applyProtection="1">
      <alignment horizontal="center" vertical="center"/>
      <protection locked="0"/>
    </xf>
    <xf numFmtId="0" fontId="30" fillId="8" borderId="11" xfId="0" applyFont="1" applyFill="1" applyBorder="1" applyAlignment="1" applyProtection="1">
      <alignment vertical="center"/>
      <protection locked="0"/>
    </xf>
    <xf numFmtId="3" fontId="30" fillId="8" borderId="10" xfId="0" applyNumberFormat="1" applyFont="1" applyFill="1" applyBorder="1" applyAlignment="1" applyProtection="1">
      <alignment horizontal="center" vertical="center"/>
      <protection locked="0"/>
    </xf>
    <xf numFmtId="3" fontId="30" fillId="8" borderId="62" xfId="0" applyNumberFormat="1" applyFont="1" applyFill="1" applyBorder="1" applyAlignment="1" applyProtection="1">
      <alignment horizontal="center" vertical="center"/>
      <protection locked="0"/>
    </xf>
    <xf numFmtId="3" fontId="30" fillId="8" borderId="13" xfId="0" applyNumberFormat="1" applyFont="1" applyFill="1" applyBorder="1" applyAlignment="1" applyProtection="1">
      <alignment horizontal="center" vertical="center"/>
      <protection locked="0"/>
    </xf>
    <xf numFmtId="0" fontId="30" fillId="8" borderId="34" xfId="0" applyFont="1" applyFill="1" applyBorder="1" applyAlignment="1" applyProtection="1">
      <alignment vertical="center"/>
      <protection locked="0"/>
    </xf>
    <xf numFmtId="3" fontId="30" fillId="8" borderId="17" xfId="0" applyNumberFormat="1" applyFont="1" applyFill="1" applyBorder="1" applyAlignment="1" applyProtection="1">
      <alignment horizontal="center" vertical="center"/>
      <protection locked="0"/>
    </xf>
    <xf numFmtId="3" fontId="30" fillId="8" borderId="69" xfId="0" applyNumberFormat="1" applyFont="1" applyFill="1" applyBorder="1" applyAlignment="1" applyProtection="1">
      <alignment horizontal="center" vertical="center"/>
      <protection locked="0"/>
    </xf>
    <xf numFmtId="3" fontId="30" fillId="8" borderId="40" xfId="0" applyNumberFormat="1" applyFont="1" applyFill="1" applyBorder="1" applyAlignment="1" applyProtection="1">
      <alignment horizontal="center" vertical="center"/>
      <protection locked="0"/>
    </xf>
    <xf numFmtId="10" fontId="31" fillId="0" borderId="37" xfId="1" applyNumberFormat="1" applyFont="1" applyFill="1" applyBorder="1" applyAlignment="1" applyProtection="1">
      <alignment horizontal="center" vertical="center"/>
      <protection locked="0"/>
    </xf>
    <xf numFmtId="3" fontId="28" fillId="11" borderId="48" xfId="0" applyNumberFormat="1" applyFont="1" applyFill="1" applyBorder="1" applyAlignment="1" applyProtection="1">
      <alignment horizontal="center" vertical="center"/>
      <protection locked="0"/>
    </xf>
    <xf numFmtId="3" fontId="28" fillId="11" borderId="63" xfId="0" applyNumberFormat="1" applyFont="1" applyFill="1" applyBorder="1" applyAlignment="1" applyProtection="1">
      <alignment horizontal="center" vertical="center"/>
      <protection locked="0"/>
    </xf>
    <xf numFmtId="0" fontId="30" fillId="8" borderId="34" xfId="0" applyFont="1" applyFill="1" applyBorder="1" applyAlignment="1" applyProtection="1">
      <alignment vertical="center" wrapText="1"/>
      <protection locked="0"/>
    </xf>
    <xf numFmtId="3" fontId="30" fillId="8" borderId="35" xfId="0" applyNumberFormat="1" applyFont="1" applyFill="1" applyBorder="1" applyAlignment="1" applyProtection="1">
      <alignment horizontal="center" vertical="center"/>
      <protection locked="0"/>
    </xf>
    <xf numFmtId="3" fontId="30" fillId="8" borderId="64" xfId="0" applyNumberFormat="1" applyFont="1" applyFill="1" applyBorder="1" applyAlignment="1" applyProtection="1">
      <alignment horizontal="center" vertical="center"/>
      <protection locked="0"/>
    </xf>
    <xf numFmtId="3" fontId="30" fillId="8" borderId="38" xfId="0" applyNumberFormat="1" applyFont="1" applyFill="1" applyBorder="1" applyAlignment="1" applyProtection="1">
      <alignment horizontal="center" vertical="center"/>
      <protection locked="0"/>
    </xf>
    <xf numFmtId="3" fontId="30" fillId="0" borderId="31" xfId="0" applyNumberFormat="1" applyFont="1" applyFill="1" applyBorder="1" applyAlignment="1" applyProtection="1">
      <alignment horizontal="center" vertical="center"/>
      <protection locked="0"/>
    </xf>
    <xf numFmtId="16" fontId="30" fillId="8" borderId="28" xfId="0" applyNumberFormat="1" applyFont="1" applyFill="1" applyBorder="1" applyAlignment="1" applyProtection="1">
      <alignment vertical="center"/>
      <protection locked="0"/>
    </xf>
    <xf numFmtId="16" fontId="30" fillId="8" borderId="11" xfId="0" applyNumberFormat="1" applyFont="1" applyFill="1" applyBorder="1" applyAlignment="1" applyProtection="1">
      <alignment vertical="center"/>
      <protection locked="0"/>
    </xf>
    <xf numFmtId="16" fontId="30" fillId="8" borderId="34" xfId="0" applyNumberFormat="1" applyFont="1" applyFill="1" applyBorder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30" fillId="8" borderId="11" xfId="0" applyFont="1" applyFill="1" applyBorder="1" applyAlignment="1" applyProtection="1">
      <alignment vertical="center" wrapText="1"/>
      <protection locked="0"/>
    </xf>
    <xf numFmtId="0" fontId="30" fillId="8" borderId="28" xfId="0" applyFont="1" applyFill="1" applyBorder="1" applyAlignment="1" applyProtection="1">
      <alignment vertical="center" wrapText="1"/>
      <protection locked="0"/>
    </xf>
    <xf numFmtId="0" fontId="30" fillId="0" borderId="28" xfId="0" applyFont="1" applyFill="1" applyBorder="1" applyAlignment="1" applyProtection="1">
      <alignment horizontal="left" vertical="center"/>
      <protection locked="0"/>
    </xf>
    <xf numFmtId="0" fontId="30" fillId="0" borderId="11" xfId="0" applyFont="1" applyFill="1" applyBorder="1" applyAlignment="1" applyProtection="1">
      <alignment horizontal="left" vertical="center" wrapText="1"/>
      <protection locked="0"/>
    </xf>
    <xf numFmtId="0" fontId="30" fillId="0" borderId="34" xfId="0" applyFont="1" applyFill="1" applyBorder="1" applyAlignment="1" applyProtection="1">
      <alignment horizontal="left" vertical="center" wrapText="1"/>
      <protection locked="0"/>
    </xf>
    <xf numFmtId="0" fontId="30" fillId="0" borderId="34" xfId="0" applyFont="1" applyFill="1" applyBorder="1" applyAlignment="1" applyProtection="1">
      <alignment horizontal="left" vertical="center"/>
      <protection locked="0"/>
    </xf>
    <xf numFmtId="0" fontId="28" fillId="8" borderId="11" xfId="0" applyFont="1" applyFill="1" applyBorder="1" applyAlignment="1" applyProtection="1">
      <alignment vertical="center" wrapText="1"/>
      <protection locked="0"/>
    </xf>
    <xf numFmtId="0" fontId="28" fillId="11" borderId="42" xfId="0" applyFont="1" applyFill="1" applyBorder="1" applyAlignment="1" applyProtection="1">
      <alignment vertical="center"/>
      <protection locked="0"/>
    </xf>
    <xf numFmtId="0" fontId="30" fillId="0" borderId="11" xfId="0" applyFont="1" applyFill="1" applyBorder="1" applyAlignment="1" applyProtection="1">
      <alignment horizontal="left" vertical="center"/>
      <protection locked="0"/>
    </xf>
    <xf numFmtId="0" fontId="28" fillId="8" borderId="18" xfId="0" applyFont="1" applyFill="1" applyBorder="1" applyAlignment="1" applyProtection="1">
      <alignment vertical="center" wrapText="1"/>
      <protection locked="0"/>
    </xf>
    <xf numFmtId="0" fontId="28" fillId="11" borderId="1" xfId="0" applyFont="1" applyFill="1" applyBorder="1" applyAlignment="1" applyProtection="1">
      <alignment vertical="center"/>
      <protection locked="0"/>
    </xf>
    <xf numFmtId="3" fontId="28" fillId="11" borderId="50" xfId="0" applyNumberFormat="1" applyFont="1" applyFill="1" applyBorder="1" applyAlignment="1" applyProtection="1">
      <alignment horizontal="center" vertical="center"/>
      <protection locked="0"/>
    </xf>
    <xf numFmtId="3" fontId="28" fillId="11" borderId="6" xfId="0" applyNumberFormat="1" applyFont="1" applyFill="1" applyBorder="1" applyAlignment="1" applyProtection="1">
      <alignment horizontal="center" vertical="center"/>
      <protection locked="0"/>
    </xf>
    <xf numFmtId="3" fontId="28" fillId="9" borderId="48" xfId="0" applyNumberFormat="1" applyFont="1" applyFill="1" applyBorder="1" applyAlignment="1" applyProtection="1">
      <alignment horizontal="center" vertical="center"/>
      <protection locked="0"/>
    </xf>
    <xf numFmtId="3" fontId="28" fillId="9" borderId="63" xfId="0" applyNumberFormat="1" applyFont="1" applyFill="1" applyBorder="1" applyAlignment="1" applyProtection="1">
      <alignment horizontal="center" vertical="center"/>
      <protection locked="0"/>
    </xf>
    <xf numFmtId="0" fontId="30" fillId="0" borderId="31" xfId="0" applyFont="1" applyFill="1" applyBorder="1" applyAlignment="1" applyProtection="1">
      <alignment horizontal="left" vertical="center" wrapText="1"/>
      <protection locked="0"/>
    </xf>
    <xf numFmtId="0" fontId="30" fillId="8" borderId="28" xfId="0" applyFont="1" applyFill="1" applyBorder="1" applyAlignment="1" applyProtection="1">
      <alignment horizontal="left" vertical="center"/>
      <protection locked="0"/>
    </xf>
    <xf numFmtId="0" fontId="30" fillId="8" borderId="11" xfId="0" applyFont="1" applyFill="1" applyBorder="1" applyAlignment="1" applyProtection="1">
      <alignment horizontal="left" vertical="center"/>
      <protection locked="0"/>
    </xf>
    <xf numFmtId="0" fontId="30" fillId="8" borderId="34" xfId="0" applyFont="1" applyFill="1" applyBorder="1" applyAlignment="1" applyProtection="1">
      <alignment horizontal="left" vertical="center"/>
      <protection locked="0"/>
    </xf>
    <xf numFmtId="0" fontId="30" fillId="8" borderId="28" xfId="0" applyFont="1" applyFill="1" applyBorder="1" applyAlignment="1" applyProtection="1">
      <alignment horizontal="left" vertical="center" wrapText="1"/>
      <protection locked="0"/>
    </xf>
    <xf numFmtId="3" fontId="30" fillId="0" borderId="70" xfId="0" applyNumberFormat="1" applyFont="1" applyFill="1" applyBorder="1" applyAlignment="1" applyProtection="1">
      <alignment horizontal="center" vertical="center"/>
      <protection locked="0"/>
    </xf>
    <xf numFmtId="3" fontId="30" fillId="0" borderId="62" xfId="0" applyNumberFormat="1" applyFont="1" applyFill="1" applyBorder="1" applyAlignment="1" applyProtection="1">
      <alignment horizontal="center" vertical="center"/>
      <protection locked="0"/>
    </xf>
    <xf numFmtId="3" fontId="30" fillId="0" borderId="69" xfId="0" applyNumberFormat="1" applyFont="1" applyFill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vertical="center"/>
      <protection locked="0"/>
    </xf>
    <xf numFmtId="3" fontId="28" fillId="11" borderId="48" xfId="0" applyNumberFormat="1" applyFont="1" applyFill="1" applyBorder="1" applyAlignment="1" applyProtection="1">
      <alignment horizontal="center" vertical="center"/>
    </xf>
    <xf numFmtId="3" fontId="28" fillId="11" borderId="46" xfId="0" applyNumberFormat="1" applyFont="1" applyFill="1" applyBorder="1" applyAlignment="1" applyProtection="1">
      <alignment horizontal="center" vertical="center"/>
    </xf>
    <xf numFmtId="3" fontId="28" fillId="11" borderId="47" xfId="0" applyNumberFormat="1" applyFont="1" applyFill="1" applyBorder="1" applyAlignment="1" applyProtection="1">
      <alignment horizontal="center" vertical="center"/>
    </xf>
    <xf numFmtId="3" fontId="28" fillId="11" borderId="63" xfId="0" applyNumberFormat="1" applyFont="1" applyFill="1" applyBorder="1" applyAlignment="1" applyProtection="1">
      <alignment horizontal="center" vertical="center"/>
    </xf>
    <xf numFmtId="3" fontId="27" fillId="13" borderId="46" xfId="0" applyNumberFormat="1" applyFont="1" applyFill="1" applyBorder="1" applyAlignment="1" applyProtection="1">
      <alignment horizontal="center" vertical="center"/>
    </xf>
    <xf numFmtId="3" fontId="27" fillId="13" borderId="47" xfId="0" applyNumberFormat="1" applyFont="1" applyFill="1" applyBorder="1" applyAlignment="1" applyProtection="1">
      <alignment horizontal="center" vertical="center"/>
    </xf>
    <xf numFmtId="3" fontId="27" fillId="13" borderId="48" xfId="0" applyNumberFormat="1" applyFont="1" applyFill="1" applyBorder="1" applyAlignment="1" applyProtection="1">
      <alignment horizontal="center" vertical="center"/>
    </xf>
    <xf numFmtId="3" fontId="27" fillId="13" borderId="63" xfId="0" applyNumberFormat="1" applyFont="1" applyFill="1" applyBorder="1" applyAlignment="1" applyProtection="1">
      <alignment horizontal="center" vertical="center"/>
    </xf>
    <xf numFmtId="3" fontId="28" fillId="16" borderId="46" xfId="0" applyNumberFormat="1" applyFont="1" applyFill="1" applyBorder="1" applyAlignment="1" applyProtection="1">
      <alignment horizontal="center" vertical="center"/>
    </xf>
    <xf numFmtId="3" fontId="28" fillId="16" borderId="47" xfId="0" applyNumberFormat="1" applyFont="1" applyFill="1" applyBorder="1" applyAlignment="1" applyProtection="1">
      <alignment horizontal="center" vertical="center"/>
    </xf>
    <xf numFmtId="3" fontId="28" fillId="16" borderId="48" xfId="0" applyNumberFormat="1" applyFont="1" applyFill="1" applyBorder="1" applyAlignment="1" applyProtection="1">
      <alignment horizontal="center" vertical="center"/>
    </xf>
    <xf numFmtId="3" fontId="28" fillId="16" borderId="63" xfId="0" applyNumberFormat="1" applyFont="1" applyFill="1" applyBorder="1" applyAlignment="1" applyProtection="1">
      <alignment horizontal="center" vertical="center"/>
    </xf>
    <xf numFmtId="3" fontId="28" fillId="8" borderId="36" xfId="0" applyNumberFormat="1" applyFont="1" applyFill="1" applyBorder="1" applyAlignment="1" applyProtection="1">
      <alignment horizontal="center" vertical="center"/>
    </xf>
    <xf numFmtId="3" fontId="28" fillId="8" borderId="10" xfId="0" applyNumberFormat="1" applyFont="1" applyFill="1" applyBorder="1" applyAlignment="1" applyProtection="1">
      <alignment horizontal="center" vertical="center"/>
    </xf>
    <xf numFmtId="3" fontId="28" fillId="8" borderId="17" xfId="0" applyNumberFormat="1" applyFont="1" applyFill="1" applyBorder="1" applyAlignment="1" applyProtection="1">
      <alignment horizontal="center" vertical="center"/>
    </xf>
    <xf numFmtId="3" fontId="28" fillId="8" borderId="35" xfId="0" applyNumberFormat="1" applyFont="1" applyFill="1" applyBorder="1" applyAlignment="1" applyProtection="1">
      <alignment horizontal="center" vertical="center"/>
    </xf>
    <xf numFmtId="10" fontId="31" fillId="0" borderId="25" xfId="1" applyNumberFormat="1" applyFont="1" applyFill="1" applyBorder="1" applyAlignment="1" applyProtection="1">
      <alignment horizontal="center" vertical="center"/>
    </xf>
    <xf numFmtId="10" fontId="31" fillId="0" borderId="12" xfId="1" applyNumberFormat="1" applyFont="1" applyFill="1" applyBorder="1" applyAlignment="1" applyProtection="1">
      <alignment horizontal="center" vertical="center"/>
    </xf>
    <xf numFmtId="10" fontId="31" fillId="0" borderId="37" xfId="1" applyNumberFormat="1" applyFont="1" applyFill="1" applyBorder="1" applyAlignment="1" applyProtection="1">
      <alignment horizontal="center" vertical="center"/>
    </xf>
    <xf numFmtId="10" fontId="28" fillId="11" borderId="45" xfId="1" applyNumberFormat="1" applyFont="1" applyFill="1" applyBorder="1" applyAlignment="1" applyProtection="1">
      <alignment horizontal="center" vertical="center"/>
    </xf>
    <xf numFmtId="10" fontId="31" fillId="0" borderId="32" xfId="1" applyNumberFormat="1" applyFont="1" applyFill="1" applyBorder="1" applyAlignment="1" applyProtection="1">
      <alignment horizontal="center" vertical="center"/>
    </xf>
    <xf numFmtId="10" fontId="27" fillId="13" borderId="45" xfId="1" applyNumberFormat="1" applyFont="1" applyFill="1" applyBorder="1" applyAlignment="1" applyProtection="1">
      <alignment horizontal="center" vertical="center"/>
    </xf>
    <xf numFmtId="10" fontId="28" fillId="16" borderId="45" xfId="1" applyNumberFormat="1" applyFont="1" applyFill="1" applyBorder="1" applyAlignment="1" applyProtection="1">
      <alignment horizontal="center" vertical="center"/>
    </xf>
    <xf numFmtId="10" fontId="31" fillId="0" borderId="28" xfId="1" applyNumberFormat="1" applyFont="1" applyFill="1" applyBorder="1" applyAlignment="1" applyProtection="1">
      <alignment horizontal="center" vertical="center" wrapText="1"/>
    </xf>
    <xf numFmtId="10" fontId="31" fillId="0" borderId="34" xfId="1" applyNumberFormat="1" applyFont="1" applyFill="1" applyBorder="1" applyAlignment="1" applyProtection="1">
      <alignment horizontal="center" vertical="center" wrapText="1"/>
    </xf>
    <xf numFmtId="10" fontId="28" fillId="11" borderId="47" xfId="1" applyNumberFormat="1" applyFont="1" applyFill="1" applyBorder="1" applyAlignment="1" applyProtection="1">
      <alignment horizontal="center" vertical="center"/>
    </xf>
    <xf numFmtId="10" fontId="31" fillId="0" borderId="28" xfId="1" applyNumberFormat="1" applyFont="1" applyFill="1" applyBorder="1" applyAlignment="1" applyProtection="1">
      <alignment horizontal="center" vertical="center"/>
    </xf>
    <xf numFmtId="10" fontId="31" fillId="0" borderId="34" xfId="1" applyNumberFormat="1" applyFont="1" applyFill="1" applyBorder="1" applyAlignment="1" applyProtection="1">
      <alignment horizontal="center" vertical="center"/>
    </xf>
    <xf numFmtId="10" fontId="31" fillId="0" borderId="31" xfId="1" applyNumberFormat="1" applyFont="1" applyFill="1" applyBorder="1" applyAlignment="1" applyProtection="1">
      <alignment horizontal="center" vertical="center"/>
    </xf>
    <xf numFmtId="10" fontId="27" fillId="13" borderId="47" xfId="1" applyNumberFormat="1" applyFont="1" applyFill="1" applyBorder="1" applyAlignment="1" applyProtection="1">
      <alignment horizontal="center" vertical="center"/>
    </xf>
    <xf numFmtId="10" fontId="28" fillId="16" borderId="47" xfId="1" applyNumberFormat="1" applyFont="1" applyFill="1" applyBorder="1" applyAlignment="1" applyProtection="1">
      <alignment horizontal="center" vertical="center"/>
    </xf>
    <xf numFmtId="10" fontId="31" fillId="8" borderId="28" xfId="1" applyNumberFormat="1" applyFont="1" applyFill="1" applyBorder="1" applyAlignment="1" applyProtection="1">
      <alignment horizontal="center" vertical="center"/>
    </xf>
    <xf numFmtId="10" fontId="31" fillId="8" borderId="11" xfId="1" applyNumberFormat="1" applyFont="1" applyFill="1" applyBorder="1" applyAlignment="1" applyProtection="1">
      <alignment horizontal="center" vertical="center"/>
    </xf>
    <xf numFmtId="10" fontId="31" fillId="8" borderId="34" xfId="1" applyNumberFormat="1" applyFont="1" applyFill="1" applyBorder="1" applyAlignment="1" applyProtection="1">
      <alignment horizontal="center" vertical="center"/>
    </xf>
    <xf numFmtId="10" fontId="31" fillId="8" borderId="31" xfId="1" applyNumberFormat="1" applyFont="1" applyFill="1" applyBorder="1" applyAlignment="1" applyProtection="1">
      <alignment horizontal="center" vertical="center"/>
    </xf>
    <xf numFmtId="10" fontId="28" fillId="11" borderId="4" xfId="1" applyNumberFormat="1" applyFont="1" applyFill="1" applyBorder="1" applyAlignment="1" applyProtection="1">
      <alignment horizontal="center" vertical="center"/>
    </xf>
    <xf numFmtId="10" fontId="28" fillId="11" borderId="27" xfId="1" applyNumberFormat="1" applyFont="1" applyFill="1" applyBorder="1" applyAlignment="1" applyProtection="1">
      <alignment horizontal="center" vertical="center"/>
    </xf>
    <xf numFmtId="10" fontId="28" fillId="9" borderId="45" xfId="1" applyNumberFormat="1" applyFont="1" applyFill="1" applyBorder="1" applyAlignment="1" applyProtection="1">
      <alignment horizontal="center" vertical="center"/>
    </xf>
    <xf numFmtId="10" fontId="28" fillId="9" borderId="47" xfId="1" applyNumberFormat="1" applyFont="1" applyFill="1" applyBorder="1" applyAlignment="1" applyProtection="1">
      <alignment horizontal="center" vertical="center"/>
    </xf>
    <xf numFmtId="10" fontId="28" fillId="0" borderId="25" xfId="1" applyNumberFormat="1" applyFont="1" applyFill="1" applyBorder="1" applyAlignment="1" applyProtection="1">
      <alignment horizontal="center" vertical="center"/>
    </xf>
    <xf numFmtId="10" fontId="28" fillId="0" borderId="28" xfId="1" applyNumberFormat="1" applyFont="1" applyFill="1" applyBorder="1" applyAlignment="1" applyProtection="1">
      <alignment horizontal="center" vertical="center"/>
    </xf>
    <xf numFmtId="10" fontId="28" fillId="0" borderId="12" xfId="1" applyNumberFormat="1" applyFont="1" applyFill="1" applyBorder="1" applyAlignment="1" applyProtection="1">
      <alignment horizontal="center" vertical="center"/>
    </xf>
    <xf numFmtId="10" fontId="28" fillId="0" borderId="11" xfId="1" applyNumberFormat="1" applyFont="1" applyFill="1" applyBorder="1" applyAlignment="1" applyProtection="1">
      <alignment horizontal="center" vertical="center"/>
    </xf>
    <xf numFmtId="10" fontId="28" fillId="0" borderId="37" xfId="1" applyNumberFormat="1" applyFont="1" applyFill="1" applyBorder="1" applyAlignment="1" applyProtection="1">
      <alignment horizontal="center" vertical="center"/>
    </xf>
    <xf numFmtId="10" fontId="28" fillId="0" borderId="34" xfId="1" applyNumberFormat="1" applyFont="1" applyFill="1" applyBorder="1" applyAlignment="1" applyProtection="1">
      <alignment horizontal="center" vertical="center"/>
    </xf>
    <xf numFmtId="3" fontId="28" fillId="11" borderId="5" xfId="0" applyNumberFormat="1" applyFont="1" applyFill="1" applyBorder="1" applyAlignment="1" applyProtection="1">
      <alignment horizontal="center" vertical="center"/>
    </xf>
    <xf numFmtId="3" fontId="28" fillId="11" borderId="50" xfId="0" applyNumberFormat="1" applyFont="1" applyFill="1" applyBorder="1" applyAlignment="1" applyProtection="1">
      <alignment horizontal="center" vertical="center"/>
    </xf>
    <xf numFmtId="3" fontId="28" fillId="11" borderId="27" xfId="0" applyNumberFormat="1" applyFont="1" applyFill="1" applyBorder="1" applyAlignment="1" applyProtection="1">
      <alignment horizontal="center" vertical="center"/>
    </xf>
    <xf numFmtId="3" fontId="28" fillId="9" borderId="46" xfId="0" applyNumberFormat="1" applyFont="1" applyFill="1" applyBorder="1" applyAlignment="1" applyProtection="1">
      <alignment horizontal="center" vertical="center"/>
    </xf>
    <xf numFmtId="3" fontId="28" fillId="9" borderId="48" xfId="0" applyNumberFormat="1" applyFont="1" applyFill="1" applyBorder="1" applyAlignment="1" applyProtection="1">
      <alignment horizontal="center" vertical="center"/>
    </xf>
    <xf numFmtId="3" fontId="28" fillId="9" borderId="47" xfId="0" applyNumberFormat="1" applyFont="1" applyFill="1" applyBorder="1" applyAlignment="1" applyProtection="1">
      <alignment horizontal="center" vertical="center"/>
    </xf>
    <xf numFmtId="10" fontId="28" fillId="8" borderId="28" xfId="1" applyNumberFormat="1" applyFont="1" applyFill="1" applyBorder="1" applyAlignment="1" applyProtection="1">
      <alignment horizontal="center" vertical="center"/>
    </xf>
    <xf numFmtId="10" fontId="28" fillId="8" borderId="11" xfId="1" applyNumberFormat="1" applyFont="1" applyFill="1" applyBorder="1" applyAlignment="1" applyProtection="1">
      <alignment horizontal="center" vertical="center"/>
    </xf>
    <xf numFmtId="10" fontId="28" fillId="8" borderId="34" xfId="1" applyNumberFormat="1" applyFont="1" applyFill="1" applyBorder="1" applyAlignment="1" applyProtection="1">
      <alignment horizontal="center" vertical="center"/>
    </xf>
    <xf numFmtId="3" fontId="32" fillId="14" borderId="79" xfId="0" applyNumberFormat="1" applyFont="1" applyFill="1" applyBorder="1" applyAlignment="1" applyProtection="1">
      <alignment horizontal="center" vertical="center"/>
    </xf>
    <xf numFmtId="10" fontId="32" fillId="14" borderId="79" xfId="1" applyNumberFormat="1" applyFont="1" applyFill="1" applyBorder="1" applyAlignment="1" applyProtection="1">
      <alignment horizontal="center" vertical="center"/>
    </xf>
    <xf numFmtId="4" fontId="19" fillId="0" borderId="0" xfId="0" applyNumberFormat="1" applyFont="1" applyAlignment="1" applyProtection="1">
      <alignment horizontal="right" vertical="center"/>
      <protection locked="0"/>
    </xf>
    <xf numFmtId="4" fontId="20" fillId="0" borderId="0" xfId="0" applyNumberFormat="1" applyFont="1" applyAlignment="1" applyProtection="1">
      <alignment horizontal="right" vertical="center"/>
      <protection locked="0"/>
    </xf>
    <xf numFmtId="4" fontId="22" fillId="0" borderId="0" xfId="0" applyNumberFormat="1" applyFont="1" applyAlignment="1" applyProtection="1">
      <alignment horizontal="right" vertical="center"/>
      <protection locked="0"/>
    </xf>
    <xf numFmtId="4" fontId="28" fillId="12" borderId="17" xfId="0" applyNumberFormat="1" applyFont="1" applyFill="1" applyBorder="1" applyAlignment="1" applyProtection="1">
      <alignment horizontal="center" vertical="center" wrapText="1"/>
      <protection locked="0"/>
    </xf>
    <xf numFmtId="4" fontId="30" fillId="0" borderId="25" xfId="1" applyNumberFormat="1" applyFont="1" applyFill="1" applyBorder="1" applyAlignment="1" applyProtection="1">
      <alignment horizontal="right" vertical="center"/>
      <protection locked="0"/>
    </xf>
    <xf numFmtId="4" fontId="30" fillId="0" borderId="36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26" xfId="0" applyNumberFormat="1" applyFont="1" applyFill="1" applyBorder="1" applyAlignment="1" applyProtection="1">
      <alignment horizontal="right" vertical="center"/>
      <protection locked="0"/>
    </xf>
    <xf numFmtId="4" fontId="28" fillId="0" borderId="28" xfId="0" applyNumberFormat="1" applyFont="1" applyFill="1" applyBorder="1" applyAlignment="1" applyProtection="1">
      <alignment horizontal="right" vertical="center"/>
      <protection locked="0"/>
    </xf>
    <xf numFmtId="4" fontId="30" fillId="0" borderId="12" xfId="1" applyNumberFormat="1" applyFont="1" applyFill="1" applyBorder="1" applyAlignment="1" applyProtection="1">
      <alignment horizontal="right" vertical="center"/>
      <protection locked="0"/>
    </xf>
    <xf numFmtId="4" fontId="30" fillId="0" borderId="10" xfId="0" applyNumberFormat="1" applyFont="1" applyFill="1" applyBorder="1" applyAlignment="1" applyProtection="1">
      <alignment horizontal="right" vertical="center" wrapText="1"/>
      <protection locked="0"/>
    </xf>
    <xf numFmtId="4" fontId="30" fillId="0" borderId="37" xfId="1" applyNumberFormat="1" applyFont="1" applyFill="1" applyBorder="1" applyAlignment="1" applyProtection="1">
      <alignment horizontal="right" vertical="center"/>
      <protection locked="0"/>
    </xf>
    <xf numFmtId="4" fontId="30" fillId="0" borderId="17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40" xfId="0" applyNumberFormat="1" applyFont="1" applyFill="1" applyBorder="1" applyAlignment="1" applyProtection="1">
      <alignment horizontal="right" vertical="center"/>
      <protection locked="0"/>
    </xf>
    <xf numFmtId="4" fontId="28" fillId="0" borderId="34" xfId="0" applyNumberFormat="1" applyFont="1" applyFill="1" applyBorder="1" applyAlignment="1" applyProtection="1">
      <alignment horizontal="right" vertical="center"/>
      <protection locked="0"/>
    </xf>
    <xf numFmtId="4" fontId="28" fillId="11" borderId="45" xfId="0" applyNumberFormat="1" applyFont="1" applyFill="1" applyBorder="1" applyAlignment="1" applyProtection="1">
      <alignment horizontal="right" vertical="center"/>
      <protection locked="0"/>
    </xf>
    <xf numFmtId="4" fontId="28" fillId="11" borderId="48" xfId="0" applyNumberFormat="1" applyFont="1" applyFill="1" applyBorder="1" applyAlignment="1" applyProtection="1">
      <alignment horizontal="right" vertical="center"/>
      <protection locked="0"/>
    </xf>
    <xf numFmtId="4" fontId="30" fillId="0" borderId="35" xfId="0" applyNumberFormat="1" applyFont="1" applyFill="1" applyBorder="1" applyAlignment="1" applyProtection="1">
      <alignment horizontal="right" vertical="center" wrapText="1"/>
      <protection locked="0"/>
    </xf>
    <xf numFmtId="4" fontId="27" fillId="13" borderId="45" xfId="0" applyNumberFormat="1" applyFont="1" applyFill="1" applyBorder="1" applyAlignment="1" applyProtection="1">
      <alignment horizontal="right" vertical="center"/>
      <protection locked="0"/>
    </xf>
    <xf numFmtId="4" fontId="27" fillId="13" borderId="48" xfId="0" applyNumberFormat="1" applyFont="1" applyFill="1" applyBorder="1" applyAlignment="1" applyProtection="1">
      <alignment horizontal="right" vertical="center"/>
      <protection locked="0"/>
    </xf>
    <xf numFmtId="4" fontId="28" fillId="16" borderId="45" xfId="0" applyNumberFormat="1" applyFont="1" applyFill="1" applyBorder="1" applyAlignment="1" applyProtection="1">
      <alignment horizontal="right" vertical="center"/>
      <protection locked="0"/>
    </xf>
    <xf numFmtId="4" fontId="28" fillId="16" borderId="48" xfId="0" applyNumberFormat="1" applyFont="1" applyFill="1" applyBorder="1" applyAlignment="1" applyProtection="1">
      <alignment horizontal="right" vertical="center"/>
      <protection locked="0"/>
    </xf>
    <xf numFmtId="4" fontId="28" fillId="11" borderId="4" xfId="0" applyNumberFormat="1" applyFont="1" applyFill="1" applyBorder="1" applyAlignment="1" applyProtection="1">
      <alignment horizontal="right" vertical="center"/>
      <protection locked="0"/>
    </xf>
    <xf numFmtId="4" fontId="28" fillId="11" borderId="50" xfId="0" applyNumberFormat="1" applyFont="1" applyFill="1" applyBorder="1" applyAlignment="1" applyProtection="1">
      <alignment horizontal="right" vertical="center"/>
      <protection locked="0"/>
    </xf>
    <xf numFmtId="4" fontId="28" fillId="9" borderId="45" xfId="0" applyNumberFormat="1" applyFont="1" applyFill="1" applyBorder="1" applyAlignment="1" applyProtection="1">
      <alignment horizontal="right" vertical="center"/>
      <protection locked="0"/>
    </xf>
    <xf numFmtId="4" fontId="28" fillId="9" borderId="48" xfId="0" applyNumberFormat="1" applyFont="1" applyFill="1" applyBorder="1" applyAlignment="1" applyProtection="1">
      <alignment horizontal="right" vertical="center"/>
      <protection locked="0"/>
    </xf>
    <xf numFmtId="4" fontId="32" fillId="14" borderId="79" xfId="0" applyNumberFormat="1" applyFont="1" applyFill="1" applyBorder="1" applyAlignment="1" applyProtection="1">
      <alignment horizontal="right" vertical="center"/>
      <protection locked="0"/>
    </xf>
    <xf numFmtId="4" fontId="28" fillId="0" borderId="26" xfId="1" applyNumberFormat="1" applyFont="1" applyFill="1" applyBorder="1" applyAlignment="1" applyProtection="1">
      <alignment horizontal="right" vertical="center"/>
    </xf>
    <xf numFmtId="4" fontId="28" fillId="0" borderId="70" xfId="1" applyNumberFormat="1" applyFont="1" applyFill="1" applyBorder="1" applyAlignment="1" applyProtection="1">
      <alignment horizontal="right" vertical="center"/>
    </xf>
    <xf numFmtId="4" fontId="28" fillId="0" borderId="13" xfId="1" applyNumberFormat="1" applyFont="1" applyFill="1" applyBorder="1" applyAlignment="1" applyProtection="1">
      <alignment horizontal="right" vertical="center"/>
    </xf>
    <xf numFmtId="4" fontId="28" fillId="0" borderId="40" xfId="1" applyNumberFormat="1" applyFont="1" applyFill="1" applyBorder="1" applyAlignment="1" applyProtection="1">
      <alignment horizontal="right" vertical="center"/>
    </xf>
    <xf numFmtId="4" fontId="28" fillId="11" borderId="46" xfId="0" applyNumberFormat="1" applyFont="1" applyFill="1" applyBorder="1" applyAlignment="1" applyProtection="1">
      <alignment horizontal="right" vertical="center"/>
    </xf>
    <xf numFmtId="4" fontId="28" fillId="11" borderId="63" xfId="0" applyNumberFormat="1" applyFont="1" applyFill="1" applyBorder="1" applyAlignment="1" applyProtection="1">
      <alignment horizontal="right" vertical="center"/>
    </xf>
    <xf numFmtId="4" fontId="28" fillId="0" borderId="38" xfId="1" applyNumberFormat="1" applyFont="1" applyFill="1" applyBorder="1" applyAlignment="1" applyProtection="1">
      <alignment horizontal="right" vertical="center"/>
    </xf>
    <xf numFmtId="4" fontId="28" fillId="0" borderId="64" xfId="1" applyNumberFormat="1" applyFont="1" applyFill="1" applyBorder="1" applyAlignment="1" applyProtection="1">
      <alignment horizontal="right" vertical="center"/>
    </xf>
    <xf numFmtId="4" fontId="27" fillId="13" borderId="46" xfId="0" applyNumberFormat="1" applyFont="1" applyFill="1" applyBorder="1" applyAlignment="1" applyProtection="1">
      <alignment horizontal="right" vertical="center"/>
    </xf>
    <xf numFmtId="4" fontId="27" fillId="13" borderId="63" xfId="0" applyNumberFormat="1" applyFont="1" applyFill="1" applyBorder="1" applyAlignment="1" applyProtection="1">
      <alignment horizontal="right" vertical="center"/>
    </xf>
    <xf numFmtId="4" fontId="28" fillId="16" borderId="46" xfId="0" applyNumberFormat="1" applyFont="1" applyFill="1" applyBorder="1" applyAlignment="1" applyProtection="1">
      <alignment horizontal="right" vertical="center"/>
    </xf>
    <xf numFmtId="4" fontId="28" fillId="16" borderId="63" xfId="0" applyNumberFormat="1" applyFont="1" applyFill="1" applyBorder="1" applyAlignment="1" applyProtection="1">
      <alignment horizontal="right" vertical="center"/>
    </xf>
    <xf numFmtId="4" fontId="28" fillId="11" borderId="5" xfId="0" applyNumberFormat="1" applyFont="1" applyFill="1" applyBorder="1" applyAlignment="1" applyProtection="1">
      <alignment horizontal="right" vertical="center"/>
    </xf>
    <xf numFmtId="4" fontId="28" fillId="11" borderId="6" xfId="0" applyNumberFormat="1" applyFont="1" applyFill="1" applyBorder="1" applyAlignment="1" applyProtection="1">
      <alignment horizontal="right" vertical="center"/>
    </xf>
    <xf numFmtId="4" fontId="28" fillId="9" borderId="46" xfId="0" applyNumberFormat="1" applyFont="1" applyFill="1" applyBorder="1" applyAlignment="1" applyProtection="1">
      <alignment horizontal="right" vertical="center"/>
    </xf>
    <xf numFmtId="4" fontId="28" fillId="9" borderId="63" xfId="0" applyNumberFormat="1" applyFont="1" applyFill="1" applyBorder="1" applyAlignment="1" applyProtection="1">
      <alignment horizontal="right" vertical="center"/>
    </xf>
    <xf numFmtId="4" fontId="32" fillId="14" borderId="79" xfId="0" applyNumberFormat="1" applyFont="1" applyFill="1" applyBorder="1" applyAlignment="1" applyProtection="1">
      <alignment horizontal="right" vertical="center"/>
    </xf>
    <xf numFmtId="4" fontId="28" fillId="0" borderId="26" xfId="0" applyNumberFormat="1" applyFont="1" applyFill="1" applyBorder="1" applyAlignment="1" applyProtection="1">
      <alignment horizontal="right" vertical="center"/>
    </xf>
    <xf numFmtId="4" fontId="28" fillId="0" borderId="28" xfId="0" applyNumberFormat="1" applyFont="1" applyFill="1" applyBorder="1" applyAlignment="1" applyProtection="1">
      <alignment horizontal="right" vertical="center"/>
    </xf>
    <xf numFmtId="4" fontId="28" fillId="0" borderId="13" xfId="0" applyNumberFormat="1" applyFont="1" applyFill="1" applyBorder="1" applyAlignment="1" applyProtection="1">
      <alignment horizontal="right" vertical="center"/>
    </xf>
    <xf numFmtId="4" fontId="28" fillId="0" borderId="11" xfId="0" applyNumberFormat="1" applyFont="1" applyFill="1" applyBorder="1" applyAlignment="1" applyProtection="1">
      <alignment horizontal="right" vertical="center"/>
    </xf>
    <xf numFmtId="4" fontId="28" fillId="0" borderId="40" xfId="0" applyNumberFormat="1" applyFont="1" applyFill="1" applyBorder="1" applyAlignment="1" applyProtection="1">
      <alignment horizontal="right" vertical="center"/>
    </xf>
    <xf numFmtId="4" fontId="28" fillId="0" borderId="34" xfId="0" applyNumberFormat="1" applyFont="1" applyFill="1" applyBorder="1" applyAlignment="1" applyProtection="1">
      <alignment horizontal="right" vertical="center"/>
    </xf>
    <xf numFmtId="4" fontId="28" fillId="11" borderId="47" xfId="0" applyNumberFormat="1" applyFont="1" applyFill="1" applyBorder="1" applyAlignment="1" applyProtection="1">
      <alignment horizontal="right" vertical="center"/>
    </xf>
    <xf numFmtId="4" fontId="28" fillId="0" borderId="38" xfId="0" applyNumberFormat="1" applyFont="1" applyFill="1" applyBorder="1" applyAlignment="1" applyProtection="1">
      <alignment horizontal="right" vertical="center"/>
    </xf>
    <xf numFmtId="4" fontId="28" fillId="0" borderId="31" xfId="0" applyNumberFormat="1" applyFont="1" applyFill="1" applyBorder="1" applyAlignment="1" applyProtection="1">
      <alignment horizontal="right" vertical="center"/>
    </xf>
    <xf numFmtId="4" fontId="27" fillId="13" borderId="47" xfId="0" applyNumberFormat="1" applyFont="1" applyFill="1" applyBorder="1" applyAlignment="1" applyProtection="1">
      <alignment horizontal="right" vertical="center"/>
    </xf>
    <xf numFmtId="4" fontId="28" fillId="16" borderId="47" xfId="0" applyNumberFormat="1" applyFont="1" applyFill="1" applyBorder="1" applyAlignment="1" applyProtection="1">
      <alignment horizontal="right" vertical="center"/>
    </xf>
    <xf numFmtId="4" fontId="28" fillId="11" borderId="27" xfId="0" applyNumberFormat="1" applyFont="1" applyFill="1" applyBorder="1" applyAlignment="1" applyProtection="1">
      <alignment horizontal="right" vertical="center"/>
    </xf>
    <xf numFmtId="4" fontId="28" fillId="9" borderId="47" xfId="0" applyNumberFormat="1" applyFont="1" applyFill="1" applyBorder="1" applyAlignment="1" applyProtection="1">
      <alignment horizontal="right" vertical="center"/>
    </xf>
    <xf numFmtId="4" fontId="32" fillId="14" borderId="80" xfId="0" applyNumberFormat="1" applyFont="1" applyFill="1" applyBorder="1" applyAlignment="1" applyProtection="1">
      <alignment horizontal="right" vertical="center"/>
    </xf>
    <xf numFmtId="0" fontId="27" fillId="13" borderId="61" xfId="0" applyFont="1" applyFill="1" applyBorder="1" applyAlignment="1" applyProtection="1">
      <alignment horizontal="right" vertical="center" wrapText="1"/>
      <protection locked="0"/>
    </xf>
    <xf numFmtId="0" fontId="30" fillId="8" borderId="22" xfId="0" applyFont="1" applyFill="1" applyBorder="1" applyAlignment="1" applyProtection="1">
      <alignment vertical="center"/>
      <protection locked="0"/>
    </xf>
    <xf numFmtId="3" fontId="30" fillId="8" borderId="28" xfId="0" applyNumberFormat="1" applyFont="1" applyFill="1" applyBorder="1" applyAlignment="1" applyProtection="1">
      <alignment horizontal="center" vertical="center"/>
      <protection locked="0"/>
    </xf>
    <xf numFmtId="3" fontId="30" fillId="8" borderId="11" xfId="0" applyNumberFormat="1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vertical="center" wrapText="1"/>
      <protection locked="0"/>
    </xf>
    <xf numFmtId="0" fontId="28" fillId="0" borderId="12" xfId="0" applyFont="1" applyFill="1" applyBorder="1" applyAlignment="1" applyProtection="1">
      <alignment vertical="center" wrapText="1"/>
      <protection locked="0"/>
    </xf>
    <xf numFmtId="0" fontId="28" fillId="0" borderId="25" xfId="0" applyFont="1" applyFill="1" applyBorder="1" applyAlignment="1" applyProtection="1">
      <alignment vertical="center" wrapText="1"/>
      <protection locked="0"/>
    </xf>
    <xf numFmtId="0" fontId="28" fillId="8" borderId="10" xfId="0" applyFont="1" applyFill="1" applyBorder="1" applyAlignment="1" applyProtection="1">
      <alignment vertical="center" wrapText="1"/>
      <protection locked="0"/>
    </xf>
    <xf numFmtId="0" fontId="30" fillId="8" borderId="62" xfId="0" applyFont="1" applyFill="1" applyBorder="1" applyAlignment="1" applyProtection="1">
      <alignment vertical="center"/>
      <protection locked="0"/>
    </xf>
    <xf numFmtId="4" fontId="28" fillId="12" borderId="73" xfId="0" applyNumberFormat="1" applyFont="1" applyFill="1" applyBorder="1" applyAlignment="1" applyProtection="1">
      <alignment vertical="center" wrapText="1"/>
      <protection locked="0"/>
    </xf>
    <xf numFmtId="4" fontId="28" fillId="12" borderId="24" xfId="0" applyNumberFormat="1" applyFont="1" applyFill="1" applyBorder="1" applyAlignment="1" applyProtection="1">
      <alignment vertical="center" wrapText="1"/>
      <protection locked="0"/>
    </xf>
    <xf numFmtId="4" fontId="28" fillId="12" borderId="21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2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18" xfId="0" applyNumberFormat="1" applyFont="1" applyFill="1" applyBorder="1" applyAlignment="1" applyProtection="1">
      <alignment horizontal="center" vertical="center" wrapText="1"/>
      <protection locked="0"/>
    </xf>
    <xf numFmtId="4" fontId="28" fillId="0" borderId="28" xfId="1" applyNumberFormat="1" applyFont="1" applyFill="1" applyBorder="1" applyAlignment="1" applyProtection="1">
      <alignment horizontal="right" vertical="center"/>
    </xf>
    <xf numFmtId="4" fontId="30" fillId="0" borderId="10" xfId="1" applyNumberFormat="1" applyFont="1" applyFill="1" applyBorder="1" applyAlignment="1" applyProtection="1">
      <alignment horizontal="right" vertical="center"/>
      <protection locked="0"/>
    </xf>
    <xf numFmtId="4" fontId="28" fillId="0" borderId="11" xfId="1" applyNumberFormat="1" applyFont="1" applyFill="1" applyBorder="1" applyAlignment="1" applyProtection="1">
      <alignment horizontal="right" vertical="center"/>
    </xf>
    <xf numFmtId="4" fontId="28" fillId="0" borderId="34" xfId="1" applyNumberFormat="1" applyFont="1" applyFill="1" applyBorder="1" applyAlignment="1" applyProtection="1">
      <alignment horizontal="right" vertical="center"/>
    </xf>
    <xf numFmtId="0" fontId="28" fillId="0" borderId="37" xfId="0" applyFont="1" applyFill="1" applyBorder="1" applyAlignment="1" applyProtection="1">
      <alignment vertical="center" wrapText="1"/>
      <protection locked="0"/>
    </xf>
    <xf numFmtId="3" fontId="22" fillId="12" borderId="21" xfId="0" applyNumberFormat="1" applyFont="1" applyFill="1" applyBorder="1" applyAlignment="1" applyProtection="1">
      <alignment horizontal="center" vertical="center" wrapText="1"/>
      <protection locked="0"/>
    </xf>
    <xf numFmtId="3" fontId="22" fillId="12" borderId="20" xfId="0" applyNumberFormat="1" applyFont="1" applyFill="1" applyBorder="1" applyAlignment="1" applyProtection="1">
      <alignment horizontal="center" vertical="center" wrapText="1"/>
      <protection locked="0"/>
    </xf>
    <xf numFmtId="10" fontId="22" fillId="12" borderId="18" xfId="1" applyNumberFormat="1" applyFont="1" applyFill="1" applyBorder="1" applyAlignment="1" applyProtection="1">
      <alignment horizontal="center" vertical="center" wrapText="1"/>
      <protection locked="0"/>
    </xf>
    <xf numFmtId="14" fontId="22" fillId="0" borderId="49" xfId="0" applyNumberFormat="1" applyFont="1" applyBorder="1" applyAlignment="1" applyProtection="1">
      <alignment vertical="center"/>
      <protection locked="0"/>
    </xf>
    <xf numFmtId="0" fontId="22" fillId="0" borderId="49" xfId="0" applyNumberFormat="1" applyFont="1" applyBorder="1" applyAlignment="1" applyProtection="1">
      <alignment vertical="center"/>
      <protection locked="0"/>
    </xf>
    <xf numFmtId="3" fontId="28" fillId="8" borderId="2" xfId="0" applyNumberFormat="1" applyFont="1" applyFill="1" applyBorder="1" applyAlignment="1" applyProtection="1">
      <alignment horizontal="center" vertical="center"/>
    </xf>
    <xf numFmtId="3" fontId="30" fillId="8" borderId="7" xfId="0" applyNumberFormat="1" applyFont="1" applyFill="1" applyBorder="1" applyAlignment="1" applyProtection="1">
      <alignment horizontal="center" vertical="center"/>
      <protection locked="0"/>
    </xf>
    <xf numFmtId="3" fontId="30" fillId="8" borderId="3" xfId="0" applyNumberFormat="1" applyFont="1" applyFill="1" applyBorder="1" applyAlignment="1" applyProtection="1">
      <alignment horizontal="center" vertical="center"/>
      <protection locked="0"/>
    </xf>
    <xf numFmtId="3" fontId="28" fillId="8" borderId="21" xfId="0" applyNumberFormat="1" applyFont="1" applyFill="1" applyBorder="1" applyAlignment="1" applyProtection="1">
      <alignment horizontal="center" vertical="center"/>
    </xf>
    <xf numFmtId="3" fontId="30" fillId="8" borderId="20" xfId="0" applyNumberFormat="1" applyFont="1" applyFill="1" applyBorder="1" applyAlignment="1" applyProtection="1">
      <alignment horizontal="center" vertical="center"/>
      <protection locked="0"/>
    </xf>
    <xf numFmtId="3" fontId="30" fillId="8" borderId="18" xfId="0" applyNumberFormat="1" applyFont="1" applyFill="1" applyBorder="1" applyAlignment="1" applyProtection="1">
      <alignment horizontal="center" vertical="center"/>
      <protection locked="0"/>
    </xf>
    <xf numFmtId="3" fontId="28" fillId="0" borderId="2" xfId="0" applyNumberFormat="1" applyFont="1" applyFill="1" applyBorder="1" applyAlignment="1" applyProtection="1">
      <alignment horizontal="center" vertical="center"/>
      <protection locked="0"/>
    </xf>
    <xf numFmtId="3" fontId="28" fillId="0" borderId="7" xfId="0" applyNumberFormat="1" applyFont="1" applyFill="1" applyBorder="1" applyAlignment="1" applyProtection="1">
      <alignment horizontal="center" vertical="center"/>
      <protection locked="0"/>
    </xf>
    <xf numFmtId="10" fontId="31" fillId="0" borderId="3" xfId="1" applyNumberFormat="1" applyFont="1" applyFill="1" applyBorder="1" applyAlignment="1" applyProtection="1">
      <alignment horizontal="center" vertical="center"/>
      <protection locked="0"/>
    </xf>
    <xf numFmtId="3" fontId="28" fillId="0" borderId="58" xfId="0" applyNumberFormat="1" applyFont="1" applyFill="1" applyBorder="1" applyAlignment="1" applyProtection="1">
      <alignment horizontal="center" vertical="center"/>
      <protection locked="0"/>
    </xf>
    <xf numFmtId="10" fontId="31" fillId="0" borderId="7" xfId="1" applyNumberFormat="1" applyFont="1" applyFill="1" applyBorder="1" applyAlignment="1" applyProtection="1">
      <alignment horizontal="center" vertical="center"/>
      <protection locked="0"/>
    </xf>
    <xf numFmtId="10" fontId="31" fillId="0" borderId="74" xfId="1" applyNumberFormat="1" applyFont="1" applyFill="1" applyBorder="1" applyAlignment="1" applyProtection="1">
      <alignment horizontal="center" vertical="center"/>
      <protection locked="0"/>
    </xf>
    <xf numFmtId="10" fontId="31" fillId="0" borderId="8" xfId="1" applyNumberFormat="1" applyFont="1" applyFill="1" applyBorder="1" applyAlignment="1" applyProtection="1">
      <alignment horizontal="center" vertical="center" wrapText="1"/>
      <protection locked="0"/>
    </xf>
    <xf numFmtId="3" fontId="28" fillId="0" borderId="10" xfId="0" applyNumberFormat="1" applyFont="1" applyFill="1" applyBorder="1" applyAlignment="1" applyProtection="1">
      <alignment horizontal="center" vertical="center"/>
      <protection locked="0"/>
    </xf>
    <xf numFmtId="3" fontId="28" fillId="0" borderId="13" xfId="1" applyNumberFormat="1" applyFont="1" applyFill="1" applyBorder="1" applyAlignment="1" applyProtection="1">
      <alignment horizontal="center" vertical="center"/>
      <protection locked="0"/>
    </xf>
    <xf numFmtId="3" fontId="28" fillId="0" borderId="13" xfId="0" applyNumberFormat="1" applyFont="1" applyFill="1" applyBorder="1" applyAlignment="1" applyProtection="1">
      <alignment horizontal="center" vertical="center"/>
      <protection locked="0"/>
    </xf>
    <xf numFmtId="10" fontId="31" fillId="0" borderId="11" xfId="1" applyNumberFormat="1" applyFont="1" applyFill="1" applyBorder="1" applyAlignment="1" applyProtection="1">
      <alignment horizontal="center" vertical="center"/>
      <protection locked="0"/>
    </xf>
    <xf numFmtId="3" fontId="28" fillId="0" borderId="12" xfId="0" applyNumberFormat="1" applyFont="1" applyFill="1" applyBorder="1" applyAlignment="1" applyProtection="1">
      <alignment horizontal="center" vertical="center"/>
      <protection locked="0"/>
    </xf>
    <xf numFmtId="10" fontId="31" fillId="0" borderId="13" xfId="1" applyNumberFormat="1" applyFont="1" applyFill="1" applyBorder="1" applyAlignment="1" applyProtection="1">
      <alignment horizontal="center" vertical="center"/>
      <protection locked="0"/>
    </xf>
    <xf numFmtId="10" fontId="31" fillId="0" borderId="62" xfId="1" applyNumberFormat="1" applyFont="1" applyFill="1" applyBorder="1" applyAlignment="1" applyProtection="1">
      <alignment horizontal="center" vertical="center"/>
      <protection locked="0"/>
    </xf>
    <xf numFmtId="10" fontId="31" fillId="0" borderId="15" xfId="1" applyNumberFormat="1" applyFont="1" applyFill="1" applyBorder="1" applyAlignment="1" applyProtection="1">
      <alignment horizontal="center" vertical="center"/>
      <protection locked="0"/>
    </xf>
    <xf numFmtId="3" fontId="30" fillId="0" borderId="10" xfId="0" applyNumberFormat="1" applyFont="1" applyFill="1" applyBorder="1" applyAlignment="1" applyProtection="1">
      <alignment horizontal="center" vertical="center"/>
      <protection locked="0"/>
    </xf>
    <xf numFmtId="10" fontId="34" fillId="0" borderId="11" xfId="1" applyNumberFormat="1" applyFont="1" applyFill="1" applyBorder="1" applyAlignment="1" applyProtection="1">
      <alignment horizontal="center" vertical="center"/>
      <protection locked="0"/>
    </xf>
    <xf numFmtId="3" fontId="30" fillId="0" borderId="12" xfId="0" applyNumberFormat="1" applyFont="1" applyFill="1" applyBorder="1" applyAlignment="1" applyProtection="1">
      <alignment horizontal="center" vertical="center"/>
      <protection locked="0"/>
    </xf>
    <xf numFmtId="10" fontId="34" fillId="0" borderId="13" xfId="1" applyNumberFormat="1" applyFont="1" applyFill="1" applyBorder="1" applyAlignment="1" applyProtection="1">
      <alignment horizontal="center" vertical="center"/>
      <protection locked="0"/>
    </xf>
    <xf numFmtId="10" fontId="34" fillId="0" borderId="62" xfId="1" applyNumberFormat="1" applyFont="1" applyFill="1" applyBorder="1" applyAlignment="1" applyProtection="1">
      <alignment horizontal="center" vertical="center"/>
      <protection locked="0"/>
    </xf>
    <xf numFmtId="10" fontId="34" fillId="0" borderId="15" xfId="1" applyNumberFormat="1" applyFont="1" applyFill="1" applyBorder="1" applyAlignment="1" applyProtection="1">
      <alignment horizontal="center" vertical="center"/>
      <protection locked="0"/>
    </xf>
    <xf numFmtId="3" fontId="30" fillId="0" borderId="21" xfId="0" applyNumberFormat="1" applyFont="1" applyFill="1" applyBorder="1" applyAlignment="1" applyProtection="1">
      <alignment horizontal="center" vertical="center"/>
      <protection locked="0"/>
    </xf>
    <xf numFmtId="10" fontId="34" fillId="0" borderId="18" xfId="1" applyNumberFormat="1" applyFont="1" applyFill="1" applyBorder="1" applyAlignment="1" applyProtection="1">
      <alignment horizontal="center" vertical="center"/>
      <protection locked="0"/>
    </xf>
    <xf numFmtId="3" fontId="30" fillId="0" borderId="19" xfId="0" applyNumberFormat="1" applyFont="1" applyFill="1" applyBorder="1" applyAlignment="1" applyProtection="1">
      <alignment horizontal="center" vertical="center"/>
      <protection locked="0"/>
    </xf>
    <xf numFmtId="10" fontId="34" fillId="0" borderId="20" xfId="1" applyNumberFormat="1" applyFont="1" applyFill="1" applyBorder="1" applyAlignment="1" applyProtection="1">
      <alignment horizontal="center" vertical="center"/>
      <protection locked="0"/>
    </xf>
    <xf numFmtId="10" fontId="34" fillId="0" borderId="71" xfId="1" applyNumberFormat="1" applyFont="1" applyFill="1" applyBorder="1" applyAlignment="1" applyProtection="1">
      <alignment horizontal="center" vertical="center"/>
      <protection locked="0"/>
    </xf>
    <xf numFmtId="10" fontId="34" fillId="0" borderId="23" xfId="1" applyNumberFormat="1" applyFont="1" applyFill="1" applyBorder="1" applyAlignment="1" applyProtection="1">
      <alignment horizontal="center" vertical="center"/>
      <protection locked="0"/>
    </xf>
    <xf numFmtId="10" fontId="28" fillId="0" borderId="62" xfId="1" applyNumberFormat="1" applyFont="1" applyFill="1" applyBorder="1" applyAlignment="1" applyProtection="1">
      <alignment horizontal="center" vertical="center"/>
      <protection locked="0"/>
    </xf>
    <xf numFmtId="10" fontId="28" fillId="0" borderId="15" xfId="1" applyNumberFormat="1" applyFont="1" applyFill="1" applyBorder="1" applyAlignment="1" applyProtection="1">
      <alignment horizontal="center" vertical="center"/>
      <protection locked="0"/>
    </xf>
    <xf numFmtId="3" fontId="28" fillId="0" borderId="21" xfId="0" applyNumberFormat="1" applyFont="1" applyFill="1" applyBorder="1" applyAlignment="1" applyProtection="1">
      <alignment horizontal="center" vertical="center"/>
      <protection locked="0"/>
    </xf>
    <xf numFmtId="3" fontId="28" fillId="0" borderId="20" xfId="1" applyNumberFormat="1" applyFont="1" applyFill="1" applyBorder="1" applyAlignment="1" applyProtection="1">
      <alignment horizontal="center" vertical="center"/>
      <protection locked="0"/>
    </xf>
    <xf numFmtId="3" fontId="28" fillId="0" borderId="20" xfId="0" applyNumberFormat="1" applyFont="1" applyFill="1" applyBorder="1" applyAlignment="1" applyProtection="1">
      <alignment horizontal="center" vertical="center"/>
      <protection locked="0"/>
    </xf>
    <xf numFmtId="10" fontId="31" fillId="0" borderId="18" xfId="1" applyNumberFormat="1" applyFont="1" applyFill="1" applyBorder="1" applyAlignment="1" applyProtection="1">
      <alignment horizontal="center" vertical="center"/>
      <protection locked="0"/>
    </xf>
    <xf numFmtId="3" fontId="28" fillId="0" borderId="19" xfId="0" applyNumberFormat="1" applyFont="1" applyFill="1" applyBorder="1" applyAlignment="1" applyProtection="1">
      <alignment horizontal="center" vertical="center"/>
      <protection locked="0"/>
    </xf>
    <xf numFmtId="10" fontId="31" fillId="0" borderId="20" xfId="1" applyNumberFormat="1" applyFont="1" applyFill="1" applyBorder="1" applyAlignment="1" applyProtection="1">
      <alignment horizontal="center" vertical="center"/>
      <protection locked="0"/>
    </xf>
    <xf numFmtId="10" fontId="31" fillId="0" borderId="71" xfId="1" applyNumberFormat="1" applyFont="1" applyFill="1" applyBorder="1" applyAlignment="1" applyProtection="1">
      <alignment horizontal="center" vertical="center"/>
      <protection locked="0"/>
    </xf>
    <xf numFmtId="10" fontId="31" fillId="0" borderId="23" xfId="1" applyNumberFormat="1" applyFont="1" applyFill="1" applyBorder="1" applyAlignment="1" applyProtection="1">
      <alignment horizontal="center" vertical="center"/>
      <protection locked="0"/>
    </xf>
    <xf numFmtId="166" fontId="30" fillId="0" borderId="37" xfId="1" applyNumberFormat="1" applyFont="1" applyFill="1" applyBorder="1" applyAlignment="1" applyProtection="1">
      <alignment horizontal="right" vertical="center"/>
      <protection locked="0"/>
    </xf>
    <xf numFmtId="165" fontId="30" fillId="0" borderId="37" xfId="1" applyNumberFormat="1" applyFont="1" applyFill="1" applyBorder="1" applyAlignment="1" applyProtection="1">
      <alignment horizontal="right" vertical="center"/>
      <protection locked="0"/>
    </xf>
    <xf numFmtId="166" fontId="30" fillId="0" borderId="25" xfId="1" applyNumberFormat="1" applyFont="1" applyFill="1" applyBorder="1" applyAlignment="1" applyProtection="1">
      <alignment horizontal="right" vertical="center"/>
      <protection locked="0"/>
    </xf>
    <xf numFmtId="166" fontId="30" fillId="0" borderId="12" xfId="1" applyNumberFormat="1" applyFont="1" applyFill="1" applyBorder="1" applyAlignment="1" applyProtection="1">
      <alignment horizontal="right" vertical="center"/>
      <protection locked="0"/>
    </xf>
    <xf numFmtId="165" fontId="30" fillId="0" borderId="25" xfId="1" applyNumberFormat="1" applyFont="1" applyFill="1" applyBorder="1" applyAlignment="1" applyProtection="1">
      <alignment horizontal="right" vertical="center"/>
      <protection locked="0"/>
    </xf>
    <xf numFmtId="165" fontId="30" fillId="0" borderId="12" xfId="1" applyNumberFormat="1" applyFont="1" applyFill="1" applyBorder="1" applyAlignment="1" applyProtection="1">
      <alignment horizontal="right" vertical="center"/>
      <protection locked="0"/>
    </xf>
    <xf numFmtId="165" fontId="30" fillId="0" borderId="32" xfId="1" applyNumberFormat="1" applyFont="1" applyFill="1" applyBorder="1" applyAlignment="1" applyProtection="1">
      <alignment horizontal="right" vertical="center"/>
      <protection locked="0"/>
    </xf>
    <xf numFmtId="165" fontId="30" fillId="0" borderId="36" xfId="1" applyNumberFormat="1" applyFont="1" applyFill="1" applyBorder="1" applyAlignment="1" applyProtection="1">
      <alignment horizontal="right" vertical="center"/>
      <protection locked="0"/>
    </xf>
    <xf numFmtId="165" fontId="30" fillId="0" borderId="10" xfId="1" applyNumberFormat="1" applyFont="1" applyFill="1" applyBorder="1" applyAlignment="1" applyProtection="1">
      <alignment horizontal="right" vertical="center"/>
      <protection locked="0"/>
    </xf>
    <xf numFmtId="165" fontId="30" fillId="0" borderId="17" xfId="1" applyNumberFormat="1" applyFont="1" applyFill="1" applyBorder="1" applyAlignment="1" applyProtection="1">
      <alignment horizontal="right" vertical="center"/>
      <protection locked="0"/>
    </xf>
    <xf numFmtId="3" fontId="28" fillId="8" borderId="13" xfId="0" applyNumberFormat="1" applyFont="1" applyFill="1" applyBorder="1" applyAlignment="1" applyProtection="1">
      <alignment horizontal="center" vertical="center"/>
    </xf>
    <xf numFmtId="3" fontId="30" fillId="8" borderId="12" xfId="0" applyNumberFormat="1" applyFont="1" applyFill="1" applyBorder="1" applyAlignment="1" applyProtection="1">
      <alignment horizontal="center" vertical="center"/>
      <protection locked="0"/>
    </xf>
    <xf numFmtId="3" fontId="27" fillId="13" borderId="50" xfId="0" applyNumberFormat="1" applyFont="1" applyFill="1" applyBorder="1" applyAlignment="1" applyProtection="1">
      <alignment horizontal="center" vertical="center"/>
    </xf>
    <xf numFmtId="3" fontId="28" fillId="11" borderId="41" xfId="0" applyNumberFormat="1" applyFont="1" applyFill="1" applyBorder="1" applyAlignment="1" applyProtection="1">
      <alignment horizontal="center" vertical="center"/>
    </xf>
    <xf numFmtId="3" fontId="27" fillId="13" borderId="5" xfId="0" applyNumberFormat="1" applyFont="1" applyFill="1" applyBorder="1" applyAlignment="1" applyProtection="1">
      <alignment horizontal="center" vertical="center"/>
    </xf>
    <xf numFmtId="10" fontId="27" fillId="13" borderId="27" xfId="1" applyNumberFormat="1" applyFont="1" applyFill="1" applyBorder="1" applyAlignment="1" applyProtection="1">
      <alignment horizontal="center" vertical="center"/>
    </xf>
    <xf numFmtId="10" fontId="27" fillId="13" borderId="4" xfId="1" applyNumberFormat="1" applyFont="1" applyFill="1" applyBorder="1" applyAlignment="1" applyProtection="1">
      <alignment horizontal="center" vertical="center"/>
    </xf>
    <xf numFmtId="4" fontId="27" fillId="13" borderId="50" xfId="0" applyNumberFormat="1" applyFont="1" applyFill="1" applyBorder="1" applyAlignment="1" applyProtection="1">
      <alignment horizontal="right" vertical="center"/>
      <protection locked="0"/>
    </xf>
    <xf numFmtId="4" fontId="27" fillId="13" borderId="5" xfId="0" applyNumberFormat="1" applyFont="1" applyFill="1" applyBorder="1" applyAlignment="1" applyProtection="1">
      <alignment horizontal="right" vertical="center"/>
    </xf>
    <xf numFmtId="3" fontId="28" fillId="11" borderId="54" xfId="0" applyNumberFormat="1" applyFont="1" applyFill="1" applyBorder="1" applyAlignment="1" applyProtection="1">
      <alignment horizontal="center" vertical="center"/>
    </xf>
    <xf numFmtId="10" fontId="28" fillId="11" borderId="55" xfId="1" applyNumberFormat="1" applyFont="1" applyFill="1" applyBorder="1" applyAlignment="1" applyProtection="1">
      <alignment horizontal="center" vertical="center"/>
    </xf>
    <xf numFmtId="10" fontId="28" fillId="11" borderId="81" xfId="1" applyNumberFormat="1" applyFont="1" applyFill="1" applyBorder="1" applyAlignment="1" applyProtection="1">
      <alignment horizontal="center" vertical="center"/>
    </xf>
    <xf numFmtId="4" fontId="28" fillId="11" borderId="41" xfId="0" applyNumberFormat="1" applyFont="1" applyFill="1" applyBorder="1" applyAlignment="1" applyProtection="1">
      <alignment horizontal="right" vertical="center"/>
      <protection locked="0"/>
    </xf>
    <xf numFmtId="4" fontId="28" fillId="11" borderId="54" xfId="0" applyNumberFormat="1" applyFont="1" applyFill="1" applyBorder="1" applyAlignment="1" applyProtection="1">
      <alignment horizontal="right" vertical="center"/>
    </xf>
    <xf numFmtId="0" fontId="28" fillId="0" borderId="21" xfId="0" applyFont="1" applyFill="1" applyBorder="1" applyAlignment="1" applyProtection="1">
      <alignment vertical="center" wrapText="1"/>
      <protection locked="0"/>
    </xf>
    <xf numFmtId="3" fontId="27" fillId="13" borderId="6" xfId="0" applyNumberFormat="1" applyFont="1" applyFill="1" applyBorder="1" applyAlignment="1" applyProtection="1">
      <alignment horizontal="center" vertical="center"/>
    </xf>
    <xf numFmtId="3" fontId="28" fillId="11" borderId="67" xfId="0" applyNumberFormat="1" applyFont="1" applyFill="1" applyBorder="1" applyAlignment="1" applyProtection="1">
      <alignment horizontal="center" vertical="center"/>
      <protection locked="0"/>
    </xf>
    <xf numFmtId="3" fontId="30" fillId="8" borderId="2" xfId="0" applyNumberFormat="1" applyFont="1" applyFill="1" applyBorder="1" applyAlignment="1" applyProtection="1">
      <alignment horizontal="center" vertical="center"/>
      <protection locked="0"/>
    </xf>
    <xf numFmtId="3" fontId="30" fillId="8" borderId="34" xfId="0" applyNumberFormat="1" applyFont="1" applyFill="1" applyBorder="1" applyAlignment="1" applyProtection="1">
      <alignment horizontal="center" vertical="center"/>
      <protection locked="0"/>
    </xf>
    <xf numFmtId="3" fontId="28" fillId="8" borderId="11" xfId="0" applyNumberFormat="1" applyFont="1" applyFill="1" applyBorder="1" applyAlignment="1" applyProtection="1">
      <alignment horizontal="center" vertical="center"/>
      <protection locked="0"/>
    </xf>
    <xf numFmtId="3" fontId="30" fillId="8" borderId="21" xfId="0" applyNumberFormat="1" applyFont="1" applyFill="1" applyBorder="1" applyAlignment="1" applyProtection="1">
      <alignment horizontal="center" vertical="center"/>
      <protection locked="0"/>
    </xf>
    <xf numFmtId="10" fontId="31" fillId="8" borderId="3" xfId="1" applyNumberFormat="1" applyFont="1" applyFill="1" applyBorder="1" applyAlignment="1" applyProtection="1">
      <alignment horizontal="center" vertical="center"/>
    </xf>
    <xf numFmtId="10" fontId="31" fillId="8" borderId="18" xfId="1" applyNumberFormat="1" applyFont="1" applyFill="1" applyBorder="1" applyAlignment="1" applyProtection="1">
      <alignment horizontal="center" vertical="center"/>
    </xf>
    <xf numFmtId="10" fontId="31" fillId="0" borderId="3" xfId="1" applyNumberFormat="1" applyFont="1" applyFill="1" applyBorder="1" applyAlignment="1" applyProtection="1">
      <alignment horizontal="center" vertical="center" wrapText="1"/>
    </xf>
    <xf numFmtId="4" fontId="28" fillId="0" borderId="7" xfId="1" applyNumberFormat="1" applyFont="1" applyFill="1" applyBorder="1" applyAlignment="1" applyProtection="1">
      <alignment horizontal="right" vertical="center"/>
    </xf>
    <xf numFmtId="4" fontId="28" fillId="0" borderId="3" xfId="1" applyNumberFormat="1" applyFont="1" applyFill="1" applyBorder="1" applyAlignment="1" applyProtection="1">
      <alignment horizontal="right" vertical="center"/>
    </xf>
    <xf numFmtId="4" fontId="28" fillId="0" borderId="20" xfId="1" applyNumberFormat="1" applyFont="1" applyFill="1" applyBorder="1" applyAlignment="1" applyProtection="1">
      <alignment horizontal="right" vertical="center"/>
    </xf>
    <xf numFmtId="4" fontId="28" fillId="0" borderId="18" xfId="1" applyNumberFormat="1" applyFont="1" applyFill="1" applyBorder="1" applyAlignment="1" applyProtection="1">
      <alignment horizontal="right" vertical="center"/>
    </xf>
    <xf numFmtId="165" fontId="30" fillId="0" borderId="2" xfId="1" applyNumberFormat="1" applyFont="1" applyFill="1" applyBorder="1" applyAlignment="1" applyProtection="1">
      <alignment horizontal="right" vertical="center"/>
      <protection locked="0"/>
    </xf>
    <xf numFmtId="165" fontId="30" fillId="0" borderId="21" xfId="1" applyNumberFormat="1" applyFont="1" applyFill="1" applyBorder="1" applyAlignment="1" applyProtection="1">
      <alignment horizontal="right" vertical="center"/>
      <protection locked="0"/>
    </xf>
    <xf numFmtId="165" fontId="30" fillId="8" borderId="10" xfId="0" applyNumberFormat="1" applyFont="1" applyFill="1" applyBorder="1" applyAlignment="1" applyProtection="1">
      <alignment horizontal="right" vertical="center"/>
      <protection locked="0"/>
    </xf>
    <xf numFmtId="0" fontId="30" fillId="8" borderId="55" xfId="0" applyFont="1" applyFill="1" applyBorder="1" applyAlignment="1" applyProtection="1">
      <alignment vertical="center"/>
      <protection locked="0"/>
    </xf>
    <xf numFmtId="0" fontId="36" fillId="0" borderId="8" xfId="0" applyFont="1" applyBorder="1"/>
    <xf numFmtId="0" fontId="36" fillId="0" borderId="15" xfId="0" applyFont="1" applyBorder="1"/>
    <xf numFmtId="0" fontId="36" fillId="0" borderId="13" xfId="0" applyFont="1" applyBorder="1"/>
    <xf numFmtId="0" fontId="36" fillId="0" borderId="30" xfId="0" applyFont="1" applyBorder="1"/>
    <xf numFmtId="0" fontId="28" fillId="0" borderId="78" xfId="0" applyFont="1" applyFill="1" applyBorder="1" applyAlignment="1" applyProtection="1">
      <alignment vertical="center" wrapText="1"/>
      <protection locked="0"/>
    </xf>
    <xf numFmtId="3" fontId="30" fillId="8" borderId="13" xfId="0" applyNumberFormat="1" applyFont="1" applyFill="1" applyBorder="1" applyAlignment="1" applyProtection="1">
      <alignment horizontal="center" vertical="center"/>
    </xf>
    <xf numFmtId="0" fontId="27" fillId="14" borderId="61" xfId="0" applyFont="1" applyFill="1" applyBorder="1" applyAlignment="1" applyProtection="1">
      <alignment horizontal="right" vertical="center"/>
      <protection locked="0"/>
    </xf>
    <xf numFmtId="4" fontId="37" fillId="14" borderId="79" xfId="0" applyNumberFormat="1" applyFont="1" applyFill="1" applyBorder="1" applyAlignment="1" applyProtection="1">
      <alignment horizontal="right" vertical="center"/>
      <protection locked="0"/>
    </xf>
    <xf numFmtId="4" fontId="38" fillId="8" borderId="28" xfId="0" applyNumberFormat="1" applyFont="1" applyFill="1" applyBorder="1" applyAlignment="1" applyProtection="1">
      <alignment horizontal="right" vertical="center"/>
      <protection locked="0"/>
    </xf>
    <xf numFmtId="4" fontId="38" fillId="8" borderId="36" xfId="0" applyNumberFormat="1" applyFont="1" applyFill="1" applyBorder="1" applyAlignment="1" applyProtection="1">
      <alignment horizontal="right" vertical="center"/>
      <protection locked="0"/>
    </xf>
    <xf numFmtId="9" fontId="39" fillId="8" borderId="70" xfId="1" applyFont="1" applyFill="1" applyBorder="1" applyAlignment="1" applyProtection="1">
      <alignment horizontal="center" vertical="center"/>
      <protection locked="0"/>
    </xf>
    <xf numFmtId="4" fontId="39" fillId="8" borderId="28" xfId="0" applyNumberFormat="1" applyFont="1" applyFill="1" applyBorder="1" applyAlignment="1" applyProtection="1">
      <alignment horizontal="right" vertical="center"/>
    </xf>
    <xf numFmtId="4" fontId="38" fillId="0" borderId="28" xfId="0" applyNumberFormat="1" applyFont="1" applyFill="1" applyBorder="1" applyAlignment="1" applyProtection="1">
      <alignment horizontal="right" vertical="center"/>
      <protection locked="0"/>
    </xf>
    <xf numFmtId="4" fontId="40" fillId="0" borderId="28" xfId="1" applyNumberFormat="1" applyFont="1" applyFill="1" applyBorder="1" applyAlignment="1" applyProtection="1">
      <alignment horizontal="right" vertical="center" wrapText="1"/>
    </xf>
    <xf numFmtId="4" fontId="38" fillId="8" borderId="11" xfId="0" applyNumberFormat="1" applyFont="1" applyFill="1" applyBorder="1" applyAlignment="1" applyProtection="1">
      <alignment horizontal="right" vertical="center"/>
      <protection locked="0"/>
    </xf>
    <xf numFmtId="4" fontId="38" fillId="8" borderId="10" xfId="0" applyNumberFormat="1" applyFont="1" applyFill="1" applyBorder="1" applyAlignment="1" applyProtection="1">
      <alignment horizontal="right" vertical="center"/>
      <protection locked="0"/>
    </xf>
    <xf numFmtId="9" fontId="39" fillId="8" borderId="62" xfId="1" applyFont="1" applyFill="1" applyBorder="1" applyAlignment="1" applyProtection="1">
      <alignment horizontal="center" vertical="center"/>
      <protection locked="0"/>
    </xf>
    <xf numFmtId="4" fontId="39" fillId="8" borderId="11" xfId="0" applyNumberFormat="1" applyFont="1" applyFill="1" applyBorder="1" applyAlignment="1" applyProtection="1">
      <alignment horizontal="right" vertical="center"/>
    </xf>
    <xf numFmtId="4" fontId="38" fillId="0" borderId="11" xfId="0" applyNumberFormat="1" applyFont="1" applyFill="1" applyBorder="1" applyAlignment="1" applyProtection="1">
      <alignment horizontal="right" vertical="center"/>
      <protection locked="0"/>
    </xf>
    <xf numFmtId="4" fontId="40" fillId="0" borderId="11" xfId="1" applyNumberFormat="1" applyFont="1" applyFill="1" applyBorder="1" applyAlignment="1" applyProtection="1">
      <alignment horizontal="right" vertical="center" wrapText="1"/>
    </xf>
    <xf numFmtId="4" fontId="37" fillId="13" borderId="47" xfId="0" applyNumberFormat="1" applyFont="1" applyFill="1" applyBorder="1" applyAlignment="1" applyProtection="1">
      <alignment horizontal="right" vertical="center" wrapText="1"/>
      <protection locked="0"/>
    </xf>
    <xf numFmtId="4" fontId="37" fillId="13" borderId="48" xfId="0" applyNumberFormat="1" applyFont="1" applyFill="1" applyBorder="1" applyAlignment="1" applyProtection="1">
      <alignment horizontal="right" vertical="center"/>
    </xf>
    <xf numFmtId="9" fontId="37" fillId="13" borderId="63" xfId="1" applyFont="1" applyFill="1" applyBorder="1" applyAlignment="1" applyProtection="1">
      <alignment horizontal="center" vertical="center"/>
    </xf>
    <xf numFmtId="4" fontId="37" fillId="13" borderId="47" xfId="0" applyNumberFormat="1" applyFont="1" applyFill="1" applyBorder="1" applyAlignment="1" applyProtection="1">
      <alignment horizontal="right" vertical="center"/>
    </xf>
    <xf numFmtId="4" fontId="40" fillId="0" borderId="28" xfId="1" applyNumberFormat="1" applyFont="1" applyFill="1" applyBorder="1" applyAlignment="1" applyProtection="1">
      <alignment horizontal="right" vertical="center"/>
    </xf>
    <xf numFmtId="4" fontId="38" fillId="8" borderId="11" xfId="0" applyNumberFormat="1" applyFont="1" applyFill="1" applyBorder="1" applyAlignment="1" applyProtection="1">
      <alignment horizontal="right" vertical="center" wrapText="1"/>
      <protection locked="0"/>
    </xf>
    <xf numFmtId="4" fontId="40" fillId="0" borderId="11" xfId="1" applyNumberFormat="1" applyFont="1" applyFill="1" applyBorder="1" applyAlignment="1" applyProtection="1">
      <alignment horizontal="right" vertical="center"/>
    </xf>
    <xf numFmtId="4" fontId="38" fillId="8" borderId="21" xfId="0" applyNumberFormat="1" applyFont="1" applyFill="1" applyBorder="1" applyAlignment="1" applyProtection="1">
      <alignment horizontal="right" vertical="center"/>
      <protection locked="0"/>
    </xf>
    <xf numFmtId="9" fontId="39" fillId="8" borderId="71" xfId="1" applyFont="1" applyFill="1" applyBorder="1" applyAlignment="1" applyProtection="1">
      <alignment horizontal="center" vertical="center"/>
      <protection locked="0"/>
    </xf>
    <xf numFmtId="4" fontId="39" fillId="8" borderId="18" xfId="0" applyNumberFormat="1" applyFont="1" applyFill="1" applyBorder="1" applyAlignment="1" applyProtection="1">
      <alignment horizontal="right" vertical="center"/>
    </xf>
    <xf numFmtId="0" fontId="28" fillId="8" borderId="28" xfId="0" applyFont="1" applyFill="1" applyBorder="1" applyAlignment="1" applyProtection="1">
      <alignment vertical="center"/>
      <protection locked="0"/>
    </xf>
    <xf numFmtId="0" fontId="28" fillId="8" borderId="11" xfId="0" applyFont="1" applyFill="1" applyBorder="1" applyAlignment="1" applyProtection="1">
      <alignment vertical="center"/>
      <protection locked="0"/>
    </xf>
    <xf numFmtId="0" fontId="28" fillId="0" borderId="28" xfId="0" applyFont="1" applyFill="1" applyBorder="1" applyAlignment="1" applyProtection="1">
      <alignment horizontal="left" vertical="center"/>
      <protection locked="0"/>
    </xf>
    <xf numFmtId="4" fontId="25" fillId="14" borderId="79" xfId="0" applyNumberFormat="1" applyFont="1" applyFill="1" applyBorder="1" applyAlignment="1" applyProtection="1">
      <alignment horizontal="right" vertical="center"/>
    </xf>
    <xf numFmtId="9" fontId="25" fillId="14" borderId="79" xfId="1" applyFont="1" applyFill="1" applyBorder="1" applyAlignment="1" applyProtection="1">
      <alignment horizontal="center" vertical="center"/>
    </xf>
    <xf numFmtId="16" fontId="30" fillId="8" borderId="70" xfId="0" applyNumberFormat="1" applyFont="1" applyFill="1" applyBorder="1" applyAlignment="1" applyProtection="1">
      <alignment vertical="center"/>
      <protection locked="0"/>
    </xf>
    <xf numFmtId="4" fontId="28" fillId="8" borderId="17" xfId="0" applyNumberFormat="1" applyFont="1" applyFill="1" applyBorder="1" applyAlignment="1" applyProtection="1">
      <alignment horizontal="center" vertical="center"/>
    </xf>
    <xf numFmtId="165" fontId="28" fillId="8" borderId="17" xfId="0" applyNumberFormat="1" applyFont="1" applyFill="1" applyBorder="1" applyAlignment="1" applyProtection="1">
      <alignment horizontal="center" vertical="center"/>
    </xf>
    <xf numFmtId="4" fontId="27" fillId="13" borderId="46" xfId="0" applyNumberFormat="1" applyFont="1" applyFill="1" applyBorder="1" applyAlignment="1" applyProtection="1">
      <alignment horizontal="center" vertical="center"/>
    </xf>
    <xf numFmtId="0" fontId="28" fillId="0" borderId="2" xfId="0" applyFont="1" applyFill="1" applyBorder="1" applyAlignment="1" applyProtection="1">
      <alignment vertical="center" wrapText="1"/>
      <protection locked="0"/>
    </xf>
    <xf numFmtId="0" fontId="30" fillId="8" borderId="3" xfId="0" applyFont="1" applyFill="1" applyBorder="1" applyAlignment="1" applyProtection="1">
      <alignment vertical="center"/>
      <protection locked="0"/>
    </xf>
    <xf numFmtId="0" fontId="28" fillId="0" borderId="10" xfId="0" applyFont="1" applyFill="1" applyBorder="1" applyAlignment="1" applyProtection="1">
      <alignment vertical="center" wrapText="1"/>
      <protection locked="0"/>
    </xf>
    <xf numFmtId="0" fontId="28" fillId="0" borderId="17" xfId="0" applyFont="1" applyFill="1" applyBorder="1" applyAlignment="1" applyProtection="1">
      <alignment vertical="center" wrapText="1"/>
      <protection locked="0"/>
    </xf>
    <xf numFmtId="0" fontId="28" fillId="0" borderId="36" xfId="0" applyFont="1" applyFill="1" applyBorder="1" applyAlignment="1" applyProtection="1">
      <alignment vertical="center" wrapText="1"/>
      <protection locked="0"/>
    </xf>
    <xf numFmtId="10" fontId="31" fillId="0" borderId="58" xfId="1" applyNumberFormat="1" applyFont="1" applyFill="1" applyBorder="1" applyAlignment="1" applyProtection="1">
      <alignment horizontal="center" vertical="center"/>
    </xf>
    <xf numFmtId="3" fontId="27" fillId="13" borderId="45" xfId="0" applyNumberFormat="1" applyFont="1" applyFill="1" applyBorder="1" applyAlignment="1" applyProtection="1">
      <alignment horizontal="center" vertical="center"/>
    </xf>
    <xf numFmtId="165" fontId="28" fillId="8" borderId="37" xfId="0" applyNumberFormat="1" applyFont="1" applyFill="1" applyBorder="1" applyAlignment="1" applyProtection="1">
      <alignment horizontal="center" vertical="center"/>
    </xf>
    <xf numFmtId="3" fontId="28" fillId="8" borderId="37" xfId="0" applyNumberFormat="1" applyFont="1" applyFill="1" applyBorder="1" applyAlignment="1" applyProtection="1">
      <alignment horizontal="center" vertical="center"/>
    </xf>
    <xf numFmtId="4" fontId="27" fillId="13" borderId="45" xfId="0" applyNumberFormat="1" applyFont="1" applyFill="1" applyBorder="1" applyAlignment="1" applyProtection="1">
      <alignment horizontal="center" vertical="center"/>
    </xf>
    <xf numFmtId="4" fontId="30" fillId="8" borderId="25" xfId="0" applyNumberFormat="1" applyFont="1" applyFill="1" applyBorder="1" applyAlignment="1" applyProtection="1">
      <alignment horizontal="center" vertical="center"/>
    </xf>
    <xf numFmtId="4" fontId="30" fillId="8" borderId="12" xfId="0" applyNumberFormat="1" applyFont="1" applyFill="1" applyBorder="1" applyAlignment="1" applyProtection="1">
      <alignment horizontal="center" vertical="center"/>
    </xf>
    <xf numFmtId="4" fontId="30" fillId="8" borderId="37" xfId="0" applyNumberFormat="1" applyFont="1" applyFill="1" applyBorder="1" applyAlignment="1" applyProtection="1">
      <alignment horizontal="center" vertical="center"/>
    </xf>
    <xf numFmtId="4" fontId="28" fillId="8" borderId="26" xfId="0" applyNumberFormat="1" applyFont="1" applyFill="1" applyBorder="1" applyAlignment="1" applyProtection="1">
      <alignment horizontal="center" vertical="center"/>
      <protection locked="0"/>
    </xf>
    <xf numFmtId="4" fontId="28" fillId="8" borderId="13" xfId="0" applyNumberFormat="1" applyFont="1" applyFill="1" applyBorder="1" applyAlignment="1" applyProtection="1">
      <alignment horizontal="center" vertical="center"/>
      <protection locked="0"/>
    </xf>
    <xf numFmtId="4" fontId="28" fillId="8" borderId="40" xfId="0" applyNumberFormat="1" applyFont="1" applyFill="1" applyBorder="1" applyAlignment="1" applyProtection="1">
      <alignment horizontal="center" vertical="center"/>
      <protection locked="0"/>
    </xf>
    <xf numFmtId="3" fontId="30" fillId="8" borderId="37" xfId="0" applyNumberFormat="1" applyFont="1" applyFill="1" applyBorder="1" applyAlignment="1" applyProtection="1">
      <alignment horizontal="center" vertical="center"/>
    </xf>
    <xf numFmtId="0" fontId="28" fillId="8" borderId="32" xfId="0" applyFont="1" applyFill="1" applyBorder="1" applyAlignment="1" applyProtection="1">
      <alignment horizontal="left" vertical="center"/>
      <protection locked="0"/>
    </xf>
    <xf numFmtId="0" fontId="28" fillId="8" borderId="32" xfId="0" applyFont="1" applyFill="1" applyBorder="1" applyAlignment="1" applyProtection="1">
      <alignment horizontal="center" vertical="center"/>
      <protection locked="0"/>
    </xf>
    <xf numFmtId="3" fontId="28" fillId="0" borderId="2" xfId="1" applyNumberFormat="1" applyFont="1" applyFill="1" applyBorder="1" applyAlignment="1" applyProtection="1">
      <alignment horizontal="center" vertical="center"/>
      <protection locked="0"/>
    </xf>
    <xf numFmtId="3" fontId="28" fillId="0" borderId="10" xfId="1" applyNumberFormat="1" applyFont="1" applyFill="1" applyBorder="1" applyAlignment="1" applyProtection="1">
      <alignment horizontal="center" vertical="center"/>
      <protection locked="0"/>
    </xf>
    <xf numFmtId="4" fontId="30" fillId="8" borderId="17" xfId="0" applyNumberFormat="1" applyFont="1" applyFill="1" applyBorder="1" applyAlignment="1" applyProtection="1">
      <alignment horizontal="center" vertical="center"/>
    </xf>
    <xf numFmtId="3" fontId="30" fillId="8" borderId="17" xfId="0" applyNumberFormat="1" applyFont="1" applyFill="1" applyBorder="1" applyAlignment="1" applyProtection="1">
      <alignment horizontal="center" vertical="center"/>
    </xf>
    <xf numFmtId="3" fontId="30" fillId="0" borderId="7" xfId="1" applyNumberFormat="1" applyFont="1" applyFill="1" applyBorder="1" applyAlignment="1" applyProtection="1">
      <alignment horizontal="center" vertical="center"/>
      <protection locked="0"/>
    </xf>
    <xf numFmtId="3" fontId="28" fillId="0" borderId="21" xfId="1" applyNumberFormat="1" applyFont="1" applyFill="1" applyBorder="1" applyAlignment="1" applyProtection="1">
      <alignment horizontal="center" vertical="center"/>
      <protection locked="0"/>
    </xf>
    <xf numFmtId="3" fontId="30" fillId="0" borderId="74" xfId="1" applyNumberFormat="1" applyFont="1" applyFill="1" applyBorder="1" applyAlignment="1" applyProtection="1">
      <alignment horizontal="center" vertical="center"/>
      <protection locked="0"/>
    </xf>
    <xf numFmtId="3" fontId="30" fillId="0" borderId="62" xfId="1" applyNumberFormat="1" applyFont="1" applyFill="1" applyBorder="1" applyAlignment="1" applyProtection="1">
      <alignment horizontal="center" vertical="center"/>
      <protection locked="0"/>
    </xf>
    <xf numFmtId="3" fontId="30" fillId="0" borderId="71" xfId="0" applyNumberFormat="1" applyFont="1" applyFill="1" applyBorder="1" applyAlignment="1" applyProtection="1">
      <alignment horizontal="center" vertical="center"/>
      <protection locked="0"/>
    </xf>
    <xf numFmtId="3" fontId="28" fillId="0" borderId="8" xfId="0" applyNumberFormat="1" applyFont="1" applyFill="1" applyBorder="1" applyAlignment="1" applyProtection="1">
      <alignment horizontal="center" vertical="center"/>
      <protection locked="0"/>
    </xf>
    <xf numFmtId="3" fontId="28" fillId="0" borderId="15" xfId="0" applyNumberFormat="1" applyFont="1" applyFill="1" applyBorder="1" applyAlignment="1" applyProtection="1">
      <alignment horizontal="center" vertical="center"/>
      <protection locked="0"/>
    </xf>
    <xf numFmtId="3" fontId="28" fillId="0" borderId="62" xfId="1" applyNumberFormat="1" applyFont="1" applyFill="1" applyBorder="1" applyAlignment="1" applyProtection="1">
      <alignment horizontal="center" vertical="center"/>
      <protection locked="0"/>
    </xf>
    <xf numFmtId="3" fontId="28" fillId="0" borderId="71" xfId="1" applyNumberFormat="1" applyFont="1" applyFill="1" applyBorder="1" applyAlignment="1" applyProtection="1">
      <alignment horizontal="center" vertical="center"/>
      <protection locked="0"/>
    </xf>
    <xf numFmtId="3" fontId="28" fillId="0" borderId="23" xfId="0" applyNumberFormat="1" applyFont="1" applyFill="1" applyBorder="1" applyAlignment="1" applyProtection="1">
      <alignment horizontal="center" vertical="center"/>
      <protection locked="0"/>
    </xf>
    <xf numFmtId="3" fontId="28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60" xfId="0" applyFont="1" applyBorder="1" applyAlignment="1" applyProtection="1">
      <alignment horizontal="center" vertical="center" wrapText="1"/>
      <protection locked="0"/>
    </xf>
    <xf numFmtId="3" fontId="28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30" fillId="0" borderId="20" xfId="0" applyNumberFormat="1" applyFont="1" applyFill="1" applyBorder="1" applyAlignment="1" applyProtection="1">
      <alignment horizontal="center" vertical="center" wrapText="1"/>
      <protection locked="0"/>
    </xf>
    <xf numFmtId="3" fontId="30" fillId="0" borderId="18" xfId="0" applyNumberFormat="1" applyFont="1" applyFill="1" applyBorder="1" applyAlignment="1" applyProtection="1">
      <alignment horizontal="center" vertical="center" wrapText="1"/>
      <protection locked="0"/>
    </xf>
    <xf numFmtId="3" fontId="28" fillId="0" borderId="20" xfId="1" applyNumberFormat="1" applyFont="1" applyFill="1" applyBorder="1" applyAlignment="1" applyProtection="1">
      <alignment horizontal="center" vertical="center" wrapText="1"/>
      <protection locked="0"/>
    </xf>
    <xf numFmtId="3" fontId="28" fillId="0" borderId="20" xfId="0" applyNumberFormat="1" applyFont="1" applyFill="1" applyBorder="1" applyAlignment="1" applyProtection="1">
      <alignment horizontal="center" vertical="center" wrapText="1"/>
      <protection locked="0"/>
    </xf>
    <xf numFmtId="3" fontId="28" fillId="0" borderId="71" xfId="1" applyNumberFormat="1" applyFont="1" applyFill="1" applyBorder="1" applyAlignment="1" applyProtection="1">
      <alignment horizontal="center" vertical="center" wrapText="1"/>
      <protection locked="0"/>
    </xf>
    <xf numFmtId="10" fontId="31" fillId="0" borderId="18" xfId="1" applyNumberFormat="1" applyFont="1" applyFill="1" applyBorder="1" applyAlignment="1" applyProtection="1">
      <alignment horizontal="center" vertical="center" wrapText="1"/>
      <protection locked="0"/>
    </xf>
    <xf numFmtId="3" fontId="28" fillId="0" borderId="19" xfId="0" applyNumberFormat="1" applyFont="1" applyFill="1" applyBorder="1" applyAlignment="1" applyProtection="1">
      <alignment horizontal="center" vertical="center" wrapText="1"/>
      <protection locked="0"/>
    </xf>
    <xf numFmtId="10" fontId="31" fillId="0" borderId="20" xfId="1" applyNumberFormat="1" applyFont="1" applyFill="1" applyBorder="1" applyAlignment="1" applyProtection="1">
      <alignment horizontal="center" vertical="center" wrapText="1"/>
      <protection locked="0"/>
    </xf>
    <xf numFmtId="10" fontId="28" fillId="0" borderId="71" xfId="1" applyNumberFormat="1" applyFont="1" applyFill="1" applyBorder="1" applyAlignment="1" applyProtection="1">
      <alignment horizontal="center" vertical="center" wrapText="1"/>
      <protection locked="0"/>
    </xf>
    <xf numFmtId="10" fontId="28" fillId="0" borderId="23" xfId="1" applyNumberFormat="1" applyFont="1" applyFill="1" applyBorder="1" applyAlignment="1" applyProtection="1">
      <alignment horizontal="center" vertical="center" wrapText="1"/>
      <protection locked="0"/>
    </xf>
    <xf numFmtId="0" fontId="30" fillId="8" borderId="13" xfId="0" applyFont="1" applyFill="1" applyBorder="1" applyAlignment="1" applyProtection="1">
      <alignment vertical="center" wrapText="1"/>
      <protection locked="0"/>
    </xf>
    <xf numFmtId="165" fontId="30" fillId="8" borderId="2" xfId="1" applyNumberFormat="1" applyFont="1" applyFill="1" applyBorder="1" applyAlignment="1" applyProtection="1">
      <alignment horizontal="right" vertical="center"/>
      <protection locked="0"/>
    </xf>
    <xf numFmtId="165" fontId="30" fillId="8" borderId="10" xfId="1" applyNumberFormat="1" applyFont="1" applyFill="1" applyBorder="1" applyAlignment="1" applyProtection="1">
      <alignment horizontal="right" vertical="center"/>
      <protection locked="0"/>
    </xf>
    <xf numFmtId="0" fontId="30" fillId="0" borderId="60" xfId="0" applyFont="1" applyBorder="1" applyAlignment="1" applyProtection="1">
      <alignment vertical="center"/>
      <protection locked="0"/>
    </xf>
    <xf numFmtId="4" fontId="25" fillId="14" borderId="80" xfId="1" applyNumberFormat="1" applyFont="1" applyFill="1" applyBorder="1" applyAlignment="1" applyProtection="1">
      <alignment horizontal="right" vertical="center"/>
    </xf>
    <xf numFmtId="4" fontId="28" fillId="8" borderId="28" xfId="0" applyNumberFormat="1" applyFont="1" applyFill="1" applyBorder="1" applyAlignment="1" applyProtection="1">
      <alignment horizontal="right" vertical="center"/>
    </xf>
    <xf numFmtId="4" fontId="28" fillId="8" borderId="11" xfId="0" applyNumberFormat="1" applyFont="1" applyFill="1" applyBorder="1" applyAlignment="1" applyProtection="1">
      <alignment horizontal="right" vertical="center"/>
    </xf>
    <xf numFmtId="4" fontId="28" fillId="8" borderId="34" xfId="0" applyNumberFormat="1" applyFont="1" applyFill="1" applyBorder="1" applyAlignment="1" applyProtection="1">
      <alignment horizontal="right" vertical="center"/>
    </xf>
    <xf numFmtId="0" fontId="30" fillId="8" borderId="18" xfId="0" applyFont="1" applyFill="1" applyBorder="1" applyAlignment="1" applyProtection="1">
      <alignment vertical="center" wrapText="1"/>
      <protection locked="0"/>
    </xf>
    <xf numFmtId="10" fontId="31" fillId="0" borderId="40" xfId="1" applyNumberFormat="1" applyFont="1" applyFill="1" applyBorder="1" applyAlignment="1" applyProtection="1">
      <alignment horizontal="center" vertical="center"/>
    </xf>
    <xf numFmtId="3" fontId="28" fillId="11" borderId="45" xfId="0" applyNumberFormat="1" applyFont="1" applyFill="1" applyBorder="1" applyAlignment="1" applyProtection="1">
      <alignment horizontal="center" vertical="center"/>
    </xf>
    <xf numFmtId="4" fontId="28" fillId="8" borderId="26" xfId="0" applyNumberFormat="1" applyFont="1" applyFill="1" applyBorder="1" applyAlignment="1" applyProtection="1">
      <alignment horizontal="right" vertical="center"/>
    </xf>
    <xf numFmtId="10" fontId="31" fillId="0" borderId="64" xfId="1" applyNumberFormat="1" applyFont="1" applyFill="1" applyBorder="1" applyAlignment="1" applyProtection="1">
      <alignment horizontal="center" vertical="center"/>
    </xf>
    <xf numFmtId="3" fontId="28" fillId="8" borderId="25" xfId="0" applyNumberFormat="1" applyFont="1" applyFill="1" applyBorder="1" applyAlignment="1" applyProtection="1">
      <alignment horizontal="center" vertical="center"/>
    </xf>
    <xf numFmtId="0" fontId="30" fillId="8" borderId="3" xfId="0" applyFont="1" applyFill="1" applyBorder="1" applyAlignment="1" applyProtection="1">
      <alignment vertical="center" wrapText="1"/>
      <protection locked="0"/>
    </xf>
    <xf numFmtId="165" fontId="30" fillId="0" borderId="13" xfId="1" applyNumberFormat="1" applyFont="1" applyFill="1" applyBorder="1" applyAlignment="1" applyProtection="1">
      <alignment horizontal="right" vertical="center"/>
      <protection locked="0"/>
    </xf>
    <xf numFmtId="4" fontId="28" fillId="8" borderId="13" xfId="0" applyNumberFormat="1" applyFont="1" applyFill="1" applyBorder="1" applyAlignment="1" applyProtection="1">
      <alignment horizontal="right" vertical="center"/>
    </xf>
    <xf numFmtId="3" fontId="28" fillId="8" borderId="58" xfId="0" applyNumberFormat="1" applyFont="1" applyFill="1" applyBorder="1" applyAlignment="1" applyProtection="1">
      <alignment horizontal="center" vertical="center"/>
    </xf>
    <xf numFmtId="0" fontId="30" fillId="8" borderId="78" xfId="0" applyFont="1" applyFill="1" applyBorder="1" applyAlignment="1" applyProtection="1">
      <alignment vertical="center" wrapText="1"/>
      <protection locked="0"/>
    </xf>
    <xf numFmtId="10" fontId="31" fillId="0" borderId="2" xfId="1" applyNumberFormat="1" applyFont="1" applyFill="1" applyBorder="1" applyAlignment="1" applyProtection="1">
      <alignment horizontal="center" vertical="center"/>
    </xf>
    <xf numFmtId="10" fontId="31" fillId="0" borderId="3" xfId="1" applyNumberFormat="1" applyFont="1" applyFill="1" applyBorder="1" applyAlignment="1" applyProtection="1">
      <alignment horizontal="center" vertical="center"/>
    </xf>
    <xf numFmtId="4" fontId="28" fillId="11" borderId="43" xfId="0" applyNumberFormat="1" applyFont="1" applyFill="1" applyBorder="1" applyAlignment="1" applyProtection="1">
      <alignment horizontal="right" vertical="center"/>
      <protection locked="0"/>
    </xf>
    <xf numFmtId="4" fontId="28" fillId="11" borderId="48" xfId="0" applyNumberFormat="1" applyFont="1" applyFill="1" applyBorder="1" applyAlignment="1" applyProtection="1">
      <alignment horizontal="right" vertical="center"/>
    </xf>
    <xf numFmtId="0" fontId="30" fillId="8" borderId="6" xfId="0" applyFont="1" applyFill="1" applyBorder="1" applyAlignment="1" applyProtection="1">
      <alignment vertical="center" wrapText="1"/>
      <protection locked="0"/>
    </xf>
    <xf numFmtId="0" fontId="30" fillId="8" borderId="62" xfId="0" applyFont="1" applyFill="1" applyBorder="1" applyAlignment="1" applyProtection="1">
      <alignment vertical="center" wrapText="1"/>
      <protection locked="0"/>
    </xf>
    <xf numFmtId="0" fontId="30" fillId="8" borderId="67" xfId="0" applyFont="1" applyFill="1" applyBorder="1" applyAlignment="1" applyProtection="1">
      <alignment vertical="center" wrapText="1"/>
      <protection locked="0"/>
    </xf>
    <xf numFmtId="4" fontId="30" fillId="8" borderId="25" xfId="0" applyNumberFormat="1" applyFont="1" applyFill="1" applyBorder="1" applyAlignment="1" applyProtection="1">
      <alignment horizontal="right" vertical="center"/>
      <protection locked="0"/>
    </xf>
    <xf numFmtId="4" fontId="30" fillId="8" borderId="12" xfId="0" applyNumberFormat="1" applyFont="1" applyFill="1" applyBorder="1" applyAlignment="1" applyProtection="1">
      <alignment horizontal="right" vertical="center"/>
      <protection locked="0"/>
    </xf>
    <xf numFmtId="4" fontId="30" fillId="0" borderId="32" xfId="0" applyNumberFormat="1" applyFont="1" applyFill="1" applyBorder="1" applyAlignment="1" applyProtection="1">
      <alignment horizontal="right" vertical="center" wrapText="1"/>
      <protection locked="0"/>
    </xf>
    <xf numFmtId="0" fontId="30" fillId="8" borderId="1" xfId="0" applyFont="1" applyFill="1" applyBorder="1" applyAlignment="1" applyProtection="1">
      <alignment vertical="center" wrapText="1"/>
      <protection locked="0"/>
    </xf>
    <xf numFmtId="165" fontId="30" fillId="0" borderId="4" xfId="1" applyNumberFormat="1" applyFont="1" applyFill="1" applyBorder="1" applyAlignment="1" applyProtection="1">
      <alignment horizontal="right" vertical="center"/>
      <protection locked="0"/>
    </xf>
    <xf numFmtId="4" fontId="28" fillId="8" borderId="7" xfId="0" applyNumberFormat="1" applyFont="1" applyFill="1" applyBorder="1" applyAlignment="1" applyProtection="1">
      <alignment horizontal="right" vertical="center"/>
    </xf>
    <xf numFmtId="4" fontId="28" fillId="8" borderId="3" xfId="0" applyNumberFormat="1" applyFont="1" applyFill="1" applyBorder="1" applyAlignment="1" applyProtection="1">
      <alignment horizontal="right" vertical="center"/>
    </xf>
    <xf numFmtId="0" fontId="30" fillId="8" borderId="10" xfId="0" applyFont="1" applyFill="1" applyBorder="1" applyAlignment="1" applyProtection="1">
      <alignment vertical="center" wrapText="1"/>
      <protection locked="0"/>
    </xf>
    <xf numFmtId="0" fontId="30" fillId="8" borderId="41" xfId="0" applyFont="1" applyFill="1" applyBorder="1" applyAlignment="1" applyProtection="1">
      <alignment vertical="center" wrapText="1"/>
      <protection locked="0"/>
    </xf>
    <xf numFmtId="3" fontId="30" fillId="8" borderId="54" xfId="0" applyNumberFormat="1" applyFont="1" applyFill="1" applyBorder="1" applyAlignment="1" applyProtection="1">
      <alignment horizontal="center" vertical="center"/>
      <protection locked="0"/>
    </xf>
    <xf numFmtId="4" fontId="28" fillId="0" borderId="55" xfId="1" applyNumberFormat="1" applyFont="1" applyFill="1" applyBorder="1" applyAlignment="1" applyProtection="1">
      <alignment horizontal="right" vertical="center"/>
    </xf>
    <xf numFmtId="4" fontId="41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30" fillId="8" borderId="8" xfId="0" applyFont="1" applyFill="1" applyBorder="1" applyAlignment="1" applyProtection="1">
      <alignment vertical="center"/>
      <protection locked="0"/>
    </xf>
    <xf numFmtId="0" fontId="30" fillId="8" borderId="15" xfId="0" applyFont="1" applyFill="1" applyBorder="1" applyAlignment="1" applyProtection="1">
      <alignment vertical="center"/>
      <protection locked="0"/>
    </xf>
    <xf numFmtId="0" fontId="30" fillId="8" borderId="33" xfId="0" applyFont="1" applyFill="1" applyBorder="1" applyAlignment="1" applyProtection="1">
      <alignment vertical="center"/>
      <protection locked="0"/>
    </xf>
    <xf numFmtId="0" fontId="30" fillId="8" borderId="23" xfId="0" applyFont="1" applyFill="1" applyBorder="1" applyAlignment="1" applyProtection="1">
      <alignment vertical="center"/>
      <protection locked="0"/>
    </xf>
    <xf numFmtId="0" fontId="30" fillId="8" borderId="72" xfId="0" applyFont="1" applyFill="1" applyBorder="1" applyAlignment="1" applyProtection="1">
      <alignment vertical="center" wrapText="1"/>
      <protection locked="0"/>
    </xf>
    <xf numFmtId="0" fontId="30" fillId="8" borderId="76" xfId="0" applyFont="1" applyFill="1" applyBorder="1" applyAlignment="1" applyProtection="1">
      <alignment vertical="center" wrapText="1"/>
      <protection locked="0"/>
    </xf>
    <xf numFmtId="3" fontId="30" fillId="8" borderId="24" xfId="0" applyNumberFormat="1" applyFont="1" applyFill="1" applyBorder="1" applyAlignment="1" applyProtection="1">
      <alignment horizontal="center" vertical="center"/>
      <protection locked="0"/>
    </xf>
    <xf numFmtId="3" fontId="30" fillId="8" borderId="52" xfId="0" applyNumberFormat="1" applyFont="1" applyFill="1" applyBorder="1" applyAlignment="1" applyProtection="1">
      <alignment horizontal="center" vertical="center"/>
      <protection locked="0"/>
    </xf>
    <xf numFmtId="3" fontId="30" fillId="8" borderId="77" xfId="0" applyNumberFormat="1" applyFont="1" applyFill="1" applyBorder="1" applyAlignment="1" applyProtection="1">
      <alignment horizontal="center" vertical="center"/>
      <protection locked="0"/>
    </xf>
    <xf numFmtId="3" fontId="30" fillId="8" borderId="8" xfId="0" applyNumberFormat="1" applyFont="1" applyFill="1" applyBorder="1" applyAlignment="1" applyProtection="1">
      <alignment horizontal="center" vertical="center"/>
      <protection locked="0"/>
    </xf>
    <xf numFmtId="3" fontId="30" fillId="8" borderId="29" xfId="0" applyNumberFormat="1" applyFont="1" applyFill="1" applyBorder="1" applyAlignment="1" applyProtection="1">
      <alignment horizontal="center" vertical="center"/>
      <protection locked="0"/>
    </xf>
    <xf numFmtId="3" fontId="30" fillId="8" borderId="23" xfId="0" applyNumberFormat="1" applyFont="1" applyFill="1" applyBorder="1" applyAlignment="1" applyProtection="1">
      <alignment horizontal="center" vertical="center"/>
      <protection locked="0"/>
    </xf>
    <xf numFmtId="165" fontId="30" fillId="8" borderId="12" xfId="1" applyNumberFormat="1" applyFont="1" applyFill="1" applyBorder="1" applyAlignment="1" applyProtection="1">
      <alignment horizontal="right" vertical="center"/>
      <protection locked="0"/>
    </xf>
    <xf numFmtId="3" fontId="22" fillId="12" borderId="40" xfId="0" applyNumberFormat="1" applyFont="1" applyFill="1" applyBorder="1" applyAlignment="1" applyProtection="1">
      <alignment horizontal="center" vertical="center" wrapText="1"/>
      <protection locked="0"/>
    </xf>
    <xf numFmtId="3" fontId="22" fillId="12" borderId="34" xfId="0" applyNumberFormat="1" applyFont="1" applyFill="1" applyBorder="1" applyAlignment="1" applyProtection="1">
      <alignment horizontal="center" vertical="center" wrapText="1"/>
      <protection locked="0"/>
    </xf>
    <xf numFmtId="3" fontId="22" fillId="12" borderId="17" xfId="0" applyNumberFormat="1" applyFont="1" applyFill="1" applyBorder="1" applyAlignment="1" applyProtection="1">
      <alignment horizontal="center" vertical="center" wrapText="1"/>
      <protection locked="0"/>
    </xf>
    <xf numFmtId="4" fontId="43" fillId="0" borderId="36" xfId="0" applyNumberFormat="1" applyFont="1" applyFill="1" applyBorder="1" applyAlignment="1" applyProtection="1">
      <alignment horizontal="right" vertical="center" wrapText="1"/>
      <protection locked="0"/>
    </xf>
    <xf numFmtId="10" fontId="28" fillId="8" borderId="12" xfId="1" applyNumberFormat="1" applyFont="1" applyFill="1" applyBorder="1" applyAlignment="1" applyProtection="1">
      <alignment horizontal="center" vertical="center"/>
    </xf>
    <xf numFmtId="10" fontId="31" fillId="0" borderId="19" xfId="1" applyNumberFormat="1" applyFont="1" applyFill="1" applyBorder="1" applyAlignment="1" applyProtection="1">
      <alignment horizontal="center" vertical="center"/>
    </xf>
    <xf numFmtId="165" fontId="43" fillId="0" borderId="12" xfId="1" applyNumberFormat="1" applyFont="1" applyFill="1" applyBorder="1" applyAlignment="1" applyProtection="1">
      <alignment horizontal="right" vertical="center"/>
      <protection locked="0"/>
    </xf>
    <xf numFmtId="4" fontId="41" fillId="0" borderId="26" xfId="1" applyNumberFormat="1" applyFont="1" applyFill="1" applyBorder="1" applyAlignment="1" applyProtection="1">
      <alignment horizontal="right" vertical="center"/>
    </xf>
    <xf numFmtId="3" fontId="43" fillId="8" borderId="13" xfId="0" applyNumberFormat="1" applyFont="1" applyFill="1" applyBorder="1" applyAlignment="1" applyProtection="1">
      <alignment horizontal="center" vertical="center"/>
      <protection locked="0"/>
    </xf>
    <xf numFmtId="3" fontId="43" fillId="8" borderId="11" xfId="0" applyNumberFormat="1" applyFont="1" applyFill="1" applyBorder="1" applyAlignment="1" applyProtection="1">
      <alignment horizontal="center" vertical="center"/>
      <protection locked="0"/>
    </xf>
    <xf numFmtId="3" fontId="30" fillId="8" borderId="5" xfId="0" applyNumberFormat="1" applyFont="1" applyFill="1" applyBorder="1" applyAlignment="1" applyProtection="1">
      <alignment horizontal="center" vertical="center"/>
      <protection locked="0"/>
    </xf>
    <xf numFmtId="3" fontId="28" fillId="11" borderId="55" xfId="0" applyNumberFormat="1" applyFont="1" applyFill="1" applyBorder="1" applyAlignment="1" applyProtection="1">
      <alignment horizontal="center" vertical="center"/>
    </xf>
    <xf numFmtId="3" fontId="28" fillId="8" borderId="65" xfId="0" applyNumberFormat="1" applyFont="1" applyFill="1" applyBorder="1" applyAlignment="1" applyProtection="1">
      <alignment horizontal="center" vertical="center"/>
    </xf>
    <xf numFmtId="3" fontId="28" fillId="8" borderId="76" xfId="0" applyNumberFormat="1" applyFont="1" applyFill="1" applyBorder="1" applyAlignment="1" applyProtection="1">
      <alignment horizontal="center" vertical="center"/>
    </xf>
    <xf numFmtId="3" fontId="28" fillId="11" borderId="38" xfId="0" applyNumberFormat="1" applyFont="1" applyFill="1" applyBorder="1" applyAlignment="1" applyProtection="1">
      <alignment horizontal="center" vertical="center"/>
    </xf>
    <xf numFmtId="3" fontId="28" fillId="11" borderId="31" xfId="0" applyNumberFormat="1" applyFont="1" applyFill="1" applyBorder="1" applyAlignment="1" applyProtection="1">
      <alignment horizontal="center" vertical="center"/>
    </xf>
    <xf numFmtId="3" fontId="28" fillId="8" borderId="72" xfId="0" applyNumberFormat="1" applyFont="1" applyFill="1" applyBorder="1" applyAlignment="1" applyProtection="1">
      <alignment horizontal="center" vertical="center"/>
    </xf>
    <xf numFmtId="3" fontId="28" fillId="8" borderId="78" xfId="0" applyNumberFormat="1" applyFont="1" applyFill="1" applyBorder="1" applyAlignment="1" applyProtection="1">
      <alignment horizontal="center" vertical="center"/>
    </xf>
    <xf numFmtId="3" fontId="28" fillId="8" borderId="66" xfId="0" applyNumberFormat="1" applyFont="1" applyFill="1" applyBorder="1" applyAlignment="1" applyProtection="1">
      <alignment horizontal="center" vertical="center"/>
    </xf>
    <xf numFmtId="4" fontId="28" fillId="8" borderId="12" xfId="0" applyNumberFormat="1" applyFont="1" applyFill="1" applyBorder="1" applyAlignment="1" applyProtection="1">
      <alignment horizontal="center" vertical="center"/>
    </xf>
    <xf numFmtId="3" fontId="27" fillId="13" borderId="41" xfId="0" applyNumberFormat="1" applyFont="1" applyFill="1" applyBorder="1" applyAlignment="1" applyProtection="1">
      <alignment horizontal="center" vertical="center"/>
    </xf>
    <xf numFmtId="3" fontId="30" fillId="8" borderId="78" xfId="0" applyNumberFormat="1" applyFont="1" applyFill="1" applyBorder="1" applyAlignment="1" applyProtection="1">
      <alignment horizontal="center" vertical="center"/>
      <protection locked="0"/>
    </xf>
    <xf numFmtId="3" fontId="30" fillId="8" borderId="65" xfId="0" applyNumberFormat="1" applyFont="1" applyFill="1" applyBorder="1" applyAlignment="1" applyProtection="1">
      <alignment horizontal="center" vertical="center"/>
      <protection locked="0"/>
    </xf>
    <xf numFmtId="3" fontId="30" fillId="8" borderId="15" xfId="0" applyNumberFormat="1" applyFont="1" applyFill="1" applyBorder="1" applyAlignment="1" applyProtection="1">
      <alignment horizontal="center" vertical="center"/>
      <protection locked="0"/>
    </xf>
    <xf numFmtId="3" fontId="43" fillId="0" borderId="28" xfId="0" applyNumberFormat="1" applyFont="1" applyFill="1" applyBorder="1" applyAlignment="1" applyProtection="1">
      <alignment horizontal="center" vertical="center"/>
      <protection locked="0"/>
    </xf>
    <xf numFmtId="3" fontId="44" fillId="8" borderId="8" xfId="0" applyNumberFormat="1" applyFont="1" applyFill="1" applyBorder="1" applyAlignment="1" applyProtection="1">
      <alignment horizontal="center" vertical="center"/>
      <protection locked="0"/>
    </xf>
    <xf numFmtId="4" fontId="19" fillId="0" borderId="0" xfId="0" applyNumberFormat="1" applyFont="1" applyAlignment="1" applyProtection="1">
      <alignment vertical="center"/>
      <protection locked="0"/>
    </xf>
    <xf numFmtId="165" fontId="36" fillId="0" borderId="25" xfId="1" applyNumberFormat="1" applyFont="1" applyFill="1" applyBorder="1" applyAlignment="1" applyProtection="1">
      <alignment horizontal="right" vertical="center"/>
      <protection locked="0"/>
    </xf>
    <xf numFmtId="4" fontId="36" fillId="0" borderId="36" xfId="0" applyNumberFormat="1" applyFont="1" applyFill="1" applyBorder="1" applyAlignment="1" applyProtection="1">
      <alignment horizontal="right" vertical="center" wrapText="1"/>
      <protection locked="0"/>
    </xf>
    <xf numFmtId="3" fontId="36" fillId="0" borderId="13" xfId="0" applyNumberFormat="1" applyFont="1" applyFill="1" applyBorder="1" applyAlignment="1" applyProtection="1">
      <alignment horizontal="center" vertical="center"/>
      <protection locked="0"/>
    </xf>
    <xf numFmtId="4" fontId="43" fillId="0" borderId="10" xfId="0" applyNumberFormat="1" applyFont="1" applyFill="1" applyBorder="1" applyAlignment="1" applyProtection="1">
      <alignment horizontal="right" vertical="center" wrapText="1"/>
      <protection locked="0"/>
    </xf>
    <xf numFmtId="166" fontId="43" fillId="0" borderId="25" xfId="1" applyNumberFormat="1" applyFont="1" applyFill="1" applyBorder="1" applyAlignment="1" applyProtection="1">
      <alignment horizontal="right" vertical="center"/>
      <protection locked="0"/>
    </xf>
    <xf numFmtId="165" fontId="43" fillId="0" borderId="10" xfId="1" applyNumberFormat="1" applyFont="1" applyFill="1" applyBorder="1" applyAlignment="1" applyProtection="1">
      <alignment horizontal="right" vertical="center"/>
      <protection locked="0"/>
    </xf>
    <xf numFmtId="165" fontId="43" fillId="0" borderId="37" xfId="1" applyNumberFormat="1" applyFont="1" applyFill="1" applyBorder="1" applyAlignment="1" applyProtection="1">
      <alignment horizontal="right" vertical="center"/>
      <protection locked="0"/>
    </xf>
    <xf numFmtId="3" fontId="19" fillId="0" borderId="0" xfId="0" applyNumberFormat="1" applyFont="1" applyAlignment="1" applyProtection="1">
      <alignment vertical="center"/>
      <protection locked="0"/>
    </xf>
    <xf numFmtId="0" fontId="44" fillId="0" borderId="9" xfId="0" applyFont="1" applyBorder="1" applyAlignment="1" applyProtection="1">
      <alignment horizontal="center" vertical="center"/>
      <protection locked="0"/>
    </xf>
    <xf numFmtId="3" fontId="36" fillId="8" borderId="26" xfId="0" applyNumberFormat="1" applyFont="1" applyFill="1" applyBorder="1" applyAlignment="1" applyProtection="1">
      <alignment horizontal="center" vertical="center"/>
      <protection locked="0"/>
    </xf>
    <xf numFmtId="4" fontId="41" fillId="8" borderId="12" xfId="0" applyNumberFormat="1" applyFont="1" applyFill="1" applyBorder="1" applyAlignment="1" applyProtection="1">
      <alignment horizontal="center" vertical="center"/>
    </xf>
    <xf numFmtId="10" fontId="41" fillId="0" borderId="11" xfId="1" applyNumberFormat="1" applyFont="1" applyFill="1" applyBorder="1" applyAlignment="1" applyProtection="1">
      <alignment horizontal="center" vertical="center" wrapText="1"/>
    </xf>
    <xf numFmtId="0" fontId="28" fillId="0" borderId="42" xfId="0" applyFont="1" applyFill="1" applyBorder="1" applyAlignment="1" applyProtection="1">
      <alignment horizontal="center" vertical="center" wrapText="1"/>
      <protection locked="0"/>
    </xf>
    <xf numFmtId="165" fontId="43" fillId="0" borderId="17" xfId="1" applyNumberFormat="1" applyFont="1" applyFill="1" applyBorder="1" applyAlignment="1" applyProtection="1">
      <alignment horizontal="right" vertical="center"/>
      <protection locked="0"/>
    </xf>
    <xf numFmtId="3" fontId="36" fillId="8" borderId="13" xfId="0" applyNumberFormat="1" applyFont="1" applyFill="1" applyBorder="1" applyAlignment="1" applyProtection="1">
      <alignment horizontal="center" vertical="center"/>
      <protection locked="0"/>
    </xf>
    <xf numFmtId="3" fontId="28" fillId="8" borderId="10" xfId="0" applyNumberFormat="1" applyFont="1" applyFill="1" applyBorder="1" applyAlignment="1" applyProtection="1">
      <alignment horizontal="center" vertical="center"/>
      <protection locked="0"/>
    </xf>
    <xf numFmtId="3" fontId="28" fillId="8" borderId="62" xfId="0" applyNumberFormat="1" applyFont="1" applyFill="1" applyBorder="1" applyAlignment="1" applyProtection="1">
      <alignment horizontal="center" vertical="center"/>
      <protection locked="0"/>
    </xf>
    <xf numFmtId="3" fontId="28" fillId="8" borderId="13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4" fontId="28" fillId="8" borderId="26" xfId="1" applyNumberFormat="1" applyFont="1" applyFill="1" applyBorder="1" applyAlignment="1" applyProtection="1">
      <alignment horizontal="right" vertical="center"/>
    </xf>
    <xf numFmtId="0" fontId="27" fillId="8" borderId="9" xfId="0" applyFont="1" applyFill="1" applyBorder="1" applyAlignment="1" applyProtection="1">
      <alignment horizontal="center" vertical="center"/>
      <protection locked="0"/>
    </xf>
    <xf numFmtId="0" fontId="30" fillId="8" borderId="34" xfId="0" applyFont="1" applyFill="1" applyBorder="1" applyAlignment="1" applyProtection="1">
      <alignment horizontal="left" vertical="center" wrapText="1"/>
      <protection locked="0"/>
    </xf>
    <xf numFmtId="165" fontId="43" fillId="8" borderId="37" xfId="1" applyNumberFormat="1" applyFont="1" applyFill="1" applyBorder="1" applyAlignment="1" applyProtection="1">
      <alignment horizontal="right" vertical="center"/>
      <protection locked="0"/>
    </xf>
    <xf numFmtId="4" fontId="28" fillId="8" borderId="70" xfId="1" applyNumberFormat="1" applyFont="1" applyFill="1" applyBorder="1" applyAlignment="1" applyProtection="1">
      <alignment horizontal="right" vertical="center"/>
    </xf>
    <xf numFmtId="4" fontId="30" fillId="8" borderId="17" xfId="0" applyNumberFormat="1" applyFont="1" applyFill="1" applyBorder="1" applyAlignment="1" applyProtection="1">
      <alignment horizontal="right" vertical="center" wrapText="1"/>
      <protection locked="0"/>
    </xf>
    <xf numFmtId="4" fontId="28" fillId="8" borderId="40" xfId="0" applyNumberFormat="1" applyFont="1" applyFill="1" applyBorder="1" applyAlignment="1" applyProtection="1">
      <alignment horizontal="right" vertical="center"/>
    </xf>
    <xf numFmtId="0" fontId="19" fillId="8" borderId="0" xfId="0" applyFont="1" applyFill="1" applyAlignment="1" applyProtection="1">
      <alignment vertical="center"/>
      <protection locked="0"/>
    </xf>
    <xf numFmtId="4" fontId="41" fillId="8" borderId="25" xfId="0" applyNumberFormat="1" applyFont="1" applyFill="1" applyBorder="1" applyAlignment="1" applyProtection="1">
      <alignment horizontal="center" vertical="center"/>
    </xf>
    <xf numFmtId="165" fontId="43" fillId="8" borderId="12" xfId="1" applyNumberFormat="1" applyFont="1" applyFill="1" applyBorder="1" applyAlignment="1" applyProtection="1">
      <alignment horizontal="right" vertical="center"/>
      <protection locked="0"/>
    </xf>
    <xf numFmtId="4" fontId="43" fillId="8" borderId="36" xfId="0" applyNumberFormat="1" applyFont="1" applyFill="1" applyBorder="1" applyAlignment="1" applyProtection="1">
      <alignment horizontal="right" vertical="center" wrapText="1"/>
      <protection locked="0"/>
    </xf>
    <xf numFmtId="4" fontId="43" fillId="8" borderId="10" xfId="0" applyNumberFormat="1" applyFont="1" applyFill="1" applyBorder="1" applyAlignment="1" applyProtection="1">
      <alignment horizontal="right" vertical="center" wrapText="1"/>
      <protection locked="0"/>
    </xf>
    <xf numFmtId="165" fontId="43" fillId="8" borderId="25" xfId="1" applyNumberFormat="1" applyFont="1" applyFill="1" applyBorder="1" applyAlignment="1" applyProtection="1">
      <alignment horizontal="right" vertical="center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4" fontId="43" fillId="0" borderId="17" xfId="0" applyNumberFormat="1" applyFont="1" applyFill="1" applyBorder="1" applyAlignment="1" applyProtection="1">
      <alignment horizontal="right" vertical="center" wrapText="1"/>
      <protection locked="0"/>
    </xf>
    <xf numFmtId="0" fontId="45" fillId="0" borderId="13" xfId="0" applyFont="1" applyBorder="1" applyAlignment="1">
      <alignment horizontal="left" vertical="center" wrapText="1"/>
    </xf>
    <xf numFmtId="0" fontId="45" fillId="0" borderId="11" xfId="0" applyFont="1" applyBorder="1" applyAlignment="1">
      <alignment horizontal="left" vertical="center" wrapText="1"/>
    </xf>
    <xf numFmtId="0" fontId="44" fillId="8" borderId="37" xfId="0" applyFont="1" applyFill="1" applyBorder="1" applyAlignment="1" applyProtection="1">
      <alignment horizontal="center" vertical="center" wrapText="1"/>
      <protection locked="0"/>
    </xf>
    <xf numFmtId="0" fontId="36" fillId="8" borderId="34" xfId="0" applyFont="1" applyFill="1" applyBorder="1" applyAlignment="1" applyProtection="1">
      <alignment vertical="center"/>
      <protection locked="0"/>
    </xf>
    <xf numFmtId="0" fontId="36" fillId="8" borderId="22" xfId="0" applyFont="1" applyFill="1" applyBorder="1" applyAlignment="1" applyProtection="1">
      <alignment vertical="center"/>
      <protection locked="0"/>
    </xf>
    <xf numFmtId="3" fontId="36" fillId="8" borderId="17" xfId="0" applyNumberFormat="1" applyFont="1" applyFill="1" applyBorder="1" applyAlignment="1" applyProtection="1">
      <alignment horizontal="center" vertical="center"/>
      <protection locked="0"/>
    </xf>
    <xf numFmtId="3" fontId="36" fillId="8" borderId="28" xfId="0" applyNumberFormat="1" applyFont="1" applyFill="1" applyBorder="1" applyAlignment="1" applyProtection="1">
      <alignment horizontal="center" vertical="center"/>
      <protection locked="0"/>
    </xf>
    <xf numFmtId="4" fontId="36" fillId="8" borderId="17" xfId="0" applyNumberFormat="1" applyFont="1" applyFill="1" applyBorder="1" applyAlignment="1" applyProtection="1">
      <alignment horizontal="center" vertical="center"/>
    </xf>
    <xf numFmtId="3" fontId="36" fillId="8" borderId="37" xfId="0" applyNumberFormat="1" applyFont="1" applyFill="1" applyBorder="1" applyAlignment="1" applyProtection="1">
      <alignment horizontal="center" vertical="center"/>
    </xf>
    <xf numFmtId="4" fontId="44" fillId="8" borderId="40" xfId="0" applyNumberFormat="1" applyFont="1" applyFill="1" applyBorder="1" applyAlignment="1" applyProtection="1">
      <alignment horizontal="center" vertical="center"/>
      <protection locked="0"/>
    </xf>
    <xf numFmtId="10" fontId="44" fillId="8" borderId="34" xfId="1" applyNumberFormat="1" applyFont="1" applyFill="1" applyBorder="1" applyAlignment="1" applyProtection="1">
      <alignment horizontal="center" vertical="center"/>
    </xf>
    <xf numFmtId="0" fontId="46" fillId="0" borderId="0" xfId="0" applyFont="1" applyAlignment="1" applyProtection="1">
      <alignment vertical="center"/>
      <protection locked="0"/>
    </xf>
    <xf numFmtId="4" fontId="37" fillId="17" borderId="47" xfId="1" applyNumberFormat="1" applyFont="1" applyFill="1" applyBorder="1" applyAlignment="1" applyProtection="1">
      <alignment horizontal="right" vertical="center"/>
    </xf>
    <xf numFmtId="3" fontId="27" fillId="13" borderId="54" xfId="0" applyNumberFormat="1" applyFont="1" applyFill="1" applyBorder="1" applyAlignment="1" applyProtection="1">
      <alignment horizontal="center" vertical="center"/>
    </xf>
    <xf numFmtId="3" fontId="28" fillId="11" borderId="43" xfId="0" applyNumberFormat="1" applyFont="1" applyFill="1" applyBorder="1" applyAlignment="1" applyProtection="1">
      <alignment horizontal="center" vertical="center"/>
    </xf>
    <xf numFmtId="3" fontId="28" fillId="11" borderId="42" xfId="0" applyNumberFormat="1" applyFont="1" applyFill="1" applyBorder="1" applyAlignment="1" applyProtection="1">
      <alignment horizontal="center" vertical="center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165" fontId="43" fillId="0" borderId="36" xfId="1" applyNumberFormat="1" applyFont="1" applyFill="1" applyBorder="1" applyAlignment="1" applyProtection="1">
      <alignment horizontal="right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4" fontId="43" fillId="8" borderId="17" xfId="0" applyNumberFormat="1" applyFont="1" applyFill="1" applyBorder="1" applyAlignment="1" applyProtection="1">
      <alignment horizontal="center" vertical="center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30" fillId="0" borderId="69" xfId="0" applyFont="1" applyFill="1" applyBorder="1" applyAlignment="1" applyProtection="1">
      <alignment horizontal="left" vertical="center" wrapText="1"/>
      <protection locked="0"/>
    </xf>
    <xf numFmtId="0" fontId="30" fillId="0" borderId="13" xfId="0" applyFont="1" applyFill="1" applyBorder="1" applyAlignment="1" applyProtection="1">
      <alignment horizontal="left" vertical="center" wrapText="1"/>
      <protection locked="0"/>
    </xf>
    <xf numFmtId="3" fontId="36" fillId="8" borderId="11" xfId="0" applyNumberFormat="1" applyFont="1" applyFill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30" fillId="8" borderId="59" xfId="0" applyFont="1" applyFill="1" applyBorder="1" applyAlignment="1" applyProtection="1">
      <alignment vertical="center" wrapText="1"/>
      <protection locked="0"/>
    </xf>
    <xf numFmtId="3" fontId="30" fillId="8" borderId="9" xfId="0" applyNumberFormat="1" applyFont="1" applyFill="1" applyBorder="1" applyAlignment="1" applyProtection="1">
      <alignment horizontal="center" vertical="center"/>
      <protection locked="0"/>
    </xf>
    <xf numFmtId="0" fontId="30" fillId="8" borderId="74" xfId="0" applyFont="1" applyFill="1" applyBorder="1" applyAlignment="1" applyProtection="1">
      <alignment vertical="center" wrapText="1"/>
      <protection locked="0"/>
    </xf>
    <xf numFmtId="3" fontId="30" fillId="8" borderId="73" xfId="0" applyNumberFormat="1" applyFont="1" applyFill="1" applyBorder="1" applyAlignment="1" applyProtection="1">
      <alignment horizontal="center" vertical="center"/>
      <protection locked="0"/>
    </xf>
    <xf numFmtId="3" fontId="30" fillId="8" borderId="0" xfId="0" applyNumberFormat="1" applyFont="1" applyFill="1" applyBorder="1" applyAlignment="1" applyProtection="1">
      <alignment horizontal="center" vertical="center"/>
      <protection locked="0"/>
    </xf>
    <xf numFmtId="3" fontId="30" fillId="8" borderId="14" xfId="0" applyNumberFormat="1" applyFont="1" applyFill="1" applyBorder="1" applyAlignment="1" applyProtection="1">
      <alignment horizontal="center" vertical="center"/>
      <protection locked="0"/>
    </xf>
    <xf numFmtId="3" fontId="30" fillId="8" borderId="75" xfId="0" applyNumberFormat="1" applyFont="1" applyFill="1" applyBorder="1" applyAlignment="1" applyProtection="1">
      <alignment horizontal="center" vertical="center"/>
      <protection locked="0"/>
    </xf>
    <xf numFmtId="10" fontId="31" fillId="8" borderId="74" xfId="1" applyNumberFormat="1" applyFont="1" applyFill="1" applyBorder="1" applyAlignment="1" applyProtection="1">
      <alignment horizontal="center" vertical="center"/>
    </xf>
    <xf numFmtId="10" fontId="31" fillId="8" borderId="64" xfId="1" applyNumberFormat="1" applyFont="1" applyFill="1" applyBorder="1" applyAlignment="1" applyProtection="1">
      <alignment horizontal="center" vertical="center"/>
    </xf>
    <xf numFmtId="10" fontId="31" fillId="8" borderId="62" xfId="1" applyNumberFormat="1" applyFont="1" applyFill="1" applyBorder="1" applyAlignment="1" applyProtection="1">
      <alignment horizontal="center" vertical="center"/>
    </xf>
    <xf numFmtId="10" fontId="31" fillId="8" borderId="71" xfId="1" applyNumberFormat="1" applyFont="1" applyFill="1" applyBorder="1" applyAlignment="1" applyProtection="1">
      <alignment horizontal="center" vertical="center"/>
    </xf>
    <xf numFmtId="3" fontId="28" fillId="11" borderId="81" xfId="0" applyNumberFormat="1" applyFont="1" applyFill="1" applyBorder="1" applyAlignment="1" applyProtection="1">
      <alignment horizontal="center" vertical="center"/>
    </xf>
    <xf numFmtId="10" fontId="31" fillId="0" borderId="10" xfId="1" applyNumberFormat="1" applyFont="1" applyFill="1" applyBorder="1" applyAlignment="1" applyProtection="1">
      <alignment horizontal="center" vertical="center"/>
    </xf>
    <xf numFmtId="10" fontId="31" fillId="0" borderId="21" xfId="1" applyNumberFormat="1" applyFont="1" applyFill="1" applyBorder="1" applyAlignment="1" applyProtection="1">
      <alignment horizontal="center" vertical="center"/>
    </xf>
    <xf numFmtId="3" fontId="30" fillId="8" borderId="74" xfId="0" applyNumberFormat="1" applyFont="1" applyFill="1" applyBorder="1" applyAlignment="1" applyProtection="1">
      <alignment horizontal="center" vertical="center"/>
      <protection locked="0"/>
    </xf>
    <xf numFmtId="3" fontId="30" fillId="8" borderId="71" xfId="0" applyNumberFormat="1" applyFont="1" applyFill="1" applyBorder="1" applyAlignment="1" applyProtection="1">
      <alignment horizontal="center" vertical="center"/>
      <protection locked="0"/>
    </xf>
    <xf numFmtId="0" fontId="30" fillId="8" borderId="65" xfId="0" applyFont="1" applyFill="1" applyBorder="1" applyAlignment="1" applyProtection="1">
      <alignment vertical="center" wrapText="1"/>
      <protection locked="0"/>
    </xf>
    <xf numFmtId="4" fontId="28" fillId="11" borderId="57" xfId="0" applyNumberFormat="1" applyFont="1" applyFill="1" applyBorder="1" applyAlignment="1" applyProtection="1">
      <alignment horizontal="right" vertical="center"/>
      <protection locked="0"/>
    </xf>
    <xf numFmtId="4" fontId="28" fillId="11" borderId="81" xfId="0" applyNumberFormat="1" applyFont="1" applyFill="1" applyBorder="1" applyAlignment="1" applyProtection="1">
      <alignment horizontal="right" vertical="center"/>
      <protection locked="0"/>
    </xf>
    <xf numFmtId="4" fontId="28" fillId="8" borderId="58" xfId="0" applyNumberFormat="1" applyFont="1" applyFill="1" applyBorder="1" applyAlignment="1" applyProtection="1">
      <alignment horizontal="right" vertical="center"/>
    </xf>
    <xf numFmtId="4" fontId="28" fillId="11" borderId="55" xfId="0" applyNumberFormat="1" applyFont="1" applyFill="1" applyBorder="1" applyAlignment="1" applyProtection="1">
      <alignment horizontal="right" vertical="center"/>
    </xf>
    <xf numFmtId="4" fontId="28" fillId="8" borderId="2" xfId="0" applyNumberFormat="1" applyFont="1" applyFill="1" applyBorder="1" applyAlignment="1" applyProtection="1">
      <alignment horizontal="right" vertical="center"/>
    </xf>
    <xf numFmtId="4" fontId="28" fillId="8" borderId="10" xfId="0" applyNumberFormat="1" applyFont="1" applyFill="1" applyBorder="1" applyAlignment="1" applyProtection="1">
      <alignment horizontal="right" vertical="center"/>
    </xf>
    <xf numFmtId="4" fontId="28" fillId="0" borderId="18" xfId="0" applyNumberFormat="1" applyFont="1" applyFill="1" applyBorder="1" applyAlignment="1" applyProtection="1">
      <alignment horizontal="right" vertical="center"/>
    </xf>
    <xf numFmtId="4" fontId="28" fillId="8" borderId="12" xfId="0" applyNumberFormat="1" applyFont="1" applyFill="1" applyBorder="1" applyAlignment="1" applyProtection="1">
      <alignment horizontal="right" vertical="center"/>
    </xf>
    <xf numFmtId="4" fontId="28" fillId="0" borderId="19" xfId="0" applyNumberFormat="1" applyFont="1" applyFill="1" applyBorder="1" applyAlignment="1" applyProtection="1">
      <alignment horizontal="right" vertical="center"/>
    </xf>
    <xf numFmtId="165" fontId="30" fillId="0" borderId="72" xfId="1" applyNumberFormat="1" applyFont="1" applyFill="1" applyBorder="1" applyAlignment="1" applyProtection="1">
      <alignment horizontal="right" vertical="center"/>
      <protection locked="0"/>
    </xf>
    <xf numFmtId="165" fontId="30" fillId="0" borderId="65" xfId="1" applyNumberFormat="1" applyFont="1" applyFill="1" applyBorder="1" applyAlignment="1" applyProtection="1">
      <alignment horizontal="right" vertical="center"/>
      <protection locked="0"/>
    </xf>
    <xf numFmtId="3" fontId="30" fillId="8" borderId="76" xfId="0" applyNumberFormat="1" applyFont="1" applyFill="1" applyBorder="1" applyAlignment="1" applyProtection="1">
      <alignment horizontal="center" vertical="center"/>
      <protection locked="0"/>
    </xf>
    <xf numFmtId="4" fontId="30" fillId="8" borderId="24" xfId="0" applyNumberFormat="1" applyFont="1" applyFill="1" applyBorder="1" applyAlignment="1" applyProtection="1">
      <alignment horizontal="right" vertical="center"/>
      <protection locked="0"/>
    </xf>
    <xf numFmtId="4" fontId="30" fillId="8" borderId="30" xfId="0" applyNumberFormat="1" applyFont="1" applyFill="1" applyBorder="1" applyAlignment="1" applyProtection="1">
      <alignment horizontal="right" vertical="center"/>
      <protection locked="0"/>
    </xf>
    <xf numFmtId="4" fontId="30" fillId="0" borderId="77" xfId="0" applyNumberFormat="1" applyFont="1" applyFill="1" applyBorder="1" applyAlignment="1" applyProtection="1">
      <alignment horizontal="right" vertical="center" wrapText="1"/>
      <protection locked="0"/>
    </xf>
    <xf numFmtId="4" fontId="28" fillId="11" borderId="50" xfId="0" applyNumberFormat="1" applyFont="1" applyFill="1" applyBorder="1" applyAlignment="1" applyProtection="1">
      <alignment horizontal="right" vertical="center"/>
    </xf>
    <xf numFmtId="4" fontId="28" fillId="8" borderId="21" xfId="0" applyNumberFormat="1" applyFont="1" applyFill="1" applyBorder="1" applyAlignment="1" applyProtection="1">
      <alignment horizontal="right" vertical="center"/>
    </xf>
    <xf numFmtId="4" fontId="28" fillId="8" borderId="18" xfId="0" applyNumberFormat="1" applyFont="1" applyFill="1" applyBorder="1" applyAlignment="1" applyProtection="1">
      <alignment horizontal="right" vertical="center"/>
    </xf>
    <xf numFmtId="3" fontId="28" fillId="11" borderId="67" xfId="0" applyNumberFormat="1" applyFont="1" applyFill="1" applyBorder="1" applyAlignment="1" applyProtection="1">
      <alignment horizontal="center" vertical="center"/>
    </xf>
    <xf numFmtId="4" fontId="30" fillId="18" borderId="12" xfId="0" applyNumberFormat="1" applyFont="1" applyFill="1" applyBorder="1" applyAlignment="1" applyProtection="1">
      <alignment horizontal="right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3" fontId="28" fillId="8" borderId="73" xfId="0" applyNumberFormat="1" applyFont="1" applyFill="1" applyBorder="1" applyAlignment="1" applyProtection="1">
      <alignment horizontal="center" vertical="center"/>
    </xf>
    <xf numFmtId="3" fontId="28" fillId="8" borderId="14" xfId="0" applyNumberFormat="1" applyFont="1" applyFill="1" applyBorder="1" applyAlignment="1" applyProtection="1">
      <alignment horizontal="center" vertical="center"/>
    </xf>
    <xf numFmtId="3" fontId="28" fillId="8" borderId="75" xfId="0" applyNumberFormat="1" applyFont="1" applyFill="1" applyBorder="1" applyAlignment="1" applyProtection="1">
      <alignment horizontal="center" vertical="center"/>
    </xf>
    <xf numFmtId="10" fontId="44" fillId="19" borderId="47" xfId="1" applyNumberFormat="1" applyFont="1" applyFill="1" applyBorder="1" applyAlignment="1" applyProtection="1">
      <alignment horizontal="center" vertical="center"/>
    </xf>
    <xf numFmtId="3" fontId="30" fillId="8" borderId="62" xfId="0" applyNumberFormat="1" applyFont="1" applyFill="1" applyBorder="1" applyAlignment="1" applyProtection="1">
      <alignment horizontal="center" vertical="center"/>
    </xf>
    <xf numFmtId="3" fontId="28" fillId="8" borderId="12" xfId="0" applyNumberFormat="1" applyFont="1" applyFill="1" applyBorder="1" applyAlignment="1" applyProtection="1">
      <alignment horizontal="center" vertical="center"/>
    </xf>
    <xf numFmtId="3" fontId="28" fillId="8" borderId="19" xfId="0" applyNumberFormat="1" applyFont="1" applyFill="1" applyBorder="1" applyAlignment="1" applyProtection="1">
      <alignment horizontal="center" vertical="center"/>
    </xf>
    <xf numFmtId="0" fontId="30" fillId="8" borderId="15" xfId="0" applyFont="1" applyFill="1" applyBorder="1" applyAlignment="1" applyProtection="1">
      <alignment vertical="center" wrapText="1"/>
      <protection locked="0"/>
    </xf>
    <xf numFmtId="0" fontId="30" fillId="8" borderId="73" xfId="0" applyFont="1" applyFill="1" applyBorder="1" applyAlignment="1" applyProtection="1">
      <alignment vertical="center" wrapText="1"/>
      <protection locked="0"/>
    </xf>
    <xf numFmtId="0" fontId="30" fillId="8" borderId="68" xfId="0" applyFont="1" applyFill="1" applyBorder="1" applyAlignment="1" applyProtection="1">
      <alignment vertical="center" wrapText="1"/>
      <protection locked="0"/>
    </xf>
    <xf numFmtId="0" fontId="30" fillId="8" borderId="14" xfId="0" applyFont="1" applyFill="1" applyBorder="1" applyAlignment="1" applyProtection="1">
      <alignment vertical="center" wrapText="1"/>
      <protection locked="0"/>
    </xf>
    <xf numFmtId="0" fontId="30" fillId="8" borderId="30" xfId="0" applyFont="1" applyFill="1" applyBorder="1" applyAlignment="1" applyProtection="1">
      <alignment vertical="center" wrapText="1"/>
      <protection locked="0"/>
    </xf>
    <xf numFmtId="0" fontId="30" fillId="8" borderId="0" xfId="0" applyFont="1" applyFill="1" applyBorder="1" applyAlignment="1" applyProtection="1">
      <alignment vertical="center" wrapText="1"/>
      <protection locked="0"/>
    </xf>
    <xf numFmtId="0" fontId="30" fillId="8" borderId="75" xfId="0" applyFont="1" applyFill="1" applyBorder="1" applyAlignment="1" applyProtection="1">
      <alignment vertical="center" wrapText="1"/>
      <protection locked="0"/>
    </xf>
    <xf numFmtId="0" fontId="30" fillId="8" borderId="8" xfId="0" applyFont="1" applyFill="1" applyBorder="1" applyAlignment="1" applyProtection="1">
      <alignment vertical="center" wrapText="1"/>
      <protection locked="0"/>
    </xf>
    <xf numFmtId="0" fontId="30" fillId="8" borderId="23" xfId="0" applyFont="1" applyFill="1" applyBorder="1" applyAlignment="1" applyProtection="1">
      <alignment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30" fillId="0" borderId="70" xfId="0" applyFont="1" applyFill="1" applyBorder="1" applyAlignment="1" applyProtection="1">
      <alignment horizontal="left" vertical="center"/>
      <protection locked="0"/>
    </xf>
    <xf numFmtId="0" fontId="30" fillId="0" borderId="69" xfId="0" applyFont="1" applyFill="1" applyBorder="1" applyAlignment="1" applyProtection="1">
      <alignment horizontal="left" vertical="center"/>
      <protection locked="0"/>
    </xf>
    <xf numFmtId="3" fontId="30" fillId="8" borderId="25" xfId="0" applyNumberFormat="1" applyFont="1" applyFill="1" applyBorder="1" applyAlignment="1" applyProtection="1">
      <alignment horizontal="center" vertical="center"/>
      <protection locked="0"/>
    </xf>
    <xf numFmtId="3" fontId="30" fillId="8" borderId="37" xfId="0" applyNumberFormat="1" applyFont="1" applyFill="1" applyBorder="1" applyAlignment="1" applyProtection="1">
      <alignment horizontal="center" vertical="center"/>
      <protection locked="0"/>
    </xf>
    <xf numFmtId="0" fontId="28" fillId="11" borderId="16" xfId="0" applyFont="1" applyFill="1" applyBorder="1" applyAlignment="1" applyProtection="1">
      <alignment vertical="center"/>
      <protection locked="0"/>
    </xf>
    <xf numFmtId="0" fontId="30" fillId="0" borderId="8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left" vertical="center" wrapText="1"/>
      <protection locked="0"/>
    </xf>
    <xf numFmtId="0" fontId="30" fillId="0" borderId="15" xfId="0" applyFont="1" applyFill="1" applyBorder="1" applyAlignment="1" applyProtection="1">
      <alignment horizontal="left" vertical="center"/>
      <protection locked="0"/>
    </xf>
    <xf numFmtId="0" fontId="30" fillId="0" borderId="23" xfId="0" applyFont="1" applyFill="1" applyBorder="1" applyAlignment="1" applyProtection="1">
      <alignment horizontal="left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4" fontId="30" fillId="18" borderId="32" xfId="0" applyNumberFormat="1" applyFont="1" applyFill="1" applyBorder="1" applyAlignment="1" applyProtection="1">
      <alignment horizontal="right" vertical="center"/>
      <protection locked="0"/>
    </xf>
    <xf numFmtId="165" fontId="30" fillId="0" borderId="15" xfId="1" applyNumberFormat="1" applyFont="1" applyFill="1" applyBorder="1" applyAlignment="1" applyProtection="1">
      <alignment horizontal="right" vertical="center"/>
      <protection locked="0"/>
    </xf>
    <xf numFmtId="3" fontId="30" fillId="8" borderId="58" xfId="0" applyNumberFormat="1" applyFont="1" applyFill="1" applyBorder="1" applyAlignment="1" applyProtection="1">
      <alignment horizontal="center" vertical="center"/>
      <protection locked="0"/>
    </xf>
    <xf numFmtId="3" fontId="30" fillId="8" borderId="19" xfId="0" applyNumberFormat="1" applyFont="1" applyFill="1" applyBorder="1" applyAlignment="1" applyProtection="1">
      <alignment horizontal="center" vertical="center"/>
      <protection locked="0"/>
    </xf>
    <xf numFmtId="165" fontId="30" fillId="0" borderId="8" xfId="1" applyNumberFormat="1" applyFont="1" applyFill="1" applyBorder="1" applyAlignment="1" applyProtection="1">
      <alignment horizontal="right" vertical="center"/>
      <protection locked="0"/>
    </xf>
    <xf numFmtId="3" fontId="30" fillId="8" borderId="32" xfId="0" applyNumberFormat="1" applyFont="1" applyFill="1" applyBorder="1" applyAlignment="1" applyProtection="1">
      <alignment horizontal="center" vertical="center"/>
      <protection locked="0"/>
    </xf>
    <xf numFmtId="3" fontId="28" fillId="8" borderId="8" xfId="0" applyNumberFormat="1" applyFont="1" applyFill="1" applyBorder="1" applyAlignment="1" applyProtection="1">
      <alignment horizontal="center" vertical="center"/>
    </xf>
    <xf numFmtId="3" fontId="28" fillId="8" borderId="15" xfId="0" applyNumberFormat="1" applyFont="1" applyFill="1" applyBorder="1" applyAlignment="1" applyProtection="1">
      <alignment horizontal="center" vertical="center"/>
    </xf>
    <xf numFmtId="3" fontId="28" fillId="8" borderId="23" xfId="0" applyNumberFormat="1" applyFont="1" applyFill="1" applyBorder="1" applyAlignment="1" applyProtection="1">
      <alignment horizontal="center" vertical="center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4" fontId="28" fillId="8" borderId="20" xfId="0" applyNumberFormat="1" applyFont="1" applyFill="1" applyBorder="1" applyAlignment="1" applyProtection="1">
      <alignment horizontal="right" vertical="center"/>
    </xf>
    <xf numFmtId="3" fontId="28" fillId="0" borderId="30" xfId="0" applyNumberFormat="1" applyFont="1" applyFill="1" applyBorder="1" applyAlignment="1" applyProtection="1">
      <alignment horizontal="center" vertical="center"/>
      <protection locked="0"/>
    </xf>
    <xf numFmtId="3" fontId="28" fillId="0" borderId="77" xfId="0" applyNumberFormat="1" applyFont="1" applyFill="1" applyBorder="1" applyAlignment="1" applyProtection="1">
      <alignment horizontal="center" vertical="center"/>
      <protection locked="0"/>
    </xf>
    <xf numFmtId="3" fontId="28" fillId="0" borderId="26" xfId="1" applyNumberFormat="1" applyFont="1" applyFill="1" applyBorder="1" applyAlignment="1" applyProtection="1">
      <alignment horizontal="center" vertical="center"/>
      <protection locked="0"/>
    </xf>
    <xf numFmtId="3" fontId="28" fillId="0" borderId="70" xfId="1" applyNumberFormat="1" applyFont="1" applyFill="1" applyBorder="1" applyAlignment="1" applyProtection="1">
      <alignment horizontal="center" vertical="center"/>
      <protection locked="0"/>
    </xf>
    <xf numFmtId="3" fontId="28" fillId="0" borderId="26" xfId="0" applyNumberFormat="1" applyFont="1" applyFill="1" applyBorder="1" applyAlignment="1" applyProtection="1">
      <alignment horizontal="center" vertical="center"/>
      <protection locked="0"/>
    </xf>
    <xf numFmtId="3" fontId="44" fillId="8" borderId="29" xfId="0" applyNumberFormat="1" applyFont="1" applyFill="1" applyBorder="1" applyAlignment="1" applyProtection="1">
      <alignment horizontal="center" vertical="center"/>
      <protection locked="0"/>
    </xf>
    <xf numFmtId="3" fontId="28" fillId="0" borderId="24" xfId="0" applyNumberFormat="1" applyFont="1" applyFill="1" applyBorder="1" applyAlignment="1" applyProtection="1">
      <alignment horizontal="center" vertical="center"/>
      <protection locked="0"/>
    </xf>
    <xf numFmtId="3" fontId="30" fillId="0" borderId="3" xfId="1" applyNumberFormat="1" applyFont="1" applyFill="1" applyBorder="1" applyAlignment="1" applyProtection="1">
      <alignment horizontal="center" vertical="center"/>
      <protection locked="0"/>
    </xf>
    <xf numFmtId="3" fontId="30" fillId="0" borderId="11" xfId="1" applyNumberFormat="1" applyFont="1" applyFill="1" applyBorder="1" applyAlignment="1" applyProtection="1">
      <alignment horizontal="center" vertical="center"/>
      <protection locked="0"/>
    </xf>
    <xf numFmtId="3" fontId="28" fillId="0" borderId="11" xfId="1" applyNumberFormat="1" applyFont="1" applyFill="1" applyBorder="1" applyAlignment="1" applyProtection="1">
      <alignment horizontal="center" vertical="center"/>
      <protection locked="0"/>
    </xf>
    <xf numFmtId="0" fontId="27" fillId="13" borderId="45" xfId="0" applyFont="1" applyFill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27" fillId="13" borderId="47" xfId="0" applyFont="1" applyFill="1" applyBorder="1" applyAlignment="1" applyProtection="1">
      <alignment horizontal="center" vertical="center"/>
      <protection locked="0"/>
    </xf>
    <xf numFmtId="0" fontId="28" fillId="16" borderId="61" xfId="0" applyFont="1" applyFill="1" applyBorder="1" applyAlignment="1" applyProtection="1">
      <alignment horizontal="center" vertical="center" wrapText="1"/>
      <protection locked="0"/>
    </xf>
    <xf numFmtId="0" fontId="28" fillId="16" borderId="44" xfId="0" applyFont="1" applyFill="1" applyBorder="1" applyAlignment="1" applyProtection="1">
      <alignment horizontal="center" vertical="center" wrapText="1"/>
      <protection locked="0"/>
    </xf>
    <xf numFmtId="0" fontId="32" fillId="14" borderId="48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32" fillId="14" borderId="63" xfId="0" applyFont="1" applyFill="1" applyBorder="1" applyAlignment="1" applyProtection="1">
      <alignment horizontal="center" vertical="center"/>
      <protection locked="0"/>
    </xf>
    <xf numFmtId="0" fontId="28" fillId="11" borderId="45" xfId="0" applyFont="1" applyFill="1" applyBorder="1" applyAlignment="1" applyProtection="1">
      <alignment horizontal="center" vertical="center" wrapText="1"/>
      <protection locked="0"/>
    </xf>
    <xf numFmtId="0" fontId="28" fillId="11" borderId="61" xfId="0" applyFont="1" applyFill="1" applyBorder="1" applyAlignment="1" applyProtection="1">
      <alignment horizontal="center" vertical="center" wrapText="1"/>
      <protection locked="0"/>
    </xf>
    <xf numFmtId="0" fontId="28" fillId="11" borderId="47" xfId="0" applyFont="1" applyFill="1" applyBorder="1" applyAlignment="1" applyProtection="1">
      <alignment horizontal="center" vertical="center" wrapText="1"/>
      <protection locked="0"/>
    </xf>
    <xf numFmtId="0" fontId="28" fillId="8" borderId="25" xfId="0" applyFont="1" applyFill="1" applyBorder="1" applyAlignment="1" applyProtection="1">
      <alignment horizontal="center" vertical="center" wrapText="1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12" xfId="0" applyFont="1" applyFill="1" applyBorder="1" applyAlignment="1" applyProtection="1">
      <alignment horizontal="center" vertical="center" wrapText="1"/>
      <protection locked="0"/>
    </xf>
    <xf numFmtId="0" fontId="28" fillId="11" borderId="45" xfId="0" applyFont="1" applyFill="1" applyBorder="1" applyAlignment="1" applyProtection="1">
      <alignment horizontal="center" vertical="center"/>
      <protection locked="0"/>
    </xf>
    <xf numFmtId="0" fontId="28" fillId="11" borderId="61" xfId="0" applyFont="1" applyFill="1" applyBorder="1" applyAlignment="1" applyProtection="1">
      <alignment horizontal="center" vertical="center"/>
      <protection locked="0"/>
    </xf>
    <xf numFmtId="0" fontId="28" fillId="11" borderId="47" xfId="0" applyFont="1" applyFill="1" applyBorder="1" applyAlignment="1" applyProtection="1">
      <alignment horizontal="center" vertical="center"/>
      <protection locked="0"/>
    </xf>
    <xf numFmtId="0" fontId="28" fillId="8" borderId="22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8" fillId="9" borderId="45" xfId="0" applyFont="1" applyFill="1" applyBorder="1" applyAlignment="1" applyProtection="1">
      <alignment horizontal="center" vertical="center"/>
      <protection locked="0"/>
    </xf>
    <xf numFmtId="0" fontId="28" fillId="9" borderId="61" xfId="0" applyFont="1" applyFill="1" applyBorder="1" applyAlignment="1" applyProtection="1">
      <alignment horizontal="center" vertical="center"/>
      <protection locked="0"/>
    </xf>
    <xf numFmtId="0" fontId="28" fillId="9" borderId="47" xfId="0" applyFont="1" applyFill="1" applyBorder="1" applyAlignment="1" applyProtection="1">
      <alignment horizontal="center" vertical="center"/>
      <protection locked="0"/>
    </xf>
    <xf numFmtId="0" fontId="27" fillId="13" borderId="45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7" fillId="13" borderId="47" xfId="0" applyFont="1" applyFill="1" applyBorder="1" applyAlignment="1" applyProtection="1">
      <alignment horizontal="center" vertical="center" wrapText="1"/>
      <protection locked="0"/>
    </xf>
    <xf numFmtId="0" fontId="28" fillId="16" borderId="43" xfId="0" applyFont="1" applyFill="1" applyBorder="1" applyAlignment="1" applyProtection="1">
      <alignment horizontal="center" vertical="center" wrapText="1"/>
      <protection locked="0"/>
    </xf>
    <xf numFmtId="0" fontId="28" fillId="11" borderId="44" xfId="0" applyFont="1" applyFill="1" applyBorder="1" applyAlignment="1" applyProtection="1">
      <alignment horizontal="center" vertical="center" wrapText="1"/>
      <protection locked="0"/>
    </xf>
    <xf numFmtId="0" fontId="28" fillId="0" borderId="25" xfId="0" applyFont="1" applyFill="1" applyBorder="1" applyAlignment="1" applyProtection="1">
      <alignment horizontal="center" vertical="center" wrapText="1"/>
      <protection locked="0"/>
    </xf>
    <xf numFmtId="0" fontId="28" fillId="0" borderId="12" xfId="0" applyFont="1" applyFill="1" applyBorder="1" applyAlignment="1" applyProtection="1">
      <alignment horizontal="center" vertical="center" wrapText="1"/>
      <protection locked="0"/>
    </xf>
    <xf numFmtId="0" fontId="28" fillId="0" borderId="37" xfId="0" applyFont="1" applyFill="1" applyBorder="1" applyAlignment="1" applyProtection="1">
      <alignment horizontal="center" vertical="center" wrapText="1"/>
      <protection locked="0"/>
    </xf>
    <xf numFmtId="0" fontId="28" fillId="16" borderId="51" xfId="0" applyFont="1" applyFill="1" applyBorder="1" applyAlignment="1" applyProtection="1">
      <alignment horizontal="center" vertical="center" wrapText="1"/>
      <protection locked="0"/>
    </xf>
    <xf numFmtId="0" fontId="28" fillId="8" borderId="68" xfId="0" applyFont="1" applyFill="1" applyBorder="1" applyAlignment="1" applyProtection="1">
      <alignment horizontal="center" vertical="center" wrapText="1"/>
      <protection locked="0"/>
    </xf>
    <xf numFmtId="0" fontId="28" fillId="11" borderId="83" xfId="0" applyFont="1" applyFill="1" applyBorder="1" applyAlignment="1" applyProtection="1">
      <alignment horizontal="center" vertical="center" wrapText="1"/>
      <protection locked="0"/>
    </xf>
    <xf numFmtId="0" fontId="28" fillId="11" borderId="27" xfId="0" applyFont="1" applyFill="1" applyBorder="1" applyAlignment="1" applyProtection="1">
      <alignment horizontal="center" vertical="center" wrapText="1"/>
      <protection locked="0"/>
    </xf>
    <xf numFmtId="0" fontId="28" fillId="0" borderId="57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0" fontId="28" fillId="0" borderId="60" xfId="0" applyFont="1" applyFill="1" applyBorder="1" applyAlignment="1" applyProtection="1">
      <alignment horizontal="center" vertical="center" wrapText="1"/>
      <protection locked="0"/>
    </xf>
    <xf numFmtId="0" fontId="28" fillId="11" borderId="48" xfId="0" applyFont="1" applyFill="1" applyBorder="1" applyAlignment="1" applyProtection="1">
      <alignment horizontal="center" vertical="center" wrapText="1"/>
      <protection locked="0"/>
    </xf>
    <xf numFmtId="0" fontId="28" fillId="11" borderId="49" xfId="0" applyFont="1" applyFill="1" applyBorder="1" applyAlignment="1" applyProtection="1">
      <alignment horizontal="center" vertical="center" wrapText="1"/>
      <protection locked="0"/>
    </xf>
    <xf numFmtId="0" fontId="28" fillId="11" borderId="55" xfId="0" applyFont="1" applyFill="1" applyBorder="1" applyAlignment="1" applyProtection="1">
      <alignment horizontal="center" vertical="center" wrapText="1"/>
      <protection locked="0"/>
    </xf>
    <xf numFmtId="0" fontId="28" fillId="12" borderId="8" xfId="0" applyFont="1" applyFill="1" applyBorder="1" applyAlignment="1" applyProtection="1">
      <alignment horizontal="center" vertical="center" wrapText="1"/>
      <protection locked="0"/>
    </xf>
    <xf numFmtId="0" fontId="28" fillId="12" borderId="15" xfId="0" applyFont="1" applyFill="1" applyBorder="1" applyAlignment="1" applyProtection="1">
      <alignment horizontal="center" vertical="center" wrapText="1"/>
      <protection locked="0"/>
    </xf>
    <xf numFmtId="0" fontId="28" fillId="12" borderId="33" xfId="0" applyFont="1" applyFill="1" applyBorder="1" applyAlignment="1" applyProtection="1">
      <alignment horizontal="center" vertical="center" wrapText="1"/>
      <protection locked="0"/>
    </xf>
    <xf numFmtId="0" fontId="28" fillId="12" borderId="2" xfId="0" applyFont="1" applyFill="1" applyBorder="1" applyAlignment="1" applyProtection="1">
      <alignment horizontal="center" vertical="center" wrapText="1"/>
      <protection locked="0"/>
    </xf>
    <xf numFmtId="0" fontId="28" fillId="12" borderId="10" xfId="0" applyFont="1" applyFill="1" applyBorder="1" applyAlignment="1" applyProtection="1">
      <alignment horizontal="center" vertical="center" wrapText="1"/>
      <protection locked="0"/>
    </xf>
    <xf numFmtId="0" fontId="28" fillId="12" borderId="21" xfId="0" applyFont="1" applyFill="1" applyBorder="1" applyAlignment="1" applyProtection="1">
      <alignment horizontal="center" vertical="center" wrapText="1"/>
      <protection locked="0"/>
    </xf>
    <xf numFmtId="0" fontId="28" fillId="12" borderId="3" xfId="0" applyFont="1" applyFill="1" applyBorder="1" applyAlignment="1" applyProtection="1">
      <alignment horizontal="center" vertical="center" wrapText="1"/>
      <protection locked="0"/>
    </xf>
    <xf numFmtId="0" fontId="28" fillId="12" borderId="11" xfId="0" applyFont="1" applyFill="1" applyBorder="1" applyAlignment="1" applyProtection="1">
      <alignment horizontal="center" vertical="center" wrapText="1"/>
      <protection locked="0"/>
    </xf>
    <xf numFmtId="0" fontId="28" fillId="12" borderId="18" xfId="0" applyFont="1" applyFill="1" applyBorder="1" applyAlignment="1" applyProtection="1">
      <alignment horizontal="center" vertical="center" wrapText="1"/>
      <protection locked="0"/>
    </xf>
    <xf numFmtId="0" fontId="28" fillId="12" borderId="72" xfId="0" applyFont="1" applyFill="1" applyBorder="1" applyAlignment="1" applyProtection="1">
      <alignment horizontal="center" vertical="center" wrapText="1"/>
      <protection locked="0"/>
    </xf>
    <xf numFmtId="0" fontId="28" fillId="12" borderId="73" xfId="0" applyFont="1" applyFill="1" applyBorder="1" applyAlignment="1" applyProtection="1">
      <alignment horizontal="center" vertical="center" wrapText="1"/>
      <protection locked="0"/>
    </xf>
    <xf numFmtId="0" fontId="28" fillId="12" borderId="24" xfId="0" applyFont="1" applyFill="1" applyBorder="1" applyAlignment="1" applyProtection="1">
      <alignment horizontal="center" vertical="center" wrapText="1"/>
      <protection locked="0"/>
    </xf>
    <xf numFmtId="3" fontId="28" fillId="12" borderId="17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41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55" xfId="0" applyNumberFormat="1" applyFont="1" applyFill="1" applyBorder="1" applyAlignment="1" applyProtection="1">
      <alignment horizontal="center" vertical="center" wrapText="1"/>
      <protection locked="0"/>
    </xf>
    <xf numFmtId="14" fontId="29" fillId="12" borderId="65" xfId="0" applyNumberFormat="1" applyFont="1" applyFill="1" applyBorder="1" applyAlignment="1" applyProtection="1">
      <alignment horizontal="center" vertical="center" wrapText="1"/>
      <protection locked="0"/>
    </xf>
    <xf numFmtId="0" fontId="29" fillId="12" borderId="14" xfId="0" applyNumberFormat="1" applyFont="1" applyFill="1" applyBorder="1" applyAlignment="1" applyProtection="1">
      <alignment horizontal="center" vertical="center" wrapText="1"/>
      <protection locked="0"/>
    </xf>
    <xf numFmtId="0" fontId="29" fillId="12" borderId="30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65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14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30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17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41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34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55" xfId="1" applyNumberFormat="1" applyFont="1" applyFill="1" applyBorder="1" applyAlignment="1" applyProtection="1">
      <alignment horizontal="center" vertical="center" wrapText="1"/>
      <protection locked="0"/>
    </xf>
    <xf numFmtId="0" fontId="28" fillId="0" borderId="50" xfId="0" applyFont="1" applyFill="1" applyBorder="1" applyAlignment="1" applyProtection="1">
      <alignment horizontal="center" vertical="center" wrapText="1"/>
      <protection locked="0"/>
    </xf>
    <xf numFmtId="0" fontId="28" fillId="0" borderId="35" xfId="0" applyFont="1" applyFill="1" applyBorder="1" applyAlignment="1" applyProtection="1">
      <alignment horizontal="center" vertical="center" wrapText="1"/>
      <protection locked="0"/>
    </xf>
    <xf numFmtId="0" fontId="28" fillId="0" borderId="41" xfId="0" applyFont="1" applyFill="1" applyBorder="1" applyAlignment="1" applyProtection="1">
      <alignment horizontal="center" vertical="center" wrapText="1"/>
      <protection locked="0"/>
    </xf>
    <xf numFmtId="0" fontId="23" fillId="15" borderId="0" xfId="2" applyFont="1" applyFill="1" applyAlignment="1" applyProtection="1">
      <alignment horizontal="center" vertical="center" wrapText="1"/>
      <protection locked="0"/>
    </xf>
    <xf numFmtId="0" fontId="23" fillId="15" borderId="0" xfId="2" applyFont="1" applyFill="1" applyAlignment="1" applyProtection="1">
      <alignment horizontal="center" vertical="center"/>
      <protection locked="0"/>
    </xf>
    <xf numFmtId="0" fontId="28" fillId="12" borderId="17" xfId="0" applyFont="1" applyFill="1" applyBorder="1" applyAlignment="1" applyProtection="1">
      <alignment horizontal="center" vertical="center" wrapText="1"/>
      <protection locked="0"/>
    </xf>
    <xf numFmtId="0" fontId="28" fillId="12" borderId="34" xfId="0" applyFont="1" applyFill="1" applyBorder="1" applyAlignment="1" applyProtection="1">
      <alignment horizontal="center" vertical="center" wrapText="1"/>
      <protection locked="0"/>
    </xf>
    <xf numFmtId="4" fontId="28" fillId="12" borderId="72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73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78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8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52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6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54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55" xfId="0" applyNumberFormat="1" applyFont="1" applyFill="1" applyBorder="1" applyAlignment="1" applyProtection="1">
      <alignment horizontal="center" vertical="center" wrapText="1"/>
      <protection locked="0"/>
    </xf>
    <xf numFmtId="14" fontId="29" fillId="12" borderId="76" xfId="0" applyNumberFormat="1" applyFont="1" applyFill="1" applyBorder="1" applyAlignment="1" applyProtection="1">
      <alignment horizontal="center" vertical="center" wrapText="1"/>
    </xf>
    <xf numFmtId="14" fontId="29" fillId="12" borderId="75" xfId="0" applyNumberFormat="1" applyFont="1" applyFill="1" applyBorder="1" applyAlignment="1" applyProtection="1">
      <alignment horizontal="center" vertical="center" wrapText="1"/>
    </xf>
    <xf numFmtId="14" fontId="29" fillId="12" borderId="77" xfId="0" applyNumberFormat="1" applyFont="1" applyFill="1" applyBorder="1" applyAlignment="1" applyProtection="1">
      <alignment horizontal="center" vertical="center" wrapText="1"/>
    </xf>
    <xf numFmtId="0" fontId="28" fillId="0" borderId="1" xfId="0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Fill="1" applyBorder="1" applyAlignment="1" applyProtection="1">
      <alignment horizontal="center" vertical="center" wrapText="1"/>
      <protection locked="0"/>
    </xf>
    <xf numFmtId="0" fontId="28" fillId="0" borderId="16" xfId="0" applyFont="1" applyFill="1" applyBorder="1" applyAlignment="1" applyProtection="1">
      <alignment horizontal="center" vertical="center" wrapText="1"/>
      <protection locked="0"/>
    </xf>
    <xf numFmtId="0" fontId="28" fillId="11" borderId="43" xfId="0" applyFont="1" applyFill="1" applyBorder="1" applyAlignment="1" applyProtection="1">
      <alignment horizontal="center" vertical="center" wrapText="1"/>
      <protection locked="0"/>
    </xf>
    <xf numFmtId="0" fontId="27" fillId="13" borderId="43" xfId="0" applyFont="1" applyFill="1" applyBorder="1" applyAlignment="1" applyProtection="1">
      <alignment horizontal="center" vertical="center" wrapText="1"/>
      <protection locked="0"/>
    </xf>
    <xf numFmtId="0" fontId="27" fillId="13" borderId="44" xfId="0" applyFont="1" applyFill="1" applyBorder="1" applyAlignment="1" applyProtection="1">
      <alignment horizontal="center" vertical="center" wrapText="1"/>
      <protection locked="0"/>
    </xf>
    <xf numFmtId="0" fontId="32" fillId="14" borderId="43" xfId="0" applyFont="1" applyFill="1" applyBorder="1" applyAlignment="1" applyProtection="1">
      <alignment horizontal="center" vertical="center"/>
      <protection locked="0"/>
    </xf>
    <xf numFmtId="0" fontId="32" fillId="14" borderId="82" xfId="0" applyFont="1" applyFill="1" applyBorder="1" applyAlignment="1" applyProtection="1">
      <alignment horizontal="center" vertical="center"/>
      <protection locked="0"/>
    </xf>
    <xf numFmtId="0" fontId="28" fillId="12" borderId="1" xfId="0" applyFont="1" applyFill="1" applyBorder="1" applyAlignment="1" applyProtection="1">
      <alignment horizontal="center" vertical="center" wrapText="1"/>
      <protection locked="0"/>
    </xf>
    <xf numFmtId="0" fontId="28" fillId="12" borderId="9" xfId="0" applyFont="1" applyFill="1" applyBorder="1" applyAlignment="1" applyProtection="1">
      <alignment horizontal="center" vertical="center" wrapText="1"/>
      <protection locked="0"/>
    </xf>
    <xf numFmtId="0" fontId="28" fillId="12" borderId="16" xfId="0" applyFont="1" applyFill="1" applyBorder="1" applyAlignment="1" applyProtection="1">
      <alignment horizontal="center" vertical="center" wrapText="1"/>
      <protection locked="0"/>
    </xf>
    <xf numFmtId="0" fontId="28" fillId="12" borderId="50" xfId="0" applyFont="1" applyFill="1" applyBorder="1" applyAlignment="1" applyProtection="1">
      <alignment horizontal="center" vertical="center" wrapText="1"/>
      <protection locked="0"/>
    </xf>
    <xf numFmtId="0" fontId="28" fillId="12" borderId="35" xfId="0" applyFont="1" applyFill="1" applyBorder="1" applyAlignment="1" applyProtection="1">
      <alignment horizontal="center" vertical="center" wrapText="1"/>
      <protection locked="0"/>
    </xf>
    <xf numFmtId="0" fontId="28" fillId="12" borderId="41" xfId="0" applyFont="1" applyFill="1" applyBorder="1" applyAlignment="1" applyProtection="1">
      <alignment horizontal="center" vertical="center" wrapText="1"/>
      <protection locked="0"/>
    </xf>
    <xf numFmtId="0" fontId="28" fillId="12" borderId="27" xfId="0" applyFont="1" applyFill="1" applyBorder="1" applyAlignment="1" applyProtection="1">
      <alignment horizontal="center" vertical="center" wrapText="1"/>
      <protection locked="0"/>
    </xf>
    <xf numFmtId="0" fontId="28" fillId="12" borderId="31" xfId="0" applyFont="1" applyFill="1" applyBorder="1" applyAlignment="1" applyProtection="1">
      <alignment horizontal="center" vertical="center" wrapText="1"/>
      <protection locked="0"/>
    </xf>
    <xf numFmtId="0" fontId="28" fillId="12" borderId="55" xfId="0" applyFont="1" applyFill="1" applyBorder="1" applyAlignment="1" applyProtection="1">
      <alignment horizontal="center" vertical="center" wrapText="1"/>
      <protection locked="0"/>
    </xf>
    <xf numFmtId="4" fontId="28" fillId="12" borderId="24" xfId="0" applyNumberFormat="1" applyFont="1" applyFill="1" applyBorder="1" applyAlignment="1" applyProtection="1">
      <alignment horizontal="center" vertical="center" wrapText="1"/>
      <protection locked="0"/>
    </xf>
    <xf numFmtId="0" fontId="29" fillId="12" borderId="65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5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14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0" xfId="0" applyNumberFormat="1" applyFont="1" applyFill="1" applyBorder="1" applyAlignment="1" applyProtection="1">
      <alignment horizontal="center" vertical="center" wrapText="1"/>
      <protection locked="0"/>
    </xf>
    <xf numFmtId="0" fontId="27" fillId="13" borderId="43" xfId="0" applyFont="1" applyFill="1" applyBorder="1" applyAlignment="1" applyProtection="1">
      <alignment horizontal="right" vertical="center" wrapText="1"/>
      <protection locked="0"/>
    </xf>
    <xf numFmtId="0" fontId="27" fillId="13" borderId="45" xfId="0" applyFont="1" applyFill="1" applyBorder="1" applyAlignment="1" applyProtection="1">
      <alignment horizontal="right" vertical="center" wrapText="1"/>
      <protection locked="0"/>
    </xf>
    <xf numFmtId="0" fontId="32" fillId="14" borderId="43" xfId="0" applyFont="1" applyFill="1" applyBorder="1" applyAlignment="1" applyProtection="1">
      <alignment horizontal="right" vertical="center"/>
      <protection locked="0"/>
    </xf>
    <xf numFmtId="0" fontId="32" fillId="14" borderId="45" xfId="0" applyFont="1" applyFill="1" applyBorder="1" applyAlignment="1" applyProtection="1">
      <alignment horizontal="right" vertical="center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8" fillId="0" borderId="16" xfId="0" applyFont="1" applyBorder="1" applyAlignment="1" applyProtection="1">
      <alignment horizontal="center" vertical="center"/>
      <protection locked="0"/>
    </xf>
    <xf numFmtId="0" fontId="28" fillId="12" borderId="29" xfId="0" applyFont="1" applyFill="1" applyBorder="1" applyAlignment="1" applyProtection="1">
      <alignment horizontal="center" vertical="center" wrapText="1"/>
      <protection locked="0"/>
    </xf>
    <xf numFmtId="0" fontId="28" fillId="12" borderId="36" xfId="0" applyFont="1" applyFill="1" applyBorder="1" applyAlignment="1" applyProtection="1">
      <alignment horizontal="center" vertical="center" wrapText="1"/>
      <protection locked="0"/>
    </xf>
    <xf numFmtId="0" fontId="28" fillId="12" borderId="74" xfId="0" applyFont="1" applyFill="1" applyBorder="1" applyAlignment="1" applyProtection="1">
      <alignment horizontal="center" vertical="center" wrapText="1"/>
      <protection locked="0"/>
    </xf>
    <xf numFmtId="0" fontId="28" fillId="12" borderId="70" xfId="0" applyFont="1" applyFill="1" applyBorder="1" applyAlignment="1" applyProtection="1">
      <alignment horizontal="center" vertical="center" wrapText="1"/>
      <protection locked="0"/>
    </xf>
    <xf numFmtId="0" fontId="28" fillId="12" borderId="62" xfId="0" applyFont="1" applyFill="1" applyBorder="1" applyAlignment="1" applyProtection="1">
      <alignment horizontal="center" vertical="center" wrapText="1"/>
      <protection locked="0"/>
    </xf>
    <xf numFmtId="0" fontId="28" fillId="12" borderId="71" xfId="0" applyFont="1" applyFill="1" applyBorder="1" applyAlignment="1" applyProtection="1">
      <alignment horizontal="center" vertical="center" wrapText="1"/>
      <protection locked="0"/>
    </xf>
    <xf numFmtId="14" fontId="28" fillId="12" borderId="72" xfId="0" applyNumberFormat="1" applyFont="1" applyFill="1" applyBorder="1" applyAlignment="1" applyProtection="1">
      <alignment horizontal="center" vertical="center" wrapText="1"/>
      <protection locked="0"/>
    </xf>
    <xf numFmtId="0" fontId="28" fillId="12" borderId="65" xfId="0" applyFont="1" applyFill="1" applyBorder="1" applyAlignment="1" applyProtection="1">
      <alignment horizontal="center" vertical="center" wrapText="1"/>
      <protection locked="0"/>
    </xf>
    <xf numFmtId="0" fontId="28" fillId="12" borderId="30" xfId="0" applyFont="1" applyFill="1" applyBorder="1" applyAlignment="1" applyProtection="1">
      <alignment horizontal="center" vertical="center" wrapText="1"/>
      <protection locked="0"/>
    </xf>
    <xf numFmtId="0" fontId="28" fillId="12" borderId="14" xfId="0" applyFont="1" applyFill="1" applyBorder="1" applyAlignment="1" applyProtection="1">
      <alignment horizontal="center" vertical="center" wrapText="1"/>
      <protection locked="0"/>
    </xf>
    <xf numFmtId="3" fontId="28" fillId="12" borderId="31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66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60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54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53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56" xfId="1" applyNumberFormat="1" applyFont="1" applyFill="1" applyBorder="1" applyAlignment="1" applyProtection="1">
      <alignment horizontal="center" vertical="center" wrapText="1"/>
      <protection locked="0"/>
    </xf>
    <xf numFmtId="0" fontId="28" fillId="12" borderId="28" xfId="0" applyFont="1" applyFill="1" applyBorder="1" applyAlignment="1" applyProtection="1">
      <alignment horizontal="center" vertical="center" wrapText="1"/>
      <protection locked="0"/>
    </xf>
    <xf numFmtId="0" fontId="42" fillId="12" borderId="72" xfId="0" applyFont="1" applyFill="1" applyBorder="1" applyAlignment="1" applyProtection="1">
      <alignment horizontal="center" vertical="center" wrapText="1"/>
      <protection locked="0"/>
    </xf>
    <xf numFmtId="0" fontId="42" fillId="12" borderId="73" xfId="0" applyFont="1" applyFill="1" applyBorder="1" applyAlignment="1" applyProtection="1">
      <alignment horizontal="center" vertical="center" wrapText="1"/>
      <protection locked="0"/>
    </xf>
    <xf numFmtId="0" fontId="42" fillId="12" borderId="24" xfId="0" applyFont="1" applyFill="1" applyBorder="1" applyAlignment="1" applyProtection="1">
      <alignment horizontal="center" vertical="center" wrapText="1"/>
      <protection locked="0"/>
    </xf>
    <xf numFmtId="0" fontId="42" fillId="12" borderId="1" xfId="0" applyFont="1" applyFill="1" applyBorder="1" applyAlignment="1" applyProtection="1">
      <alignment horizontal="center" vertical="center" wrapText="1"/>
      <protection locked="0"/>
    </xf>
    <xf numFmtId="0" fontId="42" fillId="12" borderId="9" xfId="0" applyFont="1" applyFill="1" applyBorder="1" applyAlignment="1" applyProtection="1">
      <alignment horizontal="center" vertical="center" wrapText="1"/>
      <protection locked="0"/>
    </xf>
    <xf numFmtId="0" fontId="42" fillId="12" borderId="16" xfId="0" applyFont="1" applyFill="1" applyBorder="1" applyAlignment="1" applyProtection="1">
      <alignment horizontal="center" vertical="center" wrapText="1"/>
      <protection locked="0"/>
    </xf>
    <xf numFmtId="0" fontId="42" fillId="12" borderId="65" xfId="0" applyFont="1" applyFill="1" applyBorder="1" applyAlignment="1" applyProtection="1">
      <alignment horizontal="center" vertical="center" wrapText="1"/>
      <protection locked="0"/>
    </xf>
    <xf numFmtId="0" fontId="42" fillId="12" borderId="14" xfId="0" applyFont="1" applyFill="1" applyBorder="1" applyAlignment="1" applyProtection="1">
      <alignment horizontal="center" vertical="center" wrapText="1"/>
      <protection locked="0"/>
    </xf>
    <xf numFmtId="0" fontId="42" fillId="12" borderId="30" xfId="0" applyFont="1" applyFill="1" applyBorder="1" applyAlignment="1" applyProtection="1">
      <alignment horizontal="center" vertical="center" wrapText="1"/>
      <protection locked="0"/>
    </xf>
    <xf numFmtId="3" fontId="42" fillId="12" borderId="17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41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9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7" xfId="0" applyNumberFormat="1" applyFont="1" applyFill="1" applyBorder="1" applyAlignment="1" applyProtection="1">
      <alignment horizontal="center" vertical="center" wrapText="1"/>
      <protection locked="0"/>
    </xf>
    <xf numFmtId="0" fontId="42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42" fillId="12" borderId="55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6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0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34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55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1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16" xfId="1" applyNumberFormat="1" applyFont="1" applyFill="1" applyBorder="1" applyAlignment="1" applyProtection="1">
      <alignment horizontal="center" vertical="center" wrapText="1"/>
      <protection locked="0"/>
    </xf>
    <xf numFmtId="0" fontId="2" fillId="10" borderId="43" xfId="0" applyFont="1" applyFill="1" applyBorder="1" applyAlignment="1">
      <alignment horizontal="center"/>
    </xf>
    <xf numFmtId="0" fontId="2" fillId="10" borderId="61" xfId="0" applyFont="1" applyFill="1" applyBorder="1" applyAlignment="1">
      <alignment horizontal="center"/>
    </xf>
    <xf numFmtId="0" fontId="2" fillId="10" borderId="44" xfId="0" applyFont="1" applyFill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textRotation="45"/>
    </xf>
    <xf numFmtId="0" fontId="6" fillId="0" borderId="9" xfId="0" applyFont="1" applyBorder="1" applyAlignment="1">
      <alignment horizontal="center" vertical="center" textRotation="45"/>
    </xf>
    <xf numFmtId="0" fontId="6" fillId="0" borderId="16" xfId="0" applyFont="1" applyBorder="1" applyAlignment="1">
      <alignment horizontal="center" vertical="center" textRotation="45"/>
    </xf>
    <xf numFmtId="0" fontId="10" fillId="0" borderId="7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10" fillId="0" borderId="53" xfId="0" applyFont="1" applyBorder="1" applyAlignment="1">
      <alignment horizontal="left" vertical="center"/>
    </xf>
    <xf numFmtId="0" fontId="10" fillId="0" borderId="52" xfId="0" applyFont="1" applyBorder="1" applyAlignment="1">
      <alignment horizontal="left" vertical="center"/>
    </xf>
    <xf numFmtId="0" fontId="2" fillId="0" borderId="43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45"/>
    </xf>
    <xf numFmtId="0" fontId="2" fillId="0" borderId="9" xfId="0" applyFont="1" applyBorder="1" applyAlignment="1">
      <alignment horizontal="center" vertical="center" textRotation="45"/>
    </xf>
    <xf numFmtId="0" fontId="14" fillId="0" borderId="27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0" fontId="12" fillId="0" borderId="61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textRotation="45"/>
    </xf>
    <xf numFmtId="3" fontId="11" fillId="0" borderId="1" xfId="0" applyNumberFormat="1" applyFont="1" applyFill="1" applyBorder="1" applyAlignment="1">
      <alignment horizontal="center" vertical="center" wrapText="1"/>
    </xf>
    <xf numFmtId="3" fontId="11" fillId="0" borderId="9" xfId="0" applyNumberFormat="1" applyFont="1" applyFill="1" applyBorder="1" applyAlignment="1">
      <alignment horizontal="center" vertical="center" wrapText="1"/>
    </xf>
    <xf numFmtId="3" fontId="11" fillId="0" borderId="16" xfId="0" applyNumberFormat="1" applyFont="1" applyFill="1" applyBorder="1" applyAlignment="1">
      <alignment horizontal="center" vertical="center" wrapText="1"/>
    </xf>
    <xf numFmtId="0" fontId="10" fillId="0" borderId="57" xfId="0" applyFont="1" applyFill="1" applyBorder="1" applyAlignment="1">
      <alignment horizontal="left" vertical="center"/>
    </xf>
    <xf numFmtId="0" fontId="10" fillId="0" borderId="59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7" fillId="3" borderId="72" xfId="0" applyFont="1" applyFill="1" applyBorder="1" applyAlignment="1">
      <alignment horizontal="center" vertical="center"/>
    </xf>
    <xf numFmtId="0" fontId="7" fillId="3" borderId="65" xfId="0" applyFont="1" applyFill="1" applyBorder="1" applyAlignment="1">
      <alignment horizontal="center" vertical="center"/>
    </xf>
    <xf numFmtId="0" fontId="7" fillId="3" borderId="6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15" fillId="2" borderId="0" xfId="2" applyFont="1" applyFill="1" applyAlignment="1">
      <alignment horizontal="center" vertical="center"/>
    </xf>
    <xf numFmtId="17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4">
    <cellStyle name="Normal" xfId="0" builtinId="0"/>
    <cellStyle name="Normal 3" xfId="2"/>
    <cellStyle name="Normal 4" xfId="3"/>
    <cellStyle name="Pourcentage" xfId="1" builtinId="5"/>
  </cellStyles>
  <dxfs count="32"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</dxfs>
  <tableStyles count="0" defaultTableStyle="TableStyleMedium2" defaultPivotStyle="PivotStyleLight16"/>
  <colors>
    <mruColors>
      <color rgb="FF000000"/>
      <color rgb="FF0000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71434</xdr:colOff>
      <xdr:row>0</xdr:row>
      <xdr:rowOff>0</xdr:rowOff>
    </xdr:from>
    <xdr:to>
      <xdr:col>12</xdr:col>
      <xdr:colOff>10560</xdr:colOff>
      <xdr:row>5</xdr:row>
      <xdr:rowOff>487362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4" y="103188"/>
          <a:ext cx="20426366" cy="13065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147634</xdr:colOff>
      <xdr:row>0</xdr:row>
      <xdr:rowOff>0</xdr:rowOff>
    </xdr:from>
    <xdr:ext cx="19759616" cy="1581150"/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4" y="0"/>
          <a:ext cx="19759616" cy="1581150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71435</xdr:colOff>
      <xdr:row>0</xdr:row>
      <xdr:rowOff>103188</xdr:rowOff>
    </xdr:from>
    <xdr:to>
      <xdr:col>9</xdr:col>
      <xdr:colOff>523240</xdr:colOff>
      <xdr:row>6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5" y="103188"/>
          <a:ext cx="20578765" cy="13446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71434</xdr:colOff>
      <xdr:row>0</xdr:row>
      <xdr:rowOff>103188</xdr:rowOff>
    </xdr:from>
    <xdr:to>
      <xdr:col>18</xdr:col>
      <xdr:colOff>400050</xdr:colOff>
      <xdr:row>6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4" y="103188"/>
          <a:ext cx="26690006" cy="137509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300034</xdr:colOff>
      <xdr:row>0</xdr:row>
      <xdr:rowOff>122238</xdr:rowOff>
    </xdr:from>
    <xdr:to>
      <xdr:col>8</xdr:col>
      <xdr:colOff>1885950</xdr:colOff>
      <xdr:row>6</xdr:row>
      <xdr:rowOff>133350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4" y="122238"/>
          <a:ext cx="18407066" cy="12684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19844</xdr:colOff>
      <xdr:row>6</xdr:row>
      <xdr:rowOff>277812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931563" cy="1587500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33334</xdr:colOff>
      <xdr:row>0</xdr:row>
      <xdr:rowOff>46038</xdr:rowOff>
    </xdr:from>
    <xdr:to>
      <xdr:col>19</xdr:col>
      <xdr:colOff>838200</xdr:colOff>
      <xdr:row>6</xdr:row>
      <xdr:rowOff>323850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4" y="46038"/>
          <a:ext cx="28122566" cy="15351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71434</xdr:colOff>
      <xdr:row>0</xdr:row>
      <xdr:rowOff>103188</xdr:rowOff>
    </xdr:from>
    <xdr:to>
      <xdr:col>19</xdr:col>
      <xdr:colOff>1466850</xdr:colOff>
      <xdr:row>6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4" y="103188"/>
          <a:ext cx="28827416" cy="132937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190499</xdr:colOff>
      <xdr:row>0</xdr:row>
      <xdr:rowOff>0</xdr:rowOff>
    </xdr:from>
    <xdr:to>
      <xdr:col>16</xdr:col>
      <xdr:colOff>504825</xdr:colOff>
      <xdr:row>9</xdr:row>
      <xdr:rowOff>180975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9" y="0"/>
          <a:ext cx="12696826" cy="1895475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file:///C:\Users\user\Desktop\Activit&#233;%20Journali&#232;re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file:///C:\Users\user\Desktop\Activit&#233;%20Journali&#232;re.xls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6:O1386"/>
  <sheetViews>
    <sheetView view="pageBreakPreview" topLeftCell="A1290" zoomScale="50" zoomScaleNormal="30" zoomScaleSheetLayoutView="50" workbookViewId="0">
      <selection activeCell="H1309" sqref="H1309"/>
    </sheetView>
  </sheetViews>
  <sheetFormatPr baseColWidth="10" defaultColWidth="9.140625" defaultRowHeight="16.5" x14ac:dyDescent="0.25"/>
  <cols>
    <col min="1" max="1" width="10.140625" style="229" customWidth="1"/>
    <col min="2" max="2" width="18.7109375" style="266" customWidth="1"/>
    <col min="3" max="3" width="85.5703125" style="266" customWidth="1"/>
    <col min="4" max="4" width="34.7109375" style="229" customWidth="1"/>
    <col min="5" max="5" width="21.85546875" style="222" customWidth="1"/>
    <col min="6" max="6" width="19.140625" style="222" customWidth="1"/>
    <col min="7" max="7" width="15.7109375" style="223" customWidth="1"/>
    <col min="8" max="8" width="16.140625" style="222" customWidth="1"/>
    <col min="9" max="9" width="15.7109375" style="222" customWidth="1"/>
    <col min="10" max="10" width="16.140625" style="224" customWidth="1"/>
    <col min="11" max="11" width="19.85546875" style="223" customWidth="1"/>
    <col min="12" max="12" width="23.85546875" style="222" customWidth="1"/>
    <col min="13" max="13" width="15.7109375" style="222" customWidth="1"/>
    <col min="14" max="14" width="17" style="224" customWidth="1"/>
    <col min="15" max="15" width="16.42578125" style="224" customWidth="1"/>
    <col min="16" max="16384" width="9.140625" style="229"/>
  </cols>
  <sheetData>
    <row r="6" spans="1:15" ht="67.150000000000006" customHeight="1" x14ac:dyDescent="0.25">
      <c r="A6" s="220" t="s">
        <v>0</v>
      </c>
    </row>
    <row r="8" spans="1:15" ht="81" customHeight="1" x14ac:dyDescent="0.25">
      <c r="A8" s="1007" t="s">
        <v>487</v>
      </c>
      <c r="B8" s="1008"/>
      <c r="C8" s="1008"/>
      <c r="D8" s="1008"/>
      <c r="E8" s="1008"/>
      <c r="F8" s="1008"/>
      <c r="G8" s="1008"/>
      <c r="H8" s="1008"/>
      <c r="I8" s="1008"/>
      <c r="J8" s="1008"/>
      <c r="K8" s="1008"/>
      <c r="L8" s="1008"/>
      <c r="M8" s="1008"/>
      <c r="N8" s="1008"/>
      <c r="O8" s="1008"/>
    </row>
    <row r="9" spans="1:15" ht="24.6" customHeight="1" thickBot="1" x14ac:dyDescent="0.3">
      <c r="A9" s="230"/>
      <c r="B9" s="230"/>
      <c r="C9" s="230"/>
      <c r="D9" s="230"/>
      <c r="E9" s="232"/>
      <c r="F9" s="232"/>
      <c r="G9" s="455"/>
      <c r="H9" s="456"/>
      <c r="I9" s="456"/>
      <c r="J9" s="456"/>
      <c r="K9" s="232"/>
      <c r="L9" s="232"/>
      <c r="M9" s="232"/>
      <c r="N9" s="234"/>
      <c r="O9" s="234"/>
    </row>
    <row r="10" spans="1:15" ht="22.5" x14ac:dyDescent="0.25">
      <c r="A10" s="978" t="s">
        <v>1</v>
      </c>
      <c r="B10" s="981" t="s">
        <v>2</v>
      </c>
      <c r="C10" s="984" t="s">
        <v>396</v>
      </c>
      <c r="D10" s="984" t="s">
        <v>397</v>
      </c>
      <c r="E10" s="987" t="s">
        <v>4</v>
      </c>
      <c r="F10" s="988"/>
      <c r="G10" s="988"/>
      <c r="H10" s="988"/>
      <c r="I10" s="988"/>
      <c r="J10" s="988"/>
      <c r="K10" s="988"/>
      <c r="L10" s="988"/>
      <c r="M10" s="988"/>
      <c r="N10" s="988"/>
      <c r="O10" s="989"/>
    </row>
    <row r="11" spans="1:15" ht="22.5" x14ac:dyDescent="0.25">
      <c r="A11" s="979"/>
      <c r="B11" s="982"/>
      <c r="C11" s="985"/>
      <c r="D11" s="985"/>
      <c r="E11" s="990" t="s">
        <v>7</v>
      </c>
      <c r="F11" s="992" t="s">
        <v>108</v>
      </c>
      <c r="G11" s="994" t="s">
        <v>474</v>
      </c>
      <c r="H11" s="995"/>
      <c r="I11" s="995"/>
      <c r="J11" s="996"/>
      <c r="K11" s="997" t="s">
        <v>398</v>
      </c>
      <c r="L11" s="998"/>
      <c r="M11" s="999"/>
      <c r="N11" s="1000" t="s">
        <v>399</v>
      </c>
      <c r="O11" s="1002" t="s">
        <v>164</v>
      </c>
    </row>
    <row r="12" spans="1:15" ht="41.25" thickBot="1" x14ac:dyDescent="0.3">
      <c r="A12" s="980"/>
      <c r="B12" s="983"/>
      <c r="C12" s="986"/>
      <c r="D12" s="986"/>
      <c r="E12" s="991"/>
      <c r="F12" s="993"/>
      <c r="G12" s="452" t="s">
        <v>13</v>
      </c>
      <c r="H12" s="453" t="s">
        <v>14</v>
      </c>
      <c r="I12" s="453" t="s">
        <v>15</v>
      </c>
      <c r="J12" s="454" t="s">
        <v>166</v>
      </c>
      <c r="K12" s="680" t="s">
        <v>13</v>
      </c>
      <c r="L12" s="678" t="s">
        <v>14</v>
      </c>
      <c r="M12" s="679" t="s">
        <v>15</v>
      </c>
      <c r="N12" s="1001"/>
      <c r="O12" s="1003"/>
    </row>
    <row r="13" spans="1:15" ht="24.75" thickBot="1" x14ac:dyDescent="0.3">
      <c r="A13" s="268" t="s">
        <v>103</v>
      </c>
      <c r="B13" s="965" t="s">
        <v>16</v>
      </c>
      <c r="C13" s="269" t="s">
        <v>368</v>
      </c>
      <c r="D13" s="269" t="s">
        <v>369</v>
      </c>
      <c r="E13" s="270"/>
      <c r="F13" s="271"/>
      <c r="G13" s="332">
        <f>+H13+I13</f>
        <v>0</v>
      </c>
      <c r="H13" s="272"/>
      <c r="I13" s="272"/>
      <c r="J13" s="351"/>
      <c r="K13" s="457">
        <f>+L13+M13</f>
        <v>0</v>
      </c>
      <c r="L13" s="688">
        <f>+H13</f>
        <v>0</v>
      </c>
      <c r="M13" s="688">
        <f>+I13</f>
        <v>0</v>
      </c>
      <c r="N13" s="336" t="str">
        <f>IFERROR(K13/E13,"-")</f>
        <v>-</v>
      </c>
      <c r="O13" s="343" t="str">
        <f t="shared" ref="O13:O14" si="0">IFERROR(M13/K13,"-")</f>
        <v>-</v>
      </c>
    </row>
    <row r="14" spans="1:15" ht="24" x14ac:dyDescent="0.25">
      <c r="A14" s="274" t="s">
        <v>103</v>
      </c>
      <c r="B14" s="966"/>
      <c r="C14" s="275" t="s">
        <v>376</v>
      </c>
      <c r="D14" s="275" t="s">
        <v>375</v>
      </c>
      <c r="E14" s="276"/>
      <c r="F14" s="277"/>
      <c r="G14" s="333">
        <f t="shared" ref="G14:G16" si="1">+H14+I14</f>
        <v>0</v>
      </c>
      <c r="H14" s="278"/>
      <c r="I14" s="278"/>
      <c r="J14" s="352" t="str">
        <f>IFERROR(G14/#REF!,"-")</f>
        <v>-</v>
      </c>
      <c r="K14" s="690">
        <f t="shared" ref="K14:K16" si="2">+L14+M14</f>
        <v>0</v>
      </c>
      <c r="L14" s="527">
        <f t="shared" ref="L14:L16" si="3">+H14</f>
        <v>0</v>
      </c>
      <c r="M14" s="459">
        <f t="shared" ref="M14:M16" si="4">+I14</f>
        <v>0</v>
      </c>
      <c r="N14" s="337" t="str">
        <f t="shared" ref="N14:N16" si="5">IFERROR(K14/E14,"-")</f>
        <v>-</v>
      </c>
      <c r="O14" s="265" t="str">
        <f t="shared" si="0"/>
        <v>-</v>
      </c>
    </row>
    <row r="15" spans="1:15" s="723" customFormat="1" ht="22.5" x14ac:dyDescent="0.25">
      <c r="A15" s="274" t="s">
        <v>103</v>
      </c>
      <c r="B15" s="966"/>
      <c r="C15" s="573" t="s">
        <v>431</v>
      </c>
      <c r="D15" s="573" t="s">
        <v>366</v>
      </c>
      <c r="E15" s="720"/>
      <c r="F15" s="721"/>
      <c r="G15" s="333">
        <f t="shared" si="1"/>
        <v>0</v>
      </c>
      <c r="H15" s="722"/>
      <c r="I15" s="722"/>
      <c r="J15" s="352" t="str">
        <f>IFERROR(G15/#REF!,"-")</f>
        <v>-</v>
      </c>
      <c r="K15" s="690">
        <f t="shared" si="2"/>
        <v>0</v>
      </c>
      <c r="L15" s="720">
        <f t="shared" si="3"/>
        <v>0</v>
      </c>
      <c r="M15" s="529">
        <f t="shared" si="4"/>
        <v>0</v>
      </c>
      <c r="N15" s="337" t="str">
        <f t="shared" si="5"/>
        <v>-</v>
      </c>
      <c r="O15" s="265" t="str">
        <f>IFERROR(M15/K15,"-")</f>
        <v>-</v>
      </c>
    </row>
    <row r="16" spans="1:15" ht="24.75" thickBot="1" x14ac:dyDescent="0.3">
      <c r="A16" s="274" t="s">
        <v>103</v>
      </c>
      <c r="B16" s="967"/>
      <c r="C16" s="279" t="s">
        <v>428</v>
      </c>
      <c r="D16" s="279" t="s">
        <v>374</v>
      </c>
      <c r="E16" s="280"/>
      <c r="F16" s="281"/>
      <c r="G16" s="334">
        <f t="shared" si="1"/>
        <v>0</v>
      </c>
      <c r="H16" s="272"/>
      <c r="I16" s="272"/>
      <c r="J16" s="353" t="str">
        <f>IFERROR(G16/#REF!,"-")</f>
        <v>-</v>
      </c>
      <c r="K16" s="691">
        <f t="shared" si="2"/>
        <v>0</v>
      </c>
      <c r="L16" s="530">
        <f t="shared" si="3"/>
        <v>0</v>
      </c>
      <c r="M16" s="462">
        <f t="shared" si="4"/>
        <v>0</v>
      </c>
      <c r="N16" s="338" t="str">
        <f t="shared" si="5"/>
        <v>-</v>
      </c>
      <c r="O16" s="344" t="str">
        <f t="shared" ref="O16:O34" si="6">IFERROR(M16/K16,"-")</f>
        <v>-</v>
      </c>
    </row>
    <row r="17" spans="1:15" ht="23.25" thickBot="1" x14ac:dyDescent="0.3">
      <c r="A17" s="274" t="s">
        <v>103</v>
      </c>
      <c r="B17" s="946" t="s">
        <v>44</v>
      </c>
      <c r="C17" s="947"/>
      <c r="D17" s="948"/>
      <c r="E17" s="320">
        <f>SUM(E13:E16)</f>
        <v>0</v>
      </c>
      <c r="F17" s="285">
        <v>15000</v>
      </c>
      <c r="G17" s="320">
        <f>SUM(G13:G16)</f>
        <v>0</v>
      </c>
      <c r="H17" s="321">
        <f t="shared" ref="H17:I17" si="7">SUM(H13:H16)</f>
        <v>0</v>
      </c>
      <c r="I17" s="321">
        <f t="shared" si="7"/>
        <v>0</v>
      </c>
      <c r="J17" s="345">
        <f>+G17/F17</f>
        <v>0</v>
      </c>
      <c r="K17" s="320">
        <f t="shared" ref="K17" si="8">SUM(K13:K16)</f>
        <v>0</v>
      </c>
      <c r="L17" s="692">
        <f>SUM(L13:L16)</f>
        <v>0</v>
      </c>
      <c r="M17" s="693">
        <f>SUM(M13:M16)</f>
        <v>0</v>
      </c>
      <c r="N17" s="339" t="str">
        <f>IFERROR(K17/E17,"-")</f>
        <v>-</v>
      </c>
      <c r="O17" s="345" t="str">
        <f t="shared" si="6"/>
        <v>-</v>
      </c>
    </row>
    <row r="18" spans="1:15" ht="24" x14ac:dyDescent="0.25">
      <c r="A18" s="274" t="s">
        <v>103</v>
      </c>
      <c r="B18" s="965" t="s">
        <v>17</v>
      </c>
      <c r="C18" s="269" t="s">
        <v>294</v>
      </c>
      <c r="D18" s="269"/>
      <c r="E18" s="270"/>
      <c r="F18" s="271"/>
      <c r="G18" s="332">
        <f t="shared" ref="G18:G24" si="9">+H18+I18</f>
        <v>0</v>
      </c>
      <c r="H18" s="272"/>
      <c r="I18" s="272"/>
      <c r="J18" s="351" t="str">
        <f>IFERROR(G18/#REF!,"-")</f>
        <v>-</v>
      </c>
      <c r="K18" s="694">
        <f t="shared" ref="K18:K24" si="10">+L18+M18</f>
        <v>0</v>
      </c>
      <c r="L18" s="527">
        <f t="shared" ref="L18:L24" si="11">+H18</f>
        <v>0</v>
      </c>
      <c r="M18" s="459">
        <f t="shared" ref="M18:M24" si="12">+I18</f>
        <v>0</v>
      </c>
      <c r="N18" s="336" t="str">
        <f t="shared" ref="N18:N24" si="13">IFERROR(K18/E18,"-")</f>
        <v>-</v>
      </c>
      <c r="O18" s="346" t="str">
        <f t="shared" si="6"/>
        <v>-</v>
      </c>
    </row>
    <row r="19" spans="1:15" ht="24" x14ac:dyDescent="0.25">
      <c r="A19" s="274" t="s">
        <v>103</v>
      </c>
      <c r="B19" s="966"/>
      <c r="C19" s="275" t="s">
        <v>344</v>
      </c>
      <c r="D19" s="275" t="s">
        <v>232</v>
      </c>
      <c r="E19" s="276"/>
      <c r="F19" s="277"/>
      <c r="G19" s="333">
        <f t="shared" si="9"/>
        <v>0</v>
      </c>
      <c r="H19" s="278"/>
      <c r="I19" s="278"/>
      <c r="J19" s="352" t="str">
        <f>IFERROR(G19/#REF!,"-")</f>
        <v>-</v>
      </c>
      <c r="K19" s="690">
        <f t="shared" si="10"/>
        <v>0</v>
      </c>
      <c r="L19" s="276">
        <f t="shared" si="11"/>
        <v>0</v>
      </c>
      <c r="M19" s="436">
        <f t="shared" si="12"/>
        <v>0</v>
      </c>
      <c r="N19" s="337" t="str">
        <f t="shared" si="13"/>
        <v>-</v>
      </c>
      <c r="O19" s="263" t="str">
        <f t="shared" si="6"/>
        <v>-</v>
      </c>
    </row>
    <row r="20" spans="1:15" ht="24" x14ac:dyDescent="0.25">
      <c r="A20" s="274" t="s">
        <v>103</v>
      </c>
      <c r="B20" s="966"/>
      <c r="C20" s="275" t="s">
        <v>367</v>
      </c>
      <c r="D20" s="275" t="s">
        <v>187</v>
      </c>
      <c r="E20" s="276"/>
      <c r="F20" s="277"/>
      <c r="G20" s="333">
        <f t="shared" si="9"/>
        <v>6352</v>
      </c>
      <c r="H20" s="278">
        <v>6120</v>
      </c>
      <c r="I20" s="278">
        <v>232</v>
      </c>
      <c r="J20" s="352" t="str">
        <f>IFERROR(G20/#REF!,"-")</f>
        <v>-</v>
      </c>
      <c r="K20" s="690">
        <f t="shared" si="10"/>
        <v>6352</v>
      </c>
      <c r="L20" s="276">
        <f t="shared" si="11"/>
        <v>6120</v>
      </c>
      <c r="M20" s="436">
        <f t="shared" si="12"/>
        <v>232</v>
      </c>
      <c r="N20" s="337" t="str">
        <f t="shared" si="13"/>
        <v>-</v>
      </c>
      <c r="O20" s="263">
        <f t="shared" si="6"/>
        <v>3.6523929471032744E-2</v>
      </c>
    </row>
    <row r="21" spans="1:15" ht="24" x14ac:dyDescent="0.25">
      <c r="A21" s="274" t="s">
        <v>103</v>
      </c>
      <c r="B21" s="966"/>
      <c r="C21" s="275" t="s">
        <v>293</v>
      </c>
      <c r="D21" s="275" t="s">
        <v>188</v>
      </c>
      <c r="E21" s="276"/>
      <c r="F21" s="277"/>
      <c r="G21" s="333">
        <f t="shared" si="9"/>
        <v>0</v>
      </c>
      <c r="H21" s="278"/>
      <c r="I21" s="278"/>
      <c r="J21" s="352" t="str">
        <f>IFERROR(G21/#REF!,"-")</f>
        <v>-</v>
      </c>
      <c r="K21" s="690">
        <f t="shared" si="10"/>
        <v>0</v>
      </c>
      <c r="L21" s="276">
        <f t="shared" si="11"/>
        <v>0</v>
      </c>
      <c r="M21" s="436">
        <f t="shared" si="12"/>
        <v>0</v>
      </c>
      <c r="N21" s="337" t="str">
        <f t="shared" si="13"/>
        <v>-</v>
      </c>
      <c r="O21" s="263" t="str">
        <f t="shared" si="6"/>
        <v>-</v>
      </c>
    </row>
    <row r="22" spans="1:15" ht="24" x14ac:dyDescent="0.25">
      <c r="A22" s="274" t="s">
        <v>103</v>
      </c>
      <c r="B22" s="966"/>
      <c r="C22" s="275" t="s">
        <v>323</v>
      </c>
      <c r="D22" s="275" t="s">
        <v>318</v>
      </c>
      <c r="E22" s="276"/>
      <c r="F22" s="277"/>
      <c r="G22" s="333">
        <f t="shared" si="9"/>
        <v>0</v>
      </c>
      <c r="H22" s="278"/>
      <c r="I22" s="278"/>
      <c r="J22" s="352" t="str">
        <f>IFERROR(G22/#REF!,"-")</f>
        <v>-</v>
      </c>
      <c r="K22" s="690">
        <f t="shared" si="10"/>
        <v>0</v>
      </c>
      <c r="L22" s="276">
        <f t="shared" si="11"/>
        <v>0</v>
      </c>
      <c r="M22" s="436">
        <f t="shared" si="12"/>
        <v>0</v>
      </c>
      <c r="N22" s="337" t="str">
        <f t="shared" si="13"/>
        <v>-</v>
      </c>
      <c r="O22" s="263" t="str">
        <f t="shared" si="6"/>
        <v>-</v>
      </c>
    </row>
    <row r="23" spans="1:15" ht="24" x14ac:dyDescent="0.25">
      <c r="A23" s="274" t="s">
        <v>103</v>
      </c>
      <c r="B23" s="966"/>
      <c r="C23" s="275" t="s">
        <v>352</v>
      </c>
      <c r="D23" s="275" t="s">
        <v>189</v>
      </c>
      <c r="E23" s="276"/>
      <c r="F23" s="277"/>
      <c r="G23" s="333">
        <f t="shared" si="9"/>
        <v>0</v>
      </c>
      <c r="H23" s="278"/>
      <c r="I23" s="278"/>
      <c r="J23" s="352" t="str">
        <f>IFERROR(G23/#REF!,"-")</f>
        <v>-</v>
      </c>
      <c r="K23" s="690">
        <f t="shared" si="10"/>
        <v>0</v>
      </c>
      <c r="L23" s="276">
        <f t="shared" si="11"/>
        <v>0</v>
      </c>
      <c r="M23" s="436">
        <f t="shared" si="12"/>
        <v>0</v>
      </c>
      <c r="N23" s="337" t="str">
        <f t="shared" si="13"/>
        <v>-</v>
      </c>
      <c r="O23" s="263" t="str">
        <f t="shared" si="6"/>
        <v>-</v>
      </c>
    </row>
    <row r="24" spans="1:15" ht="24.75" thickBot="1" x14ac:dyDescent="0.3">
      <c r="A24" s="274" t="s">
        <v>103</v>
      </c>
      <c r="B24" s="967"/>
      <c r="C24" s="279" t="s">
        <v>341</v>
      </c>
      <c r="D24" s="279" t="s">
        <v>232</v>
      </c>
      <c r="E24" s="280"/>
      <c r="F24" s="281"/>
      <c r="G24" s="334">
        <f t="shared" si="9"/>
        <v>0</v>
      </c>
      <c r="H24" s="282"/>
      <c r="I24" s="282"/>
      <c r="J24" s="353" t="str">
        <f>IFERROR(G24/#REF!,"-")</f>
        <v>-</v>
      </c>
      <c r="K24" s="691">
        <f t="shared" si="10"/>
        <v>0</v>
      </c>
      <c r="L24" s="530">
        <f t="shared" si="11"/>
        <v>0</v>
      </c>
      <c r="M24" s="462">
        <f t="shared" si="12"/>
        <v>0</v>
      </c>
      <c r="N24" s="338" t="str">
        <f t="shared" si="13"/>
        <v>-</v>
      </c>
      <c r="O24" s="347" t="str">
        <f t="shared" si="6"/>
        <v>-</v>
      </c>
    </row>
    <row r="25" spans="1:15" ht="23.25" thickBot="1" x14ac:dyDescent="0.3">
      <c r="A25" s="274" t="s">
        <v>103</v>
      </c>
      <c r="B25" s="946" t="s">
        <v>45</v>
      </c>
      <c r="C25" s="947"/>
      <c r="D25" s="948"/>
      <c r="E25" s="320">
        <f>SUM(E18:E24)</f>
        <v>0</v>
      </c>
      <c r="F25" s="285">
        <v>100000</v>
      </c>
      <c r="G25" s="320">
        <f>SUM(G18:G24)</f>
        <v>6352</v>
      </c>
      <c r="H25" s="321">
        <f t="shared" ref="H25:I25" si="14">SUM(H18:H24)</f>
        <v>6120</v>
      </c>
      <c r="I25" s="321">
        <f t="shared" si="14"/>
        <v>232</v>
      </c>
      <c r="J25" s="345">
        <f>+G25/F25</f>
        <v>6.3519999999999993E-2</v>
      </c>
      <c r="K25" s="320">
        <f>SUM(K18:K24)</f>
        <v>6352</v>
      </c>
      <c r="L25" s="519">
        <f>SUM(L18:L24)</f>
        <v>6120</v>
      </c>
      <c r="M25" s="689">
        <f t="shared" ref="M25" si="15">SUM(M18:M24)</f>
        <v>232</v>
      </c>
      <c r="N25" s="339" t="str">
        <f>IFERROR(K25/E25,"-")</f>
        <v>-</v>
      </c>
      <c r="O25" s="345">
        <f t="shared" si="6"/>
        <v>3.6523929471032744E-2</v>
      </c>
    </row>
    <row r="26" spans="1:15" ht="24" x14ac:dyDescent="0.25">
      <c r="A26" s="274" t="s">
        <v>103</v>
      </c>
      <c r="B26" s="965" t="s">
        <v>18</v>
      </c>
      <c r="C26" s="269" t="s">
        <v>312</v>
      </c>
      <c r="D26" s="269" t="s">
        <v>92</v>
      </c>
      <c r="E26" s="270"/>
      <c r="F26" s="271"/>
      <c r="G26" s="332">
        <f t="shared" ref="G26:G32" si="16">+H26+I26</f>
        <v>0</v>
      </c>
      <c r="H26" s="272"/>
      <c r="I26" s="272"/>
      <c r="J26" s="351" t="str">
        <f>IFERROR(G26/#REF!,"-")</f>
        <v>-</v>
      </c>
      <c r="K26" s="332">
        <f t="shared" ref="K26:K32" si="17">+L26+M26</f>
        <v>0</v>
      </c>
      <c r="L26" s="272">
        <f t="shared" ref="L26:L32" si="18">+H26</f>
        <v>0</v>
      </c>
      <c r="M26" s="273">
        <f t="shared" ref="M26:M32" si="19">+I26</f>
        <v>0</v>
      </c>
      <c r="N26" s="336" t="str">
        <f t="shared" ref="N26:N33" si="20">IFERROR(K26/E26,"-")</f>
        <v>-</v>
      </c>
      <c r="O26" s="346" t="str">
        <f t="shared" si="6"/>
        <v>-</v>
      </c>
    </row>
    <row r="27" spans="1:15" ht="24" x14ac:dyDescent="0.25">
      <c r="A27" s="274" t="s">
        <v>103</v>
      </c>
      <c r="B27" s="966"/>
      <c r="C27" s="275" t="s">
        <v>233</v>
      </c>
      <c r="D27" s="275" t="s">
        <v>234</v>
      </c>
      <c r="E27" s="276"/>
      <c r="F27" s="277"/>
      <c r="G27" s="333">
        <f t="shared" si="16"/>
        <v>0</v>
      </c>
      <c r="H27" s="278"/>
      <c r="I27" s="278"/>
      <c r="J27" s="352" t="str">
        <f>IFERROR(G27/#REF!,"-")</f>
        <v>-</v>
      </c>
      <c r="K27" s="333">
        <f t="shared" si="17"/>
        <v>0</v>
      </c>
      <c r="L27" s="272">
        <f t="shared" si="18"/>
        <v>0</v>
      </c>
      <c r="M27" s="273">
        <f t="shared" si="19"/>
        <v>0</v>
      </c>
      <c r="N27" s="337" t="str">
        <f t="shared" si="20"/>
        <v>-</v>
      </c>
      <c r="O27" s="263" t="str">
        <f t="shared" si="6"/>
        <v>-</v>
      </c>
    </row>
    <row r="28" spans="1:15" ht="24" x14ac:dyDescent="0.25">
      <c r="A28" s="274" t="s">
        <v>103</v>
      </c>
      <c r="B28" s="966"/>
      <c r="C28" s="275" t="s">
        <v>115</v>
      </c>
      <c r="D28" s="275"/>
      <c r="E28" s="276"/>
      <c r="F28" s="277"/>
      <c r="G28" s="333">
        <f t="shared" si="16"/>
        <v>0</v>
      </c>
      <c r="H28" s="278"/>
      <c r="I28" s="278"/>
      <c r="J28" s="352" t="str">
        <f>IFERROR(G28/#REF!,"-")</f>
        <v>-</v>
      </c>
      <c r="K28" s="333">
        <f t="shared" si="17"/>
        <v>0</v>
      </c>
      <c r="L28" s="272">
        <f t="shared" si="18"/>
        <v>0</v>
      </c>
      <c r="M28" s="273">
        <f t="shared" si="19"/>
        <v>0</v>
      </c>
      <c r="N28" s="337" t="str">
        <f t="shared" si="20"/>
        <v>-</v>
      </c>
      <c r="O28" s="263" t="str">
        <f t="shared" si="6"/>
        <v>-</v>
      </c>
    </row>
    <row r="29" spans="1:15" ht="24" x14ac:dyDescent="0.25">
      <c r="A29" s="274" t="s">
        <v>103</v>
      </c>
      <c r="B29" s="966"/>
      <c r="C29" s="275" t="s">
        <v>122</v>
      </c>
      <c r="D29" s="275"/>
      <c r="E29" s="276"/>
      <c r="F29" s="277"/>
      <c r="G29" s="333">
        <f t="shared" si="16"/>
        <v>0</v>
      </c>
      <c r="H29" s="278"/>
      <c r="I29" s="278"/>
      <c r="J29" s="352" t="str">
        <f>IFERROR(G29/#REF!,"-")</f>
        <v>-</v>
      </c>
      <c r="K29" s="333">
        <f t="shared" si="17"/>
        <v>0</v>
      </c>
      <c r="L29" s="272">
        <f t="shared" si="18"/>
        <v>0</v>
      </c>
      <c r="M29" s="273">
        <f t="shared" si="19"/>
        <v>0</v>
      </c>
      <c r="N29" s="337" t="str">
        <f t="shared" si="20"/>
        <v>-</v>
      </c>
      <c r="O29" s="263" t="str">
        <f t="shared" si="6"/>
        <v>-</v>
      </c>
    </row>
    <row r="30" spans="1:15" ht="24" x14ac:dyDescent="0.25">
      <c r="A30" s="274" t="s">
        <v>103</v>
      </c>
      <c r="B30" s="966"/>
      <c r="C30" s="275" t="s">
        <v>176</v>
      </c>
      <c r="D30" s="275" t="s">
        <v>177</v>
      </c>
      <c r="E30" s="276"/>
      <c r="F30" s="277"/>
      <c r="G30" s="333">
        <f t="shared" si="16"/>
        <v>0</v>
      </c>
      <c r="H30" s="278"/>
      <c r="I30" s="278"/>
      <c r="J30" s="352" t="str">
        <f>IFERROR(G30/#REF!,"-")</f>
        <v>-</v>
      </c>
      <c r="K30" s="333">
        <f t="shared" si="17"/>
        <v>0</v>
      </c>
      <c r="L30" s="272">
        <f t="shared" si="18"/>
        <v>0</v>
      </c>
      <c r="M30" s="273">
        <f t="shared" si="19"/>
        <v>0</v>
      </c>
      <c r="N30" s="337" t="str">
        <f t="shared" si="20"/>
        <v>-</v>
      </c>
      <c r="O30" s="263" t="str">
        <f t="shared" si="6"/>
        <v>-</v>
      </c>
    </row>
    <row r="31" spans="1:15" ht="24" x14ac:dyDescent="0.25">
      <c r="A31" s="274" t="s">
        <v>103</v>
      </c>
      <c r="B31" s="966"/>
      <c r="C31" s="275" t="s">
        <v>179</v>
      </c>
      <c r="D31" s="275" t="s">
        <v>178</v>
      </c>
      <c r="E31" s="276"/>
      <c r="F31" s="277"/>
      <c r="G31" s="333">
        <f t="shared" si="16"/>
        <v>0</v>
      </c>
      <c r="H31" s="278"/>
      <c r="I31" s="278"/>
      <c r="J31" s="352" t="str">
        <f>IFERROR(G31/#REF!,"-")</f>
        <v>-</v>
      </c>
      <c r="K31" s="333">
        <f t="shared" si="17"/>
        <v>0</v>
      </c>
      <c r="L31" s="272">
        <f t="shared" si="18"/>
        <v>0</v>
      </c>
      <c r="M31" s="273">
        <f t="shared" si="19"/>
        <v>0</v>
      </c>
      <c r="N31" s="337" t="str">
        <f t="shared" si="20"/>
        <v>-</v>
      </c>
      <c r="O31" s="263" t="str">
        <f t="shared" si="6"/>
        <v>-</v>
      </c>
    </row>
    <row r="32" spans="1:15" ht="24.75" thickBot="1" x14ac:dyDescent="0.3">
      <c r="A32" s="274" t="s">
        <v>103</v>
      </c>
      <c r="B32" s="967"/>
      <c r="C32" s="286" t="s">
        <v>180</v>
      </c>
      <c r="D32" s="286" t="s">
        <v>107</v>
      </c>
      <c r="E32" s="280"/>
      <c r="F32" s="281"/>
      <c r="G32" s="334">
        <f t="shared" si="16"/>
        <v>0</v>
      </c>
      <c r="H32" s="282"/>
      <c r="I32" s="282"/>
      <c r="J32" s="353" t="str">
        <f>IFERROR(G32/#REF!,"-")</f>
        <v>-</v>
      </c>
      <c r="K32" s="334">
        <f t="shared" si="17"/>
        <v>0</v>
      </c>
      <c r="L32" s="272">
        <f t="shared" si="18"/>
        <v>0</v>
      </c>
      <c r="M32" s="273">
        <f t="shared" si="19"/>
        <v>0</v>
      </c>
      <c r="N32" s="338" t="str">
        <f t="shared" si="20"/>
        <v>-</v>
      </c>
      <c r="O32" s="347" t="str">
        <f t="shared" si="6"/>
        <v>-</v>
      </c>
    </row>
    <row r="33" spans="1:15" ht="23.25" thickBot="1" x14ac:dyDescent="0.3">
      <c r="A33" s="274" t="s">
        <v>103</v>
      </c>
      <c r="B33" s="946" t="s">
        <v>29</v>
      </c>
      <c r="C33" s="947"/>
      <c r="D33" s="948"/>
      <c r="E33" s="320">
        <f t="shared" ref="E33" si="21">SUM(E26:E32)</f>
        <v>0</v>
      </c>
      <c r="F33" s="285">
        <v>80000</v>
      </c>
      <c r="G33" s="320">
        <f>SUM(G26:G32)</f>
        <v>0</v>
      </c>
      <c r="H33" s="321">
        <f t="shared" ref="H33:I33" si="22">SUM(H26:H32)</f>
        <v>0</v>
      </c>
      <c r="I33" s="321">
        <f t="shared" si="22"/>
        <v>0</v>
      </c>
      <c r="J33" s="345">
        <f>+G33/F33</f>
        <v>0</v>
      </c>
      <c r="K33" s="320">
        <f t="shared" ref="K33:M33" si="23">SUM(K26:K32)</f>
        <v>0</v>
      </c>
      <c r="L33" s="321">
        <f>SUM(L26:L32)</f>
        <v>0</v>
      </c>
      <c r="M33" s="322">
        <f t="shared" si="23"/>
        <v>0</v>
      </c>
      <c r="N33" s="339" t="str">
        <f t="shared" si="20"/>
        <v>-</v>
      </c>
      <c r="O33" s="345" t="str">
        <f t="shared" si="6"/>
        <v>-</v>
      </c>
    </row>
    <row r="34" spans="1:15" ht="24.75" thickBot="1" x14ac:dyDescent="0.3">
      <c r="A34" s="252" t="s">
        <v>103</v>
      </c>
      <c r="B34" s="1004" t="s">
        <v>19</v>
      </c>
      <c r="C34" s="641" t="s">
        <v>235</v>
      </c>
      <c r="D34" s="669" t="s">
        <v>177</v>
      </c>
      <c r="E34" s="674"/>
      <c r="F34" s="671">
        <v>220000</v>
      </c>
      <c r="G34" s="644">
        <f t="shared" ref="G34:G36" si="24">+H34+I34</f>
        <v>0</v>
      </c>
      <c r="H34" s="458"/>
      <c r="I34" s="458"/>
      <c r="J34" s="531" t="str">
        <f>IFERROR(G34/#REF!,"-")</f>
        <v>-</v>
      </c>
      <c r="K34" s="457">
        <f>+L34+M34</f>
        <v>0</v>
      </c>
      <c r="L34" s="458">
        <f t="shared" ref="L34:L36" si="25">+H34</f>
        <v>0</v>
      </c>
      <c r="M34" s="459">
        <f t="shared" ref="M34:M36" si="26">+I34</f>
        <v>0</v>
      </c>
      <c r="N34" s="646" t="str">
        <f>IFERROR(K34/E34,"-")</f>
        <v>-</v>
      </c>
      <c r="O34" s="647" t="str">
        <f t="shared" si="6"/>
        <v>-</v>
      </c>
    </row>
    <row r="35" spans="1:15" ht="24.75" thickBot="1" x14ac:dyDescent="0.3">
      <c r="A35" s="252"/>
      <c r="B35" s="1005"/>
      <c r="C35" s="296" t="s">
        <v>377</v>
      </c>
      <c r="D35" s="645" t="s">
        <v>423</v>
      </c>
      <c r="E35" s="675"/>
      <c r="F35" s="672"/>
      <c r="G35" s="640">
        <f t="shared" si="24"/>
        <v>118733</v>
      </c>
      <c r="H35" s="272">
        <v>118272</v>
      </c>
      <c r="I35" s="272">
        <v>461</v>
      </c>
      <c r="J35" s="351" t="str">
        <f>IFERROR(G35/#REF!,"-")</f>
        <v>-</v>
      </c>
      <c r="K35" s="335">
        <f>+L35+M35</f>
        <v>118733</v>
      </c>
      <c r="L35" s="458">
        <f t="shared" si="25"/>
        <v>118272</v>
      </c>
      <c r="M35" s="459">
        <f t="shared" si="26"/>
        <v>461</v>
      </c>
      <c r="N35" s="340" t="str">
        <f t="shared" ref="N35:N36" si="27">IFERROR(K35/E35,"-")</f>
        <v>-</v>
      </c>
      <c r="O35" s="639">
        <f>IFERROR(M35/K35,"-")</f>
        <v>3.8826610967464814E-3</v>
      </c>
    </row>
    <row r="36" spans="1:15" ht="24.75" thickBot="1" x14ac:dyDescent="0.3">
      <c r="A36" s="252"/>
      <c r="B36" s="1006"/>
      <c r="C36" s="635" t="s">
        <v>342</v>
      </c>
      <c r="D36" s="670"/>
      <c r="E36" s="676"/>
      <c r="F36" s="673"/>
      <c r="G36" s="589">
        <f t="shared" si="24"/>
        <v>0</v>
      </c>
      <c r="H36" s="282"/>
      <c r="I36" s="282"/>
      <c r="J36" s="353"/>
      <c r="K36" s="460">
        <f>+L36+M36</f>
        <v>0</v>
      </c>
      <c r="L36" s="458">
        <f t="shared" si="25"/>
        <v>0</v>
      </c>
      <c r="M36" s="459">
        <f t="shared" si="26"/>
        <v>0</v>
      </c>
      <c r="N36" s="338" t="str">
        <f t="shared" si="27"/>
        <v>-</v>
      </c>
      <c r="O36" s="636" t="str">
        <f t="shared" ref="O36:O93" si="28">IFERROR(M36/K36,"-")</f>
        <v>-</v>
      </c>
    </row>
    <row r="37" spans="1:15" ht="23.25" thickBot="1" x14ac:dyDescent="0.3">
      <c r="A37" s="274" t="s">
        <v>103</v>
      </c>
      <c r="B37" s="975" t="s">
        <v>46</v>
      </c>
      <c r="C37" s="947"/>
      <c r="D37" s="948"/>
      <c r="E37" s="320">
        <f>SUM(E34:E36)</f>
        <v>0</v>
      </c>
      <c r="F37" s="323">
        <f t="shared" ref="F37" si="29">SUM(F34)</f>
        <v>220000</v>
      </c>
      <c r="G37" s="320">
        <f>SUM(G34)</f>
        <v>0</v>
      </c>
      <c r="H37" s="321">
        <f>SUM(H34:H36)</f>
        <v>118272</v>
      </c>
      <c r="I37" s="321">
        <f>SUM(I34:I36)</f>
        <v>461</v>
      </c>
      <c r="J37" s="345">
        <f>+G37/F37</f>
        <v>0</v>
      </c>
      <c r="K37" s="637">
        <f>SUM(K34:K35)</f>
        <v>118733</v>
      </c>
      <c r="L37" s="321">
        <f>SUM(L34:L35)</f>
        <v>118272</v>
      </c>
      <c r="M37" s="322">
        <f>SUM(M34:M35)</f>
        <v>461</v>
      </c>
      <c r="N37" s="339" t="str">
        <f>IFERROR(K37/E37,"-")</f>
        <v>-</v>
      </c>
      <c r="O37" s="345">
        <f t="shared" si="28"/>
        <v>3.8826610967464814E-3</v>
      </c>
    </row>
    <row r="38" spans="1:15" ht="24" x14ac:dyDescent="0.25">
      <c r="A38" s="274" t="s">
        <v>103</v>
      </c>
      <c r="B38" s="965" t="s">
        <v>20</v>
      </c>
      <c r="C38" s="291" t="s">
        <v>317</v>
      </c>
      <c r="D38" s="291" t="s">
        <v>289</v>
      </c>
      <c r="E38" s="270"/>
      <c r="F38" s="271"/>
      <c r="G38" s="332">
        <f t="shared" ref="G38:G40" si="30">+H38+I38</f>
        <v>0</v>
      </c>
      <c r="H38" s="272"/>
      <c r="I38" s="272"/>
      <c r="J38" s="351" t="str">
        <f>IFERROR(G38/#REF!,"-")</f>
        <v>-</v>
      </c>
      <c r="K38" s="332">
        <f t="shared" ref="K38:K40" si="31">+L38+M38</f>
        <v>0</v>
      </c>
      <c r="L38" s="272">
        <f t="shared" ref="L38:L40" si="32">+H38</f>
        <v>0</v>
      </c>
      <c r="M38" s="273">
        <f t="shared" ref="M38:M40" si="33">+I38</f>
        <v>0</v>
      </c>
      <c r="N38" s="336" t="str">
        <f t="shared" ref="N38:N41" si="34">IFERROR(K38/E38,"-")</f>
        <v>-</v>
      </c>
      <c r="O38" s="346" t="str">
        <f t="shared" si="28"/>
        <v>-</v>
      </c>
    </row>
    <row r="39" spans="1:15" ht="24" x14ac:dyDescent="0.25">
      <c r="A39" s="274" t="s">
        <v>103</v>
      </c>
      <c r="B39" s="966"/>
      <c r="C39" s="292" t="s">
        <v>114</v>
      </c>
      <c r="D39" s="292"/>
      <c r="E39" s="276"/>
      <c r="F39" s="277"/>
      <c r="G39" s="333">
        <f t="shared" si="30"/>
        <v>0</v>
      </c>
      <c r="H39" s="278"/>
      <c r="I39" s="278"/>
      <c r="J39" s="352" t="str">
        <f>IFERROR(G39/#REF!,"-")</f>
        <v>-</v>
      </c>
      <c r="K39" s="333">
        <f t="shared" si="31"/>
        <v>0</v>
      </c>
      <c r="L39" s="272">
        <f t="shared" si="32"/>
        <v>0</v>
      </c>
      <c r="M39" s="273">
        <f t="shared" si="33"/>
        <v>0</v>
      </c>
      <c r="N39" s="337" t="str">
        <f t="shared" si="34"/>
        <v>-</v>
      </c>
      <c r="O39" s="263" t="str">
        <f t="shared" si="28"/>
        <v>-</v>
      </c>
    </row>
    <row r="40" spans="1:15" ht="24.75" thickBot="1" x14ac:dyDescent="0.3">
      <c r="A40" s="274" t="s">
        <v>103</v>
      </c>
      <c r="B40" s="967"/>
      <c r="C40" s="293" t="s">
        <v>120</v>
      </c>
      <c r="D40" s="293"/>
      <c r="E40" s="280"/>
      <c r="F40" s="281"/>
      <c r="G40" s="334">
        <f t="shared" si="30"/>
        <v>0</v>
      </c>
      <c r="H40" s="282"/>
      <c r="I40" s="282"/>
      <c r="J40" s="353" t="str">
        <f>IFERROR(G40/#REF!,"-")</f>
        <v>-</v>
      </c>
      <c r="K40" s="334">
        <f t="shared" si="31"/>
        <v>0</v>
      </c>
      <c r="L40" s="272">
        <f t="shared" si="32"/>
        <v>0</v>
      </c>
      <c r="M40" s="273">
        <f t="shared" si="33"/>
        <v>0</v>
      </c>
      <c r="N40" s="338" t="str">
        <f t="shared" si="34"/>
        <v>-</v>
      </c>
      <c r="O40" s="347" t="str">
        <f t="shared" si="28"/>
        <v>-</v>
      </c>
    </row>
    <row r="41" spans="1:15" ht="23.25" thickBot="1" x14ac:dyDescent="0.3">
      <c r="A41" s="274" t="s">
        <v>103</v>
      </c>
      <c r="B41" s="947" t="s">
        <v>47</v>
      </c>
      <c r="C41" s="947"/>
      <c r="D41" s="964"/>
      <c r="E41" s="320">
        <f t="shared" ref="E41" si="35">SUM(E38:E40)</f>
        <v>0</v>
      </c>
      <c r="F41" s="285">
        <v>50000</v>
      </c>
      <c r="G41" s="320">
        <f>SUM(G38:G40)</f>
        <v>0</v>
      </c>
      <c r="H41" s="321">
        <f t="shared" ref="H41:I41" si="36">SUM(H38:H40)</f>
        <v>0</v>
      </c>
      <c r="I41" s="321">
        <f t="shared" si="36"/>
        <v>0</v>
      </c>
      <c r="J41" s="345">
        <f>+G41/F41</f>
        <v>0</v>
      </c>
      <c r="K41" s="320">
        <f t="shared" ref="K41:M41" si="37">SUM(K38:K40)</f>
        <v>0</v>
      </c>
      <c r="L41" s="321">
        <f t="shared" si="37"/>
        <v>0</v>
      </c>
      <c r="M41" s="322">
        <f t="shared" si="37"/>
        <v>0</v>
      </c>
      <c r="N41" s="339" t="str">
        <f t="shared" si="34"/>
        <v>-</v>
      </c>
      <c r="O41" s="345" t="str">
        <f t="shared" si="28"/>
        <v>-</v>
      </c>
    </row>
    <row r="42" spans="1:15" ht="23.25" thickBot="1" x14ac:dyDescent="0.3">
      <c r="A42" s="274" t="s">
        <v>103</v>
      </c>
      <c r="B42" s="960" t="s">
        <v>21</v>
      </c>
      <c r="C42" s="961"/>
      <c r="D42" s="962"/>
      <c r="E42" s="326">
        <f>+E17+E25+E33+E37+E41</f>
        <v>0</v>
      </c>
      <c r="F42" s="327">
        <f>+F17+F25+F33+F37+F41</f>
        <v>465000</v>
      </c>
      <c r="G42" s="326">
        <f>+G17+G25+G33+G37+G41</f>
        <v>6352</v>
      </c>
      <c r="H42" s="324">
        <f>+H17+H25+H33+H37+H41</f>
        <v>124392</v>
      </c>
      <c r="I42" s="324">
        <f>+I17+I25+I33+I37+I41</f>
        <v>693</v>
      </c>
      <c r="J42" s="349">
        <f>+G42/F42</f>
        <v>1.3660215053763441E-2</v>
      </c>
      <c r="K42" s="326">
        <f>+K17+K25+K33+K37+K41</f>
        <v>125085</v>
      </c>
      <c r="L42" s="324">
        <f>+L17+L25+L33+L37+L41</f>
        <v>124392</v>
      </c>
      <c r="M42" s="325">
        <f>+M17+M25+M33+M37+M41</f>
        <v>693</v>
      </c>
      <c r="N42" s="341" t="str">
        <f>IFERROR(K42/E42,"-")</f>
        <v>-</v>
      </c>
      <c r="O42" s="349">
        <f t="shared" si="28"/>
        <v>5.5402326418035738E-3</v>
      </c>
    </row>
    <row r="43" spans="1:15" ht="24" x14ac:dyDescent="0.25">
      <c r="A43" s="274" t="s">
        <v>103</v>
      </c>
      <c r="B43" s="965" t="s">
        <v>400</v>
      </c>
      <c r="C43" s="269" t="s">
        <v>125</v>
      </c>
      <c r="D43" s="269"/>
      <c r="E43" s="270"/>
      <c r="F43" s="271"/>
      <c r="G43" s="332">
        <f t="shared" ref="G43:G46" si="38">+H43+I43</f>
        <v>0</v>
      </c>
      <c r="H43" s="272"/>
      <c r="I43" s="272"/>
      <c r="J43" s="351" t="str">
        <f>IFERROR(G43/#REF!,"-")</f>
        <v>-</v>
      </c>
      <c r="K43" s="332">
        <f t="shared" ref="K43:K46" si="39">+L43+M43</f>
        <v>0</v>
      </c>
      <c r="L43" s="272">
        <f t="shared" ref="L43:L46" si="40">+H43</f>
        <v>0</v>
      </c>
      <c r="M43" s="273">
        <f t="shared" ref="M43:M46" si="41">+I43</f>
        <v>0</v>
      </c>
      <c r="N43" s="336" t="str">
        <f t="shared" ref="N43:N58" si="42">IFERROR(K43/E43,"-")</f>
        <v>-</v>
      </c>
      <c r="O43" s="346" t="str">
        <f t="shared" si="28"/>
        <v>-</v>
      </c>
    </row>
    <row r="44" spans="1:15" ht="24" x14ac:dyDescent="0.25">
      <c r="A44" s="274" t="s">
        <v>103</v>
      </c>
      <c r="B44" s="966"/>
      <c r="C44" s="295" t="s">
        <v>263</v>
      </c>
      <c r="D44" s="295" t="s">
        <v>181</v>
      </c>
      <c r="E44" s="276"/>
      <c r="F44" s="277"/>
      <c r="G44" s="333">
        <f t="shared" si="38"/>
        <v>0</v>
      </c>
      <c r="H44" s="278"/>
      <c r="I44" s="278"/>
      <c r="J44" s="352" t="str">
        <f>IFERROR(G44/#REF!,"-")</f>
        <v>-</v>
      </c>
      <c r="K44" s="333">
        <f t="shared" si="39"/>
        <v>0</v>
      </c>
      <c r="L44" s="272">
        <f t="shared" si="40"/>
        <v>0</v>
      </c>
      <c r="M44" s="273">
        <f t="shared" si="41"/>
        <v>0</v>
      </c>
      <c r="N44" s="337" t="str">
        <f t="shared" si="42"/>
        <v>-</v>
      </c>
      <c r="O44" s="263" t="str">
        <f t="shared" si="28"/>
        <v>-</v>
      </c>
    </row>
    <row r="45" spans="1:15" ht="24" x14ac:dyDescent="0.25">
      <c r="A45" s="274" t="s">
        <v>103</v>
      </c>
      <c r="B45" s="966"/>
      <c r="C45" s="295" t="s">
        <v>362</v>
      </c>
      <c r="D45" s="295" t="s">
        <v>181</v>
      </c>
      <c r="E45" s="276"/>
      <c r="F45" s="277"/>
      <c r="G45" s="333">
        <f t="shared" si="38"/>
        <v>0</v>
      </c>
      <c r="H45" s="278"/>
      <c r="I45" s="278"/>
      <c r="J45" s="352" t="str">
        <f>IFERROR(G45/#REF!,"-")</f>
        <v>-</v>
      </c>
      <c r="K45" s="333">
        <f t="shared" si="39"/>
        <v>0</v>
      </c>
      <c r="L45" s="272">
        <f t="shared" si="40"/>
        <v>0</v>
      </c>
      <c r="M45" s="273">
        <f t="shared" si="41"/>
        <v>0</v>
      </c>
      <c r="N45" s="337" t="str">
        <f t="shared" si="42"/>
        <v>-</v>
      </c>
      <c r="O45" s="263" t="str">
        <f t="shared" si="28"/>
        <v>-</v>
      </c>
    </row>
    <row r="46" spans="1:15" ht="24.75" thickBot="1" x14ac:dyDescent="0.3">
      <c r="A46" s="274" t="s">
        <v>103</v>
      </c>
      <c r="B46" s="967"/>
      <c r="C46" s="279" t="s">
        <v>182</v>
      </c>
      <c r="D46" s="279" t="s">
        <v>93</v>
      </c>
      <c r="E46" s="280"/>
      <c r="F46" s="281"/>
      <c r="G46" s="334">
        <f t="shared" si="38"/>
        <v>0</v>
      </c>
      <c r="H46" s="282"/>
      <c r="I46" s="282"/>
      <c r="J46" s="353" t="str">
        <f>IFERROR(G46/#REF!,"-")</f>
        <v>-</v>
      </c>
      <c r="K46" s="334">
        <f t="shared" si="39"/>
        <v>0</v>
      </c>
      <c r="L46" s="272">
        <f t="shared" si="40"/>
        <v>0</v>
      </c>
      <c r="M46" s="273">
        <f t="shared" si="41"/>
        <v>0</v>
      </c>
      <c r="N46" s="338" t="str">
        <f t="shared" si="42"/>
        <v>-</v>
      </c>
      <c r="O46" s="347" t="str">
        <f t="shared" si="28"/>
        <v>-</v>
      </c>
    </row>
    <row r="47" spans="1:15" ht="23.25" thickBot="1" x14ac:dyDescent="0.3">
      <c r="A47" s="274" t="s">
        <v>103</v>
      </c>
      <c r="B47" s="946" t="s">
        <v>48</v>
      </c>
      <c r="C47" s="947"/>
      <c r="D47" s="948"/>
      <c r="E47" s="284">
        <f>SUM(E43:E46)</f>
        <v>0</v>
      </c>
      <c r="F47" s="285">
        <v>80000</v>
      </c>
      <c r="G47" s="320">
        <f>SUM(G43:G46)</f>
        <v>0</v>
      </c>
      <c r="H47" s="321">
        <f t="shared" ref="H47:I47" si="43">SUM(H43:H46)</f>
        <v>0</v>
      </c>
      <c r="I47" s="321">
        <f t="shared" si="43"/>
        <v>0</v>
      </c>
      <c r="J47" s="345">
        <f>+G47/F47</f>
        <v>0</v>
      </c>
      <c r="K47" s="320">
        <f t="shared" ref="K47:M47" si="44">SUM(K43:K46)</f>
        <v>0</v>
      </c>
      <c r="L47" s="321">
        <f>SUM(L43:L46)</f>
        <v>0</v>
      </c>
      <c r="M47" s="322">
        <f t="shared" si="44"/>
        <v>0</v>
      </c>
      <c r="N47" s="339" t="str">
        <f t="shared" si="42"/>
        <v>-</v>
      </c>
      <c r="O47" s="345" t="str">
        <f t="shared" si="28"/>
        <v>-</v>
      </c>
    </row>
    <row r="48" spans="1:15" ht="24" x14ac:dyDescent="0.25">
      <c r="A48" s="274" t="s">
        <v>103</v>
      </c>
      <c r="B48" s="965" t="s">
        <v>23</v>
      </c>
      <c r="C48" s="275" t="s">
        <v>240</v>
      </c>
      <c r="D48" s="296" t="s">
        <v>238</v>
      </c>
      <c r="E48" s="270"/>
      <c r="F48" s="271"/>
      <c r="G48" s="332">
        <f t="shared" ref="G48:G56" si="45">+H48+I48</f>
        <v>0</v>
      </c>
      <c r="H48" s="272"/>
      <c r="I48" s="272"/>
      <c r="J48" s="351" t="str">
        <f>IFERROR(G48/#REF!,"-")</f>
        <v>-</v>
      </c>
      <c r="K48" s="332">
        <f t="shared" ref="K48:K56" si="46">+L48+M48</f>
        <v>0</v>
      </c>
      <c r="L48" s="272">
        <f t="shared" ref="L48:L56" si="47">+H48</f>
        <v>0</v>
      </c>
      <c r="M48" s="273">
        <f t="shared" ref="M48:M56" si="48">+I48</f>
        <v>0</v>
      </c>
      <c r="N48" s="336" t="str">
        <f t="shared" si="42"/>
        <v>-</v>
      </c>
      <c r="O48" s="346" t="str">
        <f t="shared" si="28"/>
        <v>-</v>
      </c>
    </row>
    <row r="49" spans="1:15" ht="24" x14ac:dyDescent="0.25">
      <c r="A49" s="274" t="s">
        <v>103</v>
      </c>
      <c r="B49" s="966"/>
      <c r="C49" s="275" t="s">
        <v>24</v>
      </c>
      <c r="D49" s="275" t="s">
        <v>238</v>
      </c>
      <c r="E49" s="276"/>
      <c r="F49" s="277"/>
      <c r="G49" s="333">
        <f t="shared" si="45"/>
        <v>0</v>
      </c>
      <c r="H49" s="278"/>
      <c r="I49" s="278"/>
      <c r="J49" s="352" t="str">
        <f>IFERROR(G49/#REF!,"-")</f>
        <v>-</v>
      </c>
      <c r="K49" s="333">
        <f t="shared" si="46"/>
        <v>0</v>
      </c>
      <c r="L49" s="272">
        <f t="shared" si="47"/>
        <v>0</v>
      </c>
      <c r="M49" s="273">
        <f t="shared" si="48"/>
        <v>0</v>
      </c>
      <c r="N49" s="337" t="str">
        <f t="shared" si="42"/>
        <v>-</v>
      </c>
      <c r="O49" s="263" t="str">
        <f t="shared" si="28"/>
        <v>-</v>
      </c>
    </row>
    <row r="50" spans="1:15" ht="24" x14ac:dyDescent="0.25">
      <c r="A50" s="274" t="s">
        <v>103</v>
      </c>
      <c r="B50" s="966"/>
      <c r="C50" s="275" t="s">
        <v>236</v>
      </c>
      <c r="D50" s="275" t="s">
        <v>238</v>
      </c>
      <c r="E50" s="276"/>
      <c r="F50" s="277"/>
      <c r="G50" s="333">
        <f t="shared" si="45"/>
        <v>0</v>
      </c>
      <c r="H50" s="278"/>
      <c r="I50" s="278"/>
      <c r="J50" s="352" t="str">
        <f>IFERROR(G50/#REF!,"-")</f>
        <v>-</v>
      </c>
      <c r="K50" s="333">
        <f t="shared" si="46"/>
        <v>0</v>
      </c>
      <c r="L50" s="272">
        <f t="shared" si="47"/>
        <v>0</v>
      </c>
      <c r="M50" s="273">
        <f t="shared" si="48"/>
        <v>0</v>
      </c>
      <c r="N50" s="337" t="str">
        <f t="shared" si="42"/>
        <v>-</v>
      </c>
      <c r="O50" s="263" t="str">
        <f t="shared" si="28"/>
        <v>-</v>
      </c>
    </row>
    <row r="51" spans="1:15" ht="24" x14ac:dyDescent="0.25">
      <c r="A51" s="274" t="s">
        <v>103</v>
      </c>
      <c r="B51" s="966"/>
      <c r="C51" s="275" t="s">
        <v>237</v>
      </c>
      <c r="D51" s="275" t="s">
        <v>238</v>
      </c>
      <c r="E51" s="276"/>
      <c r="F51" s="277"/>
      <c r="G51" s="333">
        <f t="shared" si="45"/>
        <v>0</v>
      </c>
      <c r="H51" s="278"/>
      <c r="I51" s="278"/>
      <c r="J51" s="352" t="str">
        <f>IFERROR(G51/#REF!,"-")</f>
        <v>-</v>
      </c>
      <c r="K51" s="333">
        <f t="shared" si="46"/>
        <v>0</v>
      </c>
      <c r="L51" s="272">
        <f t="shared" si="47"/>
        <v>0</v>
      </c>
      <c r="M51" s="273">
        <f t="shared" si="48"/>
        <v>0</v>
      </c>
      <c r="N51" s="337" t="str">
        <f t="shared" si="42"/>
        <v>-</v>
      </c>
      <c r="O51" s="263" t="str">
        <f t="shared" si="28"/>
        <v>-</v>
      </c>
    </row>
    <row r="52" spans="1:15" ht="24" x14ac:dyDescent="0.25">
      <c r="A52" s="274" t="s">
        <v>103</v>
      </c>
      <c r="B52" s="966"/>
      <c r="C52" s="295" t="s">
        <v>394</v>
      </c>
      <c r="D52" s="275" t="s">
        <v>238</v>
      </c>
      <c r="E52" s="276"/>
      <c r="F52" s="277"/>
      <c r="G52" s="333">
        <f t="shared" si="45"/>
        <v>0</v>
      </c>
      <c r="H52" s="278"/>
      <c r="I52" s="278"/>
      <c r="J52" s="352" t="str">
        <f>IFERROR(G52/#REF!,"-")</f>
        <v>-</v>
      </c>
      <c r="K52" s="333">
        <f t="shared" si="46"/>
        <v>0</v>
      </c>
      <c r="L52" s="272">
        <f t="shared" si="47"/>
        <v>0</v>
      </c>
      <c r="M52" s="273">
        <f t="shared" si="48"/>
        <v>0</v>
      </c>
      <c r="N52" s="337" t="str">
        <f t="shared" si="42"/>
        <v>-</v>
      </c>
      <c r="O52" s="263" t="str">
        <f t="shared" si="28"/>
        <v>-</v>
      </c>
    </row>
    <row r="53" spans="1:15" ht="24" x14ac:dyDescent="0.25">
      <c r="A53" s="274" t="s">
        <v>103</v>
      </c>
      <c r="B53" s="966"/>
      <c r="C53" s="295" t="s">
        <v>422</v>
      </c>
      <c r="D53" s="275" t="s">
        <v>238</v>
      </c>
      <c r="E53" s="276"/>
      <c r="F53" s="277"/>
      <c r="G53" s="333">
        <f t="shared" si="45"/>
        <v>0</v>
      </c>
      <c r="H53" s="278"/>
      <c r="I53" s="278"/>
      <c r="J53" s="352" t="str">
        <f>IFERROR(G53/#REF!,"-")</f>
        <v>-</v>
      </c>
      <c r="K53" s="333">
        <f t="shared" si="46"/>
        <v>0</v>
      </c>
      <c r="L53" s="272">
        <f t="shared" si="47"/>
        <v>0</v>
      </c>
      <c r="M53" s="273">
        <f t="shared" si="48"/>
        <v>0</v>
      </c>
      <c r="N53" s="337" t="str">
        <f t="shared" si="42"/>
        <v>-</v>
      </c>
      <c r="O53" s="263" t="str">
        <f t="shared" si="28"/>
        <v>-</v>
      </c>
    </row>
    <row r="54" spans="1:15" ht="24" x14ac:dyDescent="0.25">
      <c r="A54" s="274" t="s">
        <v>103</v>
      </c>
      <c r="B54" s="966"/>
      <c r="C54" s="295" t="s">
        <v>241</v>
      </c>
      <c r="D54" s="275" t="s">
        <v>243</v>
      </c>
      <c r="E54" s="276"/>
      <c r="F54" s="277"/>
      <c r="G54" s="333">
        <f t="shared" si="45"/>
        <v>0</v>
      </c>
      <c r="H54" s="278"/>
      <c r="I54" s="278"/>
      <c r="J54" s="352" t="str">
        <f>IFERROR(G54/#REF!,"-")</f>
        <v>-</v>
      </c>
      <c r="K54" s="333">
        <f t="shared" si="46"/>
        <v>0</v>
      </c>
      <c r="L54" s="272">
        <f t="shared" si="47"/>
        <v>0</v>
      </c>
      <c r="M54" s="273">
        <f t="shared" si="48"/>
        <v>0</v>
      </c>
      <c r="N54" s="337" t="str">
        <f t="shared" si="42"/>
        <v>-</v>
      </c>
      <c r="O54" s="263" t="str">
        <f t="shared" si="28"/>
        <v>-</v>
      </c>
    </row>
    <row r="55" spans="1:15" ht="24" x14ac:dyDescent="0.25">
      <c r="A55" s="274"/>
      <c r="B55" s="967"/>
      <c r="C55" s="295" t="s">
        <v>456</v>
      </c>
      <c r="D55" s="275" t="s">
        <v>238</v>
      </c>
      <c r="E55" s="280"/>
      <c r="F55" s="281"/>
      <c r="G55" s="333">
        <f t="shared" si="45"/>
        <v>0</v>
      </c>
      <c r="H55" s="282"/>
      <c r="I55" s="282"/>
      <c r="J55" s="352" t="str">
        <f>IFERROR(G55/#REF!,"-")</f>
        <v>-</v>
      </c>
      <c r="K55" s="333">
        <f t="shared" si="46"/>
        <v>0</v>
      </c>
      <c r="L55" s="272">
        <f t="shared" si="47"/>
        <v>0</v>
      </c>
      <c r="M55" s="273">
        <f t="shared" si="48"/>
        <v>0</v>
      </c>
      <c r="N55" s="338"/>
      <c r="O55" s="347"/>
    </row>
    <row r="56" spans="1:15" ht="24.75" thickBot="1" x14ac:dyDescent="0.3">
      <c r="A56" s="274" t="s">
        <v>103</v>
      </c>
      <c r="B56" s="967"/>
      <c r="C56" s="295" t="s">
        <v>242</v>
      </c>
      <c r="D56" s="275" t="s">
        <v>238</v>
      </c>
      <c r="E56" s="280"/>
      <c r="F56" s="281"/>
      <c r="G56" s="334">
        <f t="shared" si="45"/>
        <v>0</v>
      </c>
      <c r="H56" s="282"/>
      <c r="I56" s="282"/>
      <c r="J56" s="353" t="str">
        <f>IFERROR(G56/#REF!,"-")</f>
        <v>-</v>
      </c>
      <c r="K56" s="334">
        <f t="shared" si="46"/>
        <v>0</v>
      </c>
      <c r="L56" s="272">
        <f t="shared" si="47"/>
        <v>0</v>
      </c>
      <c r="M56" s="273">
        <f t="shared" si="48"/>
        <v>0</v>
      </c>
      <c r="N56" s="338" t="str">
        <f t="shared" si="42"/>
        <v>-</v>
      </c>
      <c r="O56" s="347" t="str">
        <f t="shared" si="28"/>
        <v>-</v>
      </c>
    </row>
    <row r="57" spans="1:15" ht="23.25" thickBot="1" x14ac:dyDescent="0.3">
      <c r="A57" s="274" t="s">
        <v>103</v>
      </c>
      <c r="B57" s="946" t="s">
        <v>49</v>
      </c>
      <c r="C57" s="947"/>
      <c r="D57" s="948"/>
      <c r="E57" s="284">
        <f>SUM(E48:E56)</f>
        <v>0</v>
      </c>
      <c r="F57" s="285">
        <v>14000</v>
      </c>
      <c r="G57" s="320">
        <f>SUM(G48:G56)</f>
        <v>0</v>
      </c>
      <c r="H57" s="321">
        <f t="shared" ref="H57:I57" si="49">SUM(H48:H56)</f>
        <v>0</v>
      </c>
      <c r="I57" s="321">
        <f t="shared" si="49"/>
        <v>0</v>
      </c>
      <c r="J57" s="345">
        <f>+G58/F58</f>
        <v>0</v>
      </c>
      <c r="K57" s="320">
        <f>SUM(K48:K56)</f>
        <v>0</v>
      </c>
      <c r="L57" s="321">
        <f>+H57</f>
        <v>0</v>
      </c>
      <c r="M57" s="322">
        <f>+I57</f>
        <v>0</v>
      </c>
      <c r="N57" s="339" t="str">
        <f t="shared" si="42"/>
        <v>-</v>
      </c>
      <c r="O57" s="345" t="str">
        <f t="shared" si="28"/>
        <v>-</v>
      </c>
    </row>
    <row r="58" spans="1:15" ht="23.25" thickBot="1" x14ac:dyDescent="0.3">
      <c r="A58" s="274" t="s">
        <v>103</v>
      </c>
      <c r="B58" s="960" t="s">
        <v>25</v>
      </c>
      <c r="C58" s="961"/>
      <c r="D58" s="962"/>
      <c r="E58" s="326">
        <f t="shared" ref="E58:F58" si="50">+E47+E57</f>
        <v>0</v>
      </c>
      <c r="F58" s="327">
        <f t="shared" si="50"/>
        <v>94000</v>
      </c>
      <c r="G58" s="326">
        <f>+G47+G57</f>
        <v>0</v>
      </c>
      <c r="H58" s="324">
        <f t="shared" ref="H58:I58" si="51">+H47+H57</f>
        <v>0</v>
      </c>
      <c r="I58" s="324">
        <f t="shared" si="51"/>
        <v>0</v>
      </c>
      <c r="J58" s="349" t="str">
        <f>IFERROR(G58/#REF!,"-")</f>
        <v>-</v>
      </c>
      <c r="K58" s="326">
        <f t="shared" ref="K58" si="52">+K47+K57</f>
        <v>0</v>
      </c>
      <c r="L58" s="324">
        <f>+L47+L57</f>
        <v>0</v>
      </c>
      <c r="M58" s="325">
        <f t="shared" ref="M58" si="53">+M47+M57</f>
        <v>0</v>
      </c>
      <c r="N58" s="341" t="str">
        <f t="shared" si="42"/>
        <v>-</v>
      </c>
      <c r="O58" s="349" t="str">
        <f t="shared" si="28"/>
        <v>-</v>
      </c>
    </row>
    <row r="59" spans="1:15" ht="23.25" thickBot="1" x14ac:dyDescent="0.3">
      <c r="A59" s="274" t="s">
        <v>103</v>
      </c>
      <c r="B59" s="963" t="s">
        <v>172</v>
      </c>
      <c r="C59" s="941"/>
      <c r="D59" s="942"/>
      <c r="E59" s="330">
        <f>+E42+E58</f>
        <v>0</v>
      </c>
      <c r="F59" s="331">
        <f t="shared" ref="F59:I59" si="54">+F42+F58</f>
        <v>559000</v>
      </c>
      <c r="G59" s="330">
        <f t="shared" si="54"/>
        <v>6352</v>
      </c>
      <c r="H59" s="328">
        <f t="shared" si="54"/>
        <v>124392</v>
      </c>
      <c r="I59" s="328">
        <f t="shared" si="54"/>
        <v>693</v>
      </c>
      <c r="J59" s="350">
        <f>+G59/F59</f>
        <v>1.136314847942755E-2</v>
      </c>
      <c r="K59" s="330">
        <f>+K42+K58</f>
        <v>125085</v>
      </c>
      <c r="L59" s="328">
        <f t="shared" ref="L59:M59" si="55">+L42+L58</f>
        <v>124392</v>
      </c>
      <c r="M59" s="329">
        <f t="shared" si="55"/>
        <v>693</v>
      </c>
      <c r="N59" s="342" t="str">
        <f>IFERROR(K59/E59,"-")</f>
        <v>-</v>
      </c>
      <c r="O59" s="350">
        <f t="shared" si="28"/>
        <v>5.5402326418035738E-3</v>
      </c>
    </row>
    <row r="60" spans="1:15" ht="24" x14ac:dyDescent="0.25">
      <c r="A60" s="268" t="s">
        <v>101</v>
      </c>
      <c r="B60" s="956" t="s">
        <v>26</v>
      </c>
      <c r="C60" s="297" t="s">
        <v>297</v>
      </c>
      <c r="D60" s="297" t="s">
        <v>177</v>
      </c>
      <c r="E60" s="270"/>
      <c r="F60" s="271"/>
      <c r="G60" s="332">
        <f t="shared" ref="G60:G69" si="56">+H60+I60</f>
        <v>0</v>
      </c>
      <c r="H60" s="272"/>
      <c r="I60" s="272"/>
      <c r="J60" s="351" t="str">
        <f>IFERROR(G60/#REF!,"-")</f>
        <v>-</v>
      </c>
      <c r="K60" s="332">
        <f t="shared" ref="K60:K69" si="57">+L60+M60</f>
        <v>0</v>
      </c>
      <c r="L60" s="272">
        <f t="shared" ref="L60:L69" si="58">+H60</f>
        <v>0</v>
      </c>
      <c r="M60" s="273">
        <f t="shared" ref="M60:M69" si="59">+I60</f>
        <v>0</v>
      </c>
      <c r="N60" s="336" t="str">
        <f t="shared" ref="N60:N61" si="60">IFERROR(K60/E60,"-")</f>
        <v>-</v>
      </c>
      <c r="O60" s="346" t="str">
        <f t="shared" si="28"/>
        <v>-</v>
      </c>
    </row>
    <row r="61" spans="1:15" ht="24" x14ac:dyDescent="0.25">
      <c r="A61" s="274" t="s">
        <v>101</v>
      </c>
      <c r="B61" s="956"/>
      <c r="C61" s="298" t="s">
        <v>424</v>
      </c>
      <c r="D61" s="298" t="s">
        <v>423</v>
      </c>
      <c r="E61" s="276"/>
      <c r="F61" s="277"/>
      <c r="G61" s="333">
        <f t="shared" si="56"/>
        <v>72587</v>
      </c>
      <c r="H61" s="278">
        <v>71604</v>
      </c>
      <c r="I61" s="278">
        <v>983</v>
      </c>
      <c r="J61" s="352" t="str">
        <f>IFERROR(G61/#REF!,"-")</f>
        <v>-</v>
      </c>
      <c r="K61" s="333">
        <f t="shared" si="57"/>
        <v>72587</v>
      </c>
      <c r="L61" s="272">
        <f t="shared" si="58"/>
        <v>71604</v>
      </c>
      <c r="M61" s="273">
        <f t="shared" si="59"/>
        <v>983</v>
      </c>
      <c r="N61" s="337" t="str">
        <f t="shared" si="60"/>
        <v>-</v>
      </c>
      <c r="O61" s="263">
        <f t="shared" si="28"/>
        <v>1.3542369845840164E-2</v>
      </c>
    </row>
    <row r="62" spans="1:15" ht="24" x14ac:dyDescent="0.25">
      <c r="A62" s="274" t="s">
        <v>101</v>
      </c>
      <c r="B62" s="956"/>
      <c r="C62" s="299" t="s">
        <v>27</v>
      </c>
      <c r="D62" s="299" t="s">
        <v>334</v>
      </c>
      <c r="E62" s="280"/>
      <c r="F62" s="281"/>
      <c r="G62" s="333">
        <f t="shared" si="56"/>
        <v>0</v>
      </c>
      <c r="H62" s="282"/>
      <c r="I62" s="282"/>
      <c r="J62" s="353" t="str">
        <f>IFERROR(G62/#REF!,"-")</f>
        <v>-</v>
      </c>
      <c r="K62" s="333">
        <f t="shared" si="57"/>
        <v>0</v>
      </c>
      <c r="L62" s="272">
        <f t="shared" si="58"/>
        <v>0</v>
      </c>
      <c r="M62" s="273">
        <f t="shared" si="59"/>
        <v>0</v>
      </c>
      <c r="N62" s="283"/>
      <c r="O62" s="263" t="str">
        <f t="shared" si="28"/>
        <v>-</v>
      </c>
    </row>
    <row r="63" spans="1:15" ht="24" x14ac:dyDescent="0.25">
      <c r="A63" s="274" t="s">
        <v>101</v>
      </c>
      <c r="B63" s="956"/>
      <c r="C63" s="299" t="s">
        <v>27</v>
      </c>
      <c r="D63" s="299" t="s">
        <v>234</v>
      </c>
      <c r="E63" s="280"/>
      <c r="F63" s="281"/>
      <c r="G63" s="333">
        <f t="shared" si="56"/>
        <v>0</v>
      </c>
      <c r="H63" s="282"/>
      <c r="I63" s="282"/>
      <c r="J63" s="353" t="str">
        <f>IFERROR(G63/#REF!,"-")</f>
        <v>-</v>
      </c>
      <c r="K63" s="333">
        <f t="shared" si="57"/>
        <v>0</v>
      </c>
      <c r="L63" s="272">
        <f t="shared" si="58"/>
        <v>0</v>
      </c>
      <c r="M63" s="273">
        <f t="shared" si="59"/>
        <v>0</v>
      </c>
      <c r="N63" s="283"/>
      <c r="O63" s="263" t="str">
        <f t="shared" si="28"/>
        <v>-</v>
      </c>
    </row>
    <row r="64" spans="1:15" ht="24" x14ac:dyDescent="0.25">
      <c r="A64" s="274" t="s">
        <v>101</v>
      </c>
      <c r="B64" s="956"/>
      <c r="C64" s="299" t="s">
        <v>27</v>
      </c>
      <c r="D64" s="299" t="s">
        <v>279</v>
      </c>
      <c r="E64" s="280"/>
      <c r="F64" s="281"/>
      <c r="G64" s="333">
        <f t="shared" si="56"/>
        <v>0</v>
      </c>
      <c r="H64" s="282"/>
      <c r="I64" s="282"/>
      <c r="J64" s="353" t="str">
        <f>IFERROR(G64/#REF!,"-")</f>
        <v>-</v>
      </c>
      <c r="K64" s="333">
        <f t="shared" si="57"/>
        <v>0</v>
      </c>
      <c r="L64" s="272">
        <f t="shared" si="58"/>
        <v>0</v>
      </c>
      <c r="M64" s="273">
        <f t="shared" si="59"/>
        <v>0</v>
      </c>
      <c r="N64" s="283"/>
      <c r="O64" s="263" t="str">
        <f t="shared" si="28"/>
        <v>-</v>
      </c>
    </row>
    <row r="65" spans="1:15" ht="22.5" customHeight="1" x14ac:dyDescent="0.25">
      <c r="A65" s="274"/>
      <c r="B65" s="956"/>
      <c r="C65" s="299" t="s">
        <v>432</v>
      </c>
      <c r="D65" s="299" t="s">
        <v>178</v>
      </c>
      <c r="E65" s="280"/>
      <c r="F65" s="281"/>
      <c r="G65" s="334">
        <f t="shared" si="56"/>
        <v>0</v>
      </c>
      <c r="H65" s="282"/>
      <c r="I65" s="282"/>
      <c r="J65" s="353" t="str">
        <f>IFERROR(G65/#REF!,"-")</f>
        <v>-</v>
      </c>
      <c r="K65" s="334">
        <f t="shared" si="57"/>
        <v>0</v>
      </c>
      <c r="L65" s="272">
        <f t="shared" si="58"/>
        <v>0</v>
      </c>
      <c r="M65" s="273">
        <f t="shared" si="59"/>
        <v>0</v>
      </c>
      <c r="N65" s="283"/>
      <c r="O65" s="263" t="str">
        <f t="shared" si="28"/>
        <v>-</v>
      </c>
    </row>
    <row r="66" spans="1:15" ht="24" x14ac:dyDescent="0.25">
      <c r="A66" s="274"/>
      <c r="B66" s="956"/>
      <c r="C66" s="299" t="s">
        <v>333</v>
      </c>
      <c r="D66" s="299" t="s">
        <v>94</v>
      </c>
      <c r="E66" s="280"/>
      <c r="F66" s="281"/>
      <c r="G66" s="334">
        <f t="shared" si="56"/>
        <v>0</v>
      </c>
      <c r="H66" s="282"/>
      <c r="I66" s="282"/>
      <c r="J66" s="353" t="str">
        <f>IFERROR(G66/#REF!,"-")</f>
        <v>-</v>
      </c>
      <c r="K66" s="334">
        <f t="shared" si="57"/>
        <v>0</v>
      </c>
      <c r="L66" s="272">
        <f t="shared" si="58"/>
        <v>0</v>
      </c>
      <c r="M66" s="273">
        <f t="shared" si="59"/>
        <v>0</v>
      </c>
      <c r="N66" s="283"/>
      <c r="O66" s="263" t="str">
        <f t="shared" si="28"/>
        <v>-</v>
      </c>
    </row>
    <row r="67" spans="1:15" ht="24" x14ac:dyDescent="0.25">
      <c r="A67" s="274"/>
      <c r="B67" s="956"/>
      <c r="C67" s="299" t="s">
        <v>433</v>
      </c>
      <c r="D67" s="299" t="s">
        <v>178</v>
      </c>
      <c r="E67" s="280"/>
      <c r="F67" s="281"/>
      <c r="G67" s="334">
        <f t="shared" si="56"/>
        <v>0</v>
      </c>
      <c r="H67" s="282"/>
      <c r="I67" s="282"/>
      <c r="J67" s="353" t="str">
        <f>IFERROR(G67/#REF!,"-")</f>
        <v>-</v>
      </c>
      <c r="K67" s="334">
        <f t="shared" si="57"/>
        <v>0</v>
      </c>
      <c r="L67" s="272">
        <f t="shared" si="58"/>
        <v>0</v>
      </c>
      <c r="M67" s="272">
        <f t="shared" si="59"/>
        <v>0</v>
      </c>
      <c r="N67" s="283"/>
      <c r="O67" s="263" t="str">
        <f t="shared" si="28"/>
        <v>-</v>
      </c>
    </row>
    <row r="68" spans="1:15" ht="24" x14ac:dyDescent="0.25">
      <c r="A68" s="274"/>
      <c r="B68" s="956"/>
      <c r="C68" s="299" t="s">
        <v>382</v>
      </c>
      <c r="D68" s="299" t="s">
        <v>366</v>
      </c>
      <c r="E68" s="280"/>
      <c r="F68" s="281"/>
      <c r="G68" s="334">
        <f t="shared" si="56"/>
        <v>0</v>
      </c>
      <c r="H68" s="282"/>
      <c r="I68" s="282"/>
      <c r="J68" s="353" t="str">
        <f>IFERROR(G68/#REF!,"-")</f>
        <v>-</v>
      </c>
      <c r="K68" s="334">
        <f t="shared" si="57"/>
        <v>0</v>
      </c>
      <c r="L68" s="272">
        <f t="shared" si="58"/>
        <v>0</v>
      </c>
      <c r="M68" s="273">
        <f t="shared" si="59"/>
        <v>0</v>
      </c>
      <c r="N68" s="283"/>
      <c r="O68" s="263" t="str">
        <f t="shared" si="28"/>
        <v>-</v>
      </c>
    </row>
    <row r="69" spans="1:15" ht="24.75" thickBot="1" x14ac:dyDescent="0.3">
      <c r="A69" s="274" t="s">
        <v>101</v>
      </c>
      <c r="B69" s="956"/>
      <c r="C69" s="300" t="s">
        <v>290</v>
      </c>
      <c r="D69" s="299" t="s">
        <v>289</v>
      </c>
      <c r="E69" s="280"/>
      <c r="F69" s="281"/>
      <c r="G69" s="334">
        <f t="shared" si="56"/>
        <v>0</v>
      </c>
      <c r="H69" s="282"/>
      <c r="I69" s="282"/>
      <c r="J69" s="353" t="str">
        <f>IFERROR(G69/#REF!,"-")</f>
        <v>-</v>
      </c>
      <c r="K69" s="334">
        <f t="shared" si="57"/>
        <v>0</v>
      </c>
      <c r="L69" s="272">
        <f t="shared" si="58"/>
        <v>0</v>
      </c>
      <c r="M69" s="273">
        <f t="shared" si="59"/>
        <v>0</v>
      </c>
      <c r="N69" s="338" t="str">
        <f t="shared" ref="N69:N78" si="61">IFERROR(K69/E69,"-")</f>
        <v>-</v>
      </c>
      <c r="O69" s="347" t="str">
        <f t="shared" si="28"/>
        <v>-</v>
      </c>
    </row>
    <row r="70" spans="1:15" ht="23.25" thickBot="1" x14ac:dyDescent="0.3">
      <c r="A70" s="274" t="s">
        <v>101</v>
      </c>
      <c r="B70" s="969"/>
      <c r="C70" s="301"/>
      <c r="D70" s="302" t="s">
        <v>52</v>
      </c>
      <c r="E70" s="284">
        <f>SUM(E60:E69)</f>
        <v>0</v>
      </c>
      <c r="F70" s="285">
        <v>160000</v>
      </c>
      <c r="G70" s="320">
        <f>SUM(G60:G69)</f>
        <v>72587</v>
      </c>
      <c r="H70" s="321">
        <f>SUM(H60:H69)</f>
        <v>71604</v>
      </c>
      <c r="I70" s="321">
        <f>SUM(I60:I69)</f>
        <v>983</v>
      </c>
      <c r="J70" s="345">
        <f>+G70/F70</f>
        <v>0.45366875000000001</v>
      </c>
      <c r="K70" s="320">
        <f>SUM(K60:K69)</f>
        <v>72587</v>
      </c>
      <c r="L70" s="321">
        <f>SUM(L60:L69)</f>
        <v>71604</v>
      </c>
      <c r="M70" s="322">
        <f>SUM(M60:M69)</f>
        <v>983</v>
      </c>
      <c r="N70" s="339" t="str">
        <f t="shared" si="61"/>
        <v>-</v>
      </c>
      <c r="O70" s="345">
        <f t="shared" si="28"/>
        <v>1.3542369845840164E-2</v>
      </c>
    </row>
    <row r="71" spans="1:15" ht="24" x14ac:dyDescent="0.25">
      <c r="A71" s="274" t="s">
        <v>101</v>
      </c>
      <c r="B71" s="955" t="s">
        <v>28</v>
      </c>
      <c r="C71" s="299" t="s">
        <v>27</v>
      </c>
      <c r="D71" s="297" t="s">
        <v>178</v>
      </c>
      <c r="E71" s="270"/>
      <c r="F71" s="271"/>
      <c r="G71" s="332">
        <f t="shared" ref="G71:G77" si="62">+H71+I71</f>
        <v>0</v>
      </c>
      <c r="H71" s="272"/>
      <c r="I71" s="272"/>
      <c r="J71" s="351" t="str">
        <f>IFERROR(G71/#REF!,"-")</f>
        <v>-</v>
      </c>
      <c r="K71" s="332">
        <f t="shared" ref="K71:K77" si="63">+L71+M71</f>
        <v>0</v>
      </c>
      <c r="L71" s="272">
        <f t="shared" ref="L71:L77" si="64">+H71</f>
        <v>0</v>
      </c>
      <c r="M71" s="273">
        <f t="shared" ref="M71:M77" si="65">+I71</f>
        <v>0</v>
      </c>
      <c r="N71" s="336" t="str">
        <f t="shared" si="61"/>
        <v>-</v>
      </c>
      <c r="O71" s="346" t="str">
        <f t="shared" si="28"/>
        <v>-</v>
      </c>
    </row>
    <row r="72" spans="1:15" ht="24" x14ac:dyDescent="0.25">
      <c r="A72" s="274" t="s">
        <v>101</v>
      </c>
      <c r="B72" s="956"/>
      <c r="C72" s="299" t="s">
        <v>385</v>
      </c>
      <c r="D72" s="299" t="s">
        <v>334</v>
      </c>
      <c r="E72" s="276"/>
      <c r="F72" s="277"/>
      <c r="G72" s="333">
        <f t="shared" si="62"/>
        <v>20328</v>
      </c>
      <c r="H72" s="278">
        <v>19890</v>
      </c>
      <c r="I72" s="278">
        <v>438</v>
      </c>
      <c r="J72" s="352" t="str">
        <f>IFERROR(G72/#REF!,"-")</f>
        <v>-</v>
      </c>
      <c r="K72" s="333">
        <f t="shared" si="63"/>
        <v>20328</v>
      </c>
      <c r="L72" s="272">
        <f t="shared" si="64"/>
        <v>19890</v>
      </c>
      <c r="M72" s="273">
        <f t="shared" si="65"/>
        <v>438</v>
      </c>
      <c r="N72" s="337" t="str">
        <f t="shared" si="61"/>
        <v>-</v>
      </c>
      <c r="O72" s="263">
        <f t="shared" si="28"/>
        <v>2.1546635182998819E-2</v>
      </c>
    </row>
    <row r="73" spans="1:15" ht="24" x14ac:dyDescent="0.25">
      <c r="A73" s="274" t="s">
        <v>101</v>
      </c>
      <c r="B73" s="956"/>
      <c r="C73" s="299" t="s">
        <v>27</v>
      </c>
      <c r="D73" s="299" t="s">
        <v>334</v>
      </c>
      <c r="E73" s="276"/>
      <c r="F73" s="277"/>
      <c r="G73" s="333">
        <f t="shared" si="62"/>
        <v>0</v>
      </c>
      <c r="H73" s="278"/>
      <c r="I73" s="278"/>
      <c r="J73" s="352" t="str">
        <f>IFERROR(G73/#REF!,"-")</f>
        <v>-</v>
      </c>
      <c r="K73" s="333">
        <f t="shared" si="63"/>
        <v>0</v>
      </c>
      <c r="L73" s="272">
        <f t="shared" si="64"/>
        <v>0</v>
      </c>
      <c r="M73" s="273">
        <f t="shared" si="65"/>
        <v>0</v>
      </c>
      <c r="N73" s="337" t="str">
        <f t="shared" si="61"/>
        <v>-</v>
      </c>
      <c r="O73" s="263" t="str">
        <f t="shared" si="28"/>
        <v>-</v>
      </c>
    </row>
    <row r="74" spans="1:15" ht="24" x14ac:dyDescent="0.25">
      <c r="A74" s="274"/>
      <c r="B74" s="956"/>
      <c r="C74" s="299" t="s">
        <v>460</v>
      </c>
      <c r="D74" s="299" t="s">
        <v>334</v>
      </c>
      <c r="E74" s="280"/>
      <c r="F74" s="281"/>
      <c r="G74" s="333">
        <f t="shared" si="62"/>
        <v>0</v>
      </c>
      <c r="H74" s="282"/>
      <c r="I74" s="282"/>
      <c r="J74" s="352" t="str">
        <f>IFERROR(G74/#REF!,"-")</f>
        <v>-</v>
      </c>
      <c r="K74" s="333">
        <f t="shared" si="63"/>
        <v>0</v>
      </c>
      <c r="L74" s="272">
        <f t="shared" si="64"/>
        <v>0</v>
      </c>
      <c r="M74" s="273">
        <f t="shared" si="65"/>
        <v>0</v>
      </c>
      <c r="N74" s="338"/>
      <c r="O74" s="347"/>
    </row>
    <row r="75" spans="1:15" ht="24" x14ac:dyDescent="0.25">
      <c r="A75" s="274" t="s">
        <v>101</v>
      </c>
      <c r="B75" s="956"/>
      <c r="C75" s="299" t="s">
        <v>382</v>
      </c>
      <c r="D75" s="300" t="s">
        <v>366</v>
      </c>
      <c r="E75" s="280"/>
      <c r="F75" s="281"/>
      <c r="G75" s="334">
        <f t="shared" si="62"/>
        <v>0</v>
      </c>
      <c r="H75" s="282"/>
      <c r="I75" s="282"/>
      <c r="J75" s="352" t="str">
        <f>IFERROR(G75/#REF!,"-")</f>
        <v>-</v>
      </c>
      <c r="K75" s="334">
        <f t="shared" si="63"/>
        <v>0</v>
      </c>
      <c r="L75" s="272">
        <f t="shared" si="64"/>
        <v>0</v>
      </c>
      <c r="M75" s="702">
        <f t="shared" si="65"/>
        <v>0</v>
      </c>
      <c r="N75" s="338" t="str">
        <f t="shared" si="61"/>
        <v>-</v>
      </c>
      <c r="O75" s="347" t="str">
        <f t="shared" si="28"/>
        <v>-</v>
      </c>
    </row>
    <row r="76" spans="1:15" ht="24" x14ac:dyDescent="0.25">
      <c r="A76" s="274"/>
      <c r="B76" s="956"/>
      <c r="C76" s="299" t="s">
        <v>458</v>
      </c>
      <c r="D76" s="300" t="s">
        <v>280</v>
      </c>
      <c r="E76" s="280"/>
      <c r="F76" s="281"/>
      <c r="G76" s="334"/>
      <c r="H76" s="282"/>
      <c r="I76" s="282"/>
      <c r="J76" s="352" t="str">
        <f>IFERROR(G76/#REF!,"-")</f>
        <v>-</v>
      </c>
      <c r="K76" s="334">
        <f t="shared" si="63"/>
        <v>0</v>
      </c>
      <c r="L76" s="272">
        <f t="shared" si="64"/>
        <v>0</v>
      </c>
      <c r="M76" s="272">
        <f t="shared" si="65"/>
        <v>0</v>
      </c>
      <c r="N76" s="338"/>
      <c r="O76" s="347"/>
    </row>
    <row r="77" spans="1:15" ht="24.75" thickBot="1" x14ac:dyDescent="0.3">
      <c r="A77" s="274" t="s">
        <v>101</v>
      </c>
      <c r="B77" s="956"/>
      <c r="C77" s="299" t="s">
        <v>27</v>
      </c>
      <c r="D77" s="300" t="s">
        <v>234</v>
      </c>
      <c r="E77" s="280"/>
      <c r="F77" s="281"/>
      <c r="G77" s="334">
        <f t="shared" si="62"/>
        <v>0</v>
      </c>
      <c r="H77" s="282"/>
      <c r="I77" s="282"/>
      <c r="J77" s="353" t="str">
        <f>IFERROR(G77/#REF!,"-")</f>
        <v>-</v>
      </c>
      <c r="K77" s="334">
        <f t="shared" si="63"/>
        <v>0</v>
      </c>
      <c r="L77" s="272">
        <f t="shared" si="64"/>
        <v>0</v>
      </c>
      <c r="M77" s="702">
        <f t="shared" si="65"/>
        <v>0</v>
      </c>
      <c r="N77" s="338" t="str">
        <f t="shared" si="61"/>
        <v>-</v>
      </c>
      <c r="O77" s="347" t="str">
        <f t="shared" si="28"/>
        <v>-</v>
      </c>
    </row>
    <row r="78" spans="1:15" ht="23.25" thickBot="1" x14ac:dyDescent="0.3">
      <c r="A78" s="274" t="s">
        <v>101</v>
      </c>
      <c r="B78" s="956"/>
      <c r="C78" s="304"/>
      <c r="D78" s="305" t="s">
        <v>52</v>
      </c>
      <c r="E78" s="306">
        <f>SUM(E71:E77)</f>
        <v>0</v>
      </c>
      <c r="F78" s="307">
        <v>80000</v>
      </c>
      <c r="G78" s="366">
        <f>SUM(G71:G77)</f>
        <v>20328</v>
      </c>
      <c r="H78" s="365">
        <f>SUM(H71:H77)</f>
        <v>19890</v>
      </c>
      <c r="I78" s="365">
        <f>SUM(I71:I77)</f>
        <v>438</v>
      </c>
      <c r="J78" s="356">
        <f>+G78/F78</f>
        <v>0.25409999999999999</v>
      </c>
      <c r="K78" s="366">
        <f>SUM(K71:K77)</f>
        <v>20328</v>
      </c>
      <c r="L78" s="365">
        <f>SUM(L71:L77)</f>
        <v>19890</v>
      </c>
      <c r="M78" s="367">
        <f>SUM(M71:M77)</f>
        <v>438</v>
      </c>
      <c r="N78" s="355" t="str">
        <f t="shared" si="61"/>
        <v>-</v>
      </c>
      <c r="O78" s="356">
        <f t="shared" si="28"/>
        <v>2.1546635182998819E-2</v>
      </c>
    </row>
    <row r="79" spans="1:15" ht="23.25" thickBot="1" x14ac:dyDescent="0.3">
      <c r="A79" s="744" t="s">
        <v>101</v>
      </c>
      <c r="B79" s="957" t="s">
        <v>162</v>
      </c>
      <c r="C79" s="958"/>
      <c r="D79" s="959"/>
      <c r="E79" s="308">
        <f>+E78+E70</f>
        <v>0</v>
      </c>
      <c r="F79" s="309">
        <v>240000</v>
      </c>
      <c r="G79" s="369">
        <f>+G70+G78</f>
        <v>92915</v>
      </c>
      <c r="H79" s="368">
        <f>+H70+H78</f>
        <v>91494</v>
      </c>
      <c r="I79" s="368">
        <f>+I70+I78</f>
        <v>1421</v>
      </c>
      <c r="J79" s="358">
        <f>+G79/F79</f>
        <v>0.38714583333333336</v>
      </c>
      <c r="K79" s="369">
        <f>+K70+K78</f>
        <v>92915</v>
      </c>
      <c r="L79" s="368">
        <f>+L70+L78</f>
        <v>91494</v>
      </c>
      <c r="M79" s="370">
        <f>+M70+M78</f>
        <v>1421</v>
      </c>
      <c r="N79" s="357" t="str">
        <f>IFERROR(K79/E79,"-")</f>
        <v>-</v>
      </c>
      <c r="O79" s="358">
        <f t="shared" si="28"/>
        <v>1.5293547866329442E-2</v>
      </c>
    </row>
    <row r="80" spans="1:15" ht="24" x14ac:dyDescent="0.25">
      <c r="A80" s="274" t="s">
        <v>101</v>
      </c>
      <c r="B80" s="956" t="s">
        <v>30</v>
      </c>
      <c r="C80" s="303" t="s">
        <v>446</v>
      </c>
      <c r="D80" s="299" t="s">
        <v>334</v>
      </c>
      <c r="E80" s="270"/>
      <c r="F80" s="271"/>
      <c r="G80" s="332">
        <f t="shared" ref="G80:G82" si="66">+H80+I80</f>
        <v>0</v>
      </c>
      <c r="H80" s="272"/>
      <c r="I80" s="272"/>
      <c r="J80" s="351" t="str">
        <f>IFERROR(G80/#REF!,"-")</f>
        <v>-</v>
      </c>
      <c r="K80" s="332">
        <f t="shared" ref="K80:K82" si="67">+L80+M80</f>
        <v>0</v>
      </c>
      <c r="L80" s="272">
        <f t="shared" ref="L80:L82" si="68">+H80</f>
        <v>0</v>
      </c>
      <c r="M80" s="273">
        <f t="shared" ref="M80:M82" si="69">+I80</f>
        <v>0</v>
      </c>
      <c r="N80" s="336" t="str">
        <f t="shared" ref="N80:N84" si="70">IFERROR(K80/E80,"-")</f>
        <v>-</v>
      </c>
      <c r="O80" s="346" t="str">
        <f t="shared" si="28"/>
        <v>-</v>
      </c>
    </row>
    <row r="81" spans="1:15" ht="24" x14ac:dyDescent="0.25">
      <c r="A81" s="274" t="s">
        <v>101</v>
      </c>
      <c r="B81" s="956"/>
      <c r="C81" s="300" t="s">
        <v>429</v>
      </c>
      <c r="D81" s="303" t="s">
        <v>366</v>
      </c>
      <c r="E81" s="276"/>
      <c r="F81" s="277"/>
      <c r="G81" s="333">
        <f t="shared" si="66"/>
        <v>0</v>
      </c>
      <c r="H81" s="278"/>
      <c r="I81" s="278"/>
      <c r="J81" s="352" t="str">
        <f>IFERROR(G81/#REF!,"-")</f>
        <v>-</v>
      </c>
      <c r="K81" s="333">
        <f t="shared" si="67"/>
        <v>0</v>
      </c>
      <c r="L81" s="272">
        <f t="shared" si="68"/>
        <v>0</v>
      </c>
      <c r="M81" s="273">
        <f t="shared" si="69"/>
        <v>0</v>
      </c>
      <c r="N81" s="337" t="str">
        <f t="shared" si="70"/>
        <v>-</v>
      </c>
      <c r="O81" s="263" t="str">
        <f t="shared" si="28"/>
        <v>-</v>
      </c>
    </row>
    <row r="82" spans="1:15" ht="24.75" thickBot="1" x14ac:dyDescent="0.3">
      <c r="A82" s="274" t="s">
        <v>101</v>
      </c>
      <c r="B82" s="956"/>
      <c r="C82" s="300" t="s">
        <v>291</v>
      </c>
      <c r="D82" s="300" t="s">
        <v>366</v>
      </c>
      <c r="E82" s="280"/>
      <c r="F82" s="281"/>
      <c r="G82" s="334">
        <f t="shared" si="66"/>
        <v>0</v>
      </c>
      <c r="H82" s="282"/>
      <c r="I82" s="282"/>
      <c r="J82" s="353" t="str">
        <f>IFERROR(G82/#REF!,"-")</f>
        <v>-</v>
      </c>
      <c r="K82" s="334">
        <f t="shared" si="67"/>
        <v>0</v>
      </c>
      <c r="L82" s="272">
        <f t="shared" si="68"/>
        <v>0</v>
      </c>
      <c r="M82" s="273">
        <f t="shared" si="69"/>
        <v>0</v>
      </c>
      <c r="N82" s="338" t="str">
        <f t="shared" si="70"/>
        <v>-</v>
      </c>
      <c r="O82" s="347" t="str">
        <f t="shared" si="28"/>
        <v>-</v>
      </c>
    </row>
    <row r="83" spans="1:15" ht="23.25" thickBot="1" x14ac:dyDescent="0.3">
      <c r="A83" s="274" t="s">
        <v>101</v>
      </c>
      <c r="B83" s="956"/>
      <c r="C83" s="301"/>
      <c r="D83" s="302" t="s">
        <v>50</v>
      </c>
      <c r="E83" s="284">
        <v>0</v>
      </c>
      <c r="F83" s="285">
        <v>50000</v>
      </c>
      <c r="G83" s="320">
        <f>SUM(G80:G82)</f>
        <v>0</v>
      </c>
      <c r="H83" s="321">
        <f>SUM(H80:H82)</f>
        <v>0</v>
      </c>
      <c r="I83" s="321">
        <f>SUM(I80:I82)</f>
        <v>0</v>
      </c>
      <c r="J83" s="345" t="e">
        <f>+H83/G83</f>
        <v>#DIV/0!</v>
      </c>
      <c r="K83" s="320">
        <f>SUM(K80:K82)</f>
        <v>0</v>
      </c>
      <c r="L83" s="321">
        <f>SUM(L80:L82)</f>
        <v>0</v>
      </c>
      <c r="M83" s="322">
        <f>SUM(M80:M82)</f>
        <v>0</v>
      </c>
      <c r="N83" s="339" t="str">
        <f t="shared" si="70"/>
        <v>-</v>
      </c>
      <c r="O83" s="345" t="str">
        <f t="shared" si="28"/>
        <v>-</v>
      </c>
    </row>
    <row r="84" spans="1:15" ht="24" x14ac:dyDescent="0.25">
      <c r="A84" s="274" t="s">
        <v>101</v>
      </c>
      <c r="B84" s="956"/>
      <c r="C84" s="297" t="s">
        <v>434</v>
      </c>
      <c r="D84" s="297" t="s">
        <v>92</v>
      </c>
      <c r="E84" s="270"/>
      <c r="F84" s="271"/>
      <c r="G84" s="332">
        <f t="shared" ref="G84:G85" si="71">+H84+I84</f>
        <v>0</v>
      </c>
      <c r="H84" s="272"/>
      <c r="I84" s="272"/>
      <c r="J84" s="351" t="str">
        <f>IFERROR(G84/#REF!,"-")</f>
        <v>-</v>
      </c>
      <c r="K84" s="332">
        <f t="shared" ref="K84:K89" si="72">+L84+M84</f>
        <v>0</v>
      </c>
      <c r="L84" s="272">
        <f t="shared" ref="L84:L89" si="73">+H84</f>
        <v>0</v>
      </c>
      <c r="M84" s="273">
        <f t="shared" ref="M84:M89" si="74">+I84</f>
        <v>0</v>
      </c>
      <c r="N84" s="336" t="str">
        <f t="shared" si="70"/>
        <v>-</v>
      </c>
      <c r="O84" s="346" t="str">
        <f t="shared" si="28"/>
        <v>-</v>
      </c>
    </row>
    <row r="85" spans="1:15" ht="24" x14ac:dyDescent="0.25">
      <c r="A85" s="274"/>
      <c r="B85" s="956"/>
      <c r="C85" s="303" t="s">
        <v>449</v>
      </c>
      <c r="D85" s="299" t="s">
        <v>334</v>
      </c>
      <c r="E85" s="270"/>
      <c r="F85" s="271"/>
      <c r="G85" s="332">
        <f t="shared" si="71"/>
        <v>0</v>
      </c>
      <c r="H85" s="272"/>
      <c r="I85" s="272"/>
      <c r="J85" s="351" t="str">
        <f>IFERROR(G85/#REF!,"-")</f>
        <v>-</v>
      </c>
      <c r="K85" s="332">
        <f t="shared" si="72"/>
        <v>0</v>
      </c>
      <c r="L85" s="272">
        <f t="shared" si="73"/>
        <v>0</v>
      </c>
      <c r="M85" s="273">
        <f t="shared" si="74"/>
        <v>0</v>
      </c>
      <c r="N85" s="337" t="str">
        <f t="shared" ref="N85:N93" si="75">IFERROR(K85/E85,"-")</f>
        <v>-</v>
      </c>
      <c r="O85" s="346" t="str">
        <f t="shared" si="28"/>
        <v>-</v>
      </c>
    </row>
    <row r="86" spans="1:15" ht="24" x14ac:dyDescent="0.25">
      <c r="A86" s="274"/>
      <c r="B86" s="956"/>
      <c r="C86" s="303" t="s">
        <v>452</v>
      </c>
      <c r="D86" s="299" t="s">
        <v>334</v>
      </c>
      <c r="E86" s="270"/>
      <c r="F86" s="271"/>
      <c r="G86" s="332"/>
      <c r="H86" s="272"/>
      <c r="I86" s="272"/>
      <c r="J86" s="351" t="str">
        <f>IFERROR(G86/#REF!,"-")</f>
        <v>-</v>
      </c>
      <c r="K86" s="332">
        <f t="shared" si="72"/>
        <v>0</v>
      </c>
      <c r="L86" s="272">
        <f t="shared" si="73"/>
        <v>0</v>
      </c>
      <c r="M86" s="273">
        <f t="shared" si="74"/>
        <v>0</v>
      </c>
      <c r="N86" s="337" t="str">
        <f t="shared" si="75"/>
        <v>-</v>
      </c>
      <c r="O86" s="346" t="str">
        <f t="shared" si="28"/>
        <v>-</v>
      </c>
    </row>
    <row r="87" spans="1:15" ht="24" x14ac:dyDescent="0.25">
      <c r="A87" s="274" t="s">
        <v>101</v>
      </c>
      <c r="B87" s="956"/>
      <c r="C87" s="303" t="s">
        <v>335</v>
      </c>
      <c r="D87" s="303" t="s">
        <v>234</v>
      </c>
      <c r="E87" s="276"/>
      <c r="F87" s="277"/>
      <c r="G87" s="333">
        <f t="shared" ref="G87:G89" si="76">+H87+I87</f>
        <v>0</v>
      </c>
      <c r="H87" s="278"/>
      <c r="I87" s="278"/>
      <c r="J87" s="351" t="str">
        <f>IFERROR(G87/#REF!,"-")</f>
        <v>-</v>
      </c>
      <c r="K87" s="333">
        <f t="shared" si="72"/>
        <v>0</v>
      </c>
      <c r="L87" s="272">
        <f t="shared" si="73"/>
        <v>0</v>
      </c>
      <c r="M87" s="273">
        <f t="shared" si="74"/>
        <v>0</v>
      </c>
      <c r="N87" s="337" t="str">
        <f t="shared" si="75"/>
        <v>-</v>
      </c>
      <c r="O87" s="263" t="str">
        <f t="shared" si="28"/>
        <v>-</v>
      </c>
    </row>
    <row r="88" spans="1:15" ht="24" x14ac:dyDescent="0.25">
      <c r="A88" s="274"/>
      <c r="B88" s="956"/>
      <c r="C88" s="300" t="s">
        <v>459</v>
      </c>
      <c r="D88" s="300" t="s">
        <v>366</v>
      </c>
      <c r="E88" s="280"/>
      <c r="F88" s="281"/>
      <c r="G88" s="334"/>
      <c r="H88" s="282"/>
      <c r="I88" s="282"/>
      <c r="J88" s="351" t="str">
        <f>IFERROR(G88/#REF!,"-")</f>
        <v>-</v>
      </c>
      <c r="K88" s="333">
        <f t="shared" si="72"/>
        <v>0</v>
      </c>
      <c r="L88" s="272">
        <f t="shared" si="73"/>
        <v>0</v>
      </c>
      <c r="M88" s="272">
        <f t="shared" si="74"/>
        <v>0</v>
      </c>
      <c r="N88" s="337" t="str">
        <f t="shared" si="75"/>
        <v>-</v>
      </c>
      <c r="O88" s="263" t="str">
        <f t="shared" si="28"/>
        <v>-</v>
      </c>
    </row>
    <row r="89" spans="1:15" ht="24.75" thickBot="1" x14ac:dyDescent="0.3">
      <c r="A89" s="274" t="s">
        <v>101</v>
      </c>
      <c r="B89" s="956"/>
      <c r="C89" s="300" t="s">
        <v>435</v>
      </c>
      <c r="D89" s="300" t="s">
        <v>423</v>
      </c>
      <c r="E89" s="280"/>
      <c r="F89" s="281"/>
      <c r="G89" s="334">
        <f t="shared" si="76"/>
        <v>0</v>
      </c>
      <c r="H89" s="282"/>
      <c r="I89" s="282"/>
      <c r="J89" s="353" t="str">
        <f>IFERROR(G89/#REF!,"-")</f>
        <v>-</v>
      </c>
      <c r="K89" s="334">
        <f t="shared" si="72"/>
        <v>0</v>
      </c>
      <c r="L89" s="272">
        <f t="shared" si="73"/>
        <v>0</v>
      </c>
      <c r="M89" s="273">
        <f t="shared" si="74"/>
        <v>0</v>
      </c>
      <c r="N89" s="338" t="str">
        <f t="shared" si="75"/>
        <v>-</v>
      </c>
      <c r="O89" s="347" t="str">
        <f t="shared" si="28"/>
        <v>-</v>
      </c>
    </row>
    <row r="90" spans="1:15" ht="23.25" thickBot="1" x14ac:dyDescent="0.3">
      <c r="A90" s="274" t="s">
        <v>101</v>
      </c>
      <c r="B90" s="956"/>
      <c r="C90" s="304"/>
      <c r="D90" s="305" t="s">
        <v>51</v>
      </c>
      <c r="E90" s="306">
        <f>SUM(E84)</f>
        <v>0</v>
      </c>
      <c r="F90" s="307">
        <v>50000</v>
      </c>
      <c r="G90" s="366">
        <f>SUM(G84:G89)</f>
        <v>0</v>
      </c>
      <c r="H90" s="365">
        <f t="shared" ref="H90:I90" si="77">SUM(H84:H89)</f>
        <v>0</v>
      </c>
      <c r="I90" s="365">
        <f t="shared" si="77"/>
        <v>0</v>
      </c>
      <c r="J90" s="356">
        <f>+G90/F90</f>
        <v>0</v>
      </c>
      <c r="K90" s="366">
        <f t="shared" ref="K90:M90" si="78">SUM(K84:K89)</f>
        <v>0</v>
      </c>
      <c r="L90" s="365">
        <f t="shared" si="78"/>
        <v>0</v>
      </c>
      <c r="M90" s="367">
        <f t="shared" si="78"/>
        <v>0</v>
      </c>
      <c r="N90" s="355" t="str">
        <f t="shared" si="75"/>
        <v>-</v>
      </c>
      <c r="O90" s="356" t="str">
        <f t="shared" si="28"/>
        <v>-</v>
      </c>
    </row>
    <row r="91" spans="1:15" ht="23.25" thickBot="1" x14ac:dyDescent="0.3">
      <c r="A91" s="274" t="s">
        <v>101</v>
      </c>
      <c r="B91" s="957" t="s">
        <v>163</v>
      </c>
      <c r="C91" s="958"/>
      <c r="D91" s="959"/>
      <c r="E91" s="308">
        <f>+E90+E83</f>
        <v>0</v>
      </c>
      <c r="F91" s="309">
        <v>50000</v>
      </c>
      <c r="G91" s="369">
        <f>+G83+G90</f>
        <v>0</v>
      </c>
      <c r="H91" s="368">
        <f t="shared" ref="H91:I91" si="79">+H83+H90</f>
        <v>0</v>
      </c>
      <c r="I91" s="368">
        <f t="shared" si="79"/>
        <v>0</v>
      </c>
      <c r="J91" s="358">
        <f>+G91/F91</f>
        <v>0</v>
      </c>
      <c r="K91" s="369">
        <f t="shared" ref="K91:M91" si="80">+K83+K90</f>
        <v>0</v>
      </c>
      <c r="L91" s="368">
        <f t="shared" si="80"/>
        <v>0</v>
      </c>
      <c r="M91" s="370">
        <f t="shared" si="80"/>
        <v>0</v>
      </c>
      <c r="N91" s="357" t="str">
        <f t="shared" si="75"/>
        <v>-</v>
      </c>
      <c r="O91" s="358" t="str">
        <f t="shared" si="28"/>
        <v>-</v>
      </c>
    </row>
    <row r="92" spans="1:15" ht="24.75" thickBot="1" x14ac:dyDescent="0.3">
      <c r="A92" s="274" t="s">
        <v>101</v>
      </c>
      <c r="B92" s="598" t="s">
        <v>32</v>
      </c>
      <c r="C92" s="737"/>
      <c r="D92" s="310" t="s">
        <v>32</v>
      </c>
      <c r="E92" s="287">
        <v>0</v>
      </c>
      <c r="F92" s="288">
        <v>110000</v>
      </c>
      <c r="G92" s="335">
        <f t="shared" ref="G92" si="81">+H92+I92</f>
        <v>0</v>
      </c>
      <c r="H92" s="289"/>
      <c r="I92" s="289"/>
      <c r="J92" s="354" t="str">
        <f>IFERROR(G92/#REF!,"-")</f>
        <v>-</v>
      </c>
      <c r="K92" s="335">
        <f>+L92+M92</f>
        <v>0</v>
      </c>
      <c r="L92" s="289">
        <f>+H92</f>
        <v>0</v>
      </c>
      <c r="M92" s="290">
        <f>+I92</f>
        <v>0</v>
      </c>
      <c r="N92" s="340" t="str">
        <f t="shared" si="75"/>
        <v>-</v>
      </c>
      <c r="O92" s="348" t="str">
        <f t="shared" si="28"/>
        <v>-</v>
      </c>
    </row>
    <row r="93" spans="1:15" ht="23.25" thickBot="1" x14ac:dyDescent="0.3">
      <c r="A93" s="274" t="s">
        <v>101</v>
      </c>
      <c r="B93" s="960" t="s">
        <v>21</v>
      </c>
      <c r="C93" s="961"/>
      <c r="D93" s="962"/>
      <c r="E93" s="326">
        <f>+E79+E91+E92</f>
        <v>0</v>
      </c>
      <c r="F93" s="327">
        <f>+F79+F91+F92</f>
        <v>400000</v>
      </c>
      <c r="G93" s="326">
        <f>+G79+G91+G92</f>
        <v>92915</v>
      </c>
      <c r="H93" s="324">
        <f>+H79+H91+H92</f>
        <v>91494</v>
      </c>
      <c r="I93" s="324">
        <f>+I79+I91+I92</f>
        <v>1421</v>
      </c>
      <c r="J93" s="349">
        <f>+G93/F93</f>
        <v>0.23228750000000001</v>
      </c>
      <c r="K93" s="326">
        <f>+K79+K91+K92</f>
        <v>92915</v>
      </c>
      <c r="L93" s="324">
        <f>+L79+L91+L92</f>
        <v>91494</v>
      </c>
      <c r="M93" s="325">
        <f>+M79+M91+M92</f>
        <v>1421</v>
      </c>
      <c r="N93" s="341" t="str">
        <f t="shared" si="75"/>
        <v>-</v>
      </c>
      <c r="O93" s="349">
        <f t="shared" si="28"/>
        <v>1.5293547866329442E-2</v>
      </c>
    </row>
    <row r="94" spans="1:15" ht="23.25" thickBot="1" x14ac:dyDescent="0.3">
      <c r="A94" s="274" t="s">
        <v>101</v>
      </c>
      <c r="B94" s="963" t="s">
        <v>171</v>
      </c>
      <c r="C94" s="941"/>
      <c r="D94" s="942"/>
      <c r="E94" s="330">
        <f>+E93</f>
        <v>0</v>
      </c>
      <c r="F94" s="331">
        <f t="shared" ref="F94:I94" si="82">+F93</f>
        <v>400000</v>
      </c>
      <c r="G94" s="330">
        <f t="shared" si="82"/>
        <v>92915</v>
      </c>
      <c r="H94" s="328">
        <f t="shared" si="82"/>
        <v>91494</v>
      </c>
      <c r="I94" s="328">
        <f t="shared" si="82"/>
        <v>1421</v>
      </c>
      <c r="J94" s="350">
        <f>+J93</f>
        <v>0.23228750000000001</v>
      </c>
      <c r="K94" s="330">
        <f>+K93</f>
        <v>92915</v>
      </c>
      <c r="L94" s="328">
        <f t="shared" ref="L94" si="83">+L93</f>
        <v>91494</v>
      </c>
      <c r="M94" s="329">
        <f>+M93</f>
        <v>1421</v>
      </c>
      <c r="N94" s="342" t="str">
        <f t="shared" ref="N94:O94" si="84">+N93</f>
        <v>-</v>
      </c>
      <c r="O94" s="350">
        <f t="shared" si="84"/>
        <v>1.5293547866329442E-2</v>
      </c>
    </row>
    <row r="95" spans="1:15" ht="24" x14ac:dyDescent="0.25">
      <c r="A95" s="268" t="s">
        <v>102</v>
      </c>
      <c r="B95" s="949" t="s">
        <v>401</v>
      </c>
      <c r="C95" s="311" t="s">
        <v>113</v>
      </c>
      <c r="D95" s="311"/>
      <c r="E95" s="270"/>
      <c r="F95" s="271"/>
      <c r="G95" s="332">
        <f t="shared" ref="G95:G97" si="85">+H95+I95</f>
        <v>0</v>
      </c>
      <c r="H95" s="272"/>
      <c r="I95" s="272"/>
      <c r="J95" s="351" t="str">
        <f>IFERROR(G95/#REF!,"-")</f>
        <v>-</v>
      </c>
      <c r="K95" s="332">
        <f t="shared" ref="K95:K97" si="86">+L95+M95</f>
        <v>0</v>
      </c>
      <c r="L95" s="272">
        <f t="shared" ref="L95:L97" si="87">+H95</f>
        <v>0</v>
      </c>
      <c r="M95" s="273">
        <f t="shared" ref="M95:M97" si="88">+I95</f>
        <v>0</v>
      </c>
      <c r="N95" s="336" t="str">
        <f t="shared" ref="N95:N102" si="89">IFERROR(K95/E95,"-")</f>
        <v>-</v>
      </c>
      <c r="O95" s="346" t="str">
        <f t="shared" ref="O95:O120" si="90">IFERROR(M95/K95,"-")</f>
        <v>-</v>
      </c>
    </row>
    <row r="96" spans="1:15" ht="24" x14ac:dyDescent="0.25">
      <c r="A96" s="274" t="s">
        <v>102</v>
      </c>
      <c r="B96" s="951"/>
      <c r="C96" s="312" t="s">
        <v>247</v>
      </c>
      <c r="D96" s="312"/>
      <c r="E96" s="276"/>
      <c r="F96" s="277"/>
      <c r="G96" s="333">
        <f t="shared" si="85"/>
        <v>0</v>
      </c>
      <c r="H96" s="278"/>
      <c r="I96" s="278"/>
      <c r="J96" s="352" t="str">
        <f>IFERROR(G96/#REF!,"-")</f>
        <v>-</v>
      </c>
      <c r="K96" s="333">
        <f t="shared" si="86"/>
        <v>0</v>
      </c>
      <c r="L96" s="272">
        <f t="shared" si="87"/>
        <v>0</v>
      </c>
      <c r="M96" s="273">
        <f t="shared" si="88"/>
        <v>0</v>
      </c>
      <c r="N96" s="337" t="str">
        <f t="shared" si="89"/>
        <v>-</v>
      </c>
      <c r="O96" s="263" t="str">
        <f t="shared" si="90"/>
        <v>-</v>
      </c>
    </row>
    <row r="97" spans="1:15" ht="24.75" thickBot="1" x14ac:dyDescent="0.3">
      <c r="A97" s="274" t="s">
        <v>102</v>
      </c>
      <c r="B97" s="950"/>
      <c r="C97" s="313" t="s">
        <v>33</v>
      </c>
      <c r="D97" s="313"/>
      <c r="E97" s="280"/>
      <c r="F97" s="281"/>
      <c r="G97" s="334">
        <f t="shared" si="85"/>
        <v>0</v>
      </c>
      <c r="H97" s="282"/>
      <c r="I97" s="282"/>
      <c r="J97" s="353" t="str">
        <f>IFERROR(G97/#REF!,"-")</f>
        <v>-</v>
      </c>
      <c r="K97" s="334">
        <f t="shared" si="86"/>
        <v>0</v>
      </c>
      <c r="L97" s="272">
        <f t="shared" si="87"/>
        <v>0</v>
      </c>
      <c r="M97" s="273">
        <f t="shared" si="88"/>
        <v>0</v>
      </c>
      <c r="N97" s="338" t="str">
        <f t="shared" si="89"/>
        <v>-</v>
      </c>
      <c r="O97" s="347" t="str">
        <f t="shared" si="90"/>
        <v>-</v>
      </c>
    </row>
    <row r="98" spans="1:15" ht="23.25" thickBot="1" x14ac:dyDescent="0.3">
      <c r="A98" s="274" t="s">
        <v>102</v>
      </c>
      <c r="B98" s="946" t="s">
        <v>34</v>
      </c>
      <c r="C98" s="947"/>
      <c r="D98" s="948"/>
      <c r="E98" s="284">
        <f>SUM(E95:E97)</f>
        <v>0</v>
      </c>
      <c r="F98" s="285">
        <v>6500</v>
      </c>
      <c r="G98" s="320">
        <f>SUM(G95:G97)</f>
        <v>0</v>
      </c>
      <c r="H98" s="321">
        <f t="shared" ref="H98:I98" si="91">SUM(H95:H97)</f>
        <v>0</v>
      </c>
      <c r="I98" s="321">
        <f t="shared" si="91"/>
        <v>0</v>
      </c>
      <c r="J98" s="345" t="str">
        <f>IFERROR(G98/#REF!,"-")</f>
        <v>-</v>
      </c>
      <c r="K98" s="320">
        <f t="shared" ref="K98:M98" si="92">SUM(K95:K97)</f>
        <v>0</v>
      </c>
      <c r="L98" s="321">
        <f t="shared" si="92"/>
        <v>0</v>
      </c>
      <c r="M98" s="322">
        <f t="shared" si="92"/>
        <v>0</v>
      </c>
      <c r="N98" s="339" t="str">
        <f t="shared" si="89"/>
        <v>-</v>
      </c>
      <c r="O98" s="345" t="str">
        <f t="shared" si="90"/>
        <v>-</v>
      </c>
    </row>
    <row r="99" spans="1:15" ht="24" x14ac:dyDescent="0.25">
      <c r="A99" s="274" t="s">
        <v>102</v>
      </c>
      <c r="B99" s="949" t="s">
        <v>35</v>
      </c>
      <c r="C99" s="311" t="s">
        <v>113</v>
      </c>
      <c r="D99" s="311"/>
      <c r="E99" s="270"/>
      <c r="F99" s="271"/>
      <c r="G99" s="332">
        <f t="shared" ref="G99:G102" si="93">+H99+I99</f>
        <v>0</v>
      </c>
      <c r="H99" s="272"/>
      <c r="I99" s="272"/>
      <c r="J99" s="351" t="str">
        <f>IFERROR(G99/#REF!,"-")</f>
        <v>-</v>
      </c>
      <c r="K99" s="332">
        <f t="shared" ref="K99:K102" si="94">+L99+M99</f>
        <v>0</v>
      </c>
      <c r="L99" s="272">
        <f t="shared" ref="L99:L102" si="95">+H99</f>
        <v>0</v>
      </c>
      <c r="M99" s="273">
        <f t="shared" ref="M99:M102" si="96">+I99</f>
        <v>0</v>
      </c>
      <c r="N99" s="336" t="str">
        <f t="shared" si="89"/>
        <v>-</v>
      </c>
      <c r="O99" s="346" t="str">
        <f t="shared" si="90"/>
        <v>-</v>
      </c>
    </row>
    <row r="100" spans="1:15" ht="24" x14ac:dyDescent="0.25">
      <c r="A100" s="274" t="s">
        <v>102</v>
      </c>
      <c r="B100" s="951"/>
      <c r="C100" s="312" t="s">
        <v>247</v>
      </c>
      <c r="D100" s="312"/>
      <c r="E100" s="276"/>
      <c r="F100" s="277"/>
      <c r="G100" s="333">
        <f t="shared" si="93"/>
        <v>0</v>
      </c>
      <c r="H100" s="278"/>
      <c r="I100" s="278"/>
      <c r="J100" s="352" t="str">
        <f>IFERROR(G100/#REF!,"-")</f>
        <v>-</v>
      </c>
      <c r="K100" s="333">
        <f t="shared" si="94"/>
        <v>0</v>
      </c>
      <c r="L100" s="272">
        <f t="shared" si="95"/>
        <v>0</v>
      </c>
      <c r="M100" s="273">
        <f t="shared" si="96"/>
        <v>0</v>
      </c>
      <c r="N100" s="337" t="str">
        <f t="shared" si="89"/>
        <v>-</v>
      </c>
      <c r="O100" s="263" t="str">
        <f t="shared" si="90"/>
        <v>-</v>
      </c>
    </row>
    <row r="101" spans="1:15" ht="24" x14ac:dyDescent="0.25">
      <c r="A101" s="274" t="s">
        <v>102</v>
      </c>
      <c r="B101" s="951"/>
      <c r="C101" s="312" t="s">
        <v>184</v>
      </c>
      <c r="D101" s="312"/>
      <c r="E101" s="276"/>
      <c r="F101" s="277"/>
      <c r="G101" s="333">
        <f t="shared" si="93"/>
        <v>0</v>
      </c>
      <c r="H101" s="278"/>
      <c r="I101" s="278"/>
      <c r="J101" s="352" t="str">
        <f>IFERROR(G101/#REF!,"-")</f>
        <v>-</v>
      </c>
      <c r="K101" s="333">
        <f t="shared" si="94"/>
        <v>0</v>
      </c>
      <c r="L101" s="272">
        <f t="shared" si="95"/>
        <v>0</v>
      </c>
      <c r="M101" s="273">
        <f t="shared" si="96"/>
        <v>0</v>
      </c>
      <c r="N101" s="337" t="str">
        <f t="shared" si="89"/>
        <v>-</v>
      </c>
      <c r="O101" s="263" t="str">
        <f t="shared" si="90"/>
        <v>-</v>
      </c>
    </row>
    <row r="102" spans="1:15" ht="24.75" thickBot="1" x14ac:dyDescent="0.3">
      <c r="A102" s="274" t="s">
        <v>102</v>
      </c>
      <c r="B102" s="950"/>
      <c r="C102" s="313" t="s">
        <v>36</v>
      </c>
      <c r="D102" s="313"/>
      <c r="E102" s="280"/>
      <c r="F102" s="281"/>
      <c r="G102" s="334">
        <f t="shared" si="93"/>
        <v>0</v>
      </c>
      <c r="H102" s="282"/>
      <c r="I102" s="282"/>
      <c r="J102" s="353" t="str">
        <f>IFERROR(G102/#REF!,"-")</f>
        <v>-</v>
      </c>
      <c r="K102" s="334">
        <f t="shared" si="94"/>
        <v>0</v>
      </c>
      <c r="L102" s="272">
        <f t="shared" si="95"/>
        <v>0</v>
      </c>
      <c r="M102" s="273">
        <f t="shared" si="96"/>
        <v>0</v>
      </c>
      <c r="N102" s="338" t="str">
        <f t="shared" si="89"/>
        <v>-</v>
      </c>
      <c r="O102" s="347" t="str">
        <f t="shared" si="90"/>
        <v>-</v>
      </c>
    </row>
    <row r="103" spans="1:15" ht="23.25" thickBot="1" x14ac:dyDescent="0.3">
      <c r="A103" s="274" t="s">
        <v>102</v>
      </c>
      <c r="B103" s="946" t="s">
        <v>37</v>
      </c>
      <c r="C103" s="947"/>
      <c r="D103" s="948"/>
      <c r="E103" s="284">
        <f>SUM(E99:E102)</f>
        <v>0</v>
      </c>
      <c r="F103" s="285">
        <v>6500</v>
      </c>
      <c r="G103" s="320">
        <f>SUM(G99:G102)</f>
        <v>0</v>
      </c>
      <c r="H103" s="321">
        <f t="shared" ref="H103:I103" si="97">SUM(H99:H102)</f>
        <v>0</v>
      </c>
      <c r="I103" s="321">
        <f t="shared" si="97"/>
        <v>0</v>
      </c>
      <c r="J103" s="345" t="str">
        <f>IFERROR(G103/#REF!,"-")</f>
        <v>-</v>
      </c>
      <c r="K103" s="320">
        <f t="shared" ref="K103:M103" si="98">SUM(K99:K102)</f>
        <v>0</v>
      </c>
      <c r="L103" s="321">
        <f t="shared" si="98"/>
        <v>0</v>
      </c>
      <c r="M103" s="322">
        <f t="shared" si="98"/>
        <v>0</v>
      </c>
      <c r="N103" s="339" t="str">
        <f>IFERROR(K103/E103,"-")</f>
        <v>-</v>
      </c>
      <c r="O103" s="345" t="str">
        <f t="shared" si="90"/>
        <v>-</v>
      </c>
    </row>
    <row r="104" spans="1:15" ht="24" x14ac:dyDescent="0.25">
      <c r="A104" s="274" t="s">
        <v>102</v>
      </c>
      <c r="B104" s="949" t="s">
        <v>402</v>
      </c>
      <c r="C104" s="314" t="s">
        <v>116</v>
      </c>
      <c r="D104" s="314"/>
      <c r="E104" s="270"/>
      <c r="F104" s="271"/>
      <c r="G104" s="332">
        <f t="shared" ref="G104:G105" si="99">+H104+I104</f>
        <v>0</v>
      </c>
      <c r="H104" s="272"/>
      <c r="I104" s="272"/>
      <c r="J104" s="351" t="str">
        <f>IFERROR(G104/#REF!,"-")</f>
        <v>-</v>
      </c>
      <c r="K104" s="332">
        <f t="shared" ref="K104:K105" si="100">+L104+M104</f>
        <v>0</v>
      </c>
      <c r="L104" s="272">
        <f t="shared" ref="L104:L105" si="101">+H104</f>
        <v>0</v>
      </c>
      <c r="M104" s="273">
        <f t="shared" ref="M104:M105" si="102">+I104</f>
        <v>0</v>
      </c>
      <c r="N104" s="336" t="str">
        <f t="shared" ref="N104:N120" si="103">IFERROR(K104/E104,"-")</f>
        <v>-</v>
      </c>
      <c r="O104" s="346" t="str">
        <f t="shared" si="90"/>
        <v>-</v>
      </c>
    </row>
    <row r="105" spans="1:15" ht="24.75" thickBot="1" x14ac:dyDescent="0.3">
      <c r="A105" s="274" t="s">
        <v>102</v>
      </c>
      <c r="B105" s="950"/>
      <c r="C105" s="286" t="s">
        <v>132</v>
      </c>
      <c r="D105" s="286"/>
      <c r="E105" s="280"/>
      <c r="F105" s="281"/>
      <c r="G105" s="334">
        <f t="shared" si="99"/>
        <v>0</v>
      </c>
      <c r="H105" s="282"/>
      <c r="I105" s="282"/>
      <c r="J105" s="353" t="str">
        <f>IFERROR(G105/#REF!,"-")</f>
        <v>-</v>
      </c>
      <c r="K105" s="334">
        <f t="shared" si="100"/>
        <v>0</v>
      </c>
      <c r="L105" s="272">
        <f t="shared" si="101"/>
        <v>0</v>
      </c>
      <c r="M105" s="273">
        <f t="shared" si="102"/>
        <v>0</v>
      </c>
      <c r="N105" s="338" t="str">
        <f t="shared" si="103"/>
        <v>-</v>
      </c>
      <c r="O105" s="347" t="str">
        <f t="shared" si="90"/>
        <v>-</v>
      </c>
    </row>
    <row r="106" spans="1:15" ht="23.25" thickBot="1" x14ac:dyDescent="0.3">
      <c r="A106" s="744" t="s">
        <v>102</v>
      </c>
      <c r="B106" s="946" t="s">
        <v>38</v>
      </c>
      <c r="C106" s="947"/>
      <c r="D106" s="948"/>
      <c r="E106" s="284">
        <f>SUM(E104:E105)</f>
        <v>0</v>
      </c>
      <c r="F106" s="285">
        <v>2800</v>
      </c>
      <c r="G106" s="320">
        <f>SUM(G104:G105)</f>
        <v>0</v>
      </c>
      <c r="H106" s="321">
        <f t="shared" ref="H106:I106" si="104">SUM(H104:H105)</f>
        <v>0</v>
      </c>
      <c r="I106" s="321">
        <f t="shared" si="104"/>
        <v>0</v>
      </c>
      <c r="J106" s="345" t="str">
        <f>IFERROR(G106/#REF!,"-")</f>
        <v>-</v>
      </c>
      <c r="K106" s="320">
        <f t="shared" ref="K106:M106" si="105">SUM(K104:K105)</f>
        <v>0</v>
      </c>
      <c r="L106" s="321">
        <f t="shared" si="105"/>
        <v>0</v>
      </c>
      <c r="M106" s="322">
        <f t="shared" si="105"/>
        <v>0</v>
      </c>
      <c r="N106" s="339" t="str">
        <f t="shared" si="103"/>
        <v>-</v>
      </c>
      <c r="O106" s="345" t="str">
        <f t="shared" si="90"/>
        <v>-</v>
      </c>
    </row>
    <row r="107" spans="1:15" ht="24" x14ac:dyDescent="0.25">
      <c r="A107" s="274" t="s">
        <v>102</v>
      </c>
      <c r="B107" s="949" t="s">
        <v>403</v>
      </c>
      <c r="C107" s="269" t="s">
        <v>306</v>
      </c>
      <c r="D107" s="269"/>
      <c r="E107" s="270"/>
      <c r="F107" s="315"/>
      <c r="G107" s="332">
        <f t="shared" ref="G107:G111" si="106">+H107+I107</f>
        <v>6834</v>
      </c>
      <c r="H107" s="272">
        <v>6720</v>
      </c>
      <c r="I107" s="272">
        <v>114</v>
      </c>
      <c r="J107" s="371" t="str">
        <f>IFERROR(G107/#REF!,"-")</f>
        <v>-</v>
      </c>
      <c r="K107" s="332">
        <f t="shared" ref="K107:K111" si="107">+L107+M107</f>
        <v>6834</v>
      </c>
      <c r="L107" s="272">
        <f t="shared" ref="L107:L111" si="108">+H107</f>
        <v>6720</v>
      </c>
      <c r="M107" s="272">
        <f t="shared" ref="M107:M111" si="109">+I107</f>
        <v>114</v>
      </c>
      <c r="N107" s="359" t="str">
        <f t="shared" si="103"/>
        <v>-</v>
      </c>
      <c r="O107" s="360">
        <f t="shared" si="90"/>
        <v>1.6681299385425813E-2</v>
      </c>
    </row>
    <row r="108" spans="1:15" ht="24" x14ac:dyDescent="0.25">
      <c r="A108" s="274" t="s">
        <v>102</v>
      </c>
      <c r="B108" s="951"/>
      <c r="C108" s="269" t="s">
        <v>307</v>
      </c>
      <c r="D108" s="275"/>
      <c r="E108" s="276"/>
      <c r="F108" s="316"/>
      <c r="G108" s="333">
        <f t="shared" si="106"/>
        <v>0</v>
      </c>
      <c r="H108" s="278"/>
      <c r="I108" s="278"/>
      <c r="J108" s="372" t="str">
        <f>IFERROR(G108/#REF!,"-")</f>
        <v>-</v>
      </c>
      <c r="K108" s="333">
        <f t="shared" si="107"/>
        <v>0</v>
      </c>
      <c r="L108" s="272">
        <f t="shared" si="108"/>
        <v>0</v>
      </c>
      <c r="M108" s="273">
        <f t="shared" si="109"/>
        <v>0</v>
      </c>
      <c r="N108" s="361" t="str">
        <f t="shared" si="103"/>
        <v>-</v>
      </c>
      <c r="O108" s="362" t="str">
        <f t="shared" si="90"/>
        <v>-</v>
      </c>
    </row>
    <row r="109" spans="1:15" ht="24" x14ac:dyDescent="0.25">
      <c r="A109" s="274" t="s">
        <v>102</v>
      </c>
      <c r="B109" s="951"/>
      <c r="C109" s="275" t="s">
        <v>345</v>
      </c>
      <c r="D109" s="275"/>
      <c r="E109" s="276"/>
      <c r="F109" s="316"/>
      <c r="G109" s="333">
        <f t="shared" si="106"/>
        <v>0</v>
      </c>
      <c r="H109" s="278"/>
      <c r="I109" s="278"/>
      <c r="J109" s="372" t="str">
        <f>IFERROR(G109/#REF!,"-")</f>
        <v>-</v>
      </c>
      <c r="K109" s="333">
        <f t="shared" si="107"/>
        <v>0</v>
      </c>
      <c r="L109" s="272">
        <f t="shared" si="108"/>
        <v>0</v>
      </c>
      <c r="M109" s="273">
        <f t="shared" si="109"/>
        <v>0</v>
      </c>
      <c r="N109" s="361" t="str">
        <f t="shared" si="103"/>
        <v>-</v>
      </c>
      <c r="O109" s="362" t="str">
        <f t="shared" si="90"/>
        <v>-</v>
      </c>
    </row>
    <row r="110" spans="1:15" ht="24" x14ac:dyDescent="0.25">
      <c r="A110" s="274" t="s">
        <v>102</v>
      </c>
      <c r="B110" s="951"/>
      <c r="C110" s="275" t="s">
        <v>157</v>
      </c>
      <c r="D110" s="275"/>
      <c r="E110" s="276"/>
      <c r="F110" s="316"/>
      <c r="G110" s="333">
        <f t="shared" si="106"/>
        <v>0</v>
      </c>
      <c r="H110" s="278"/>
      <c r="I110" s="278"/>
      <c r="J110" s="372" t="str">
        <f>IFERROR(G110/#REF!,"-")</f>
        <v>-</v>
      </c>
      <c r="K110" s="333">
        <f t="shared" si="107"/>
        <v>0</v>
      </c>
      <c r="L110" s="272">
        <f t="shared" si="108"/>
        <v>0</v>
      </c>
      <c r="M110" s="273">
        <f t="shared" si="109"/>
        <v>0</v>
      </c>
      <c r="N110" s="361" t="str">
        <f t="shared" si="103"/>
        <v>-</v>
      </c>
      <c r="O110" s="362" t="str">
        <f t="shared" si="90"/>
        <v>-</v>
      </c>
    </row>
    <row r="111" spans="1:15" ht="24.75" thickBot="1" x14ac:dyDescent="0.3">
      <c r="A111" s="274" t="s">
        <v>102</v>
      </c>
      <c r="B111" s="950"/>
      <c r="C111" s="279" t="s">
        <v>158</v>
      </c>
      <c r="D111" s="279"/>
      <c r="E111" s="280"/>
      <c r="F111" s="317"/>
      <c r="G111" s="334">
        <f t="shared" si="106"/>
        <v>0</v>
      </c>
      <c r="H111" s="282"/>
      <c r="I111" s="282"/>
      <c r="J111" s="373" t="str">
        <f>IFERROR(G111/#REF!,"-")</f>
        <v>-</v>
      </c>
      <c r="K111" s="334">
        <f t="shared" si="107"/>
        <v>0</v>
      </c>
      <c r="L111" s="272">
        <f t="shared" si="108"/>
        <v>0</v>
      </c>
      <c r="M111" s="273">
        <f t="shared" si="109"/>
        <v>0</v>
      </c>
      <c r="N111" s="363" t="str">
        <f t="shared" si="103"/>
        <v>-</v>
      </c>
      <c r="O111" s="364" t="str">
        <f t="shared" si="90"/>
        <v>-</v>
      </c>
    </row>
    <row r="112" spans="1:15" ht="23.25" thickBot="1" x14ac:dyDescent="0.3">
      <c r="A112" s="274" t="s">
        <v>102</v>
      </c>
      <c r="B112" s="946" t="s">
        <v>39</v>
      </c>
      <c r="C112" s="947"/>
      <c r="D112" s="948"/>
      <c r="E112" s="320">
        <f>SUM(E107:E111)</f>
        <v>0</v>
      </c>
      <c r="F112" s="285">
        <v>25000</v>
      </c>
      <c r="G112" s="320">
        <f>SUM(G107:G111)</f>
        <v>6834</v>
      </c>
      <c r="H112" s="321">
        <f>SUM(H107:H111)</f>
        <v>6720</v>
      </c>
      <c r="I112" s="321">
        <f>SUM(I107:I111)</f>
        <v>114</v>
      </c>
      <c r="J112" s="345" t="str">
        <f>IFERROR(G112/#REF!,"-")</f>
        <v>-</v>
      </c>
      <c r="K112" s="320">
        <f>SUM(K107:K111)</f>
        <v>6834</v>
      </c>
      <c r="L112" s="321">
        <f>SUM(L107:L111)</f>
        <v>6720</v>
      </c>
      <c r="M112" s="322">
        <f>SUM(M107:M111)</f>
        <v>114</v>
      </c>
      <c r="N112" s="339" t="str">
        <f t="shared" si="103"/>
        <v>-</v>
      </c>
      <c r="O112" s="345">
        <f t="shared" si="90"/>
        <v>1.6681299385425813E-2</v>
      </c>
    </row>
    <row r="113" spans="1:15" ht="24" x14ac:dyDescent="0.25">
      <c r="A113" s="274" t="s">
        <v>102</v>
      </c>
      <c r="B113" s="949" t="s">
        <v>404</v>
      </c>
      <c r="C113" s="269" t="s">
        <v>186</v>
      </c>
      <c r="D113" s="269"/>
      <c r="E113" s="270"/>
      <c r="F113" s="271"/>
      <c r="G113" s="332">
        <f t="shared" ref="G113:G115" si="110">+H113+I113</f>
        <v>0</v>
      </c>
      <c r="H113" s="272"/>
      <c r="I113" s="272"/>
      <c r="J113" s="351" t="str">
        <f>IFERROR(G113/#REF!,"-")</f>
        <v>-</v>
      </c>
      <c r="K113" s="332">
        <f t="shared" ref="K113:K115" si="111">+L113+M113</f>
        <v>0</v>
      </c>
      <c r="L113" s="272">
        <f t="shared" ref="L113:L115" si="112">+H113</f>
        <v>0</v>
      </c>
      <c r="M113" s="273">
        <f t="shared" ref="M113:M115" si="113">+I113</f>
        <v>0</v>
      </c>
      <c r="N113" s="336" t="str">
        <f t="shared" si="103"/>
        <v>-</v>
      </c>
      <c r="O113" s="346" t="str">
        <f t="shared" si="90"/>
        <v>-</v>
      </c>
    </row>
    <row r="114" spans="1:15" ht="24" x14ac:dyDescent="0.25">
      <c r="A114" s="274" t="s">
        <v>102</v>
      </c>
      <c r="B114" s="951"/>
      <c r="C114" s="275" t="s">
        <v>159</v>
      </c>
      <c r="D114" s="275"/>
      <c r="E114" s="276"/>
      <c r="F114" s="277"/>
      <c r="G114" s="333">
        <f t="shared" si="110"/>
        <v>11826</v>
      </c>
      <c r="H114" s="278">
        <v>11400</v>
      </c>
      <c r="I114" s="278">
        <v>426</v>
      </c>
      <c r="J114" s="372" t="str">
        <f>IFERROR(G114/#REF!,"-")</f>
        <v>-</v>
      </c>
      <c r="K114" s="333">
        <f t="shared" si="111"/>
        <v>11826</v>
      </c>
      <c r="L114" s="714">
        <f t="shared" si="112"/>
        <v>11400</v>
      </c>
      <c r="M114" s="273">
        <f t="shared" si="113"/>
        <v>426</v>
      </c>
      <c r="N114" s="361" t="str">
        <f t="shared" si="103"/>
        <v>-</v>
      </c>
      <c r="O114" s="362">
        <f t="shared" si="90"/>
        <v>3.6022323693556568E-2</v>
      </c>
    </row>
    <row r="115" spans="1:15" ht="24.75" thickBot="1" x14ac:dyDescent="0.3">
      <c r="A115" s="274" t="s">
        <v>102</v>
      </c>
      <c r="B115" s="950"/>
      <c r="C115" s="279" t="s">
        <v>186</v>
      </c>
      <c r="D115" s="279"/>
      <c r="E115" s="280"/>
      <c r="F115" s="281"/>
      <c r="G115" s="334">
        <f t="shared" si="110"/>
        <v>0</v>
      </c>
      <c r="H115" s="282"/>
      <c r="I115" s="282"/>
      <c r="J115" s="373" t="str">
        <f>IFERROR(G115/#REF!,"-")</f>
        <v>-</v>
      </c>
      <c r="K115" s="334">
        <f t="shared" si="111"/>
        <v>0</v>
      </c>
      <c r="L115" s="272">
        <f t="shared" si="112"/>
        <v>0</v>
      </c>
      <c r="M115" s="273">
        <f t="shared" si="113"/>
        <v>0</v>
      </c>
      <c r="N115" s="363" t="str">
        <f t="shared" si="103"/>
        <v>-</v>
      </c>
      <c r="O115" s="364" t="str">
        <f t="shared" si="90"/>
        <v>-</v>
      </c>
    </row>
    <row r="116" spans="1:15" ht="23.25" thickBot="1" x14ac:dyDescent="0.3">
      <c r="A116" s="274" t="s">
        <v>102</v>
      </c>
      <c r="B116" s="952" t="s">
        <v>41</v>
      </c>
      <c r="C116" s="953"/>
      <c r="D116" s="954"/>
      <c r="E116" s="320">
        <f>SUM(E113:E115)</f>
        <v>0</v>
      </c>
      <c r="F116" s="285"/>
      <c r="G116" s="320">
        <f>SUM(G113:G115)</f>
        <v>11826</v>
      </c>
      <c r="H116" s="321">
        <f t="shared" ref="H116:I116" si="114">SUM(H113:H115)</f>
        <v>11400</v>
      </c>
      <c r="I116" s="321">
        <f t="shared" si="114"/>
        <v>426</v>
      </c>
      <c r="J116" s="345" t="str">
        <f>IFERROR(G116/#REF!,"-")</f>
        <v>-</v>
      </c>
      <c r="K116" s="320">
        <f t="shared" ref="K116:M116" si="115">SUM(K113:K115)</f>
        <v>11826</v>
      </c>
      <c r="L116" s="365">
        <f t="shared" si="115"/>
        <v>11400</v>
      </c>
      <c r="M116" s="367">
        <f t="shared" si="115"/>
        <v>426</v>
      </c>
      <c r="N116" s="339" t="str">
        <f t="shared" si="103"/>
        <v>-</v>
      </c>
      <c r="O116" s="345">
        <f t="shared" si="90"/>
        <v>3.6022323693556568E-2</v>
      </c>
    </row>
    <row r="117" spans="1:15" ht="24.75" thickBot="1" x14ac:dyDescent="0.3">
      <c r="A117" s="274" t="s">
        <v>102</v>
      </c>
      <c r="B117" s="949" t="s">
        <v>42</v>
      </c>
      <c r="C117" s="269" t="s">
        <v>160</v>
      </c>
      <c r="D117" s="269"/>
      <c r="E117" s="270">
        <v>0</v>
      </c>
      <c r="F117" s="271"/>
      <c r="G117" s="332">
        <f t="shared" ref="G117:G118" si="116">+H117+I117</f>
        <v>0</v>
      </c>
      <c r="H117" s="272"/>
      <c r="I117" s="272"/>
      <c r="J117" s="371" t="str">
        <f>IFERROR(G117/#REF!,"-")</f>
        <v>-</v>
      </c>
      <c r="K117" s="695">
        <f t="shared" ref="K117:K118" si="117">+L117+M117</f>
        <v>0</v>
      </c>
      <c r="L117" s="688">
        <f t="shared" ref="L117:L118" si="118">+H117</f>
        <v>0</v>
      </c>
      <c r="M117" s="688">
        <f t="shared" ref="M117:M118" si="119">+I117</f>
        <v>0</v>
      </c>
      <c r="N117" s="359" t="str">
        <f t="shared" si="103"/>
        <v>-</v>
      </c>
      <c r="O117" s="360" t="str">
        <f t="shared" si="90"/>
        <v>-</v>
      </c>
    </row>
    <row r="118" spans="1:15" ht="24.75" thickBot="1" x14ac:dyDescent="0.3">
      <c r="A118" s="274" t="s">
        <v>102</v>
      </c>
      <c r="B118" s="950"/>
      <c r="C118" s="279" t="s">
        <v>161</v>
      </c>
      <c r="D118" s="279"/>
      <c r="E118" s="280">
        <v>0</v>
      </c>
      <c r="F118" s="281"/>
      <c r="G118" s="334">
        <f t="shared" si="116"/>
        <v>0</v>
      </c>
      <c r="H118" s="282"/>
      <c r="I118" s="282"/>
      <c r="J118" s="373" t="str">
        <f>IFERROR(G118/#REF!,"-")</f>
        <v>-</v>
      </c>
      <c r="K118" s="696">
        <f t="shared" si="117"/>
        <v>0</v>
      </c>
      <c r="L118" s="688">
        <f t="shared" si="118"/>
        <v>0</v>
      </c>
      <c r="M118" s="688">
        <f t="shared" si="119"/>
        <v>0</v>
      </c>
      <c r="N118" s="363" t="str">
        <f t="shared" si="103"/>
        <v>-</v>
      </c>
      <c r="O118" s="364" t="str">
        <f t="shared" si="90"/>
        <v>-</v>
      </c>
    </row>
    <row r="119" spans="1:15" ht="23.25" thickBot="1" x14ac:dyDescent="0.3">
      <c r="A119" s="274" t="s">
        <v>102</v>
      </c>
      <c r="B119" s="952" t="s">
        <v>43</v>
      </c>
      <c r="C119" s="953"/>
      <c r="D119" s="954"/>
      <c r="E119" s="284">
        <v>0</v>
      </c>
      <c r="F119" s="285">
        <v>25000</v>
      </c>
      <c r="G119" s="320">
        <f>SUM(G117:G118)</f>
        <v>0</v>
      </c>
      <c r="H119" s="321">
        <f t="shared" ref="H119:I119" si="120">SUM(H117:H118)</f>
        <v>0</v>
      </c>
      <c r="I119" s="321">
        <f t="shared" si="120"/>
        <v>0</v>
      </c>
      <c r="J119" s="345" t="str">
        <f>IFERROR(G119/#REF!,"-")</f>
        <v>-</v>
      </c>
      <c r="K119" s="760">
        <f t="shared" ref="K119:M119" si="121">SUM(K117:K118)</f>
        <v>0</v>
      </c>
      <c r="L119" s="761">
        <f t="shared" si="121"/>
        <v>0</v>
      </c>
      <c r="M119" s="761">
        <f t="shared" si="121"/>
        <v>0</v>
      </c>
      <c r="N119" s="339" t="str">
        <f t="shared" si="103"/>
        <v>-</v>
      </c>
      <c r="O119" s="345" t="str">
        <f t="shared" si="90"/>
        <v>-</v>
      </c>
    </row>
    <row r="120" spans="1:15" ht="23.25" thickBot="1" x14ac:dyDescent="0.3">
      <c r="A120" s="274" t="s">
        <v>102</v>
      </c>
      <c r="B120" s="938" t="s">
        <v>25</v>
      </c>
      <c r="C120" s="939"/>
      <c r="D120" s="940"/>
      <c r="E120" s="326">
        <f t="shared" ref="E120:F120" si="122">+E98+E103+E106+E112+E116+E119</f>
        <v>0</v>
      </c>
      <c r="F120" s="327">
        <f t="shared" si="122"/>
        <v>65800</v>
      </c>
      <c r="G120" s="326">
        <f>+G98+G103+G106+G112+G116+G119</f>
        <v>18660</v>
      </c>
      <c r="H120" s="324">
        <f>+H98+H103+H106+H112+H116+H119</f>
        <v>18120</v>
      </c>
      <c r="I120" s="324">
        <f t="shared" ref="I120" si="123">+I98+I103+I106+I112+I116+I119</f>
        <v>540</v>
      </c>
      <c r="J120" s="349" t="str">
        <f>IFERROR(G120/#REF!,"-")</f>
        <v>-</v>
      </c>
      <c r="K120" s="326">
        <f>+K98+K103+K106+K112+K116+K119</f>
        <v>18660</v>
      </c>
      <c r="L120" s="759">
        <f t="shared" ref="L120:M120" si="124">+L98+L103+L106+L112+L116+L119</f>
        <v>18120</v>
      </c>
      <c r="M120" s="325">
        <f t="shared" si="124"/>
        <v>540</v>
      </c>
      <c r="N120" s="341" t="str">
        <f t="shared" si="103"/>
        <v>-</v>
      </c>
      <c r="O120" s="349">
        <f t="shared" si="90"/>
        <v>2.8938906752411574E-2</v>
      </c>
    </row>
    <row r="121" spans="1:15" ht="23.25" thickBot="1" x14ac:dyDescent="0.3">
      <c r="A121" s="318" t="s">
        <v>102</v>
      </c>
      <c r="B121" s="941" t="s">
        <v>173</v>
      </c>
      <c r="C121" s="941"/>
      <c r="D121" s="942"/>
      <c r="E121" s="330">
        <f>+E120</f>
        <v>0</v>
      </c>
      <c r="F121" s="331">
        <f t="shared" ref="F121:O121" si="125">+F120</f>
        <v>65800</v>
      </c>
      <c r="G121" s="330">
        <f t="shared" si="125"/>
        <v>18660</v>
      </c>
      <c r="H121" s="328">
        <f t="shared" si="125"/>
        <v>18120</v>
      </c>
      <c r="I121" s="328">
        <f t="shared" si="125"/>
        <v>540</v>
      </c>
      <c r="J121" s="350" t="str">
        <f t="shared" si="125"/>
        <v>-</v>
      </c>
      <c r="K121" s="330">
        <f t="shared" si="125"/>
        <v>18660</v>
      </c>
      <c r="L121" s="328">
        <f t="shared" si="125"/>
        <v>18120</v>
      </c>
      <c r="M121" s="329">
        <f t="shared" si="125"/>
        <v>540</v>
      </c>
      <c r="N121" s="342" t="str">
        <f t="shared" si="125"/>
        <v>-</v>
      </c>
      <c r="O121" s="350">
        <f t="shared" si="125"/>
        <v>2.8938906752411574E-2</v>
      </c>
    </row>
    <row r="122" spans="1:15" ht="26.25" thickBot="1" x14ac:dyDescent="0.3">
      <c r="A122" s="319"/>
      <c r="B122" s="943" t="s">
        <v>174</v>
      </c>
      <c r="C122" s="944"/>
      <c r="D122" s="945"/>
      <c r="E122" s="374">
        <f>+E59+E94+E121</f>
        <v>0</v>
      </c>
      <c r="F122" s="374">
        <f>+F59+F94+F121</f>
        <v>1024800</v>
      </c>
      <c r="G122" s="374">
        <f>+G59+G94+G121</f>
        <v>117927</v>
      </c>
      <c r="H122" s="374">
        <f>+H59+H94+H121</f>
        <v>234006</v>
      </c>
      <c r="I122" s="374">
        <f>+I59+I94+I121</f>
        <v>2654</v>
      </c>
      <c r="J122" s="375" t="str">
        <f>IFERROR(G122/#REF!,"-")</f>
        <v>-</v>
      </c>
      <c r="K122" s="374">
        <f>+K59+K94+K121</f>
        <v>236660</v>
      </c>
      <c r="L122" s="374">
        <f>+L59+L94+L121</f>
        <v>234006</v>
      </c>
      <c r="M122" s="374">
        <f>+M59+M94+M121</f>
        <v>2654</v>
      </c>
      <c r="N122" s="375" t="str">
        <f>IFERROR(K122/E122,"-")</f>
        <v>-</v>
      </c>
      <c r="O122" s="375">
        <f>IFERROR(M122/K122,"-")</f>
        <v>1.1214400405645229E-2</v>
      </c>
    </row>
    <row r="123" spans="1:15" ht="22.5" x14ac:dyDescent="0.25">
      <c r="A123" s="978" t="s">
        <v>1</v>
      </c>
      <c r="B123" s="981" t="s">
        <v>2</v>
      </c>
      <c r="C123" s="984" t="s">
        <v>396</v>
      </c>
      <c r="D123" s="984" t="s">
        <v>397</v>
      </c>
      <c r="E123" s="987" t="s">
        <v>4</v>
      </c>
      <c r="F123" s="988"/>
      <c r="G123" s="988"/>
      <c r="H123" s="988"/>
      <c r="I123" s="988"/>
      <c r="J123" s="988"/>
      <c r="K123" s="988"/>
      <c r="L123" s="988"/>
      <c r="M123" s="988"/>
      <c r="N123" s="988"/>
      <c r="O123" s="989"/>
    </row>
    <row r="124" spans="1:15" ht="22.5" x14ac:dyDescent="0.25">
      <c r="A124" s="979"/>
      <c r="B124" s="982"/>
      <c r="C124" s="985"/>
      <c r="D124" s="985"/>
      <c r="E124" s="990" t="s">
        <v>7</v>
      </c>
      <c r="F124" s="992" t="s">
        <v>108</v>
      </c>
      <c r="G124" s="994" t="s">
        <v>483</v>
      </c>
      <c r="H124" s="995"/>
      <c r="I124" s="995"/>
      <c r="J124" s="996"/>
      <c r="K124" s="997" t="s">
        <v>398</v>
      </c>
      <c r="L124" s="998"/>
      <c r="M124" s="999"/>
      <c r="N124" s="1000" t="s">
        <v>399</v>
      </c>
      <c r="O124" s="1002" t="s">
        <v>164</v>
      </c>
    </row>
    <row r="125" spans="1:15" ht="41.25" thickBot="1" x14ac:dyDescent="0.3">
      <c r="A125" s="980"/>
      <c r="B125" s="983"/>
      <c r="C125" s="986"/>
      <c r="D125" s="986"/>
      <c r="E125" s="991"/>
      <c r="F125" s="993"/>
      <c r="G125" s="452" t="s">
        <v>13</v>
      </c>
      <c r="H125" s="453" t="s">
        <v>14</v>
      </c>
      <c r="I125" s="453" t="s">
        <v>15</v>
      </c>
      <c r="J125" s="454" t="s">
        <v>166</v>
      </c>
      <c r="K125" s="680" t="s">
        <v>13</v>
      </c>
      <c r="L125" s="678" t="s">
        <v>14</v>
      </c>
      <c r="M125" s="679" t="s">
        <v>15</v>
      </c>
      <c r="N125" s="1001"/>
      <c r="O125" s="1003"/>
    </row>
    <row r="126" spans="1:15" ht="24.75" thickBot="1" x14ac:dyDescent="0.3">
      <c r="A126" s="268" t="s">
        <v>103</v>
      </c>
      <c r="B126" s="965" t="s">
        <v>16</v>
      </c>
      <c r="C126" s="269" t="s">
        <v>368</v>
      </c>
      <c r="D126" s="269" t="s">
        <v>369</v>
      </c>
      <c r="E126" s="270"/>
      <c r="F126" s="271"/>
      <c r="G126" s="332">
        <f>+H126+I126</f>
        <v>0</v>
      </c>
      <c r="H126" s="272"/>
      <c r="I126" s="272"/>
      <c r="J126" s="351"/>
      <c r="K126" s="457">
        <f>+L126+M126</f>
        <v>0</v>
      </c>
      <c r="L126" s="688">
        <f>+H126+L13</f>
        <v>0</v>
      </c>
      <c r="M126" s="688">
        <f>+I126+M13</f>
        <v>0</v>
      </c>
      <c r="N126" s="336" t="str">
        <f>IFERROR(K126/E126,"-")</f>
        <v>-</v>
      </c>
      <c r="O126" s="343" t="str">
        <f t="shared" ref="O126:O127" si="126">IFERROR(M126/K126,"-")</f>
        <v>-</v>
      </c>
    </row>
    <row r="127" spans="1:15" ht="24" x14ac:dyDescent="0.25">
      <c r="A127" s="274" t="s">
        <v>103</v>
      </c>
      <c r="B127" s="966"/>
      <c r="C127" s="275" t="s">
        <v>376</v>
      </c>
      <c r="D127" s="275" t="s">
        <v>375</v>
      </c>
      <c r="E127" s="276"/>
      <c r="F127" s="277"/>
      <c r="G127" s="333">
        <f t="shared" ref="G127:G129" si="127">+H127+I127</f>
        <v>0</v>
      </c>
      <c r="H127" s="278"/>
      <c r="I127" s="278"/>
      <c r="J127" s="352" t="str">
        <f>IFERROR(G127/#REF!,"-")</f>
        <v>-</v>
      </c>
      <c r="K127" s="690">
        <f t="shared" ref="K127:K129" si="128">+L127+M127</f>
        <v>0</v>
      </c>
      <c r="L127" s="527">
        <f t="shared" ref="L127:M127" si="129">+H127+L14</f>
        <v>0</v>
      </c>
      <c r="M127" s="459">
        <f t="shared" si="129"/>
        <v>0</v>
      </c>
      <c r="N127" s="337" t="str">
        <f t="shared" ref="N127:N129" si="130">IFERROR(K127/E127,"-")</f>
        <v>-</v>
      </c>
      <c r="O127" s="265" t="str">
        <f t="shared" si="126"/>
        <v>-</v>
      </c>
    </row>
    <row r="128" spans="1:15" s="723" customFormat="1" ht="22.5" x14ac:dyDescent="0.25">
      <c r="A128" s="274" t="s">
        <v>103</v>
      </c>
      <c r="B128" s="966"/>
      <c r="C128" s="573" t="s">
        <v>431</v>
      </c>
      <c r="D128" s="573" t="s">
        <v>366</v>
      </c>
      <c r="E128" s="720"/>
      <c r="F128" s="721"/>
      <c r="G128" s="333">
        <f t="shared" si="127"/>
        <v>0</v>
      </c>
      <c r="H128" s="722"/>
      <c r="I128" s="722"/>
      <c r="J128" s="352" t="str">
        <f>IFERROR(G128/#REF!,"-")</f>
        <v>-</v>
      </c>
      <c r="K128" s="690">
        <f t="shared" si="128"/>
        <v>0</v>
      </c>
      <c r="L128" s="720">
        <f t="shared" ref="L128:M128" si="131">+H128+L15</f>
        <v>0</v>
      </c>
      <c r="M128" s="529">
        <f t="shared" si="131"/>
        <v>0</v>
      </c>
      <c r="N128" s="337" t="str">
        <f t="shared" si="130"/>
        <v>-</v>
      </c>
      <c r="O128" s="265" t="str">
        <f>IFERROR(M128/K128,"-")</f>
        <v>-</v>
      </c>
    </row>
    <row r="129" spans="1:15" ht="24.75" thickBot="1" x14ac:dyDescent="0.3">
      <c r="A129" s="274" t="s">
        <v>103</v>
      </c>
      <c r="B129" s="967"/>
      <c r="C129" s="279" t="s">
        <v>428</v>
      </c>
      <c r="D129" s="279" t="s">
        <v>374</v>
      </c>
      <c r="E129" s="280"/>
      <c r="F129" s="281"/>
      <c r="G129" s="334">
        <f t="shared" si="127"/>
        <v>0</v>
      </c>
      <c r="H129" s="272"/>
      <c r="I129" s="272"/>
      <c r="J129" s="353" t="str">
        <f>IFERROR(G129/#REF!,"-")</f>
        <v>-</v>
      </c>
      <c r="K129" s="691">
        <f t="shared" si="128"/>
        <v>0</v>
      </c>
      <c r="L129" s="530">
        <f t="shared" ref="L129:M129" si="132">+H129+L16</f>
        <v>0</v>
      </c>
      <c r="M129" s="462">
        <f t="shared" si="132"/>
        <v>0</v>
      </c>
      <c r="N129" s="338" t="str">
        <f t="shared" si="130"/>
        <v>-</v>
      </c>
      <c r="O129" s="344" t="str">
        <f t="shared" ref="O129:O147" si="133">IFERROR(M129/K129,"-")</f>
        <v>-</v>
      </c>
    </row>
    <row r="130" spans="1:15" ht="23.25" thickBot="1" x14ac:dyDescent="0.3">
      <c r="A130" s="274" t="s">
        <v>103</v>
      </c>
      <c r="B130" s="946" t="s">
        <v>44</v>
      </c>
      <c r="C130" s="947"/>
      <c r="D130" s="948"/>
      <c r="E130" s="320">
        <f>SUM(E126:E129)</f>
        <v>0</v>
      </c>
      <c r="F130" s="285">
        <v>15000</v>
      </c>
      <c r="G130" s="320">
        <f>SUM(G126:G129)</f>
        <v>0</v>
      </c>
      <c r="H130" s="321">
        <f t="shared" ref="H130:I130" si="134">SUM(H126:H129)</f>
        <v>0</v>
      </c>
      <c r="I130" s="321">
        <f t="shared" si="134"/>
        <v>0</v>
      </c>
      <c r="J130" s="345">
        <f>+G130/F130</f>
        <v>0</v>
      </c>
      <c r="K130" s="320">
        <f t="shared" ref="K130" si="135">SUM(K126:K129)</f>
        <v>0</v>
      </c>
      <c r="L130" s="692">
        <f>SUM(L126:L129)</f>
        <v>0</v>
      </c>
      <c r="M130" s="693">
        <f>SUM(M126:M129)</f>
        <v>0</v>
      </c>
      <c r="N130" s="339" t="str">
        <f>IFERROR(K130/E130,"-")</f>
        <v>-</v>
      </c>
      <c r="O130" s="345" t="str">
        <f t="shared" si="133"/>
        <v>-</v>
      </c>
    </row>
    <row r="131" spans="1:15" ht="24" x14ac:dyDescent="0.25">
      <c r="A131" s="274" t="s">
        <v>103</v>
      </c>
      <c r="B131" s="965" t="s">
        <v>17</v>
      </c>
      <c r="C131" s="269" t="s">
        <v>294</v>
      </c>
      <c r="D131" s="269"/>
      <c r="E131" s="270"/>
      <c r="F131" s="271">
        <v>100000</v>
      </c>
      <c r="G131" s="332">
        <f t="shared" ref="G131:G137" si="136">+H131+I131</f>
        <v>0</v>
      </c>
      <c r="H131" s="272"/>
      <c r="I131" s="272"/>
      <c r="J131" s="351" t="str">
        <f>IFERROR(G131/#REF!,"-")</f>
        <v>-</v>
      </c>
      <c r="K131" s="694">
        <f t="shared" ref="K131:K137" si="137">+L131+M131</f>
        <v>0</v>
      </c>
      <c r="L131" s="527">
        <f t="shared" ref="L131:M131" si="138">+H131+L18</f>
        <v>0</v>
      </c>
      <c r="M131" s="459">
        <f t="shared" si="138"/>
        <v>0</v>
      </c>
      <c r="N131" s="336" t="str">
        <f t="shared" ref="N131:N137" si="139">IFERROR(K131/E131,"-")</f>
        <v>-</v>
      </c>
      <c r="O131" s="346" t="str">
        <f t="shared" si="133"/>
        <v>-</v>
      </c>
    </row>
    <row r="132" spans="1:15" ht="24" x14ac:dyDescent="0.25">
      <c r="A132" s="274" t="s">
        <v>103</v>
      </c>
      <c r="B132" s="966"/>
      <c r="C132" s="275" t="s">
        <v>344</v>
      </c>
      <c r="D132" s="275" t="s">
        <v>232</v>
      </c>
      <c r="E132" s="276"/>
      <c r="F132" s="277"/>
      <c r="G132" s="333">
        <f t="shared" si="136"/>
        <v>0</v>
      </c>
      <c r="H132" s="278"/>
      <c r="I132" s="278"/>
      <c r="J132" s="352" t="str">
        <f>IFERROR(G132/#REF!,"-")</f>
        <v>-</v>
      </c>
      <c r="K132" s="690">
        <f t="shared" si="137"/>
        <v>0</v>
      </c>
      <c r="L132" s="276">
        <f t="shared" ref="L132:M132" si="140">+H132+L19</f>
        <v>0</v>
      </c>
      <c r="M132" s="436">
        <f t="shared" si="140"/>
        <v>0</v>
      </c>
      <c r="N132" s="337" t="str">
        <f t="shared" si="139"/>
        <v>-</v>
      </c>
      <c r="O132" s="263" t="str">
        <f t="shared" si="133"/>
        <v>-</v>
      </c>
    </row>
    <row r="133" spans="1:15" ht="24" x14ac:dyDescent="0.25">
      <c r="A133" s="274" t="s">
        <v>103</v>
      </c>
      <c r="B133" s="966"/>
      <c r="C133" s="275" t="s">
        <v>367</v>
      </c>
      <c r="D133" s="275" t="s">
        <v>187</v>
      </c>
      <c r="E133" s="276"/>
      <c r="F133" s="277"/>
      <c r="G133" s="333">
        <f t="shared" si="136"/>
        <v>18602</v>
      </c>
      <c r="H133" s="278">
        <v>18360</v>
      </c>
      <c r="I133" s="278">
        <v>242</v>
      </c>
      <c r="J133" s="352" t="str">
        <f>IFERROR(G133/#REF!,"-")</f>
        <v>-</v>
      </c>
      <c r="K133" s="690">
        <f t="shared" si="137"/>
        <v>24954</v>
      </c>
      <c r="L133" s="276">
        <f t="shared" ref="L133:M133" si="141">+H133+L20</f>
        <v>24480</v>
      </c>
      <c r="M133" s="436">
        <f t="shared" si="141"/>
        <v>474</v>
      </c>
      <c r="N133" s="337" t="str">
        <f t="shared" si="139"/>
        <v>-</v>
      </c>
      <c r="O133" s="263">
        <f t="shared" si="133"/>
        <v>1.8994950709305122E-2</v>
      </c>
    </row>
    <row r="134" spans="1:15" ht="24" x14ac:dyDescent="0.25">
      <c r="A134" s="274" t="s">
        <v>103</v>
      </c>
      <c r="B134" s="966"/>
      <c r="C134" s="275" t="s">
        <v>293</v>
      </c>
      <c r="D134" s="275" t="s">
        <v>188</v>
      </c>
      <c r="E134" s="276"/>
      <c r="F134" s="277"/>
      <c r="G134" s="333">
        <f t="shared" si="136"/>
        <v>0</v>
      </c>
      <c r="H134" s="278"/>
      <c r="I134" s="278"/>
      <c r="J134" s="352" t="str">
        <f>IFERROR(G134/#REF!,"-")</f>
        <v>-</v>
      </c>
      <c r="K134" s="690">
        <f t="shared" si="137"/>
        <v>0</v>
      </c>
      <c r="L134" s="276">
        <f t="shared" ref="L134:M134" si="142">+H134+L21</f>
        <v>0</v>
      </c>
      <c r="M134" s="436">
        <f t="shared" si="142"/>
        <v>0</v>
      </c>
      <c r="N134" s="337" t="str">
        <f t="shared" si="139"/>
        <v>-</v>
      </c>
      <c r="O134" s="263" t="str">
        <f t="shared" si="133"/>
        <v>-</v>
      </c>
    </row>
    <row r="135" spans="1:15" ht="24" x14ac:dyDescent="0.25">
      <c r="A135" s="274" t="s">
        <v>103</v>
      </c>
      <c r="B135" s="966"/>
      <c r="C135" s="275" t="s">
        <v>323</v>
      </c>
      <c r="D135" s="275" t="s">
        <v>318</v>
      </c>
      <c r="E135" s="276"/>
      <c r="F135" s="277"/>
      <c r="G135" s="333">
        <f t="shared" si="136"/>
        <v>0</v>
      </c>
      <c r="H135" s="278"/>
      <c r="I135" s="278"/>
      <c r="J135" s="352" t="str">
        <f>IFERROR(G135/#REF!,"-")</f>
        <v>-</v>
      </c>
      <c r="K135" s="690">
        <f t="shared" si="137"/>
        <v>0</v>
      </c>
      <c r="L135" s="276">
        <f t="shared" ref="L135:M135" si="143">+H135+L22</f>
        <v>0</v>
      </c>
      <c r="M135" s="436">
        <f t="shared" si="143"/>
        <v>0</v>
      </c>
      <c r="N135" s="337" t="str">
        <f t="shared" si="139"/>
        <v>-</v>
      </c>
      <c r="O135" s="263" t="str">
        <f t="shared" si="133"/>
        <v>-</v>
      </c>
    </row>
    <row r="136" spans="1:15" ht="24" x14ac:dyDescent="0.25">
      <c r="A136" s="274" t="s">
        <v>103</v>
      </c>
      <c r="B136" s="966"/>
      <c r="C136" s="275" t="s">
        <v>352</v>
      </c>
      <c r="D136" s="275" t="s">
        <v>189</v>
      </c>
      <c r="E136" s="276"/>
      <c r="F136" s="277"/>
      <c r="G136" s="333">
        <f t="shared" si="136"/>
        <v>0</v>
      </c>
      <c r="H136" s="278"/>
      <c r="I136" s="278"/>
      <c r="J136" s="352" t="str">
        <f>IFERROR(G136/#REF!,"-")</f>
        <v>-</v>
      </c>
      <c r="K136" s="690">
        <f t="shared" si="137"/>
        <v>0</v>
      </c>
      <c r="L136" s="276">
        <f t="shared" ref="L136:M136" si="144">+H136+L23</f>
        <v>0</v>
      </c>
      <c r="M136" s="436">
        <f t="shared" si="144"/>
        <v>0</v>
      </c>
      <c r="N136" s="337" t="str">
        <f t="shared" si="139"/>
        <v>-</v>
      </c>
      <c r="O136" s="263" t="str">
        <f t="shared" si="133"/>
        <v>-</v>
      </c>
    </row>
    <row r="137" spans="1:15" ht="24.75" thickBot="1" x14ac:dyDescent="0.3">
      <c r="A137" s="274" t="s">
        <v>103</v>
      </c>
      <c r="B137" s="967"/>
      <c r="C137" s="279" t="s">
        <v>341</v>
      </c>
      <c r="D137" s="279" t="s">
        <v>232</v>
      </c>
      <c r="E137" s="280"/>
      <c r="F137" s="281"/>
      <c r="G137" s="334">
        <f t="shared" si="136"/>
        <v>0</v>
      </c>
      <c r="H137" s="282"/>
      <c r="I137" s="282"/>
      <c r="J137" s="353" t="str">
        <f>IFERROR(G137/#REF!,"-")</f>
        <v>-</v>
      </c>
      <c r="K137" s="691">
        <f t="shared" si="137"/>
        <v>0</v>
      </c>
      <c r="L137" s="530">
        <f t="shared" ref="L137:M137" si="145">+H137+L24</f>
        <v>0</v>
      </c>
      <c r="M137" s="462">
        <f t="shared" si="145"/>
        <v>0</v>
      </c>
      <c r="N137" s="338" t="str">
        <f t="shared" si="139"/>
        <v>-</v>
      </c>
      <c r="O137" s="347" t="str">
        <f t="shared" si="133"/>
        <v>-</v>
      </c>
    </row>
    <row r="138" spans="1:15" ht="23.25" thickBot="1" x14ac:dyDescent="0.3">
      <c r="A138" s="274" t="s">
        <v>103</v>
      </c>
      <c r="B138" s="946" t="s">
        <v>45</v>
      </c>
      <c r="C138" s="947"/>
      <c r="D138" s="948"/>
      <c r="E138" s="320">
        <f>SUM(E131:E137)</f>
        <v>0</v>
      </c>
      <c r="F138" s="285">
        <f>SUM(F131:F137)</f>
        <v>100000</v>
      </c>
      <c r="G138" s="320">
        <f>SUM(G131:G137)</f>
        <v>18602</v>
      </c>
      <c r="H138" s="321">
        <f t="shared" ref="H138:I138" si="146">SUM(H131:H137)</f>
        <v>18360</v>
      </c>
      <c r="I138" s="321">
        <f t="shared" si="146"/>
        <v>242</v>
      </c>
      <c r="J138" s="345">
        <f>+G138/F138</f>
        <v>0.18601999999999999</v>
      </c>
      <c r="K138" s="320">
        <f>SUM(K131:K137)</f>
        <v>24954</v>
      </c>
      <c r="L138" s="519">
        <f>SUM(L131:L137)</f>
        <v>24480</v>
      </c>
      <c r="M138" s="689">
        <f t="shared" ref="M138" si="147">SUM(M131:M137)</f>
        <v>474</v>
      </c>
      <c r="N138" s="339" t="str">
        <f>IFERROR(K138/E138,"-")</f>
        <v>-</v>
      </c>
      <c r="O138" s="345">
        <f t="shared" si="133"/>
        <v>1.8994950709305122E-2</v>
      </c>
    </row>
    <row r="139" spans="1:15" ht="24" x14ac:dyDescent="0.25">
      <c r="A139" s="274" t="s">
        <v>103</v>
      </c>
      <c r="B139" s="965" t="s">
        <v>18</v>
      </c>
      <c r="C139" s="269" t="s">
        <v>312</v>
      </c>
      <c r="D139" s="269" t="s">
        <v>92</v>
      </c>
      <c r="E139" s="270"/>
      <c r="F139" s="271"/>
      <c r="G139" s="332">
        <f t="shared" ref="G139:G145" si="148">+H139+I139</f>
        <v>0</v>
      </c>
      <c r="H139" s="272"/>
      <c r="I139" s="272"/>
      <c r="J139" s="351" t="str">
        <f>IFERROR(G139/#REF!,"-")</f>
        <v>-</v>
      </c>
      <c r="K139" s="332">
        <f t="shared" ref="K139:K145" si="149">+L139+M139</f>
        <v>0</v>
      </c>
      <c r="L139" s="272">
        <f t="shared" ref="L139:M139" si="150">+H139+L26</f>
        <v>0</v>
      </c>
      <c r="M139" s="273">
        <f t="shared" si="150"/>
        <v>0</v>
      </c>
      <c r="N139" s="336" t="str">
        <f t="shared" ref="N139:N146" si="151">IFERROR(K139/E139,"-")</f>
        <v>-</v>
      </c>
      <c r="O139" s="346" t="str">
        <f t="shared" si="133"/>
        <v>-</v>
      </c>
    </row>
    <row r="140" spans="1:15" ht="24" x14ac:dyDescent="0.25">
      <c r="A140" s="274" t="s">
        <v>103</v>
      </c>
      <c r="B140" s="966"/>
      <c r="C140" s="275" t="s">
        <v>233</v>
      </c>
      <c r="D140" s="275" t="s">
        <v>234</v>
      </c>
      <c r="E140" s="276"/>
      <c r="F140" s="277"/>
      <c r="G140" s="333">
        <f t="shared" si="148"/>
        <v>0</v>
      </c>
      <c r="H140" s="278"/>
      <c r="I140" s="278"/>
      <c r="J140" s="352" t="str">
        <f>IFERROR(G140/#REF!,"-")</f>
        <v>-</v>
      </c>
      <c r="K140" s="333">
        <f t="shared" si="149"/>
        <v>0</v>
      </c>
      <c r="L140" s="272">
        <f t="shared" ref="L140:M140" si="152">+H140+L27</f>
        <v>0</v>
      </c>
      <c r="M140" s="273">
        <f t="shared" si="152"/>
        <v>0</v>
      </c>
      <c r="N140" s="337" t="str">
        <f t="shared" si="151"/>
        <v>-</v>
      </c>
      <c r="O140" s="263" t="str">
        <f t="shared" si="133"/>
        <v>-</v>
      </c>
    </row>
    <row r="141" spans="1:15" ht="24" x14ac:dyDescent="0.25">
      <c r="A141" s="274" t="s">
        <v>103</v>
      </c>
      <c r="B141" s="966"/>
      <c r="C141" s="275" t="s">
        <v>115</v>
      </c>
      <c r="D141" s="275"/>
      <c r="E141" s="276"/>
      <c r="F141" s="277"/>
      <c r="G141" s="333">
        <f t="shared" si="148"/>
        <v>0</v>
      </c>
      <c r="H141" s="278"/>
      <c r="I141" s="278"/>
      <c r="J141" s="352" t="str">
        <f>IFERROR(G141/#REF!,"-")</f>
        <v>-</v>
      </c>
      <c r="K141" s="333">
        <f t="shared" si="149"/>
        <v>0</v>
      </c>
      <c r="L141" s="272">
        <f t="shared" ref="L141:M141" si="153">+H141+L28</f>
        <v>0</v>
      </c>
      <c r="M141" s="273">
        <f t="shared" si="153"/>
        <v>0</v>
      </c>
      <c r="N141" s="337" t="str">
        <f t="shared" si="151"/>
        <v>-</v>
      </c>
      <c r="O141" s="263" t="str">
        <f t="shared" si="133"/>
        <v>-</v>
      </c>
    </row>
    <row r="142" spans="1:15" ht="24" x14ac:dyDescent="0.25">
      <c r="A142" s="274" t="s">
        <v>103</v>
      </c>
      <c r="B142" s="966"/>
      <c r="C142" s="275" t="s">
        <v>122</v>
      </c>
      <c r="D142" s="275"/>
      <c r="E142" s="276"/>
      <c r="F142" s="277"/>
      <c r="G142" s="333">
        <f t="shared" si="148"/>
        <v>0</v>
      </c>
      <c r="H142" s="278"/>
      <c r="I142" s="278"/>
      <c r="J142" s="352" t="str">
        <f>IFERROR(G142/#REF!,"-")</f>
        <v>-</v>
      </c>
      <c r="K142" s="333">
        <f t="shared" si="149"/>
        <v>0</v>
      </c>
      <c r="L142" s="272">
        <f t="shared" ref="L142:M142" si="154">+H142+L29</f>
        <v>0</v>
      </c>
      <c r="M142" s="273">
        <f t="shared" si="154"/>
        <v>0</v>
      </c>
      <c r="N142" s="337" t="str">
        <f t="shared" si="151"/>
        <v>-</v>
      </c>
      <c r="O142" s="263" t="str">
        <f t="shared" si="133"/>
        <v>-</v>
      </c>
    </row>
    <row r="143" spans="1:15" ht="24" x14ac:dyDescent="0.25">
      <c r="A143" s="274" t="s">
        <v>103</v>
      </c>
      <c r="B143" s="966"/>
      <c r="C143" s="275" t="s">
        <v>176</v>
      </c>
      <c r="D143" s="275" t="s">
        <v>177</v>
      </c>
      <c r="E143" s="276"/>
      <c r="F143" s="277"/>
      <c r="G143" s="333">
        <f t="shared" si="148"/>
        <v>0</v>
      </c>
      <c r="H143" s="278"/>
      <c r="I143" s="278"/>
      <c r="J143" s="352" t="str">
        <f>IFERROR(G143/#REF!,"-")</f>
        <v>-</v>
      </c>
      <c r="K143" s="333">
        <f t="shared" si="149"/>
        <v>0</v>
      </c>
      <c r="L143" s="272">
        <f t="shared" ref="L143:M143" si="155">+H143+L30</f>
        <v>0</v>
      </c>
      <c r="M143" s="273">
        <f t="shared" si="155"/>
        <v>0</v>
      </c>
      <c r="N143" s="337" t="str">
        <f t="shared" si="151"/>
        <v>-</v>
      </c>
      <c r="O143" s="263" t="str">
        <f t="shared" si="133"/>
        <v>-</v>
      </c>
    </row>
    <row r="144" spans="1:15" ht="24" x14ac:dyDescent="0.25">
      <c r="A144" s="274" t="s">
        <v>103</v>
      </c>
      <c r="B144" s="966"/>
      <c r="C144" s="275" t="s">
        <v>179</v>
      </c>
      <c r="D144" s="275" t="s">
        <v>178</v>
      </c>
      <c r="E144" s="276"/>
      <c r="F144" s="277"/>
      <c r="G144" s="333">
        <f t="shared" si="148"/>
        <v>0</v>
      </c>
      <c r="H144" s="278"/>
      <c r="I144" s="278"/>
      <c r="J144" s="352" t="str">
        <f>IFERROR(G144/#REF!,"-")</f>
        <v>-</v>
      </c>
      <c r="K144" s="333">
        <f t="shared" si="149"/>
        <v>0</v>
      </c>
      <c r="L144" s="272">
        <f t="shared" ref="L144:M144" si="156">+H144+L31</f>
        <v>0</v>
      </c>
      <c r="M144" s="273">
        <f t="shared" si="156"/>
        <v>0</v>
      </c>
      <c r="N144" s="337" t="str">
        <f t="shared" si="151"/>
        <v>-</v>
      </c>
      <c r="O144" s="263" t="str">
        <f t="shared" si="133"/>
        <v>-</v>
      </c>
    </row>
    <row r="145" spans="1:15" ht="24.75" thickBot="1" x14ac:dyDescent="0.3">
      <c r="A145" s="274" t="s">
        <v>103</v>
      </c>
      <c r="B145" s="967"/>
      <c r="C145" s="286" t="s">
        <v>180</v>
      </c>
      <c r="D145" s="286" t="s">
        <v>107</v>
      </c>
      <c r="E145" s="280"/>
      <c r="F145" s="281"/>
      <c r="G145" s="334">
        <f t="shared" si="148"/>
        <v>0</v>
      </c>
      <c r="H145" s="282"/>
      <c r="I145" s="282"/>
      <c r="J145" s="353" t="str">
        <f>IFERROR(G145/#REF!,"-")</f>
        <v>-</v>
      </c>
      <c r="K145" s="334">
        <f t="shared" si="149"/>
        <v>0</v>
      </c>
      <c r="L145" s="272">
        <f t="shared" ref="L145:M145" si="157">+H145+L32</f>
        <v>0</v>
      </c>
      <c r="M145" s="273">
        <f t="shared" si="157"/>
        <v>0</v>
      </c>
      <c r="N145" s="338" t="str">
        <f t="shared" si="151"/>
        <v>-</v>
      </c>
      <c r="O145" s="347" t="str">
        <f t="shared" si="133"/>
        <v>-</v>
      </c>
    </row>
    <row r="146" spans="1:15" ht="23.25" thickBot="1" x14ac:dyDescent="0.3">
      <c r="A146" s="274" t="s">
        <v>103</v>
      </c>
      <c r="B146" s="946" t="s">
        <v>29</v>
      </c>
      <c r="C146" s="947"/>
      <c r="D146" s="948"/>
      <c r="E146" s="320">
        <f t="shared" ref="E146" si="158">SUM(E139:E145)</f>
        <v>0</v>
      </c>
      <c r="F146" s="285">
        <v>80000</v>
      </c>
      <c r="G146" s="320">
        <f>SUM(G139:G145)</f>
        <v>0</v>
      </c>
      <c r="H146" s="321">
        <f t="shared" ref="H146:I146" si="159">SUM(H139:H145)</f>
        <v>0</v>
      </c>
      <c r="I146" s="321">
        <f t="shared" si="159"/>
        <v>0</v>
      </c>
      <c r="J146" s="345">
        <f>+G146/F146</f>
        <v>0</v>
      </c>
      <c r="K146" s="320">
        <f t="shared" ref="K146" si="160">SUM(K139:K145)</f>
        <v>0</v>
      </c>
      <c r="L146" s="321">
        <f>SUM(L139:L145)</f>
        <v>0</v>
      </c>
      <c r="M146" s="322">
        <f t="shared" ref="M146" si="161">SUM(M139:M145)</f>
        <v>0</v>
      </c>
      <c r="N146" s="339" t="str">
        <f t="shared" si="151"/>
        <v>-</v>
      </c>
      <c r="O146" s="345" t="str">
        <f t="shared" si="133"/>
        <v>-</v>
      </c>
    </row>
    <row r="147" spans="1:15" ht="24.75" thickBot="1" x14ac:dyDescent="0.3">
      <c r="A147" s="252" t="s">
        <v>103</v>
      </c>
      <c r="B147" s="1004" t="s">
        <v>19</v>
      </c>
      <c r="C147" s="641" t="s">
        <v>235</v>
      </c>
      <c r="D147" s="669" t="s">
        <v>177</v>
      </c>
      <c r="E147" s="674"/>
      <c r="F147" s="671">
        <v>220000</v>
      </c>
      <c r="G147" s="644">
        <f t="shared" ref="G147:G149" si="162">+H147+I147</f>
        <v>0</v>
      </c>
      <c r="H147" s="458"/>
      <c r="I147" s="458"/>
      <c r="J147" s="531" t="str">
        <f>IFERROR(G147/#REF!,"-")</f>
        <v>-</v>
      </c>
      <c r="K147" s="457">
        <f>+L147+M147</f>
        <v>0</v>
      </c>
      <c r="L147" s="458">
        <f t="shared" ref="L147:M147" si="163">+H147+L34</f>
        <v>0</v>
      </c>
      <c r="M147" s="459">
        <f t="shared" si="163"/>
        <v>0</v>
      </c>
      <c r="N147" s="646" t="str">
        <f>IFERROR(K147/E147,"-")</f>
        <v>-</v>
      </c>
      <c r="O147" s="647" t="str">
        <f t="shared" si="133"/>
        <v>-</v>
      </c>
    </row>
    <row r="148" spans="1:15" ht="24.75" thickBot="1" x14ac:dyDescent="0.3">
      <c r="A148" s="252"/>
      <c r="B148" s="1005"/>
      <c r="C148" s="296" t="s">
        <v>377</v>
      </c>
      <c r="D148" s="645" t="s">
        <v>423</v>
      </c>
      <c r="E148" s="675"/>
      <c r="F148" s="672"/>
      <c r="G148" s="640">
        <f t="shared" si="162"/>
        <v>169435</v>
      </c>
      <c r="H148" s="272">
        <v>168960</v>
      </c>
      <c r="I148" s="272">
        <v>475</v>
      </c>
      <c r="J148" s="351" t="str">
        <f>IFERROR(G148/#REF!,"-")</f>
        <v>-</v>
      </c>
      <c r="K148" s="335">
        <f>+L148+M148</f>
        <v>288168</v>
      </c>
      <c r="L148" s="458">
        <f t="shared" ref="L148:M148" si="164">+H148+L35</f>
        <v>287232</v>
      </c>
      <c r="M148" s="459">
        <f t="shared" si="164"/>
        <v>936</v>
      </c>
      <c r="N148" s="340" t="str">
        <f t="shared" ref="N148:N149" si="165">IFERROR(K148/E148,"-")</f>
        <v>-</v>
      </c>
      <c r="O148" s="639">
        <f>IFERROR(M148/K148,"-")</f>
        <v>3.2481052719247104E-3</v>
      </c>
    </row>
    <row r="149" spans="1:15" ht="24.75" thickBot="1" x14ac:dyDescent="0.3">
      <c r="A149" s="252"/>
      <c r="B149" s="1006"/>
      <c r="C149" s="635" t="s">
        <v>342</v>
      </c>
      <c r="D149" s="670"/>
      <c r="E149" s="676"/>
      <c r="F149" s="673"/>
      <c r="G149" s="589">
        <f t="shared" si="162"/>
        <v>0</v>
      </c>
      <c r="H149" s="282"/>
      <c r="I149" s="282"/>
      <c r="J149" s="353"/>
      <c r="K149" s="460">
        <f>+L149+M149</f>
        <v>0</v>
      </c>
      <c r="L149" s="458">
        <f t="shared" ref="L149:M149" si="166">+H149+L36</f>
        <v>0</v>
      </c>
      <c r="M149" s="459">
        <f t="shared" si="166"/>
        <v>0</v>
      </c>
      <c r="N149" s="338" t="str">
        <f t="shared" si="165"/>
        <v>-</v>
      </c>
      <c r="O149" s="636" t="str">
        <f t="shared" ref="O149:O167" si="167">IFERROR(M149/K149,"-")</f>
        <v>-</v>
      </c>
    </row>
    <row r="150" spans="1:15" ht="23.25" thickBot="1" x14ac:dyDescent="0.3">
      <c r="A150" s="274" t="s">
        <v>103</v>
      </c>
      <c r="B150" s="975" t="s">
        <v>46</v>
      </c>
      <c r="C150" s="947"/>
      <c r="D150" s="948"/>
      <c r="E150" s="320">
        <f>SUM(E147:E149)</f>
        <v>0</v>
      </c>
      <c r="F150" s="323">
        <f t="shared" ref="F150" si="168">SUM(F147)</f>
        <v>220000</v>
      </c>
      <c r="G150" s="320">
        <f>SUM(G147)</f>
        <v>0</v>
      </c>
      <c r="H150" s="321">
        <f>SUM(H147:H149)</f>
        <v>168960</v>
      </c>
      <c r="I150" s="321">
        <f>SUM(I147:I149)</f>
        <v>475</v>
      </c>
      <c r="J150" s="345">
        <f>+G150/F150</f>
        <v>0</v>
      </c>
      <c r="K150" s="637">
        <f>SUM(K147:K148)</f>
        <v>288168</v>
      </c>
      <c r="L150" s="321">
        <f>SUM(L147:L148)</f>
        <v>287232</v>
      </c>
      <c r="M150" s="322">
        <f>SUM(M147:M148)</f>
        <v>936</v>
      </c>
      <c r="N150" s="339" t="str">
        <f>IFERROR(K150/E150,"-")</f>
        <v>-</v>
      </c>
      <c r="O150" s="345">
        <f t="shared" si="167"/>
        <v>3.2481052719247104E-3</v>
      </c>
    </row>
    <row r="151" spans="1:15" ht="24" x14ac:dyDescent="0.25">
      <c r="A151" s="274" t="s">
        <v>103</v>
      </c>
      <c r="B151" s="965" t="s">
        <v>20</v>
      </c>
      <c r="C151" s="291" t="s">
        <v>317</v>
      </c>
      <c r="D151" s="291" t="s">
        <v>289</v>
      </c>
      <c r="E151" s="270"/>
      <c r="F151" s="271"/>
      <c r="G151" s="332">
        <f t="shared" ref="G151:G153" si="169">+H151+I151</f>
        <v>0</v>
      </c>
      <c r="H151" s="272"/>
      <c r="I151" s="272"/>
      <c r="J151" s="351" t="str">
        <f>IFERROR(G151/#REF!,"-")</f>
        <v>-</v>
      </c>
      <c r="K151" s="332">
        <f t="shared" ref="K151:K153" si="170">+L151+M151</f>
        <v>0</v>
      </c>
      <c r="L151" s="272">
        <f t="shared" ref="L151:M151" si="171">+H151+L38</f>
        <v>0</v>
      </c>
      <c r="M151" s="273">
        <f t="shared" si="171"/>
        <v>0</v>
      </c>
      <c r="N151" s="336" t="str">
        <f t="shared" ref="N151:N154" si="172">IFERROR(K151/E151,"-")</f>
        <v>-</v>
      </c>
      <c r="O151" s="346" t="str">
        <f t="shared" si="167"/>
        <v>-</v>
      </c>
    </row>
    <row r="152" spans="1:15" ht="24" x14ac:dyDescent="0.25">
      <c r="A152" s="274" t="s">
        <v>103</v>
      </c>
      <c r="B152" s="966"/>
      <c r="C152" s="292" t="s">
        <v>114</v>
      </c>
      <c r="D152" s="292"/>
      <c r="E152" s="276"/>
      <c r="F152" s="277"/>
      <c r="G152" s="333">
        <f t="shared" si="169"/>
        <v>0</v>
      </c>
      <c r="H152" s="278"/>
      <c r="I152" s="278"/>
      <c r="J152" s="352" t="str">
        <f>IFERROR(G152/#REF!,"-")</f>
        <v>-</v>
      </c>
      <c r="K152" s="333">
        <f t="shared" si="170"/>
        <v>0</v>
      </c>
      <c r="L152" s="272">
        <f t="shared" ref="L152:M152" si="173">+H152+L39</f>
        <v>0</v>
      </c>
      <c r="M152" s="273">
        <f t="shared" si="173"/>
        <v>0</v>
      </c>
      <c r="N152" s="337" t="str">
        <f t="shared" si="172"/>
        <v>-</v>
      </c>
      <c r="O152" s="263" t="str">
        <f t="shared" si="167"/>
        <v>-</v>
      </c>
    </row>
    <row r="153" spans="1:15" ht="24.75" thickBot="1" x14ac:dyDescent="0.3">
      <c r="A153" s="274" t="s">
        <v>103</v>
      </c>
      <c r="B153" s="967"/>
      <c r="C153" s="293" t="s">
        <v>120</v>
      </c>
      <c r="D153" s="293"/>
      <c r="E153" s="280"/>
      <c r="F153" s="281"/>
      <c r="G153" s="334">
        <f t="shared" si="169"/>
        <v>0</v>
      </c>
      <c r="H153" s="282"/>
      <c r="I153" s="282"/>
      <c r="J153" s="353" t="str">
        <f>IFERROR(G153/#REF!,"-")</f>
        <v>-</v>
      </c>
      <c r="K153" s="334">
        <f t="shared" si="170"/>
        <v>0</v>
      </c>
      <c r="L153" s="272">
        <f t="shared" ref="L153:M153" si="174">+H153+L40</f>
        <v>0</v>
      </c>
      <c r="M153" s="273">
        <f t="shared" si="174"/>
        <v>0</v>
      </c>
      <c r="N153" s="338" t="str">
        <f t="shared" si="172"/>
        <v>-</v>
      </c>
      <c r="O153" s="347" t="str">
        <f t="shared" si="167"/>
        <v>-</v>
      </c>
    </row>
    <row r="154" spans="1:15" ht="23.25" thickBot="1" x14ac:dyDescent="0.3">
      <c r="A154" s="274" t="s">
        <v>103</v>
      </c>
      <c r="B154" s="947" t="s">
        <v>47</v>
      </c>
      <c r="C154" s="947"/>
      <c r="D154" s="964"/>
      <c r="E154" s="320">
        <f t="shared" ref="E154" si="175">SUM(E151:E153)</f>
        <v>0</v>
      </c>
      <c r="F154" s="285">
        <v>50000</v>
      </c>
      <c r="G154" s="320">
        <f>SUM(G151:G153)</f>
        <v>0</v>
      </c>
      <c r="H154" s="321">
        <f t="shared" ref="H154:I154" si="176">SUM(H151:H153)</f>
        <v>0</v>
      </c>
      <c r="I154" s="321">
        <f t="shared" si="176"/>
        <v>0</v>
      </c>
      <c r="J154" s="345">
        <f>+G154/F154</f>
        <v>0</v>
      </c>
      <c r="K154" s="320">
        <f t="shared" ref="K154:M154" si="177">SUM(K151:K153)</f>
        <v>0</v>
      </c>
      <c r="L154" s="321">
        <f t="shared" si="177"/>
        <v>0</v>
      </c>
      <c r="M154" s="322">
        <f t="shared" si="177"/>
        <v>0</v>
      </c>
      <c r="N154" s="339" t="str">
        <f t="shared" si="172"/>
        <v>-</v>
      </c>
      <c r="O154" s="345" t="str">
        <f t="shared" si="167"/>
        <v>-</v>
      </c>
    </row>
    <row r="155" spans="1:15" ht="23.25" thickBot="1" x14ac:dyDescent="0.3">
      <c r="A155" s="274" t="s">
        <v>103</v>
      </c>
      <c r="B155" s="960" t="s">
        <v>21</v>
      </c>
      <c r="C155" s="961"/>
      <c r="D155" s="962"/>
      <c r="E155" s="326">
        <f>+E130+E138+E146+E150+E154</f>
        <v>0</v>
      </c>
      <c r="F155" s="327">
        <f>+F130+F138+F146+F150+F154</f>
        <v>465000</v>
      </c>
      <c r="G155" s="326">
        <f>+G130+G138+G146+G150+G154</f>
        <v>18602</v>
      </c>
      <c r="H155" s="324">
        <f>+H130+H138+H146+H150+H154</f>
        <v>187320</v>
      </c>
      <c r="I155" s="324">
        <f>+I130+I138+I146+I150+I154</f>
        <v>717</v>
      </c>
      <c r="J155" s="349">
        <f>+G155/F155</f>
        <v>4.0004301075268818E-2</v>
      </c>
      <c r="K155" s="326">
        <f>+K130+K138+K146+K150+K154</f>
        <v>313122</v>
      </c>
      <c r="L155" s="324">
        <f>+L130+L138+L146+L150+L154</f>
        <v>311712</v>
      </c>
      <c r="M155" s="325">
        <f>+M130+M138+M146+M150+M154</f>
        <v>1410</v>
      </c>
      <c r="N155" s="341" t="str">
        <f>IFERROR(K155/E155,"-")</f>
        <v>-</v>
      </c>
      <c r="O155" s="349">
        <f t="shared" si="167"/>
        <v>4.5030371548469925E-3</v>
      </c>
    </row>
    <row r="156" spans="1:15" ht="24" x14ac:dyDescent="0.25">
      <c r="A156" s="274" t="s">
        <v>103</v>
      </c>
      <c r="B156" s="965" t="s">
        <v>400</v>
      </c>
      <c r="C156" s="269" t="s">
        <v>125</v>
      </c>
      <c r="D156" s="269"/>
      <c r="E156" s="270"/>
      <c r="F156" s="271"/>
      <c r="G156" s="332">
        <f t="shared" ref="G156:G159" si="178">+H156+I156</f>
        <v>0</v>
      </c>
      <c r="H156" s="272"/>
      <c r="I156" s="272"/>
      <c r="J156" s="351" t="str">
        <f>IFERROR(G156/#REF!,"-")</f>
        <v>-</v>
      </c>
      <c r="K156" s="332">
        <f t="shared" ref="K156:K159" si="179">+L156+M156</f>
        <v>0</v>
      </c>
      <c r="L156" s="272">
        <f t="shared" ref="L156:M156" si="180">+H156+L43</f>
        <v>0</v>
      </c>
      <c r="M156" s="273">
        <f t="shared" si="180"/>
        <v>0</v>
      </c>
      <c r="N156" s="336" t="str">
        <f t="shared" ref="N156:N167" si="181">IFERROR(K156/E156,"-")</f>
        <v>-</v>
      </c>
      <c r="O156" s="346" t="str">
        <f t="shared" si="167"/>
        <v>-</v>
      </c>
    </row>
    <row r="157" spans="1:15" ht="24" x14ac:dyDescent="0.25">
      <c r="A157" s="274" t="s">
        <v>103</v>
      </c>
      <c r="B157" s="966"/>
      <c r="C157" s="295" t="s">
        <v>263</v>
      </c>
      <c r="D157" s="295" t="s">
        <v>181</v>
      </c>
      <c r="E157" s="276"/>
      <c r="F157" s="277"/>
      <c r="G157" s="333">
        <f t="shared" si="178"/>
        <v>0</v>
      </c>
      <c r="H157" s="278"/>
      <c r="I157" s="278"/>
      <c r="J157" s="352" t="str">
        <f>IFERROR(G157/#REF!,"-")</f>
        <v>-</v>
      </c>
      <c r="K157" s="333">
        <f t="shared" si="179"/>
        <v>0</v>
      </c>
      <c r="L157" s="272">
        <f t="shared" ref="L157:M157" si="182">+H157+L44</f>
        <v>0</v>
      </c>
      <c r="M157" s="273">
        <f t="shared" si="182"/>
        <v>0</v>
      </c>
      <c r="N157" s="337" t="str">
        <f t="shared" si="181"/>
        <v>-</v>
      </c>
      <c r="O157" s="263" t="str">
        <f t="shared" si="167"/>
        <v>-</v>
      </c>
    </row>
    <row r="158" spans="1:15" ht="24" x14ac:dyDescent="0.25">
      <c r="A158" s="274" t="s">
        <v>103</v>
      </c>
      <c r="B158" s="966"/>
      <c r="C158" s="295" t="s">
        <v>362</v>
      </c>
      <c r="D158" s="295" t="s">
        <v>181</v>
      </c>
      <c r="E158" s="276"/>
      <c r="F158" s="277"/>
      <c r="G158" s="333">
        <f t="shared" si="178"/>
        <v>0</v>
      </c>
      <c r="H158" s="278"/>
      <c r="I158" s="278"/>
      <c r="J158" s="352" t="str">
        <f>IFERROR(G158/#REF!,"-")</f>
        <v>-</v>
      </c>
      <c r="K158" s="333">
        <f t="shared" si="179"/>
        <v>0</v>
      </c>
      <c r="L158" s="272">
        <f t="shared" ref="L158:M158" si="183">+H158+L45</f>
        <v>0</v>
      </c>
      <c r="M158" s="273">
        <f t="shared" si="183"/>
        <v>0</v>
      </c>
      <c r="N158" s="337" t="str">
        <f t="shared" si="181"/>
        <v>-</v>
      </c>
      <c r="O158" s="263" t="str">
        <f t="shared" si="167"/>
        <v>-</v>
      </c>
    </row>
    <row r="159" spans="1:15" ht="24.75" thickBot="1" x14ac:dyDescent="0.3">
      <c r="A159" s="274" t="s">
        <v>103</v>
      </c>
      <c r="B159" s="967"/>
      <c r="C159" s="279" t="s">
        <v>182</v>
      </c>
      <c r="D159" s="279" t="s">
        <v>93</v>
      </c>
      <c r="E159" s="280"/>
      <c r="F159" s="281"/>
      <c r="G159" s="334">
        <f t="shared" si="178"/>
        <v>0</v>
      </c>
      <c r="H159" s="282"/>
      <c r="I159" s="282"/>
      <c r="J159" s="353" t="str">
        <f>IFERROR(G159/#REF!,"-")</f>
        <v>-</v>
      </c>
      <c r="K159" s="334">
        <f t="shared" si="179"/>
        <v>0</v>
      </c>
      <c r="L159" s="272">
        <f t="shared" ref="L159:M159" si="184">+H159+L46</f>
        <v>0</v>
      </c>
      <c r="M159" s="273">
        <f t="shared" si="184"/>
        <v>0</v>
      </c>
      <c r="N159" s="338" t="str">
        <f t="shared" si="181"/>
        <v>-</v>
      </c>
      <c r="O159" s="347" t="str">
        <f t="shared" si="167"/>
        <v>-</v>
      </c>
    </row>
    <row r="160" spans="1:15" ht="23.25" thickBot="1" x14ac:dyDescent="0.3">
      <c r="A160" s="274" t="s">
        <v>103</v>
      </c>
      <c r="B160" s="946" t="s">
        <v>48</v>
      </c>
      <c r="C160" s="947"/>
      <c r="D160" s="948"/>
      <c r="E160" s="284">
        <f>SUM(E156:E159)</f>
        <v>0</v>
      </c>
      <c r="F160" s="285">
        <v>80000</v>
      </c>
      <c r="G160" s="320">
        <f>SUM(G156:G159)</f>
        <v>0</v>
      </c>
      <c r="H160" s="321">
        <f t="shared" ref="H160:I160" si="185">SUM(H156:H159)</f>
        <v>0</v>
      </c>
      <c r="I160" s="321">
        <f t="shared" si="185"/>
        <v>0</v>
      </c>
      <c r="J160" s="345">
        <f>+G160/F160</f>
        <v>0</v>
      </c>
      <c r="K160" s="320">
        <f t="shared" ref="K160" si="186">SUM(K156:K159)</f>
        <v>0</v>
      </c>
      <c r="L160" s="321">
        <f>SUM(L156:L159)</f>
        <v>0</v>
      </c>
      <c r="M160" s="322">
        <f t="shared" ref="M160" si="187">SUM(M156:M159)</f>
        <v>0</v>
      </c>
      <c r="N160" s="339" t="str">
        <f t="shared" si="181"/>
        <v>-</v>
      </c>
      <c r="O160" s="345" t="str">
        <f t="shared" si="167"/>
        <v>-</v>
      </c>
    </row>
    <row r="161" spans="1:15" ht="24" x14ac:dyDescent="0.25">
      <c r="A161" s="274" t="s">
        <v>103</v>
      </c>
      <c r="B161" s="965" t="s">
        <v>23</v>
      </c>
      <c r="C161" s="275" t="s">
        <v>240</v>
      </c>
      <c r="D161" s="296" t="s">
        <v>238</v>
      </c>
      <c r="E161" s="270"/>
      <c r="F161" s="271"/>
      <c r="G161" s="332">
        <f t="shared" ref="G161:G169" si="188">+H161+I161</f>
        <v>0</v>
      </c>
      <c r="H161" s="272"/>
      <c r="I161" s="272"/>
      <c r="J161" s="351" t="str">
        <f>IFERROR(G161/#REF!,"-")</f>
        <v>-</v>
      </c>
      <c r="K161" s="332">
        <f t="shared" ref="K161:K169" si="189">+L161+M161</f>
        <v>0</v>
      </c>
      <c r="L161" s="272">
        <f t="shared" ref="L161:M161" si="190">+H161+L48</f>
        <v>0</v>
      </c>
      <c r="M161" s="273">
        <f t="shared" si="190"/>
        <v>0</v>
      </c>
      <c r="N161" s="336" t="str">
        <f t="shared" si="181"/>
        <v>-</v>
      </c>
      <c r="O161" s="346" t="str">
        <f t="shared" si="167"/>
        <v>-</v>
      </c>
    </row>
    <row r="162" spans="1:15" ht="24" x14ac:dyDescent="0.25">
      <c r="A162" s="274" t="s">
        <v>103</v>
      </c>
      <c r="B162" s="966"/>
      <c r="C162" s="275" t="s">
        <v>24</v>
      </c>
      <c r="D162" s="275" t="s">
        <v>238</v>
      </c>
      <c r="E162" s="276"/>
      <c r="F162" s="277"/>
      <c r="G162" s="333">
        <f t="shared" si="188"/>
        <v>0</v>
      </c>
      <c r="H162" s="278"/>
      <c r="I162" s="278"/>
      <c r="J162" s="352" t="str">
        <f>IFERROR(G162/#REF!,"-")</f>
        <v>-</v>
      </c>
      <c r="K162" s="333">
        <f t="shared" si="189"/>
        <v>0</v>
      </c>
      <c r="L162" s="272">
        <f t="shared" ref="L162:M162" si="191">+H162+L49</f>
        <v>0</v>
      </c>
      <c r="M162" s="273">
        <f t="shared" si="191"/>
        <v>0</v>
      </c>
      <c r="N162" s="337" t="str">
        <f t="shared" si="181"/>
        <v>-</v>
      </c>
      <c r="O162" s="263" t="str">
        <f t="shared" si="167"/>
        <v>-</v>
      </c>
    </row>
    <row r="163" spans="1:15" ht="24" x14ac:dyDescent="0.25">
      <c r="A163" s="274" t="s">
        <v>103</v>
      </c>
      <c r="B163" s="966"/>
      <c r="C163" s="275" t="s">
        <v>236</v>
      </c>
      <c r="D163" s="275" t="s">
        <v>238</v>
      </c>
      <c r="E163" s="276"/>
      <c r="F163" s="277"/>
      <c r="G163" s="333">
        <f t="shared" si="188"/>
        <v>0</v>
      </c>
      <c r="H163" s="278"/>
      <c r="I163" s="278"/>
      <c r="J163" s="352" t="str">
        <f>IFERROR(G163/#REF!,"-")</f>
        <v>-</v>
      </c>
      <c r="K163" s="333">
        <f t="shared" si="189"/>
        <v>0</v>
      </c>
      <c r="L163" s="272">
        <f t="shared" ref="L163:M163" si="192">+H163+L50</f>
        <v>0</v>
      </c>
      <c r="M163" s="273">
        <f t="shared" si="192"/>
        <v>0</v>
      </c>
      <c r="N163" s="337" t="str">
        <f t="shared" si="181"/>
        <v>-</v>
      </c>
      <c r="O163" s="263" t="str">
        <f t="shared" si="167"/>
        <v>-</v>
      </c>
    </row>
    <row r="164" spans="1:15" ht="24" x14ac:dyDescent="0.25">
      <c r="A164" s="274" t="s">
        <v>103</v>
      </c>
      <c r="B164" s="966"/>
      <c r="C164" s="275" t="s">
        <v>237</v>
      </c>
      <c r="D164" s="275" t="s">
        <v>238</v>
      </c>
      <c r="E164" s="276"/>
      <c r="F164" s="277"/>
      <c r="G164" s="333">
        <f t="shared" si="188"/>
        <v>0</v>
      </c>
      <c r="H164" s="278"/>
      <c r="I164" s="278"/>
      <c r="J164" s="352" t="str">
        <f>IFERROR(G164/#REF!,"-")</f>
        <v>-</v>
      </c>
      <c r="K164" s="333">
        <f t="shared" si="189"/>
        <v>0</v>
      </c>
      <c r="L164" s="272">
        <f t="shared" ref="L164:M164" si="193">+H164+L51</f>
        <v>0</v>
      </c>
      <c r="M164" s="273">
        <f t="shared" si="193"/>
        <v>0</v>
      </c>
      <c r="N164" s="337" t="str">
        <f t="shared" si="181"/>
        <v>-</v>
      </c>
      <c r="O164" s="263" t="str">
        <f t="shared" si="167"/>
        <v>-</v>
      </c>
    </row>
    <row r="165" spans="1:15" ht="24" x14ac:dyDescent="0.25">
      <c r="A165" s="274" t="s">
        <v>103</v>
      </c>
      <c r="B165" s="966"/>
      <c r="C165" s="295" t="s">
        <v>394</v>
      </c>
      <c r="D165" s="275" t="s">
        <v>238</v>
      </c>
      <c r="E165" s="276"/>
      <c r="F165" s="277"/>
      <c r="G165" s="333">
        <f t="shared" si="188"/>
        <v>0</v>
      </c>
      <c r="H165" s="278"/>
      <c r="I165" s="278"/>
      <c r="J165" s="352" t="str">
        <f>IFERROR(G165/#REF!,"-")</f>
        <v>-</v>
      </c>
      <c r="K165" s="333">
        <f t="shared" si="189"/>
        <v>0</v>
      </c>
      <c r="L165" s="272">
        <f t="shared" ref="L165:M165" si="194">+H165+L52</f>
        <v>0</v>
      </c>
      <c r="M165" s="273">
        <f t="shared" si="194"/>
        <v>0</v>
      </c>
      <c r="N165" s="337" t="str">
        <f t="shared" si="181"/>
        <v>-</v>
      </c>
      <c r="O165" s="263" t="str">
        <f t="shared" si="167"/>
        <v>-</v>
      </c>
    </row>
    <row r="166" spans="1:15" ht="24" x14ac:dyDescent="0.25">
      <c r="A166" s="274" t="s">
        <v>103</v>
      </c>
      <c r="B166" s="966"/>
      <c r="C166" s="295" t="s">
        <v>422</v>
      </c>
      <c r="D166" s="275" t="s">
        <v>238</v>
      </c>
      <c r="E166" s="276"/>
      <c r="F166" s="277"/>
      <c r="G166" s="333">
        <f t="shared" si="188"/>
        <v>0</v>
      </c>
      <c r="H166" s="278"/>
      <c r="I166" s="278"/>
      <c r="J166" s="352" t="str">
        <f>IFERROR(G166/#REF!,"-")</f>
        <v>-</v>
      </c>
      <c r="K166" s="333">
        <f t="shared" si="189"/>
        <v>0</v>
      </c>
      <c r="L166" s="272">
        <f t="shared" ref="L166:M166" si="195">+H166+L53</f>
        <v>0</v>
      </c>
      <c r="M166" s="273">
        <f t="shared" si="195"/>
        <v>0</v>
      </c>
      <c r="N166" s="337" t="str">
        <f t="shared" si="181"/>
        <v>-</v>
      </c>
      <c r="O166" s="263" t="str">
        <f t="shared" si="167"/>
        <v>-</v>
      </c>
    </row>
    <row r="167" spans="1:15" ht="24" x14ac:dyDescent="0.25">
      <c r="A167" s="274" t="s">
        <v>103</v>
      </c>
      <c r="B167" s="966"/>
      <c r="C167" s="295" t="s">
        <v>241</v>
      </c>
      <c r="D167" s="275" t="s">
        <v>243</v>
      </c>
      <c r="E167" s="276"/>
      <c r="F167" s="277"/>
      <c r="G167" s="333">
        <f t="shared" si="188"/>
        <v>0</v>
      </c>
      <c r="H167" s="278"/>
      <c r="I167" s="278"/>
      <c r="J167" s="352" t="str">
        <f>IFERROR(G167/#REF!,"-")</f>
        <v>-</v>
      </c>
      <c r="K167" s="333">
        <f t="shared" si="189"/>
        <v>0</v>
      </c>
      <c r="L167" s="272">
        <f t="shared" ref="L167:M167" si="196">+H167+L54</f>
        <v>0</v>
      </c>
      <c r="M167" s="273">
        <f t="shared" si="196"/>
        <v>0</v>
      </c>
      <c r="N167" s="337" t="str">
        <f t="shared" si="181"/>
        <v>-</v>
      </c>
      <c r="O167" s="263" t="str">
        <f t="shared" si="167"/>
        <v>-</v>
      </c>
    </row>
    <row r="168" spans="1:15" ht="24" x14ac:dyDescent="0.25">
      <c r="A168" s="274"/>
      <c r="B168" s="967"/>
      <c r="C168" s="295" t="s">
        <v>456</v>
      </c>
      <c r="D168" s="275" t="s">
        <v>238</v>
      </c>
      <c r="E168" s="280"/>
      <c r="F168" s="281"/>
      <c r="G168" s="333">
        <f t="shared" si="188"/>
        <v>0</v>
      </c>
      <c r="H168" s="282"/>
      <c r="I168" s="282"/>
      <c r="J168" s="352" t="str">
        <f>IFERROR(G168/#REF!,"-")</f>
        <v>-</v>
      </c>
      <c r="K168" s="333">
        <f t="shared" si="189"/>
        <v>0</v>
      </c>
      <c r="L168" s="272">
        <f t="shared" ref="L168:M168" si="197">+H168+L55</f>
        <v>0</v>
      </c>
      <c r="M168" s="273">
        <f t="shared" si="197"/>
        <v>0</v>
      </c>
      <c r="N168" s="338"/>
      <c r="O168" s="347"/>
    </row>
    <row r="169" spans="1:15" ht="24.75" thickBot="1" x14ac:dyDescent="0.3">
      <c r="A169" s="274" t="s">
        <v>103</v>
      </c>
      <c r="B169" s="967"/>
      <c r="C169" s="295" t="s">
        <v>242</v>
      </c>
      <c r="D169" s="275" t="s">
        <v>238</v>
      </c>
      <c r="E169" s="280"/>
      <c r="F169" s="281"/>
      <c r="G169" s="334">
        <f t="shared" si="188"/>
        <v>0</v>
      </c>
      <c r="H169" s="282"/>
      <c r="I169" s="282"/>
      <c r="J169" s="353" t="str">
        <f>IFERROR(G169/#REF!,"-")</f>
        <v>-</v>
      </c>
      <c r="K169" s="334">
        <f t="shared" si="189"/>
        <v>0</v>
      </c>
      <c r="L169" s="272">
        <f t="shared" ref="L169:M169" si="198">+H169+L56</f>
        <v>0</v>
      </c>
      <c r="M169" s="273">
        <f t="shared" si="198"/>
        <v>0</v>
      </c>
      <c r="N169" s="338" t="str">
        <f t="shared" ref="N169:N171" si="199">IFERROR(K169/E169,"-")</f>
        <v>-</v>
      </c>
      <c r="O169" s="347" t="str">
        <f t="shared" ref="O169:O186" si="200">IFERROR(M169/K169,"-")</f>
        <v>-</v>
      </c>
    </row>
    <row r="170" spans="1:15" ht="23.25" thickBot="1" x14ac:dyDescent="0.3">
      <c r="A170" s="274" t="s">
        <v>103</v>
      </c>
      <c r="B170" s="946" t="s">
        <v>49</v>
      </c>
      <c r="C170" s="947"/>
      <c r="D170" s="948"/>
      <c r="E170" s="284">
        <f>SUM(E161:E169)</f>
        <v>0</v>
      </c>
      <c r="F170" s="285">
        <v>14000</v>
      </c>
      <c r="G170" s="320">
        <f>SUM(G161:G169)</f>
        <v>0</v>
      </c>
      <c r="H170" s="321">
        <f t="shared" ref="H170:I170" si="201">SUM(H161:H169)</f>
        <v>0</v>
      </c>
      <c r="I170" s="321">
        <f t="shared" si="201"/>
        <v>0</v>
      </c>
      <c r="J170" s="345">
        <f>+G171/F171</f>
        <v>0</v>
      </c>
      <c r="K170" s="320">
        <f>SUM(K161:K169)</f>
        <v>0</v>
      </c>
      <c r="L170" s="321">
        <f>+H170</f>
        <v>0</v>
      </c>
      <c r="M170" s="322">
        <f>+I170</f>
        <v>0</v>
      </c>
      <c r="N170" s="339" t="str">
        <f t="shared" si="199"/>
        <v>-</v>
      </c>
      <c r="O170" s="345" t="str">
        <f t="shared" si="200"/>
        <v>-</v>
      </c>
    </row>
    <row r="171" spans="1:15" ht="23.25" thickBot="1" x14ac:dyDescent="0.3">
      <c r="A171" s="274" t="s">
        <v>103</v>
      </c>
      <c r="B171" s="960" t="s">
        <v>25</v>
      </c>
      <c r="C171" s="961"/>
      <c r="D171" s="962"/>
      <c r="E171" s="326">
        <f t="shared" ref="E171:F171" si="202">+E160+E170</f>
        <v>0</v>
      </c>
      <c r="F171" s="327">
        <f t="shared" si="202"/>
        <v>94000</v>
      </c>
      <c r="G171" s="326">
        <f>+G160+G170</f>
        <v>0</v>
      </c>
      <c r="H171" s="324">
        <f t="shared" ref="H171:I171" si="203">+H160+H170</f>
        <v>0</v>
      </c>
      <c r="I171" s="324">
        <f t="shared" si="203"/>
        <v>0</v>
      </c>
      <c r="J171" s="349" t="str">
        <f>IFERROR(G171/#REF!,"-")</f>
        <v>-</v>
      </c>
      <c r="K171" s="326">
        <f t="shared" ref="K171" si="204">+K160+K170</f>
        <v>0</v>
      </c>
      <c r="L171" s="324">
        <f>+L160+L170</f>
        <v>0</v>
      </c>
      <c r="M171" s="325">
        <f t="shared" ref="M171" si="205">+M160+M170</f>
        <v>0</v>
      </c>
      <c r="N171" s="341" t="str">
        <f t="shared" si="199"/>
        <v>-</v>
      </c>
      <c r="O171" s="349" t="str">
        <f t="shared" si="200"/>
        <v>-</v>
      </c>
    </row>
    <row r="172" spans="1:15" ht="23.25" thickBot="1" x14ac:dyDescent="0.3">
      <c r="A172" s="274" t="s">
        <v>103</v>
      </c>
      <c r="B172" s="963" t="s">
        <v>172</v>
      </c>
      <c r="C172" s="941"/>
      <c r="D172" s="942"/>
      <c r="E172" s="330">
        <f>+E155+E171</f>
        <v>0</v>
      </c>
      <c r="F172" s="331">
        <f t="shared" ref="F172:I172" si="206">+F155+F171</f>
        <v>559000</v>
      </c>
      <c r="G172" s="330">
        <f t="shared" si="206"/>
        <v>18602</v>
      </c>
      <c r="H172" s="328">
        <f t="shared" si="206"/>
        <v>187320</v>
      </c>
      <c r="I172" s="328">
        <f t="shared" si="206"/>
        <v>717</v>
      </c>
      <c r="J172" s="350">
        <f>+G172/F172</f>
        <v>3.3277280858676206E-2</v>
      </c>
      <c r="K172" s="330">
        <f>+K155+K171</f>
        <v>313122</v>
      </c>
      <c r="L172" s="328">
        <f t="shared" ref="L172:M172" si="207">+L155+L171</f>
        <v>311712</v>
      </c>
      <c r="M172" s="329">
        <f t="shared" si="207"/>
        <v>1410</v>
      </c>
      <c r="N172" s="342" t="str">
        <f>IFERROR(K172/E172,"-")</f>
        <v>-</v>
      </c>
      <c r="O172" s="350">
        <f t="shared" si="200"/>
        <v>4.5030371548469925E-3</v>
      </c>
    </row>
    <row r="173" spans="1:15" ht="24" x14ac:dyDescent="0.25">
      <c r="A173" s="268" t="s">
        <v>101</v>
      </c>
      <c r="B173" s="956" t="s">
        <v>26</v>
      </c>
      <c r="C173" s="297" t="s">
        <v>297</v>
      </c>
      <c r="D173" s="297" t="s">
        <v>177</v>
      </c>
      <c r="E173" s="270"/>
      <c r="F173" s="271"/>
      <c r="G173" s="332">
        <f t="shared" ref="G173:G182" si="208">+H173+I173</f>
        <v>0</v>
      </c>
      <c r="H173" s="272"/>
      <c r="I173" s="272"/>
      <c r="J173" s="351" t="str">
        <f>IFERROR(G173/#REF!,"-")</f>
        <v>-</v>
      </c>
      <c r="K173" s="332">
        <f t="shared" ref="K173:K182" si="209">+L173+M173</f>
        <v>0</v>
      </c>
      <c r="L173" s="272">
        <f t="shared" ref="L173:M173" si="210">+H173+L60</f>
        <v>0</v>
      </c>
      <c r="M173" s="273">
        <f t="shared" si="210"/>
        <v>0</v>
      </c>
      <c r="N173" s="336" t="str">
        <f t="shared" ref="N173:N174" si="211">IFERROR(K173/E173,"-")</f>
        <v>-</v>
      </c>
      <c r="O173" s="346" t="str">
        <f t="shared" si="200"/>
        <v>-</v>
      </c>
    </row>
    <row r="174" spans="1:15" ht="24" x14ac:dyDescent="0.25">
      <c r="A174" s="274" t="s">
        <v>101</v>
      </c>
      <c r="B174" s="956"/>
      <c r="C174" s="298" t="s">
        <v>424</v>
      </c>
      <c r="D174" s="298" t="s">
        <v>423</v>
      </c>
      <c r="E174" s="276"/>
      <c r="F174" s="277"/>
      <c r="G174" s="333">
        <f t="shared" si="208"/>
        <v>128161</v>
      </c>
      <c r="H174" s="278">
        <v>127296</v>
      </c>
      <c r="I174" s="278">
        <v>865</v>
      </c>
      <c r="J174" s="352" t="str">
        <f>IFERROR(G174/#REF!,"-")</f>
        <v>-</v>
      </c>
      <c r="K174" s="333">
        <f t="shared" si="209"/>
        <v>200748</v>
      </c>
      <c r="L174" s="272">
        <f t="shared" ref="L174:M174" si="212">+H174+L61</f>
        <v>198900</v>
      </c>
      <c r="M174" s="273">
        <f t="shared" si="212"/>
        <v>1848</v>
      </c>
      <c r="N174" s="337" t="str">
        <f t="shared" si="211"/>
        <v>-</v>
      </c>
      <c r="O174" s="263">
        <f t="shared" si="200"/>
        <v>9.205571163847211E-3</v>
      </c>
    </row>
    <row r="175" spans="1:15" ht="24" x14ac:dyDescent="0.25">
      <c r="A175" s="274" t="s">
        <v>101</v>
      </c>
      <c r="B175" s="956"/>
      <c r="C175" s="299" t="s">
        <v>27</v>
      </c>
      <c r="D175" s="299" t="s">
        <v>334</v>
      </c>
      <c r="E175" s="280"/>
      <c r="F175" s="281"/>
      <c r="G175" s="333">
        <f t="shared" si="208"/>
        <v>0</v>
      </c>
      <c r="H175" s="282"/>
      <c r="I175" s="282"/>
      <c r="J175" s="353" t="str">
        <f>IFERROR(G175/#REF!,"-")</f>
        <v>-</v>
      </c>
      <c r="K175" s="333">
        <f t="shared" si="209"/>
        <v>0</v>
      </c>
      <c r="L175" s="272">
        <f t="shared" ref="L175:M175" si="213">+H175+L62</f>
        <v>0</v>
      </c>
      <c r="M175" s="273">
        <f t="shared" si="213"/>
        <v>0</v>
      </c>
      <c r="N175" s="283"/>
      <c r="O175" s="263" t="str">
        <f t="shared" si="200"/>
        <v>-</v>
      </c>
    </row>
    <row r="176" spans="1:15" ht="24" x14ac:dyDescent="0.25">
      <c r="A176" s="274" t="s">
        <v>101</v>
      </c>
      <c r="B176" s="956"/>
      <c r="C176" s="299" t="s">
        <v>27</v>
      </c>
      <c r="D176" s="299" t="s">
        <v>234</v>
      </c>
      <c r="E176" s="280"/>
      <c r="F176" s="281"/>
      <c r="G176" s="333">
        <f t="shared" si="208"/>
        <v>0</v>
      </c>
      <c r="H176" s="282"/>
      <c r="I176" s="282"/>
      <c r="J176" s="353" t="str">
        <f>IFERROR(G176/#REF!,"-")</f>
        <v>-</v>
      </c>
      <c r="K176" s="333">
        <f t="shared" si="209"/>
        <v>0</v>
      </c>
      <c r="L176" s="272">
        <f t="shared" ref="L176:M176" si="214">+H176+L63</f>
        <v>0</v>
      </c>
      <c r="M176" s="273">
        <f t="shared" si="214"/>
        <v>0</v>
      </c>
      <c r="N176" s="283"/>
      <c r="O176" s="263" t="str">
        <f t="shared" si="200"/>
        <v>-</v>
      </c>
    </row>
    <row r="177" spans="1:15" ht="24" x14ac:dyDescent="0.25">
      <c r="A177" s="274" t="s">
        <v>101</v>
      </c>
      <c r="B177" s="956"/>
      <c r="C177" s="299" t="s">
        <v>27</v>
      </c>
      <c r="D177" s="299" t="s">
        <v>279</v>
      </c>
      <c r="E177" s="280"/>
      <c r="F177" s="281"/>
      <c r="G177" s="333">
        <f t="shared" si="208"/>
        <v>0</v>
      </c>
      <c r="H177" s="282"/>
      <c r="I177" s="282"/>
      <c r="J177" s="353" t="str">
        <f>IFERROR(G177/#REF!,"-")</f>
        <v>-</v>
      </c>
      <c r="K177" s="333">
        <f t="shared" si="209"/>
        <v>0</v>
      </c>
      <c r="L177" s="272">
        <f t="shared" ref="L177:M177" si="215">+H177+L64</f>
        <v>0</v>
      </c>
      <c r="M177" s="273">
        <f t="shared" si="215"/>
        <v>0</v>
      </c>
      <c r="N177" s="283"/>
      <c r="O177" s="263" t="str">
        <f t="shared" si="200"/>
        <v>-</v>
      </c>
    </row>
    <row r="178" spans="1:15" ht="22.5" customHeight="1" x14ac:dyDescent="0.25">
      <c r="A178" s="274"/>
      <c r="B178" s="956"/>
      <c r="C178" s="299" t="s">
        <v>432</v>
      </c>
      <c r="D178" s="299" t="s">
        <v>178</v>
      </c>
      <c r="E178" s="280"/>
      <c r="F178" s="281"/>
      <c r="G178" s="334">
        <f t="shared" si="208"/>
        <v>0</v>
      </c>
      <c r="H178" s="282"/>
      <c r="I178" s="282"/>
      <c r="J178" s="353" t="str">
        <f>IFERROR(G178/#REF!,"-")</f>
        <v>-</v>
      </c>
      <c r="K178" s="334">
        <f t="shared" si="209"/>
        <v>0</v>
      </c>
      <c r="L178" s="272">
        <f t="shared" ref="L178:M178" si="216">+H178+L65</f>
        <v>0</v>
      </c>
      <c r="M178" s="273">
        <f t="shared" si="216"/>
        <v>0</v>
      </c>
      <c r="N178" s="283"/>
      <c r="O178" s="263" t="str">
        <f t="shared" si="200"/>
        <v>-</v>
      </c>
    </row>
    <row r="179" spans="1:15" ht="24" x14ac:dyDescent="0.25">
      <c r="A179" s="274"/>
      <c r="B179" s="956"/>
      <c r="C179" s="299" t="s">
        <v>333</v>
      </c>
      <c r="D179" s="299" t="s">
        <v>94</v>
      </c>
      <c r="E179" s="280"/>
      <c r="F179" s="281"/>
      <c r="G179" s="334">
        <f t="shared" si="208"/>
        <v>0</v>
      </c>
      <c r="H179" s="282"/>
      <c r="I179" s="282"/>
      <c r="J179" s="353" t="str">
        <f>IFERROR(G179/#REF!,"-")</f>
        <v>-</v>
      </c>
      <c r="K179" s="334">
        <f t="shared" si="209"/>
        <v>0</v>
      </c>
      <c r="L179" s="272">
        <f t="shared" ref="L179:M179" si="217">+H179+L66</f>
        <v>0</v>
      </c>
      <c r="M179" s="273">
        <f t="shared" si="217"/>
        <v>0</v>
      </c>
      <c r="N179" s="283"/>
      <c r="O179" s="263" t="str">
        <f t="shared" si="200"/>
        <v>-</v>
      </c>
    </row>
    <row r="180" spans="1:15" ht="24" x14ac:dyDescent="0.25">
      <c r="A180" s="274"/>
      <c r="B180" s="956"/>
      <c r="C180" s="299" t="s">
        <v>433</v>
      </c>
      <c r="D180" s="299" t="s">
        <v>178</v>
      </c>
      <c r="E180" s="280"/>
      <c r="F180" s="281"/>
      <c r="G180" s="334">
        <f t="shared" si="208"/>
        <v>0</v>
      </c>
      <c r="H180" s="282"/>
      <c r="I180" s="282"/>
      <c r="J180" s="353" t="str">
        <f>IFERROR(G180/#REF!,"-")</f>
        <v>-</v>
      </c>
      <c r="K180" s="334">
        <f t="shared" si="209"/>
        <v>0</v>
      </c>
      <c r="L180" s="272">
        <f t="shared" ref="L180:M180" si="218">+H180+L67</f>
        <v>0</v>
      </c>
      <c r="M180" s="272">
        <f t="shared" si="218"/>
        <v>0</v>
      </c>
      <c r="N180" s="283"/>
      <c r="O180" s="263" t="str">
        <f t="shared" si="200"/>
        <v>-</v>
      </c>
    </row>
    <row r="181" spans="1:15" ht="24" x14ac:dyDescent="0.25">
      <c r="A181" s="274"/>
      <c r="B181" s="956"/>
      <c r="C181" s="299" t="s">
        <v>382</v>
      </c>
      <c r="D181" s="299" t="s">
        <v>366</v>
      </c>
      <c r="E181" s="280"/>
      <c r="F181" s="281"/>
      <c r="G181" s="334">
        <f t="shared" si="208"/>
        <v>0</v>
      </c>
      <c r="H181" s="282"/>
      <c r="I181" s="282"/>
      <c r="J181" s="353" t="str">
        <f>IFERROR(G181/#REF!,"-")</f>
        <v>-</v>
      </c>
      <c r="K181" s="334">
        <f t="shared" si="209"/>
        <v>0</v>
      </c>
      <c r="L181" s="272">
        <f t="shared" ref="L181:M181" si="219">+H181+L68</f>
        <v>0</v>
      </c>
      <c r="M181" s="273">
        <f t="shared" si="219"/>
        <v>0</v>
      </c>
      <c r="N181" s="283"/>
      <c r="O181" s="263" t="str">
        <f t="shared" si="200"/>
        <v>-</v>
      </c>
    </row>
    <row r="182" spans="1:15" ht="24.75" thickBot="1" x14ac:dyDescent="0.3">
      <c r="A182" s="274" t="s">
        <v>101</v>
      </c>
      <c r="B182" s="956"/>
      <c r="C182" s="300" t="s">
        <v>290</v>
      </c>
      <c r="D182" s="299" t="s">
        <v>289</v>
      </c>
      <c r="E182" s="280"/>
      <c r="F182" s="281"/>
      <c r="G182" s="334">
        <f t="shared" si="208"/>
        <v>0</v>
      </c>
      <c r="H182" s="282"/>
      <c r="I182" s="282"/>
      <c r="J182" s="353" t="str">
        <f>IFERROR(G182/#REF!,"-")</f>
        <v>-</v>
      </c>
      <c r="K182" s="334">
        <f t="shared" si="209"/>
        <v>0</v>
      </c>
      <c r="L182" s="272">
        <f t="shared" ref="L182:M182" si="220">+H182+L69</f>
        <v>0</v>
      </c>
      <c r="M182" s="273">
        <f t="shared" si="220"/>
        <v>0</v>
      </c>
      <c r="N182" s="338" t="str">
        <f t="shared" ref="N182:N186" si="221">IFERROR(K182/E182,"-")</f>
        <v>-</v>
      </c>
      <c r="O182" s="347" t="str">
        <f t="shared" si="200"/>
        <v>-</v>
      </c>
    </row>
    <row r="183" spans="1:15" ht="23.25" thickBot="1" x14ac:dyDescent="0.3">
      <c r="A183" s="274" t="s">
        <v>101</v>
      </c>
      <c r="B183" s="969"/>
      <c r="C183" s="301"/>
      <c r="D183" s="302" t="s">
        <v>52</v>
      </c>
      <c r="E183" s="284">
        <f>SUM(E173:E182)</f>
        <v>0</v>
      </c>
      <c r="F183" s="285">
        <v>160000</v>
      </c>
      <c r="G183" s="320">
        <f>SUM(G173:G182)</f>
        <v>128161</v>
      </c>
      <c r="H183" s="321">
        <f>SUM(H173:H182)</f>
        <v>127296</v>
      </c>
      <c r="I183" s="321">
        <f>SUM(I173:I182)</f>
        <v>865</v>
      </c>
      <c r="J183" s="345">
        <f>+G183/F183</f>
        <v>0.80100625000000003</v>
      </c>
      <c r="K183" s="320">
        <f>SUM(K173:K182)</f>
        <v>200748</v>
      </c>
      <c r="L183" s="321">
        <f>SUM(L173:L182)</f>
        <v>198900</v>
      </c>
      <c r="M183" s="322">
        <f>SUM(M173:M182)</f>
        <v>1848</v>
      </c>
      <c r="N183" s="339" t="str">
        <f t="shared" si="221"/>
        <v>-</v>
      </c>
      <c r="O183" s="345">
        <f t="shared" si="200"/>
        <v>9.205571163847211E-3</v>
      </c>
    </row>
    <row r="184" spans="1:15" ht="24" x14ac:dyDescent="0.25">
      <c r="A184" s="274" t="s">
        <v>101</v>
      </c>
      <c r="B184" s="955" t="s">
        <v>28</v>
      </c>
      <c r="C184" s="299" t="s">
        <v>27</v>
      </c>
      <c r="D184" s="297" t="s">
        <v>178</v>
      </c>
      <c r="E184" s="270"/>
      <c r="F184" s="271"/>
      <c r="G184" s="332">
        <f t="shared" ref="G184:G188" si="222">+H184+I184</f>
        <v>0</v>
      </c>
      <c r="H184" s="272"/>
      <c r="I184" s="272"/>
      <c r="J184" s="351" t="str">
        <f>IFERROR(G184/#REF!,"-")</f>
        <v>-</v>
      </c>
      <c r="K184" s="332">
        <f t="shared" ref="K184:K190" si="223">+L184+M184</f>
        <v>0</v>
      </c>
      <c r="L184" s="272">
        <f t="shared" ref="L184:M184" si="224">+H184+L71</f>
        <v>0</v>
      </c>
      <c r="M184" s="273">
        <f t="shared" si="224"/>
        <v>0</v>
      </c>
      <c r="N184" s="336" t="str">
        <f t="shared" si="221"/>
        <v>-</v>
      </c>
      <c r="O184" s="346" t="str">
        <f t="shared" si="200"/>
        <v>-</v>
      </c>
    </row>
    <row r="185" spans="1:15" ht="24" x14ac:dyDescent="0.25">
      <c r="A185" s="274" t="s">
        <v>101</v>
      </c>
      <c r="B185" s="956"/>
      <c r="C185" s="299" t="s">
        <v>385</v>
      </c>
      <c r="D185" s="299" t="s">
        <v>334</v>
      </c>
      <c r="E185" s="276"/>
      <c r="F185" s="277"/>
      <c r="G185" s="333">
        <f t="shared" si="222"/>
        <v>48213</v>
      </c>
      <c r="H185" s="278">
        <v>47736</v>
      </c>
      <c r="I185" s="278">
        <v>477</v>
      </c>
      <c r="J185" s="352" t="str">
        <f>IFERROR(G185/#REF!,"-")</f>
        <v>-</v>
      </c>
      <c r="K185" s="333">
        <f t="shared" si="223"/>
        <v>68541</v>
      </c>
      <c r="L185" s="272">
        <f t="shared" ref="L185:M185" si="225">+H185+L72</f>
        <v>67626</v>
      </c>
      <c r="M185" s="273">
        <f t="shared" si="225"/>
        <v>915</v>
      </c>
      <c r="N185" s="337" t="str">
        <f t="shared" si="221"/>
        <v>-</v>
      </c>
      <c r="O185" s="263">
        <f t="shared" si="200"/>
        <v>1.3349673917801024E-2</v>
      </c>
    </row>
    <row r="186" spans="1:15" ht="24" x14ac:dyDescent="0.25">
      <c r="A186" s="274" t="s">
        <v>101</v>
      </c>
      <c r="B186" s="956"/>
      <c r="C186" s="299" t="s">
        <v>27</v>
      </c>
      <c r="D186" s="299" t="s">
        <v>334</v>
      </c>
      <c r="E186" s="276"/>
      <c r="F186" s="277"/>
      <c r="G186" s="333">
        <f t="shared" si="222"/>
        <v>0</v>
      </c>
      <c r="H186" s="278"/>
      <c r="I186" s="278"/>
      <c r="J186" s="352" t="str">
        <f>IFERROR(G186/#REF!,"-")</f>
        <v>-</v>
      </c>
      <c r="K186" s="333">
        <f t="shared" si="223"/>
        <v>0</v>
      </c>
      <c r="L186" s="272">
        <f t="shared" ref="L186:M186" si="226">+H186+L73</f>
        <v>0</v>
      </c>
      <c r="M186" s="273">
        <f t="shared" si="226"/>
        <v>0</v>
      </c>
      <c r="N186" s="337" t="str">
        <f t="shared" si="221"/>
        <v>-</v>
      </c>
      <c r="O186" s="263" t="str">
        <f t="shared" si="200"/>
        <v>-</v>
      </c>
    </row>
    <row r="187" spans="1:15" ht="24" x14ac:dyDescent="0.25">
      <c r="A187" s="274"/>
      <c r="B187" s="956"/>
      <c r="C187" s="299" t="s">
        <v>460</v>
      </c>
      <c r="D187" s="299" t="s">
        <v>334</v>
      </c>
      <c r="E187" s="280"/>
      <c r="F187" s="281"/>
      <c r="G187" s="333">
        <f t="shared" si="222"/>
        <v>0</v>
      </c>
      <c r="H187" s="282"/>
      <c r="I187" s="282"/>
      <c r="J187" s="352" t="str">
        <f>IFERROR(G187/#REF!,"-")</f>
        <v>-</v>
      </c>
      <c r="K187" s="333">
        <f t="shared" si="223"/>
        <v>0</v>
      </c>
      <c r="L187" s="272">
        <f t="shared" ref="L187:M187" si="227">+H187+L74</f>
        <v>0</v>
      </c>
      <c r="M187" s="273">
        <f t="shared" si="227"/>
        <v>0</v>
      </c>
      <c r="N187" s="338"/>
      <c r="O187" s="347"/>
    </row>
    <row r="188" spans="1:15" ht="24" x14ac:dyDescent="0.25">
      <c r="A188" s="274" t="s">
        <v>101</v>
      </c>
      <c r="B188" s="956"/>
      <c r="C188" s="299" t="s">
        <v>382</v>
      </c>
      <c r="D188" s="300" t="s">
        <v>366</v>
      </c>
      <c r="E188" s="280"/>
      <c r="F188" s="281"/>
      <c r="G188" s="334">
        <f t="shared" si="222"/>
        <v>0</v>
      </c>
      <c r="H188" s="282"/>
      <c r="I188" s="282"/>
      <c r="J188" s="352" t="str">
        <f>IFERROR(G188/#REF!,"-")</f>
        <v>-</v>
      </c>
      <c r="K188" s="334">
        <f t="shared" si="223"/>
        <v>0</v>
      </c>
      <c r="L188" s="272">
        <f t="shared" ref="L188:M188" si="228">+H188+L75</f>
        <v>0</v>
      </c>
      <c r="M188" s="702">
        <f t="shared" si="228"/>
        <v>0</v>
      </c>
      <c r="N188" s="338" t="str">
        <f t="shared" ref="N188" si="229">IFERROR(K188/E188,"-")</f>
        <v>-</v>
      </c>
      <c r="O188" s="347" t="str">
        <f t="shared" ref="O188" si="230">IFERROR(M188/K188,"-")</f>
        <v>-</v>
      </c>
    </row>
    <row r="189" spans="1:15" ht="24" x14ac:dyDescent="0.25">
      <c r="A189" s="274"/>
      <c r="B189" s="956"/>
      <c r="C189" s="299" t="s">
        <v>458</v>
      </c>
      <c r="D189" s="300" t="s">
        <v>280</v>
      </c>
      <c r="E189" s="280"/>
      <c r="F189" s="281"/>
      <c r="G189" s="334"/>
      <c r="H189" s="282"/>
      <c r="I189" s="282"/>
      <c r="J189" s="352" t="str">
        <f>IFERROR(G189/#REF!,"-")</f>
        <v>-</v>
      </c>
      <c r="K189" s="334">
        <f t="shared" si="223"/>
        <v>0</v>
      </c>
      <c r="L189" s="272">
        <f t="shared" ref="L189:M189" si="231">+H189+L76</f>
        <v>0</v>
      </c>
      <c r="M189" s="272">
        <f t="shared" si="231"/>
        <v>0</v>
      </c>
      <c r="N189" s="338"/>
      <c r="O189" s="347"/>
    </row>
    <row r="190" spans="1:15" ht="24.75" thickBot="1" x14ac:dyDescent="0.3">
      <c r="A190" s="274" t="s">
        <v>101</v>
      </c>
      <c r="B190" s="956"/>
      <c r="C190" s="299" t="s">
        <v>27</v>
      </c>
      <c r="D190" s="300" t="s">
        <v>234</v>
      </c>
      <c r="E190" s="280"/>
      <c r="F190" s="281"/>
      <c r="G190" s="334">
        <f t="shared" ref="G190" si="232">+H190+I190</f>
        <v>0</v>
      </c>
      <c r="H190" s="282"/>
      <c r="I190" s="282"/>
      <c r="J190" s="353" t="str">
        <f>IFERROR(G190/#REF!,"-")</f>
        <v>-</v>
      </c>
      <c r="K190" s="334">
        <f t="shared" si="223"/>
        <v>0</v>
      </c>
      <c r="L190" s="272">
        <f t="shared" ref="L190:M190" si="233">+H190+L77</f>
        <v>0</v>
      </c>
      <c r="M190" s="702">
        <f t="shared" si="233"/>
        <v>0</v>
      </c>
      <c r="N190" s="338" t="str">
        <f t="shared" ref="N190:N191" si="234">IFERROR(K190/E190,"-")</f>
        <v>-</v>
      </c>
      <c r="O190" s="347" t="str">
        <f t="shared" ref="O190:O206" si="235">IFERROR(M190/K190,"-")</f>
        <v>-</v>
      </c>
    </row>
    <row r="191" spans="1:15" ht="23.25" thickBot="1" x14ac:dyDescent="0.3">
      <c r="A191" s="274" t="s">
        <v>101</v>
      </c>
      <c r="B191" s="956"/>
      <c r="C191" s="304"/>
      <c r="D191" s="305" t="s">
        <v>52</v>
      </c>
      <c r="E191" s="306">
        <f>SUM(E184:E190)</f>
        <v>0</v>
      </c>
      <c r="F191" s="307">
        <v>80000</v>
      </c>
      <c r="G191" s="366">
        <f>SUM(G184:G190)</f>
        <v>48213</v>
      </c>
      <c r="H191" s="365">
        <f>SUM(H184:H190)</f>
        <v>47736</v>
      </c>
      <c r="I191" s="365">
        <f>SUM(I184:I190)</f>
        <v>477</v>
      </c>
      <c r="J191" s="356">
        <f>+G191/F191</f>
        <v>0.60266249999999999</v>
      </c>
      <c r="K191" s="366">
        <f>SUM(K184:K190)</f>
        <v>68541</v>
      </c>
      <c r="L191" s="365">
        <f>SUM(L184:L190)</f>
        <v>67626</v>
      </c>
      <c r="M191" s="367">
        <f>SUM(M184:M190)</f>
        <v>915</v>
      </c>
      <c r="N191" s="355" t="str">
        <f t="shared" si="234"/>
        <v>-</v>
      </c>
      <c r="O191" s="356">
        <f t="shared" si="235"/>
        <v>1.3349673917801024E-2</v>
      </c>
    </row>
    <row r="192" spans="1:15" ht="23.25" thickBot="1" x14ac:dyDescent="0.3">
      <c r="A192" s="769" t="s">
        <v>101</v>
      </c>
      <c r="B192" s="957" t="s">
        <v>162</v>
      </c>
      <c r="C192" s="958"/>
      <c r="D192" s="959"/>
      <c r="E192" s="308">
        <f>+E191+E183</f>
        <v>0</v>
      </c>
      <c r="F192" s="309">
        <v>240000</v>
      </c>
      <c r="G192" s="369">
        <f>+G183+G191</f>
        <v>176374</v>
      </c>
      <c r="H192" s="368">
        <f>+H183+H191</f>
        <v>175032</v>
      </c>
      <c r="I192" s="368">
        <f>+I183+I191</f>
        <v>1342</v>
      </c>
      <c r="J192" s="358">
        <f>+G192/F192</f>
        <v>0.73489166666666672</v>
      </c>
      <c r="K192" s="369">
        <f>+K183+K191</f>
        <v>269289</v>
      </c>
      <c r="L192" s="368">
        <f>+L183+L191</f>
        <v>266526</v>
      </c>
      <c r="M192" s="370">
        <f>+M183+M191</f>
        <v>2763</v>
      </c>
      <c r="N192" s="357" t="str">
        <f>IFERROR(K192/E192,"-")</f>
        <v>-</v>
      </c>
      <c r="O192" s="358">
        <f t="shared" si="235"/>
        <v>1.0260352260953846E-2</v>
      </c>
    </row>
    <row r="193" spans="1:15" ht="24" x14ac:dyDescent="0.25">
      <c r="A193" s="274" t="s">
        <v>101</v>
      </c>
      <c r="B193" s="956" t="s">
        <v>30</v>
      </c>
      <c r="C193" s="303" t="s">
        <v>446</v>
      </c>
      <c r="D193" s="299" t="s">
        <v>334</v>
      </c>
      <c r="E193" s="270"/>
      <c r="F193" s="271"/>
      <c r="G193" s="332">
        <f t="shared" ref="G193:G195" si="236">+H193+I193</f>
        <v>0</v>
      </c>
      <c r="H193" s="272"/>
      <c r="I193" s="272"/>
      <c r="J193" s="351" t="str">
        <f>IFERROR(G193/#REF!,"-")</f>
        <v>-</v>
      </c>
      <c r="K193" s="332">
        <f t="shared" ref="K193:K195" si="237">+L193+M193</f>
        <v>0</v>
      </c>
      <c r="L193" s="272">
        <f t="shared" ref="L193:M193" si="238">+H193+L80</f>
        <v>0</v>
      </c>
      <c r="M193" s="273">
        <f t="shared" si="238"/>
        <v>0</v>
      </c>
      <c r="N193" s="336" t="str">
        <f t="shared" ref="N193:N206" si="239">IFERROR(K193/E193,"-")</f>
        <v>-</v>
      </c>
      <c r="O193" s="346" t="str">
        <f t="shared" si="235"/>
        <v>-</v>
      </c>
    </row>
    <row r="194" spans="1:15" ht="24" x14ac:dyDescent="0.25">
      <c r="A194" s="274" t="s">
        <v>101</v>
      </c>
      <c r="B194" s="956"/>
      <c r="C194" s="300" t="s">
        <v>429</v>
      </c>
      <c r="D194" s="303" t="s">
        <v>366</v>
      </c>
      <c r="E194" s="276"/>
      <c r="F194" s="277"/>
      <c r="G194" s="333">
        <f t="shared" si="236"/>
        <v>0</v>
      </c>
      <c r="H194" s="278"/>
      <c r="I194" s="278"/>
      <c r="J194" s="352" t="str">
        <f>IFERROR(G194/#REF!,"-")</f>
        <v>-</v>
      </c>
      <c r="K194" s="333">
        <f t="shared" si="237"/>
        <v>0</v>
      </c>
      <c r="L194" s="272">
        <f t="shared" ref="L194:M194" si="240">+H194+L81</f>
        <v>0</v>
      </c>
      <c r="M194" s="273">
        <f t="shared" si="240"/>
        <v>0</v>
      </c>
      <c r="N194" s="337" t="str">
        <f t="shared" si="239"/>
        <v>-</v>
      </c>
      <c r="O194" s="263" t="str">
        <f t="shared" si="235"/>
        <v>-</v>
      </c>
    </row>
    <row r="195" spans="1:15" ht="24.75" thickBot="1" x14ac:dyDescent="0.3">
      <c r="A195" s="274" t="s">
        <v>101</v>
      </c>
      <c r="B195" s="956"/>
      <c r="C195" s="300" t="s">
        <v>291</v>
      </c>
      <c r="D195" s="300" t="s">
        <v>366</v>
      </c>
      <c r="E195" s="280"/>
      <c r="F195" s="281"/>
      <c r="G195" s="334">
        <f t="shared" si="236"/>
        <v>0</v>
      </c>
      <c r="H195" s="282"/>
      <c r="I195" s="282"/>
      <c r="J195" s="353" t="str">
        <f>IFERROR(G195/#REF!,"-")</f>
        <v>-</v>
      </c>
      <c r="K195" s="334">
        <f t="shared" si="237"/>
        <v>0</v>
      </c>
      <c r="L195" s="272">
        <f t="shared" ref="L195:M195" si="241">+H195+L82</f>
        <v>0</v>
      </c>
      <c r="M195" s="273">
        <f t="shared" si="241"/>
        <v>0</v>
      </c>
      <c r="N195" s="338" t="str">
        <f t="shared" si="239"/>
        <v>-</v>
      </c>
      <c r="O195" s="347" t="str">
        <f t="shared" si="235"/>
        <v>-</v>
      </c>
    </row>
    <row r="196" spans="1:15" ht="23.25" thickBot="1" x14ac:dyDescent="0.3">
      <c r="A196" s="274" t="s">
        <v>101</v>
      </c>
      <c r="B196" s="956"/>
      <c r="C196" s="301"/>
      <c r="D196" s="302" t="s">
        <v>50</v>
      </c>
      <c r="E196" s="284">
        <v>0</v>
      </c>
      <c r="F196" s="285">
        <v>50000</v>
      </c>
      <c r="G196" s="320">
        <f>SUM(G193:G195)</f>
        <v>0</v>
      </c>
      <c r="H196" s="321">
        <f>SUM(H193:H195)</f>
        <v>0</v>
      </c>
      <c r="I196" s="321">
        <f>SUM(I193:I195)</f>
        <v>0</v>
      </c>
      <c r="J196" s="345" t="e">
        <f>+H196/G196</f>
        <v>#DIV/0!</v>
      </c>
      <c r="K196" s="320">
        <f>SUM(K193:K195)</f>
        <v>0</v>
      </c>
      <c r="L196" s="321">
        <f>SUM(L193:L195)</f>
        <v>0</v>
      </c>
      <c r="M196" s="322">
        <f>SUM(M193:M195)</f>
        <v>0</v>
      </c>
      <c r="N196" s="339" t="str">
        <f t="shared" si="239"/>
        <v>-</v>
      </c>
      <c r="O196" s="345" t="str">
        <f t="shared" si="235"/>
        <v>-</v>
      </c>
    </row>
    <row r="197" spans="1:15" ht="24" x14ac:dyDescent="0.25">
      <c r="A197" s="274" t="s">
        <v>101</v>
      </c>
      <c r="B197" s="956"/>
      <c r="C197" s="297" t="s">
        <v>434</v>
      </c>
      <c r="D197" s="297" t="s">
        <v>92</v>
      </c>
      <c r="E197" s="270"/>
      <c r="F197" s="271"/>
      <c r="G197" s="332">
        <f t="shared" ref="G197:G198" si="242">+H197+I197</f>
        <v>0</v>
      </c>
      <c r="H197" s="272"/>
      <c r="I197" s="272"/>
      <c r="J197" s="351" t="str">
        <f>IFERROR(G197/#REF!,"-")</f>
        <v>-</v>
      </c>
      <c r="K197" s="332">
        <f t="shared" ref="K197:K202" si="243">+L197+M197</f>
        <v>0</v>
      </c>
      <c r="L197" s="272">
        <f t="shared" ref="L197:M197" si="244">+H197+L84</f>
        <v>0</v>
      </c>
      <c r="M197" s="273">
        <f t="shared" si="244"/>
        <v>0</v>
      </c>
      <c r="N197" s="336" t="str">
        <f t="shared" si="239"/>
        <v>-</v>
      </c>
      <c r="O197" s="346" t="str">
        <f t="shared" si="235"/>
        <v>-</v>
      </c>
    </row>
    <row r="198" spans="1:15" ht="24" x14ac:dyDescent="0.25">
      <c r="A198" s="274"/>
      <c r="B198" s="956"/>
      <c r="C198" s="303" t="s">
        <v>449</v>
      </c>
      <c r="D198" s="299" t="s">
        <v>334</v>
      </c>
      <c r="E198" s="270"/>
      <c r="F198" s="271"/>
      <c r="G198" s="332">
        <f t="shared" si="242"/>
        <v>0</v>
      </c>
      <c r="H198" s="272"/>
      <c r="I198" s="272"/>
      <c r="J198" s="351" t="str">
        <f>IFERROR(G198/#REF!,"-")</f>
        <v>-</v>
      </c>
      <c r="K198" s="332">
        <f t="shared" si="243"/>
        <v>0</v>
      </c>
      <c r="L198" s="272">
        <f t="shared" ref="L198:M198" si="245">+H198+L85</f>
        <v>0</v>
      </c>
      <c r="M198" s="273">
        <f t="shared" si="245"/>
        <v>0</v>
      </c>
      <c r="N198" s="337" t="str">
        <f t="shared" si="239"/>
        <v>-</v>
      </c>
      <c r="O198" s="346" t="str">
        <f t="shared" si="235"/>
        <v>-</v>
      </c>
    </row>
    <row r="199" spans="1:15" ht="24" x14ac:dyDescent="0.25">
      <c r="A199" s="274"/>
      <c r="B199" s="956"/>
      <c r="C199" s="303" t="s">
        <v>452</v>
      </c>
      <c r="D199" s="299" t="s">
        <v>334</v>
      </c>
      <c r="E199" s="270"/>
      <c r="F199" s="271"/>
      <c r="G199" s="332"/>
      <c r="H199" s="272"/>
      <c r="I199" s="272"/>
      <c r="J199" s="351" t="str">
        <f>IFERROR(G199/#REF!,"-")</f>
        <v>-</v>
      </c>
      <c r="K199" s="332">
        <f t="shared" si="243"/>
        <v>0</v>
      </c>
      <c r="L199" s="272">
        <f t="shared" ref="L199:M199" si="246">+H199+L86</f>
        <v>0</v>
      </c>
      <c r="M199" s="273">
        <f t="shared" si="246"/>
        <v>0</v>
      </c>
      <c r="N199" s="337" t="str">
        <f t="shared" si="239"/>
        <v>-</v>
      </c>
      <c r="O199" s="346" t="str">
        <f t="shared" si="235"/>
        <v>-</v>
      </c>
    </row>
    <row r="200" spans="1:15" ht="24" x14ac:dyDescent="0.25">
      <c r="A200" s="274" t="s">
        <v>101</v>
      </c>
      <c r="B200" s="956"/>
      <c r="C200" s="303" t="s">
        <v>335</v>
      </c>
      <c r="D200" s="303" t="s">
        <v>234</v>
      </c>
      <c r="E200" s="276"/>
      <c r="F200" s="277"/>
      <c r="G200" s="333">
        <f t="shared" ref="G200" si="247">+H200+I200</f>
        <v>0</v>
      </c>
      <c r="H200" s="278"/>
      <c r="I200" s="278"/>
      <c r="J200" s="351" t="str">
        <f>IFERROR(G200/#REF!,"-")</f>
        <v>-</v>
      </c>
      <c r="K200" s="333">
        <f t="shared" si="243"/>
        <v>0</v>
      </c>
      <c r="L200" s="272">
        <f t="shared" ref="L200:M200" si="248">+H200+L87</f>
        <v>0</v>
      </c>
      <c r="M200" s="273">
        <f t="shared" si="248"/>
        <v>0</v>
      </c>
      <c r="N200" s="337" t="str">
        <f t="shared" si="239"/>
        <v>-</v>
      </c>
      <c r="O200" s="263" t="str">
        <f t="shared" si="235"/>
        <v>-</v>
      </c>
    </row>
    <row r="201" spans="1:15" ht="24" x14ac:dyDescent="0.25">
      <c r="A201" s="274"/>
      <c r="B201" s="956"/>
      <c r="C201" s="300" t="s">
        <v>459</v>
      </c>
      <c r="D201" s="300" t="s">
        <v>366</v>
      </c>
      <c r="E201" s="280"/>
      <c r="F201" s="281"/>
      <c r="G201" s="334"/>
      <c r="H201" s="282"/>
      <c r="I201" s="282"/>
      <c r="J201" s="351" t="str">
        <f>IFERROR(G201/#REF!,"-")</f>
        <v>-</v>
      </c>
      <c r="K201" s="333">
        <f t="shared" si="243"/>
        <v>0</v>
      </c>
      <c r="L201" s="272">
        <f t="shared" ref="L201:M201" si="249">+H201+L88</f>
        <v>0</v>
      </c>
      <c r="M201" s="272">
        <f t="shared" si="249"/>
        <v>0</v>
      </c>
      <c r="N201" s="337" t="str">
        <f t="shared" si="239"/>
        <v>-</v>
      </c>
      <c r="O201" s="263" t="str">
        <f t="shared" si="235"/>
        <v>-</v>
      </c>
    </row>
    <row r="202" spans="1:15" ht="24.75" thickBot="1" x14ac:dyDescent="0.3">
      <c r="A202" s="274" t="s">
        <v>101</v>
      </c>
      <c r="B202" s="956"/>
      <c r="C202" s="300" t="s">
        <v>435</v>
      </c>
      <c r="D202" s="300" t="s">
        <v>423</v>
      </c>
      <c r="E202" s="280"/>
      <c r="F202" s="281"/>
      <c r="G202" s="334">
        <f t="shared" ref="G202" si="250">+H202+I202</f>
        <v>0</v>
      </c>
      <c r="H202" s="282"/>
      <c r="I202" s="282"/>
      <c r="J202" s="353" t="str">
        <f>IFERROR(G202/#REF!,"-")</f>
        <v>-</v>
      </c>
      <c r="K202" s="334">
        <f t="shared" si="243"/>
        <v>0</v>
      </c>
      <c r="L202" s="272">
        <f t="shared" ref="L202:M202" si="251">+H202+L89</f>
        <v>0</v>
      </c>
      <c r="M202" s="273">
        <f t="shared" si="251"/>
        <v>0</v>
      </c>
      <c r="N202" s="338" t="str">
        <f t="shared" si="239"/>
        <v>-</v>
      </c>
      <c r="O202" s="347" t="str">
        <f t="shared" si="235"/>
        <v>-</v>
      </c>
    </row>
    <row r="203" spans="1:15" ht="23.25" thickBot="1" x14ac:dyDescent="0.3">
      <c r="A203" s="274" t="s">
        <v>101</v>
      </c>
      <c r="B203" s="956"/>
      <c r="C203" s="304"/>
      <c r="D203" s="305" t="s">
        <v>51</v>
      </c>
      <c r="E203" s="306">
        <f>SUM(E197)</f>
        <v>0</v>
      </c>
      <c r="F203" s="307">
        <v>50000</v>
      </c>
      <c r="G203" s="366">
        <f>SUM(G197:G202)</f>
        <v>0</v>
      </c>
      <c r="H203" s="365">
        <f t="shared" ref="H203:I203" si="252">SUM(H197:H202)</f>
        <v>0</v>
      </c>
      <c r="I203" s="365">
        <f t="shared" si="252"/>
        <v>0</v>
      </c>
      <c r="J203" s="356">
        <f>+G203/F203</f>
        <v>0</v>
      </c>
      <c r="K203" s="366">
        <f t="shared" ref="K203:M203" si="253">SUM(K197:K202)</f>
        <v>0</v>
      </c>
      <c r="L203" s="365">
        <f t="shared" si="253"/>
        <v>0</v>
      </c>
      <c r="M203" s="367">
        <f t="shared" si="253"/>
        <v>0</v>
      </c>
      <c r="N203" s="355" t="str">
        <f t="shared" si="239"/>
        <v>-</v>
      </c>
      <c r="O203" s="356" t="str">
        <f t="shared" si="235"/>
        <v>-</v>
      </c>
    </row>
    <row r="204" spans="1:15" ht="23.25" thickBot="1" x14ac:dyDescent="0.3">
      <c r="A204" s="274" t="s">
        <v>101</v>
      </c>
      <c r="B204" s="957" t="s">
        <v>163</v>
      </c>
      <c r="C204" s="958"/>
      <c r="D204" s="959"/>
      <c r="E204" s="308">
        <f>+E203+E196</f>
        <v>0</v>
      </c>
      <c r="F204" s="309">
        <v>50000</v>
      </c>
      <c r="G204" s="369">
        <f>+G196+G203</f>
        <v>0</v>
      </c>
      <c r="H204" s="368">
        <f t="shared" ref="H204:I204" si="254">+H196+H203</f>
        <v>0</v>
      </c>
      <c r="I204" s="368">
        <f t="shared" si="254"/>
        <v>0</v>
      </c>
      <c r="J204" s="358">
        <f>+G204/F204</f>
        <v>0</v>
      </c>
      <c r="K204" s="369">
        <f t="shared" ref="K204:M204" si="255">+K196+K203</f>
        <v>0</v>
      </c>
      <c r="L204" s="368">
        <f t="shared" si="255"/>
        <v>0</v>
      </c>
      <c r="M204" s="370">
        <f t="shared" si="255"/>
        <v>0</v>
      </c>
      <c r="N204" s="357" t="str">
        <f t="shared" si="239"/>
        <v>-</v>
      </c>
      <c r="O204" s="358" t="str">
        <f t="shared" si="235"/>
        <v>-</v>
      </c>
    </row>
    <row r="205" spans="1:15" ht="24.75" thickBot="1" x14ac:dyDescent="0.3">
      <c r="A205" s="274" t="s">
        <v>101</v>
      </c>
      <c r="B205" s="598" t="s">
        <v>32</v>
      </c>
      <c r="C205" s="762"/>
      <c r="D205" s="310" t="s">
        <v>32</v>
      </c>
      <c r="E205" s="287">
        <v>0</v>
      </c>
      <c r="F205" s="288">
        <v>110000</v>
      </c>
      <c r="G205" s="335">
        <f t="shared" ref="G205" si="256">+H205+I205</f>
        <v>0</v>
      </c>
      <c r="H205" s="289"/>
      <c r="I205" s="289"/>
      <c r="J205" s="354" t="str">
        <f>IFERROR(G205/#REF!,"-")</f>
        <v>-</v>
      </c>
      <c r="K205" s="335">
        <f>+L205+M205</f>
        <v>0</v>
      </c>
      <c r="L205" s="289">
        <f>+H205+L92</f>
        <v>0</v>
      </c>
      <c r="M205" s="290">
        <f>+I205+M92</f>
        <v>0</v>
      </c>
      <c r="N205" s="340" t="str">
        <f t="shared" si="239"/>
        <v>-</v>
      </c>
      <c r="O205" s="348" t="str">
        <f t="shared" si="235"/>
        <v>-</v>
      </c>
    </row>
    <row r="206" spans="1:15" ht="23.25" thickBot="1" x14ac:dyDescent="0.3">
      <c r="A206" s="274" t="s">
        <v>101</v>
      </c>
      <c r="B206" s="960" t="s">
        <v>21</v>
      </c>
      <c r="C206" s="961"/>
      <c r="D206" s="962"/>
      <c r="E206" s="326">
        <f>+E192+E204+E205</f>
        <v>0</v>
      </c>
      <c r="F206" s="327">
        <f>+F192+F204+F205</f>
        <v>400000</v>
      </c>
      <c r="G206" s="326">
        <f>+G192+G204+G205</f>
        <v>176374</v>
      </c>
      <c r="H206" s="324">
        <f>+H192+H204+H205</f>
        <v>175032</v>
      </c>
      <c r="I206" s="324">
        <f>+I192+I204+I205</f>
        <v>1342</v>
      </c>
      <c r="J206" s="349">
        <f>+G206/F206</f>
        <v>0.44093500000000002</v>
      </c>
      <c r="K206" s="326">
        <f>+K192+K204+K205</f>
        <v>269289</v>
      </c>
      <c r="L206" s="324">
        <f>+L192+L204+L205</f>
        <v>266526</v>
      </c>
      <c r="M206" s="325">
        <f>+M192+M204+M205</f>
        <v>2763</v>
      </c>
      <c r="N206" s="341" t="str">
        <f t="shared" si="239"/>
        <v>-</v>
      </c>
      <c r="O206" s="349">
        <f t="shared" si="235"/>
        <v>1.0260352260953846E-2</v>
      </c>
    </row>
    <row r="207" spans="1:15" ht="23.25" thickBot="1" x14ac:dyDescent="0.3">
      <c r="A207" s="274" t="s">
        <v>101</v>
      </c>
      <c r="B207" s="963" t="s">
        <v>171</v>
      </c>
      <c r="C207" s="941"/>
      <c r="D207" s="942"/>
      <c r="E207" s="330">
        <f>+E206</f>
        <v>0</v>
      </c>
      <c r="F207" s="331">
        <f t="shared" ref="F207:I207" si="257">+F206</f>
        <v>400000</v>
      </c>
      <c r="G207" s="330">
        <f t="shared" si="257"/>
        <v>176374</v>
      </c>
      <c r="H207" s="328">
        <f t="shared" si="257"/>
        <v>175032</v>
      </c>
      <c r="I207" s="328">
        <f t="shared" si="257"/>
        <v>1342</v>
      </c>
      <c r="J207" s="350">
        <f>+J206</f>
        <v>0.44093500000000002</v>
      </c>
      <c r="K207" s="330">
        <f>+K206</f>
        <v>269289</v>
      </c>
      <c r="L207" s="328">
        <f t="shared" ref="L207" si="258">+L206</f>
        <v>266526</v>
      </c>
      <c r="M207" s="329">
        <f>+M206</f>
        <v>2763</v>
      </c>
      <c r="N207" s="342" t="str">
        <f t="shared" ref="N207:O207" si="259">+N206</f>
        <v>-</v>
      </c>
      <c r="O207" s="350">
        <f t="shared" si="259"/>
        <v>1.0260352260953846E-2</v>
      </c>
    </row>
    <row r="208" spans="1:15" ht="24" x14ac:dyDescent="0.25">
      <c r="A208" s="268" t="s">
        <v>102</v>
      </c>
      <c r="B208" s="949" t="s">
        <v>401</v>
      </c>
      <c r="C208" s="311" t="s">
        <v>113</v>
      </c>
      <c r="D208" s="311"/>
      <c r="E208" s="270"/>
      <c r="F208" s="271"/>
      <c r="G208" s="332">
        <f t="shared" ref="G208:G210" si="260">+H208+I208</f>
        <v>0</v>
      </c>
      <c r="H208" s="272"/>
      <c r="I208" s="272"/>
      <c r="J208" s="351" t="str">
        <f>IFERROR(G208/#REF!,"-")</f>
        <v>-</v>
      </c>
      <c r="K208" s="332">
        <f t="shared" ref="K208:K210" si="261">+L208+M208</f>
        <v>0</v>
      </c>
      <c r="L208" s="272">
        <f t="shared" ref="L208:M208" si="262">+H208+L95</f>
        <v>0</v>
      </c>
      <c r="M208" s="273">
        <f t="shared" si="262"/>
        <v>0</v>
      </c>
      <c r="N208" s="336" t="str">
        <f t="shared" ref="N208:N215" si="263">IFERROR(K208/E208,"-")</f>
        <v>-</v>
      </c>
      <c r="O208" s="346" t="str">
        <f t="shared" ref="O208:O233" si="264">IFERROR(M208/K208,"-")</f>
        <v>-</v>
      </c>
    </row>
    <row r="209" spans="1:15" ht="24" x14ac:dyDescent="0.25">
      <c r="A209" s="274" t="s">
        <v>102</v>
      </c>
      <c r="B209" s="951"/>
      <c r="C209" s="312" t="s">
        <v>247</v>
      </c>
      <c r="D209" s="312"/>
      <c r="E209" s="276"/>
      <c r="F209" s="277"/>
      <c r="G209" s="333">
        <f t="shared" si="260"/>
        <v>745</v>
      </c>
      <c r="H209" s="278">
        <v>700</v>
      </c>
      <c r="I209" s="278">
        <v>45</v>
      </c>
      <c r="J209" s="352" t="str">
        <f>IFERROR(G209/#REF!,"-")</f>
        <v>-</v>
      </c>
      <c r="K209" s="333">
        <f t="shared" si="261"/>
        <v>745</v>
      </c>
      <c r="L209" s="272">
        <f t="shared" ref="L209:M209" si="265">+H209+L96</f>
        <v>700</v>
      </c>
      <c r="M209" s="273">
        <f t="shared" si="265"/>
        <v>45</v>
      </c>
      <c r="N209" s="337" t="str">
        <f t="shared" si="263"/>
        <v>-</v>
      </c>
      <c r="O209" s="263">
        <f t="shared" si="264"/>
        <v>6.0402684563758392E-2</v>
      </c>
    </row>
    <row r="210" spans="1:15" ht="24.75" thickBot="1" x14ac:dyDescent="0.3">
      <c r="A210" s="274" t="s">
        <v>102</v>
      </c>
      <c r="B210" s="950"/>
      <c r="C210" s="313" t="s">
        <v>33</v>
      </c>
      <c r="D210" s="313"/>
      <c r="E210" s="280"/>
      <c r="F210" s="281"/>
      <c r="G210" s="334">
        <f t="shared" si="260"/>
        <v>0</v>
      </c>
      <c r="H210" s="282"/>
      <c r="I210" s="282"/>
      <c r="J210" s="353" t="str">
        <f>IFERROR(G210/#REF!,"-")</f>
        <v>-</v>
      </c>
      <c r="K210" s="334">
        <f t="shared" si="261"/>
        <v>0</v>
      </c>
      <c r="L210" s="272">
        <f t="shared" ref="L210:M210" si="266">+H210+L97</f>
        <v>0</v>
      </c>
      <c r="M210" s="273">
        <f t="shared" si="266"/>
        <v>0</v>
      </c>
      <c r="N210" s="338" t="str">
        <f t="shared" si="263"/>
        <v>-</v>
      </c>
      <c r="O210" s="347" t="str">
        <f t="shared" si="264"/>
        <v>-</v>
      </c>
    </row>
    <row r="211" spans="1:15" ht="23.25" thickBot="1" x14ac:dyDescent="0.3">
      <c r="A211" s="274" t="s">
        <v>102</v>
      </c>
      <c r="B211" s="946" t="s">
        <v>34</v>
      </c>
      <c r="C211" s="947"/>
      <c r="D211" s="948"/>
      <c r="E211" s="284">
        <f>SUM(E208:E210)</f>
        <v>0</v>
      </c>
      <c r="F211" s="285">
        <v>6500</v>
      </c>
      <c r="G211" s="320">
        <f>SUM(G208:G210)</f>
        <v>745</v>
      </c>
      <c r="H211" s="321">
        <f t="shared" ref="H211:I211" si="267">SUM(H208:H210)</f>
        <v>700</v>
      </c>
      <c r="I211" s="321">
        <f t="shared" si="267"/>
        <v>45</v>
      </c>
      <c r="J211" s="345" t="str">
        <f>IFERROR(G211/#REF!,"-")</f>
        <v>-</v>
      </c>
      <c r="K211" s="320">
        <f t="shared" ref="K211:M211" si="268">SUM(K208:K210)</f>
        <v>745</v>
      </c>
      <c r="L211" s="321">
        <f t="shared" si="268"/>
        <v>700</v>
      </c>
      <c r="M211" s="322">
        <f t="shared" si="268"/>
        <v>45</v>
      </c>
      <c r="N211" s="339" t="str">
        <f t="shared" si="263"/>
        <v>-</v>
      </c>
      <c r="O211" s="345">
        <f t="shared" si="264"/>
        <v>6.0402684563758392E-2</v>
      </c>
    </row>
    <row r="212" spans="1:15" ht="24" x14ac:dyDescent="0.25">
      <c r="A212" s="274" t="s">
        <v>102</v>
      </c>
      <c r="B212" s="949" t="s">
        <v>35</v>
      </c>
      <c r="C212" s="311" t="s">
        <v>113</v>
      </c>
      <c r="D212" s="311"/>
      <c r="E212" s="270"/>
      <c r="F212" s="271"/>
      <c r="G212" s="332">
        <f t="shared" ref="G212:G215" si="269">+H212+I212</f>
        <v>0</v>
      </c>
      <c r="H212" s="272"/>
      <c r="I212" s="272"/>
      <c r="J212" s="351" t="str">
        <f>IFERROR(G212/#REF!,"-")</f>
        <v>-</v>
      </c>
      <c r="K212" s="332">
        <f t="shared" ref="K212:K215" si="270">+L212+M212</f>
        <v>0</v>
      </c>
      <c r="L212" s="272">
        <f t="shared" ref="L212:M212" si="271">+H212+L99</f>
        <v>0</v>
      </c>
      <c r="M212" s="273">
        <f t="shared" si="271"/>
        <v>0</v>
      </c>
      <c r="N212" s="336" t="str">
        <f t="shared" si="263"/>
        <v>-</v>
      </c>
      <c r="O212" s="346" t="str">
        <f t="shared" si="264"/>
        <v>-</v>
      </c>
    </row>
    <row r="213" spans="1:15" ht="24" x14ac:dyDescent="0.25">
      <c r="A213" s="274" t="s">
        <v>102</v>
      </c>
      <c r="B213" s="951"/>
      <c r="C213" s="312" t="s">
        <v>247</v>
      </c>
      <c r="D213" s="312"/>
      <c r="E213" s="276"/>
      <c r="F213" s="277"/>
      <c r="G213" s="333">
        <f t="shared" si="269"/>
        <v>0</v>
      </c>
      <c r="H213" s="278"/>
      <c r="I213" s="278"/>
      <c r="J213" s="352" t="str">
        <f>IFERROR(G213/#REF!,"-")</f>
        <v>-</v>
      </c>
      <c r="K213" s="333">
        <f t="shared" si="270"/>
        <v>0</v>
      </c>
      <c r="L213" s="272">
        <f t="shared" ref="L213:M213" si="272">+H213+L100</f>
        <v>0</v>
      </c>
      <c r="M213" s="273">
        <f t="shared" si="272"/>
        <v>0</v>
      </c>
      <c r="N213" s="337" t="str">
        <f t="shared" si="263"/>
        <v>-</v>
      </c>
      <c r="O213" s="263" t="str">
        <f t="shared" si="264"/>
        <v>-</v>
      </c>
    </row>
    <row r="214" spans="1:15" ht="24" x14ac:dyDescent="0.25">
      <c r="A214" s="274" t="s">
        <v>102</v>
      </c>
      <c r="B214" s="951"/>
      <c r="C214" s="312" t="s">
        <v>184</v>
      </c>
      <c r="D214" s="312"/>
      <c r="E214" s="276"/>
      <c r="F214" s="277"/>
      <c r="G214" s="333">
        <f t="shared" si="269"/>
        <v>0</v>
      </c>
      <c r="H214" s="278"/>
      <c r="I214" s="278"/>
      <c r="J214" s="352" t="str">
        <f>IFERROR(G214/#REF!,"-")</f>
        <v>-</v>
      </c>
      <c r="K214" s="333">
        <f t="shared" si="270"/>
        <v>0</v>
      </c>
      <c r="L214" s="272">
        <f t="shared" ref="L214:M214" si="273">+H214+L101</f>
        <v>0</v>
      </c>
      <c r="M214" s="273">
        <f t="shared" si="273"/>
        <v>0</v>
      </c>
      <c r="N214" s="337" t="str">
        <f t="shared" si="263"/>
        <v>-</v>
      </c>
      <c r="O214" s="263" t="str">
        <f t="shared" si="264"/>
        <v>-</v>
      </c>
    </row>
    <row r="215" spans="1:15" ht="24.75" thickBot="1" x14ac:dyDescent="0.3">
      <c r="A215" s="274" t="s">
        <v>102</v>
      </c>
      <c r="B215" s="950"/>
      <c r="C215" s="313" t="s">
        <v>36</v>
      </c>
      <c r="D215" s="313"/>
      <c r="E215" s="280"/>
      <c r="F215" s="281"/>
      <c r="G215" s="334">
        <f t="shared" si="269"/>
        <v>0</v>
      </c>
      <c r="H215" s="282"/>
      <c r="I215" s="282"/>
      <c r="J215" s="353" t="str">
        <f>IFERROR(G215/#REF!,"-")</f>
        <v>-</v>
      </c>
      <c r="K215" s="334">
        <f t="shared" si="270"/>
        <v>0</v>
      </c>
      <c r="L215" s="272">
        <f t="shared" ref="L215:M215" si="274">+H215+L102</f>
        <v>0</v>
      </c>
      <c r="M215" s="273">
        <f t="shared" si="274"/>
        <v>0</v>
      </c>
      <c r="N215" s="338" t="str">
        <f t="shared" si="263"/>
        <v>-</v>
      </c>
      <c r="O215" s="347" t="str">
        <f t="shared" si="264"/>
        <v>-</v>
      </c>
    </row>
    <row r="216" spans="1:15" ht="23.25" thickBot="1" x14ac:dyDescent="0.3">
      <c r="A216" s="274" t="s">
        <v>102</v>
      </c>
      <c r="B216" s="946" t="s">
        <v>37</v>
      </c>
      <c r="C216" s="947"/>
      <c r="D216" s="948"/>
      <c r="E216" s="284">
        <f>SUM(E212:E215)</f>
        <v>0</v>
      </c>
      <c r="F216" s="285">
        <v>6500</v>
      </c>
      <c r="G216" s="320">
        <f>SUM(G212:G215)</f>
        <v>0</v>
      </c>
      <c r="H216" s="321">
        <f t="shared" ref="H216:I216" si="275">SUM(H212:H215)</f>
        <v>0</v>
      </c>
      <c r="I216" s="321">
        <f t="shared" si="275"/>
        <v>0</v>
      </c>
      <c r="J216" s="345" t="str">
        <f>IFERROR(G216/#REF!,"-")</f>
        <v>-</v>
      </c>
      <c r="K216" s="320">
        <f t="shared" ref="K216:M216" si="276">SUM(K212:K215)</f>
        <v>0</v>
      </c>
      <c r="L216" s="321">
        <f t="shared" si="276"/>
        <v>0</v>
      </c>
      <c r="M216" s="322">
        <f t="shared" si="276"/>
        <v>0</v>
      </c>
      <c r="N216" s="339" t="str">
        <f>IFERROR(K216/E216,"-")</f>
        <v>-</v>
      </c>
      <c r="O216" s="345" t="str">
        <f t="shared" si="264"/>
        <v>-</v>
      </c>
    </row>
    <row r="217" spans="1:15" ht="24" x14ac:dyDescent="0.25">
      <c r="A217" s="274" t="s">
        <v>102</v>
      </c>
      <c r="B217" s="949" t="s">
        <v>402</v>
      </c>
      <c r="C217" s="314" t="s">
        <v>116</v>
      </c>
      <c r="D217" s="314"/>
      <c r="E217" s="270"/>
      <c r="F217" s="271"/>
      <c r="G217" s="332">
        <f t="shared" ref="G217:G218" si="277">+H217+I217</f>
        <v>0</v>
      </c>
      <c r="H217" s="272"/>
      <c r="I217" s="272"/>
      <c r="J217" s="351" t="str">
        <f>IFERROR(G217/#REF!,"-")</f>
        <v>-</v>
      </c>
      <c r="K217" s="332">
        <f t="shared" ref="K217:K218" si="278">+L217+M217</f>
        <v>0</v>
      </c>
      <c r="L217" s="272">
        <f t="shared" ref="L217:M217" si="279">+H217+L104</f>
        <v>0</v>
      </c>
      <c r="M217" s="273">
        <f t="shared" si="279"/>
        <v>0</v>
      </c>
      <c r="N217" s="336" t="str">
        <f t="shared" ref="N217:N233" si="280">IFERROR(K217/E217,"-")</f>
        <v>-</v>
      </c>
      <c r="O217" s="346" t="str">
        <f t="shared" si="264"/>
        <v>-</v>
      </c>
    </row>
    <row r="218" spans="1:15" ht="24.75" thickBot="1" x14ac:dyDescent="0.3">
      <c r="A218" s="274" t="s">
        <v>102</v>
      </c>
      <c r="B218" s="950"/>
      <c r="C218" s="286" t="s">
        <v>132</v>
      </c>
      <c r="D218" s="286"/>
      <c r="E218" s="280"/>
      <c r="F218" s="281"/>
      <c r="G218" s="334">
        <f t="shared" si="277"/>
        <v>870</v>
      </c>
      <c r="H218" s="282">
        <v>800</v>
      </c>
      <c r="I218" s="282">
        <v>70</v>
      </c>
      <c r="J218" s="353" t="str">
        <f>IFERROR(G218/#REF!,"-")</f>
        <v>-</v>
      </c>
      <c r="K218" s="334">
        <f t="shared" si="278"/>
        <v>870</v>
      </c>
      <c r="L218" s="272">
        <f t="shared" ref="L218:M218" si="281">+H218+L105</f>
        <v>800</v>
      </c>
      <c r="M218" s="273">
        <f t="shared" si="281"/>
        <v>70</v>
      </c>
      <c r="N218" s="338" t="str">
        <f t="shared" si="280"/>
        <v>-</v>
      </c>
      <c r="O218" s="347">
        <f t="shared" si="264"/>
        <v>8.0459770114942528E-2</v>
      </c>
    </row>
    <row r="219" spans="1:15" ht="23.25" thickBot="1" x14ac:dyDescent="0.3">
      <c r="A219" s="769" t="s">
        <v>102</v>
      </c>
      <c r="B219" s="946" t="s">
        <v>38</v>
      </c>
      <c r="C219" s="947"/>
      <c r="D219" s="948"/>
      <c r="E219" s="284">
        <f>SUM(E217:E218)</f>
        <v>0</v>
      </c>
      <c r="F219" s="285">
        <v>2800</v>
      </c>
      <c r="G219" s="320">
        <f>SUM(G217:G218)</f>
        <v>870</v>
      </c>
      <c r="H219" s="321">
        <f t="shared" ref="H219:I219" si="282">SUM(H217:H218)</f>
        <v>800</v>
      </c>
      <c r="I219" s="321">
        <f t="shared" si="282"/>
        <v>70</v>
      </c>
      <c r="J219" s="345" t="str">
        <f>IFERROR(G219/#REF!,"-")</f>
        <v>-</v>
      </c>
      <c r="K219" s="320">
        <f t="shared" ref="K219:M219" si="283">SUM(K217:K218)</f>
        <v>870</v>
      </c>
      <c r="L219" s="321">
        <f t="shared" si="283"/>
        <v>800</v>
      </c>
      <c r="M219" s="322">
        <f t="shared" si="283"/>
        <v>70</v>
      </c>
      <c r="N219" s="339" t="str">
        <f t="shared" si="280"/>
        <v>-</v>
      </c>
      <c r="O219" s="345">
        <f t="shared" si="264"/>
        <v>8.0459770114942528E-2</v>
      </c>
    </row>
    <row r="220" spans="1:15" ht="24" x14ac:dyDescent="0.25">
      <c r="A220" s="274" t="s">
        <v>102</v>
      </c>
      <c r="B220" s="949" t="s">
        <v>403</v>
      </c>
      <c r="C220" s="269" t="s">
        <v>306</v>
      </c>
      <c r="D220" s="269"/>
      <c r="E220" s="270"/>
      <c r="F220" s="315"/>
      <c r="G220" s="332">
        <f t="shared" ref="G220:G224" si="284">+H220+I220</f>
        <v>25326</v>
      </c>
      <c r="H220" s="272">
        <v>25200</v>
      </c>
      <c r="I220" s="272">
        <v>126</v>
      </c>
      <c r="J220" s="371" t="str">
        <f>IFERROR(G220/#REF!,"-")</f>
        <v>-</v>
      </c>
      <c r="K220" s="332">
        <f t="shared" ref="K220:K224" si="285">+L220+M220</f>
        <v>32160</v>
      </c>
      <c r="L220" s="272">
        <f t="shared" ref="L220:M220" si="286">+H220+L107</f>
        <v>31920</v>
      </c>
      <c r="M220" s="272">
        <f t="shared" si="286"/>
        <v>240</v>
      </c>
      <c r="N220" s="359" t="str">
        <f t="shared" si="280"/>
        <v>-</v>
      </c>
      <c r="O220" s="360">
        <f t="shared" si="264"/>
        <v>7.462686567164179E-3</v>
      </c>
    </row>
    <row r="221" spans="1:15" ht="24" x14ac:dyDescent="0.25">
      <c r="A221" s="274" t="s">
        <v>102</v>
      </c>
      <c r="B221" s="951"/>
      <c r="C221" s="269" t="s">
        <v>307</v>
      </c>
      <c r="D221" s="275"/>
      <c r="E221" s="276"/>
      <c r="F221" s="316"/>
      <c r="G221" s="333">
        <f t="shared" si="284"/>
        <v>0</v>
      </c>
      <c r="H221" s="278"/>
      <c r="I221" s="278"/>
      <c r="J221" s="372" t="str">
        <f>IFERROR(G221/#REF!,"-")</f>
        <v>-</v>
      </c>
      <c r="K221" s="333">
        <f t="shared" si="285"/>
        <v>0</v>
      </c>
      <c r="L221" s="272">
        <f t="shared" ref="L221:M221" si="287">+H221+L108</f>
        <v>0</v>
      </c>
      <c r="M221" s="273">
        <f t="shared" si="287"/>
        <v>0</v>
      </c>
      <c r="N221" s="361" t="str">
        <f t="shared" si="280"/>
        <v>-</v>
      </c>
      <c r="O221" s="362" t="str">
        <f t="shared" si="264"/>
        <v>-</v>
      </c>
    </row>
    <row r="222" spans="1:15" ht="24" x14ac:dyDescent="0.25">
      <c r="A222" s="274" t="s">
        <v>102</v>
      </c>
      <c r="B222" s="951"/>
      <c r="C222" s="275" t="s">
        <v>345</v>
      </c>
      <c r="D222" s="275"/>
      <c r="E222" s="276"/>
      <c r="F222" s="316"/>
      <c r="G222" s="333">
        <f t="shared" si="284"/>
        <v>0</v>
      </c>
      <c r="H222" s="278"/>
      <c r="I222" s="278"/>
      <c r="J222" s="372" t="str">
        <f>IFERROR(G222/#REF!,"-")</f>
        <v>-</v>
      </c>
      <c r="K222" s="333">
        <f t="shared" si="285"/>
        <v>0</v>
      </c>
      <c r="L222" s="272">
        <f t="shared" ref="L222:M222" si="288">+H222+L109</f>
        <v>0</v>
      </c>
      <c r="M222" s="273">
        <f t="shared" si="288"/>
        <v>0</v>
      </c>
      <c r="N222" s="361" t="str">
        <f t="shared" si="280"/>
        <v>-</v>
      </c>
      <c r="O222" s="362" t="str">
        <f t="shared" si="264"/>
        <v>-</v>
      </c>
    </row>
    <row r="223" spans="1:15" ht="24" x14ac:dyDescent="0.25">
      <c r="A223" s="274" t="s">
        <v>102</v>
      </c>
      <c r="B223" s="951"/>
      <c r="C223" s="275" t="s">
        <v>157</v>
      </c>
      <c r="D223" s="275"/>
      <c r="E223" s="276"/>
      <c r="F223" s="316"/>
      <c r="G223" s="333">
        <f t="shared" si="284"/>
        <v>0</v>
      </c>
      <c r="H223" s="278"/>
      <c r="I223" s="278"/>
      <c r="J223" s="372" t="str">
        <f>IFERROR(G223/#REF!,"-")</f>
        <v>-</v>
      </c>
      <c r="K223" s="333">
        <f t="shared" si="285"/>
        <v>0</v>
      </c>
      <c r="L223" s="272">
        <f t="shared" ref="L223:M223" si="289">+H223+L110</f>
        <v>0</v>
      </c>
      <c r="M223" s="273">
        <f t="shared" si="289"/>
        <v>0</v>
      </c>
      <c r="N223" s="361" t="str">
        <f t="shared" si="280"/>
        <v>-</v>
      </c>
      <c r="O223" s="362" t="str">
        <f t="shared" si="264"/>
        <v>-</v>
      </c>
    </row>
    <row r="224" spans="1:15" ht="24.75" thickBot="1" x14ac:dyDescent="0.3">
      <c r="A224" s="274" t="s">
        <v>102</v>
      </c>
      <c r="B224" s="950"/>
      <c r="C224" s="279" t="s">
        <v>158</v>
      </c>
      <c r="D224" s="279"/>
      <c r="E224" s="280"/>
      <c r="F224" s="317"/>
      <c r="G224" s="334">
        <f t="shared" si="284"/>
        <v>0</v>
      </c>
      <c r="H224" s="282"/>
      <c r="I224" s="282"/>
      <c r="J224" s="373" t="str">
        <f>IFERROR(G224/#REF!,"-")</f>
        <v>-</v>
      </c>
      <c r="K224" s="334">
        <f t="shared" si="285"/>
        <v>0</v>
      </c>
      <c r="L224" s="272">
        <f t="shared" ref="L224:M224" si="290">+H224+L111</f>
        <v>0</v>
      </c>
      <c r="M224" s="273">
        <f t="shared" si="290"/>
        <v>0</v>
      </c>
      <c r="N224" s="363" t="str">
        <f t="shared" si="280"/>
        <v>-</v>
      </c>
      <c r="O224" s="364" t="str">
        <f t="shared" si="264"/>
        <v>-</v>
      </c>
    </row>
    <row r="225" spans="1:15" ht="23.25" thickBot="1" x14ac:dyDescent="0.3">
      <c r="A225" s="274" t="s">
        <v>102</v>
      </c>
      <c r="B225" s="946" t="s">
        <v>39</v>
      </c>
      <c r="C225" s="947"/>
      <c r="D225" s="948"/>
      <c r="E225" s="320">
        <f>SUM(E220:E224)</f>
        <v>0</v>
      </c>
      <c r="F225" s="285">
        <v>25000</v>
      </c>
      <c r="G225" s="320">
        <f>SUM(G220:G224)</f>
        <v>25326</v>
      </c>
      <c r="H225" s="321">
        <f>SUM(H220:H224)</f>
        <v>25200</v>
      </c>
      <c r="I225" s="321">
        <f>SUM(I220:I224)</f>
        <v>126</v>
      </c>
      <c r="J225" s="345" t="str">
        <f>IFERROR(G225/#REF!,"-")</f>
        <v>-</v>
      </c>
      <c r="K225" s="320">
        <f>SUM(K220:K224)</f>
        <v>32160</v>
      </c>
      <c r="L225" s="321">
        <f>SUM(L220:L224)</f>
        <v>31920</v>
      </c>
      <c r="M225" s="322">
        <f>SUM(M220:M224)</f>
        <v>240</v>
      </c>
      <c r="N225" s="339" t="str">
        <f t="shared" si="280"/>
        <v>-</v>
      </c>
      <c r="O225" s="345">
        <f t="shared" si="264"/>
        <v>7.462686567164179E-3</v>
      </c>
    </row>
    <row r="226" spans="1:15" ht="24" x14ac:dyDescent="0.25">
      <c r="A226" s="274" t="s">
        <v>102</v>
      </c>
      <c r="B226" s="949" t="s">
        <v>404</v>
      </c>
      <c r="C226" s="269" t="s">
        <v>186</v>
      </c>
      <c r="D226" s="269"/>
      <c r="E226" s="270"/>
      <c r="F226" s="271"/>
      <c r="G226" s="332">
        <f t="shared" ref="G226:G228" si="291">+H226+I226</f>
        <v>0</v>
      </c>
      <c r="H226" s="272"/>
      <c r="I226" s="272"/>
      <c r="J226" s="351" t="str">
        <f>IFERROR(G226/#REF!,"-")</f>
        <v>-</v>
      </c>
      <c r="K226" s="332">
        <f t="shared" ref="K226:K228" si="292">+L226+M226</f>
        <v>0</v>
      </c>
      <c r="L226" s="272">
        <f t="shared" ref="L226:M226" si="293">+H226+L113</f>
        <v>0</v>
      </c>
      <c r="M226" s="273">
        <f t="shared" si="293"/>
        <v>0</v>
      </c>
      <c r="N226" s="336" t="str">
        <f t="shared" si="280"/>
        <v>-</v>
      </c>
      <c r="O226" s="346" t="str">
        <f t="shared" si="264"/>
        <v>-</v>
      </c>
    </row>
    <row r="227" spans="1:15" ht="24" x14ac:dyDescent="0.25">
      <c r="A227" s="274" t="s">
        <v>102</v>
      </c>
      <c r="B227" s="951"/>
      <c r="C227" s="275" t="s">
        <v>159</v>
      </c>
      <c r="D227" s="275"/>
      <c r="E227" s="276"/>
      <c r="F227" s="277"/>
      <c r="G227" s="333">
        <f t="shared" si="291"/>
        <v>0</v>
      </c>
      <c r="H227" s="278"/>
      <c r="I227" s="278"/>
      <c r="J227" s="372" t="str">
        <f>IFERROR(G227/#REF!,"-")</f>
        <v>-</v>
      </c>
      <c r="K227" s="333">
        <f t="shared" si="292"/>
        <v>11826</v>
      </c>
      <c r="L227" s="714">
        <f t="shared" ref="L227:M227" si="294">+H227+L114</f>
        <v>11400</v>
      </c>
      <c r="M227" s="273">
        <f t="shared" si="294"/>
        <v>426</v>
      </c>
      <c r="N227" s="361" t="str">
        <f t="shared" si="280"/>
        <v>-</v>
      </c>
      <c r="O227" s="362">
        <f t="shared" si="264"/>
        <v>3.6022323693556568E-2</v>
      </c>
    </row>
    <row r="228" spans="1:15" ht="24.75" thickBot="1" x14ac:dyDescent="0.3">
      <c r="A228" s="274" t="s">
        <v>102</v>
      </c>
      <c r="B228" s="950"/>
      <c r="C228" s="279" t="s">
        <v>186</v>
      </c>
      <c r="D228" s="279"/>
      <c r="E228" s="280"/>
      <c r="F228" s="281"/>
      <c r="G228" s="334">
        <f t="shared" si="291"/>
        <v>0</v>
      </c>
      <c r="H228" s="282"/>
      <c r="I228" s="282"/>
      <c r="J228" s="373" t="str">
        <f>IFERROR(G228/#REF!,"-")</f>
        <v>-</v>
      </c>
      <c r="K228" s="334">
        <f t="shared" si="292"/>
        <v>0</v>
      </c>
      <c r="L228" s="272">
        <f t="shared" ref="L228:M228" si="295">+H228+L115</f>
        <v>0</v>
      </c>
      <c r="M228" s="273">
        <f t="shared" si="295"/>
        <v>0</v>
      </c>
      <c r="N228" s="363" t="str">
        <f t="shared" si="280"/>
        <v>-</v>
      </c>
      <c r="O228" s="364" t="str">
        <f t="shared" si="264"/>
        <v>-</v>
      </c>
    </row>
    <row r="229" spans="1:15" ht="23.25" thickBot="1" x14ac:dyDescent="0.3">
      <c r="A229" s="274" t="s">
        <v>102</v>
      </c>
      <c r="B229" s="952" t="s">
        <v>41</v>
      </c>
      <c r="C229" s="953"/>
      <c r="D229" s="954"/>
      <c r="E229" s="320">
        <f>SUM(E226:E228)</f>
        <v>0</v>
      </c>
      <c r="F229" s="285"/>
      <c r="G229" s="320">
        <f>SUM(G226:G228)</f>
        <v>0</v>
      </c>
      <c r="H229" s="321">
        <f t="shared" ref="H229:I229" si="296">SUM(H226:H228)</f>
        <v>0</v>
      </c>
      <c r="I229" s="321">
        <f t="shared" si="296"/>
        <v>0</v>
      </c>
      <c r="J229" s="345" t="str">
        <f>IFERROR(G229/#REF!,"-")</f>
        <v>-</v>
      </c>
      <c r="K229" s="320">
        <f t="shared" ref="K229:M229" si="297">SUM(K226:K228)</f>
        <v>11826</v>
      </c>
      <c r="L229" s="365">
        <f t="shared" si="297"/>
        <v>11400</v>
      </c>
      <c r="M229" s="367">
        <f t="shared" si="297"/>
        <v>426</v>
      </c>
      <c r="N229" s="339" t="str">
        <f t="shared" si="280"/>
        <v>-</v>
      </c>
      <c r="O229" s="345">
        <f t="shared" si="264"/>
        <v>3.6022323693556568E-2</v>
      </c>
    </row>
    <row r="230" spans="1:15" ht="24.75" thickBot="1" x14ac:dyDescent="0.3">
      <c r="A230" s="274" t="s">
        <v>102</v>
      </c>
      <c r="B230" s="949" t="s">
        <v>42</v>
      </c>
      <c r="C230" s="269" t="s">
        <v>160</v>
      </c>
      <c r="D230" s="269"/>
      <c r="E230" s="270">
        <v>0</v>
      </c>
      <c r="F230" s="271"/>
      <c r="G230" s="332">
        <f t="shared" ref="G230:G231" si="298">+H230+I230</f>
        <v>0</v>
      </c>
      <c r="H230" s="272"/>
      <c r="I230" s="272"/>
      <c r="J230" s="371" t="str">
        <f>IFERROR(G230/#REF!,"-")</f>
        <v>-</v>
      </c>
      <c r="K230" s="695">
        <f t="shared" ref="K230:K231" si="299">+L230+M230</f>
        <v>0</v>
      </c>
      <c r="L230" s="688">
        <f t="shared" ref="L230:M230" si="300">+H230+L117</f>
        <v>0</v>
      </c>
      <c r="M230" s="688">
        <f t="shared" si="300"/>
        <v>0</v>
      </c>
      <c r="N230" s="359" t="str">
        <f t="shared" si="280"/>
        <v>-</v>
      </c>
      <c r="O230" s="360" t="str">
        <f t="shared" si="264"/>
        <v>-</v>
      </c>
    </row>
    <row r="231" spans="1:15" ht="24.75" thickBot="1" x14ac:dyDescent="0.3">
      <c r="A231" s="274" t="s">
        <v>102</v>
      </c>
      <c r="B231" s="950"/>
      <c r="C231" s="279" t="s">
        <v>161</v>
      </c>
      <c r="D231" s="279"/>
      <c r="E231" s="280">
        <v>0</v>
      </c>
      <c r="F231" s="281"/>
      <c r="G231" s="334">
        <f t="shared" si="298"/>
        <v>0</v>
      </c>
      <c r="H231" s="282"/>
      <c r="I231" s="282"/>
      <c r="J231" s="373" t="str">
        <f>IFERROR(G231/#REF!,"-")</f>
        <v>-</v>
      </c>
      <c r="K231" s="696">
        <f t="shared" si="299"/>
        <v>0</v>
      </c>
      <c r="L231" s="688">
        <f t="shared" ref="L231:M231" si="301">+H231+L118</f>
        <v>0</v>
      </c>
      <c r="M231" s="688">
        <f t="shared" si="301"/>
        <v>0</v>
      </c>
      <c r="N231" s="363" t="str">
        <f t="shared" si="280"/>
        <v>-</v>
      </c>
      <c r="O231" s="364" t="str">
        <f t="shared" si="264"/>
        <v>-</v>
      </c>
    </row>
    <row r="232" spans="1:15" ht="23.25" thickBot="1" x14ac:dyDescent="0.3">
      <c r="A232" s="274" t="s">
        <v>102</v>
      </c>
      <c r="B232" s="952" t="s">
        <v>43</v>
      </c>
      <c r="C232" s="953"/>
      <c r="D232" s="954"/>
      <c r="E232" s="284">
        <v>0</v>
      </c>
      <c r="F232" s="285">
        <v>25000</v>
      </c>
      <c r="G232" s="320">
        <f>SUM(G230:G231)</f>
        <v>0</v>
      </c>
      <c r="H232" s="321">
        <f t="shared" ref="H232:I232" si="302">SUM(H230:H231)</f>
        <v>0</v>
      </c>
      <c r="I232" s="321">
        <f t="shared" si="302"/>
        <v>0</v>
      </c>
      <c r="J232" s="345" t="str">
        <f>IFERROR(G232/#REF!,"-")</f>
        <v>-</v>
      </c>
      <c r="K232" s="760">
        <f t="shared" ref="K232:M232" si="303">SUM(K230:K231)</f>
        <v>0</v>
      </c>
      <c r="L232" s="761">
        <f t="shared" si="303"/>
        <v>0</v>
      </c>
      <c r="M232" s="761">
        <f t="shared" si="303"/>
        <v>0</v>
      </c>
      <c r="N232" s="339" t="str">
        <f t="shared" si="280"/>
        <v>-</v>
      </c>
      <c r="O232" s="345" t="str">
        <f t="shared" si="264"/>
        <v>-</v>
      </c>
    </row>
    <row r="233" spans="1:15" ht="23.25" thickBot="1" x14ac:dyDescent="0.3">
      <c r="A233" s="274" t="s">
        <v>102</v>
      </c>
      <c r="B233" s="938" t="s">
        <v>25</v>
      </c>
      <c r="C233" s="939"/>
      <c r="D233" s="940"/>
      <c r="E233" s="326">
        <f t="shared" ref="E233:F233" si="304">+E211+E216+E219+E225+E229+E232</f>
        <v>0</v>
      </c>
      <c r="F233" s="327">
        <f t="shared" si="304"/>
        <v>65800</v>
      </c>
      <c r="G233" s="326">
        <f>+G211+G216+G219+G225+G229+G232</f>
        <v>26941</v>
      </c>
      <c r="H233" s="324">
        <f>+H211+H216+H219+H225+H229+H232</f>
        <v>26700</v>
      </c>
      <c r="I233" s="324">
        <f t="shared" ref="I233" si="305">+I211+I216+I219+I225+I229+I232</f>
        <v>241</v>
      </c>
      <c r="J233" s="349" t="str">
        <f>IFERROR(G233/#REF!,"-")</f>
        <v>-</v>
      </c>
      <c r="K233" s="326">
        <f>+K211+K216+K219+K225+K229+K232</f>
        <v>45601</v>
      </c>
      <c r="L233" s="759">
        <f t="shared" ref="L233:M233" si="306">+L211+L216+L219+L225+L229+L232</f>
        <v>44820</v>
      </c>
      <c r="M233" s="325">
        <f t="shared" si="306"/>
        <v>781</v>
      </c>
      <c r="N233" s="341" t="str">
        <f t="shared" si="280"/>
        <v>-</v>
      </c>
      <c r="O233" s="349">
        <f t="shared" si="264"/>
        <v>1.7126817394355388E-2</v>
      </c>
    </row>
    <row r="234" spans="1:15" ht="23.25" thickBot="1" x14ac:dyDescent="0.3">
      <c r="A234" s="318" t="s">
        <v>102</v>
      </c>
      <c r="B234" s="941" t="s">
        <v>173</v>
      </c>
      <c r="C234" s="941"/>
      <c r="D234" s="942"/>
      <c r="E234" s="330">
        <f>+E233</f>
        <v>0</v>
      </c>
      <c r="F234" s="331">
        <f t="shared" ref="F234:O234" si="307">+F233</f>
        <v>65800</v>
      </c>
      <c r="G234" s="330">
        <f t="shared" si="307"/>
        <v>26941</v>
      </c>
      <c r="H234" s="328">
        <f t="shared" si="307"/>
        <v>26700</v>
      </c>
      <c r="I234" s="328">
        <f t="shared" si="307"/>
        <v>241</v>
      </c>
      <c r="J234" s="350" t="str">
        <f t="shared" si="307"/>
        <v>-</v>
      </c>
      <c r="K234" s="330">
        <f t="shared" si="307"/>
        <v>45601</v>
      </c>
      <c r="L234" s="328">
        <f t="shared" si="307"/>
        <v>44820</v>
      </c>
      <c r="M234" s="329">
        <f t="shared" si="307"/>
        <v>781</v>
      </c>
      <c r="N234" s="342" t="str">
        <f t="shared" si="307"/>
        <v>-</v>
      </c>
      <c r="O234" s="350">
        <f t="shared" si="307"/>
        <v>1.7126817394355388E-2</v>
      </c>
    </row>
    <row r="235" spans="1:15" ht="26.25" thickBot="1" x14ac:dyDescent="0.3">
      <c r="A235" s="319"/>
      <c r="B235" s="943" t="s">
        <v>174</v>
      </c>
      <c r="C235" s="944"/>
      <c r="D235" s="945"/>
      <c r="E235" s="374">
        <f>+E172+E207+E234</f>
        <v>0</v>
      </c>
      <c r="F235" s="374">
        <f>+F172+F207+F234</f>
        <v>1024800</v>
      </c>
      <c r="G235" s="374">
        <f>+G172+G207+G234</f>
        <v>221917</v>
      </c>
      <c r="H235" s="374">
        <f>+H172+H207+H234</f>
        <v>389052</v>
      </c>
      <c r="I235" s="374">
        <f>+I172+I207+I234</f>
        <v>2300</v>
      </c>
      <c r="J235" s="375" t="str">
        <f>IFERROR(G235/#REF!,"-")</f>
        <v>-</v>
      </c>
      <c r="K235" s="374">
        <f>+K172+K207+K234</f>
        <v>628012</v>
      </c>
      <c r="L235" s="374">
        <f>+L172+L207+L234</f>
        <v>623058</v>
      </c>
      <c r="M235" s="374">
        <f>+M172+M207+M234</f>
        <v>4954</v>
      </c>
      <c r="N235" s="375" t="str">
        <f>IFERROR(K235/E235,"-")</f>
        <v>-</v>
      </c>
      <c r="O235" s="375">
        <f>IFERROR(M235/K235,"-")</f>
        <v>7.8883842983892023E-3</v>
      </c>
    </row>
    <row r="236" spans="1:15" ht="22.5" x14ac:dyDescent="0.25">
      <c r="A236" s="978" t="s">
        <v>1</v>
      </c>
      <c r="B236" s="981" t="s">
        <v>2</v>
      </c>
      <c r="C236" s="984" t="s">
        <v>396</v>
      </c>
      <c r="D236" s="984" t="s">
        <v>397</v>
      </c>
      <c r="E236" s="987" t="s">
        <v>4</v>
      </c>
      <c r="F236" s="988"/>
      <c r="G236" s="988"/>
      <c r="H236" s="988"/>
      <c r="I236" s="988"/>
      <c r="J236" s="988"/>
      <c r="K236" s="988"/>
      <c r="L236" s="988"/>
      <c r="M236" s="988"/>
      <c r="N236" s="988"/>
      <c r="O236" s="989"/>
    </row>
    <row r="237" spans="1:15" ht="22.5" x14ac:dyDescent="0.25">
      <c r="A237" s="979"/>
      <c r="B237" s="982"/>
      <c r="C237" s="985"/>
      <c r="D237" s="985"/>
      <c r="E237" s="990" t="s">
        <v>7</v>
      </c>
      <c r="F237" s="992" t="s">
        <v>108</v>
      </c>
      <c r="G237" s="994" t="s">
        <v>488</v>
      </c>
      <c r="H237" s="995"/>
      <c r="I237" s="995"/>
      <c r="J237" s="996"/>
      <c r="K237" s="997" t="s">
        <v>398</v>
      </c>
      <c r="L237" s="998"/>
      <c r="M237" s="999"/>
      <c r="N237" s="1000" t="s">
        <v>399</v>
      </c>
      <c r="O237" s="1002" t="s">
        <v>164</v>
      </c>
    </row>
    <row r="238" spans="1:15" ht="41.25" thickBot="1" x14ac:dyDescent="0.3">
      <c r="A238" s="980"/>
      <c r="B238" s="983"/>
      <c r="C238" s="986"/>
      <c r="D238" s="986"/>
      <c r="E238" s="991"/>
      <c r="F238" s="993"/>
      <c r="G238" s="452" t="s">
        <v>13</v>
      </c>
      <c r="H238" s="453" t="s">
        <v>14</v>
      </c>
      <c r="I238" s="453" t="s">
        <v>15</v>
      </c>
      <c r="J238" s="454" t="s">
        <v>166</v>
      </c>
      <c r="K238" s="680" t="s">
        <v>13</v>
      </c>
      <c r="L238" s="678" t="s">
        <v>14</v>
      </c>
      <c r="M238" s="679" t="s">
        <v>15</v>
      </c>
      <c r="N238" s="1001"/>
      <c r="O238" s="1003"/>
    </row>
    <row r="239" spans="1:15" ht="24.75" thickBot="1" x14ac:dyDescent="0.3">
      <c r="A239" s="268" t="s">
        <v>103</v>
      </c>
      <c r="B239" s="965" t="s">
        <v>16</v>
      </c>
      <c r="C239" s="269" t="s">
        <v>368</v>
      </c>
      <c r="D239" s="269" t="s">
        <v>369</v>
      </c>
      <c r="E239" s="270"/>
      <c r="F239" s="271"/>
      <c r="G239" s="332">
        <f>+H239+I239</f>
        <v>0</v>
      </c>
      <c r="H239" s="272"/>
      <c r="I239" s="272"/>
      <c r="J239" s="351"/>
      <c r="K239" s="457">
        <f>+L239+M239</f>
        <v>0</v>
      </c>
      <c r="L239" s="688">
        <f>+H239+L126</f>
        <v>0</v>
      </c>
      <c r="M239" s="688">
        <f>+I239+M126</f>
        <v>0</v>
      </c>
      <c r="N239" s="336" t="str">
        <f>IFERROR(K239/E239,"-")</f>
        <v>-</v>
      </c>
      <c r="O239" s="343" t="str">
        <f t="shared" ref="O239:O240" si="308">IFERROR(M239/K239,"-")</f>
        <v>-</v>
      </c>
    </row>
    <row r="240" spans="1:15" ht="24" x14ac:dyDescent="0.25">
      <c r="A240" s="274" t="s">
        <v>103</v>
      </c>
      <c r="B240" s="966"/>
      <c r="C240" s="275" t="s">
        <v>376</v>
      </c>
      <c r="D240" s="275" t="s">
        <v>375</v>
      </c>
      <c r="E240" s="276"/>
      <c r="F240" s="277"/>
      <c r="G240" s="333">
        <f t="shared" ref="G240:G242" si="309">+H240+I240</f>
        <v>0</v>
      </c>
      <c r="H240" s="278"/>
      <c r="I240" s="278"/>
      <c r="J240" s="352" t="str">
        <f>IFERROR(G240/#REF!,"-")</f>
        <v>-</v>
      </c>
      <c r="K240" s="690">
        <f t="shared" ref="K240:K242" si="310">+L240+M240</f>
        <v>0</v>
      </c>
      <c r="L240" s="527">
        <f t="shared" ref="L240:L242" si="311">+H240+L127</f>
        <v>0</v>
      </c>
      <c r="M240" s="459">
        <f t="shared" ref="M240:M242" si="312">+I240+M127</f>
        <v>0</v>
      </c>
      <c r="N240" s="337" t="str">
        <f t="shared" ref="N240:N242" si="313">IFERROR(K240/E240,"-")</f>
        <v>-</v>
      </c>
      <c r="O240" s="265" t="str">
        <f t="shared" si="308"/>
        <v>-</v>
      </c>
    </row>
    <row r="241" spans="1:15" s="723" customFormat="1" ht="22.5" x14ac:dyDescent="0.25">
      <c r="A241" s="274" t="s">
        <v>103</v>
      </c>
      <c r="B241" s="966"/>
      <c r="C241" s="573" t="s">
        <v>431</v>
      </c>
      <c r="D241" s="573" t="s">
        <v>366</v>
      </c>
      <c r="E241" s="720"/>
      <c r="F241" s="721"/>
      <c r="G241" s="333">
        <f t="shared" si="309"/>
        <v>3520</v>
      </c>
      <c r="H241" s="722">
        <v>3520</v>
      </c>
      <c r="I241" s="722"/>
      <c r="J241" s="352" t="str">
        <f>IFERROR(G241/#REF!,"-")</f>
        <v>-</v>
      </c>
      <c r="K241" s="690">
        <f t="shared" si="310"/>
        <v>3520</v>
      </c>
      <c r="L241" s="720">
        <f t="shared" si="311"/>
        <v>3520</v>
      </c>
      <c r="M241" s="529">
        <f t="shared" si="312"/>
        <v>0</v>
      </c>
      <c r="N241" s="337" t="str">
        <f t="shared" si="313"/>
        <v>-</v>
      </c>
      <c r="O241" s="265">
        <f>IFERROR(M241/K241,"-")</f>
        <v>0</v>
      </c>
    </row>
    <row r="242" spans="1:15" ht="24.75" thickBot="1" x14ac:dyDescent="0.3">
      <c r="A242" s="274" t="s">
        <v>103</v>
      </c>
      <c r="B242" s="967"/>
      <c r="C242" s="279" t="s">
        <v>428</v>
      </c>
      <c r="D242" s="279" t="s">
        <v>374</v>
      </c>
      <c r="E242" s="280"/>
      <c r="F242" s="281"/>
      <c r="G242" s="334">
        <f t="shared" si="309"/>
        <v>0</v>
      </c>
      <c r="H242" s="272"/>
      <c r="I242" s="272"/>
      <c r="J242" s="353" t="str">
        <f>IFERROR(G242/#REF!,"-")</f>
        <v>-</v>
      </c>
      <c r="K242" s="691">
        <f t="shared" si="310"/>
        <v>0</v>
      </c>
      <c r="L242" s="530">
        <f t="shared" si="311"/>
        <v>0</v>
      </c>
      <c r="M242" s="462">
        <f t="shared" si="312"/>
        <v>0</v>
      </c>
      <c r="N242" s="338" t="str">
        <f t="shared" si="313"/>
        <v>-</v>
      </c>
      <c r="O242" s="344" t="str">
        <f t="shared" ref="O242:O260" si="314">IFERROR(M242/K242,"-")</f>
        <v>-</v>
      </c>
    </row>
    <row r="243" spans="1:15" ht="23.25" thickBot="1" x14ac:dyDescent="0.3">
      <c r="A243" s="274" t="s">
        <v>103</v>
      </c>
      <c r="B243" s="946" t="s">
        <v>44</v>
      </c>
      <c r="C243" s="947"/>
      <c r="D243" s="948"/>
      <c r="E243" s="320">
        <f>SUM(E239:E242)</f>
        <v>0</v>
      </c>
      <c r="F243" s="285">
        <v>15000</v>
      </c>
      <c r="G243" s="320">
        <f>SUM(G239:G242)</f>
        <v>3520</v>
      </c>
      <c r="H243" s="321">
        <f t="shared" ref="H243:I243" si="315">SUM(H239:H242)</f>
        <v>3520</v>
      </c>
      <c r="I243" s="321">
        <f t="shared" si="315"/>
        <v>0</v>
      </c>
      <c r="J243" s="345">
        <f>+G243/F243</f>
        <v>0.23466666666666666</v>
      </c>
      <c r="K243" s="320">
        <f t="shared" ref="K243" si="316">SUM(K239:K242)</f>
        <v>3520</v>
      </c>
      <c r="L243" s="692">
        <f>SUM(L239:L242)</f>
        <v>3520</v>
      </c>
      <c r="M243" s="693">
        <f>SUM(M239:M242)</f>
        <v>0</v>
      </c>
      <c r="N243" s="339" t="str">
        <f>IFERROR(K243/E243,"-")</f>
        <v>-</v>
      </c>
      <c r="O243" s="345">
        <f t="shared" si="314"/>
        <v>0</v>
      </c>
    </row>
    <row r="244" spans="1:15" ht="24" x14ac:dyDescent="0.25">
      <c r="A244" s="274" t="s">
        <v>103</v>
      </c>
      <c r="B244" s="965" t="s">
        <v>17</v>
      </c>
      <c r="C244" s="269" t="s">
        <v>294</v>
      </c>
      <c r="D244" s="269"/>
      <c r="E244" s="270"/>
      <c r="F244" s="271"/>
      <c r="G244" s="332">
        <f t="shared" ref="G244:G250" si="317">+H244+I244</f>
        <v>0</v>
      </c>
      <c r="H244" s="272"/>
      <c r="I244" s="272"/>
      <c r="J244" s="351" t="str">
        <f>IFERROR(G244/#REF!,"-")</f>
        <v>-</v>
      </c>
      <c r="K244" s="694">
        <f t="shared" ref="K244:K250" si="318">+L244+M244</f>
        <v>0</v>
      </c>
      <c r="L244" s="527">
        <f t="shared" ref="L244:L250" si="319">+H244+L131</f>
        <v>0</v>
      </c>
      <c r="M244" s="459">
        <f t="shared" ref="M244:M250" si="320">+I244+M131</f>
        <v>0</v>
      </c>
      <c r="N244" s="336" t="str">
        <f t="shared" ref="N244:N250" si="321">IFERROR(K244/E244,"-")</f>
        <v>-</v>
      </c>
      <c r="O244" s="346" t="str">
        <f t="shared" si="314"/>
        <v>-</v>
      </c>
    </row>
    <row r="245" spans="1:15" ht="24" x14ac:dyDescent="0.25">
      <c r="A245" s="274" t="s">
        <v>103</v>
      </c>
      <c r="B245" s="966"/>
      <c r="C245" s="275" t="s">
        <v>344</v>
      </c>
      <c r="D245" s="275" t="s">
        <v>232</v>
      </c>
      <c r="E245" s="276"/>
      <c r="F245" s="277"/>
      <c r="G245" s="333">
        <f t="shared" si="317"/>
        <v>0</v>
      </c>
      <c r="H245" s="278"/>
      <c r="I245" s="278"/>
      <c r="J245" s="352" t="str">
        <f>IFERROR(G245/#REF!,"-")</f>
        <v>-</v>
      </c>
      <c r="K245" s="690">
        <f t="shared" si="318"/>
        <v>0</v>
      </c>
      <c r="L245" s="276">
        <f t="shared" si="319"/>
        <v>0</v>
      </c>
      <c r="M245" s="436">
        <f t="shared" si="320"/>
        <v>0</v>
      </c>
      <c r="N245" s="337" t="str">
        <f t="shared" si="321"/>
        <v>-</v>
      </c>
      <c r="O245" s="263" t="str">
        <f t="shared" si="314"/>
        <v>-</v>
      </c>
    </row>
    <row r="246" spans="1:15" ht="24" x14ac:dyDescent="0.25">
      <c r="A246" s="274" t="s">
        <v>103</v>
      </c>
      <c r="B246" s="966"/>
      <c r="C246" s="275" t="s">
        <v>367</v>
      </c>
      <c r="D246" s="275" t="s">
        <v>187</v>
      </c>
      <c r="E246" s="276"/>
      <c r="F246" s="277"/>
      <c r="G246" s="333">
        <f t="shared" si="317"/>
        <v>104252</v>
      </c>
      <c r="H246" s="278">
        <v>104040</v>
      </c>
      <c r="I246" s="278">
        <v>212</v>
      </c>
      <c r="J246" s="352" t="str">
        <f>IFERROR(G246/#REF!,"-")</f>
        <v>-</v>
      </c>
      <c r="K246" s="690">
        <f t="shared" si="318"/>
        <v>129206</v>
      </c>
      <c r="L246" s="276">
        <f t="shared" si="319"/>
        <v>128520</v>
      </c>
      <c r="M246" s="436">
        <f t="shared" si="320"/>
        <v>686</v>
      </c>
      <c r="N246" s="337" t="str">
        <f t="shared" si="321"/>
        <v>-</v>
      </c>
      <c r="O246" s="263">
        <f t="shared" si="314"/>
        <v>5.3093509589337952E-3</v>
      </c>
    </row>
    <row r="247" spans="1:15" ht="24" x14ac:dyDescent="0.25">
      <c r="A247" s="274" t="s">
        <v>103</v>
      </c>
      <c r="B247" s="966"/>
      <c r="C247" s="275" t="s">
        <v>293</v>
      </c>
      <c r="D247" s="275" t="s">
        <v>188</v>
      </c>
      <c r="E247" s="276"/>
      <c r="F247" s="277"/>
      <c r="G247" s="333">
        <f t="shared" si="317"/>
        <v>0</v>
      </c>
      <c r="H247" s="278"/>
      <c r="I247" s="278"/>
      <c r="J247" s="352" t="str">
        <f>IFERROR(G247/#REF!,"-")</f>
        <v>-</v>
      </c>
      <c r="K247" s="690">
        <f t="shared" si="318"/>
        <v>0</v>
      </c>
      <c r="L247" s="276">
        <f t="shared" si="319"/>
        <v>0</v>
      </c>
      <c r="M247" s="436">
        <f t="shared" si="320"/>
        <v>0</v>
      </c>
      <c r="N247" s="337" t="str">
        <f t="shared" si="321"/>
        <v>-</v>
      </c>
      <c r="O247" s="263" t="str">
        <f t="shared" si="314"/>
        <v>-</v>
      </c>
    </row>
    <row r="248" spans="1:15" ht="24" x14ac:dyDescent="0.25">
      <c r="A248" s="274" t="s">
        <v>103</v>
      </c>
      <c r="B248" s="966"/>
      <c r="C248" s="275" t="s">
        <v>323</v>
      </c>
      <c r="D248" s="275" t="s">
        <v>318</v>
      </c>
      <c r="E248" s="276"/>
      <c r="F248" s="277"/>
      <c r="G248" s="333">
        <f t="shared" si="317"/>
        <v>0</v>
      </c>
      <c r="H248" s="278"/>
      <c r="I248" s="278"/>
      <c r="J248" s="352" t="str">
        <f>IFERROR(G248/#REF!,"-")</f>
        <v>-</v>
      </c>
      <c r="K248" s="690">
        <f t="shared" si="318"/>
        <v>0</v>
      </c>
      <c r="L248" s="276">
        <f t="shared" si="319"/>
        <v>0</v>
      </c>
      <c r="M248" s="436">
        <f t="shared" si="320"/>
        <v>0</v>
      </c>
      <c r="N248" s="337" t="str">
        <f t="shared" si="321"/>
        <v>-</v>
      </c>
      <c r="O248" s="263" t="str">
        <f t="shared" si="314"/>
        <v>-</v>
      </c>
    </row>
    <row r="249" spans="1:15" ht="24" x14ac:dyDescent="0.25">
      <c r="A249" s="274" t="s">
        <v>103</v>
      </c>
      <c r="B249" s="966"/>
      <c r="C249" s="275" t="s">
        <v>352</v>
      </c>
      <c r="D249" s="275" t="s">
        <v>189</v>
      </c>
      <c r="E249" s="276"/>
      <c r="F249" s="277"/>
      <c r="G249" s="333">
        <f t="shared" si="317"/>
        <v>0</v>
      </c>
      <c r="H249" s="278"/>
      <c r="I249" s="278"/>
      <c r="J249" s="352" t="str">
        <f>IFERROR(G249/#REF!,"-")</f>
        <v>-</v>
      </c>
      <c r="K249" s="690">
        <f t="shared" si="318"/>
        <v>0</v>
      </c>
      <c r="L249" s="276">
        <f t="shared" si="319"/>
        <v>0</v>
      </c>
      <c r="M249" s="436">
        <f t="shared" si="320"/>
        <v>0</v>
      </c>
      <c r="N249" s="337" t="str">
        <f t="shared" si="321"/>
        <v>-</v>
      </c>
      <c r="O249" s="263" t="str">
        <f t="shared" si="314"/>
        <v>-</v>
      </c>
    </row>
    <row r="250" spans="1:15" ht="24.75" thickBot="1" x14ac:dyDescent="0.3">
      <c r="A250" s="274" t="s">
        <v>103</v>
      </c>
      <c r="B250" s="967"/>
      <c r="C250" s="279" t="s">
        <v>341</v>
      </c>
      <c r="D250" s="279" t="s">
        <v>232</v>
      </c>
      <c r="E250" s="280"/>
      <c r="F250" s="281"/>
      <c r="G250" s="334">
        <f t="shared" si="317"/>
        <v>0</v>
      </c>
      <c r="H250" s="282"/>
      <c r="I250" s="282"/>
      <c r="J250" s="353" t="str">
        <f>IFERROR(G250/#REF!,"-")</f>
        <v>-</v>
      </c>
      <c r="K250" s="691">
        <f t="shared" si="318"/>
        <v>0</v>
      </c>
      <c r="L250" s="530">
        <f t="shared" si="319"/>
        <v>0</v>
      </c>
      <c r="M250" s="462">
        <f t="shared" si="320"/>
        <v>0</v>
      </c>
      <c r="N250" s="338" t="str">
        <f t="shared" si="321"/>
        <v>-</v>
      </c>
      <c r="O250" s="347" t="str">
        <f t="shared" si="314"/>
        <v>-</v>
      </c>
    </row>
    <row r="251" spans="1:15" ht="23.25" thickBot="1" x14ac:dyDescent="0.3">
      <c r="A251" s="274" t="s">
        <v>103</v>
      </c>
      <c r="B251" s="946" t="s">
        <v>45</v>
      </c>
      <c r="C251" s="947"/>
      <c r="D251" s="948"/>
      <c r="E251" s="320">
        <f>SUM(E244:E250)</f>
        <v>0</v>
      </c>
      <c r="F251" s="285">
        <v>100000</v>
      </c>
      <c r="G251" s="320">
        <f>SUM(G244:G250)</f>
        <v>104252</v>
      </c>
      <c r="H251" s="321">
        <f t="shared" ref="H251:I251" si="322">SUM(H244:H250)</f>
        <v>104040</v>
      </c>
      <c r="I251" s="321">
        <f t="shared" si="322"/>
        <v>212</v>
      </c>
      <c r="J251" s="345">
        <f>+G251/F251</f>
        <v>1.0425199999999999</v>
      </c>
      <c r="K251" s="320">
        <f>SUM(K244:K250)</f>
        <v>129206</v>
      </c>
      <c r="L251" s="519">
        <f>SUM(L244:L250)</f>
        <v>128520</v>
      </c>
      <c r="M251" s="689">
        <f t="shared" ref="M251" si="323">SUM(M244:M250)</f>
        <v>686</v>
      </c>
      <c r="N251" s="339" t="str">
        <f>IFERROR(K251/E251,"-")</f>
        <v>-</v>
      </c>
      <c r="O251" s="345">
        <f t="shared" si="314"/>
        <v>5.3093509589337952E-3</v>
      </c>
    </row>
    <row r="252" spans="1:15" ht="24" x14ac:dyDescent="0.25">
      <c r="A252" s="274" t="s">
        <v>103</v>
      </c>
      <c r="B252" s="965" t="s">
        <v>18</v>
      </c>
      <c r="C252" s="269" t="s">
        <v>312</v>
      </c>
      <c r="D252" s="269" t="s">
        <v>92</v>
      </c>
      <c r="E252" s="270"/>
      <c r="F252" s="271"/>
      <c r="G252" s="332">
        <f t="shared" ref="G252:G258" si="324">+H252+I252</f>
        <v>0</v>
      </c>
      <c r="H252" s="272"/>
      <c r="I252" s="272"/>
      <c r="J252" s="351" t="str">
        <f>IFERROR(G252/#REF!,"-")</f>
        <v>-</v>
      </c>
      <c r="K252" s="332">
        <f t="shared" ref="K252:K258" si="325">+L252+M252</f>
        <v>0</v>
      </c>
      <c r="L252" s="272">
        <f t="shared" ref="L252:L258" si="326">+H252+L139</f>
        <v>0</v>
      </c>
      <c r="M252" s="273">
        <f t="shared" ref="M252:M258" si="327">+I252+M139</f>
        <v>0</v>
      </c>
      <c r="N252" s="336" t="str">
        <f t="shared" ref="N252:N259" si="328">IFERROR(K252/E252,"-")</f>
        <v>-</v>
      </c>
      <c r="O252" s="346" t="str">
        <f t="shared" si="314"/>
        <v>-</v>
      </c>
    </row>
    <row r="253" spans="1:15" ht="24" x14ac:dyDescent="0.25">
      <c r="A253" s="274" t="s">
        <v>103</v>
      </c>
      <c r="B253" s="966"/>
      <c r="C253" s="275" t="s">
        <v>233</v>
      </c>
      <c r="D253" s="275" t="s">
        <v>234</v>
      </c>
      <c r="E253" s="276"/>
      <c r="F253" s="277"/>
      <c r="G253" s="333">
        <f t="shared" si="324"/>
        <v>0</v>
      </c>
      <c r="H253" s="278"/>
      <c r="I253" s="278"/>
      <c r="J253" s="352" t="str">
        <f>IFERROR(G253/#REF!,"-")</f>
        <v>-</v>
      </c>
      <c r="K253" s="333">
        <f t="shared" si="325"/>
        <v>0</v>
      </c>
      <c r="L253" s="272">
        <f t="shared" si="326"/>
        <v>0</v>
      </c>
      <c r="M253" s="273">
        <f t="shared" si="327"/>
        <v>0</v>
      </c>
      <c r="N253" s="337" t="str">
        <f t="shared" si="328"/>
        <v>-</v>
      </c>
      <c r="O253" s="263" t="str">
        <f t="shared" si="314"/>
        <v>-</v>
      </c>
    </row>
    <row r="254" spans="1:15" ht="24" x14ac:dyDescent="0.25">
      <c r="A254" s="274" t="s">
        <v>103</v>
      </c>
      <c r="B254" s="966"/>
      <c r="C254" s="275" t="s">
        <v>115</v>
      </c>
      <c r="D254" s="275"/>
      <c r="E254" s="276"/>
      <c r="F254" s="277"/>
      <c r="G254" s="333">
        <f t="shared" si="324"/>
        <v>0</v>
      </c>
      <c r="H254" s="278"/>
      <c r="I254" s="278"/>
      <c r="J254" s="352" t="str">
        <f>IFERROR(G254/#REF!,"-")</f>
        <v>-</v>
      </c>
      <c r="K254" s="333">
        <f t="shared" si="325"/>
        <v>0</v>
      </c>
      <c r="L254" s="272">
        <f t="shared" si="326"/>
        <v>0</v>
      </c>
      <c r="M254" s="273">
        <f t="shared" si="327"/>
        <v>0</v>
      </c>
      <c r="N254" s="337" t="str">
        <f t="shared" si="328"/>
        <v>-</v>
      </c>
      <c r="O254" s="263" t="str">
        <f t="shared" si="314"/>
        <v>-</v>
      </c>
    </row>
    <row r="255" spans="1:15" ht="24" x14ac:dyDescent="0.25">
      <c r="A255" s="274" t="s">
        <v>103</v>
      </c>
      <c r="B255" s="966"/>
      <c r="C255" s="275" t="s">
        <v>122</v>
      </c>
      <c r="D255" s="275"/>
      <c r="E255" s="276"/>
      <c r="F255" s="277"/>
      <c r="G255" s="333">
        <f t="shared" si="324"/>
        <v>0</v>
      </c>
      <c r="H255" s="278"/>
      <c r="I255" s="278"/>
      <c r="J255" s="352" t="str">
        <f>IFERROR(G255/#REF!,"-")</f>
        <v>-</v>
      </c>
      <c r="K255" s="333">
        <f t="shared" si="325"/>
        <v>0</v>
      </c>
      <c r="L255" s="272">
        <f t="shared" si="326"/>
        <v>0</v>
      </c>
      <c r="M255" s="273">
        <f t="shared" si="327"/>
        <v>0</v>
      </c>
      <c r="N255" s="337" t="str">
        <f t="shared" si="328"/>
        <v>-</v>
      </c>
      <c r="O255" s="263" t="str">
        <f t="shared" si="314"/>
        <v>-</v>
      </c>
    </row>
    <row r="256" spans="1:15" ht="24" x14ac:dyDescent="0.25">
      <c r="A256" s="274" t="s">
        <v>103</v>
      </c>
      <c r="B256" s="966"/>
      <c r="C256" s="275" t="s">
        <v>176</v>
      </c>
      <c r="D256" s="275" t="s">
        <v>177</v>
      </c>
      <c r="E256" s="276"/>
      <c r="F256" s="277"/>
      <c r="G256" s="333">
        <f t="shared" si="324"/>
        <v>0</v>
      </c>
      <c r="H256" s="278"/>
      <c r="I256" s="278"/>
      <c r="J256" s="352" t="str">
        <f>IFERROR(G256/#REF!,"-")</f>
        <v>-</v>
      </c>
      <c r="K256" s="333">
        <f t="shared" si="325"/>
        <v>0</v>
      </c>
      <c r="L256" s="272">
        <f t="shared" si="326"/>
        <v>0</v>
      </c>
      <c r="M256" s="273">
        <f t="shared" si="327"/>
        <v>0</v>
      </c>
      <c r="N256" s="337" t="str">
        <f t="shared" si="328"/>
        <v>-</v>
      </c>
      <c r="O256" s="263" t="str">
        <f t="shared" si="314"/>
        <v>-</v>
      </c>
    </row>
    <row r="257" spans="1:15" ht="24" x14ac:dyDescent="0.25">
      <c r="A257" s="274" t="s">
        <v>103</v>
      </c>
      <c r="B257" s="966"/>
      <c r="C257" s="275" t="s">
        <v>179</v>
      </c>
      <c r="D257" s="275" t="s">
        <v>178</v>
      </c>
      <c r="E257" s="276"/>
      <c r="F257" s="277"/>
      <c r="G257" s="333">
        <f t="shared" si="324"/>
        <v>0</v>
      </c>
      <c r="H257" s="278"/>
      <c r="I257" s="278"/>
      <c r="J257" s="352" t="str">
        <f>IFERROR(G257/#REF!,"-")</f>
        <v>-</v>
      </c>
      <c r="K257" s="333">
        <f t="shared" si="325"/>
        <v>0</v>
      </c>
      <c r="L257" s="272">
        <f t="shared" si="326"/>
        <v>0</v>
      </c>
      <c r="M257" s="273">
        <f t="shared" si="327"/>
        <v>0</v>
      </c>
      <c r="N257" s="337" t="str">
        <f t="shared" si="328"/>
        <v>-</v>
      </c>
      <c r="O257" s="263" t="str">
        <f t="shared" si="314"/>
        <v>-</v>
      </c>
    </row>
    <row r="258" spans="1:15" ht="24.75" thickBot="1" x14ac:dyDescent="0.3">
      <c r="A258" s="274" t="s">
        <v>103</v>
      </c>
      <c r="B258" s="967"/>
      <c r="C258" s="286" t="s">
        <v>180</v>
      </c>
      <c r="D258" s="286" t="s">
        <v>107</v>
      </c>
      <c r="E258" s="280"/>
      <c r="F258" s="281"/>
      <c r="G258" s="334">
        <f t="shared" si="324"/>
        <v>0</v>
      </c>
      <c r="H258" s="282"/>
      <c r="I258" s="282"/>
      <c r="J258" s="353" t="str">
        <f>IFERROR(G258/#REF!,"-")</f>
        <v>-</v>
      </c>
      <c r="K258" s="334">
        <f t="shared" si="325"/>
        <v>0</v>
      </c>
      <c r="L258" s="272">
        <f t="shared" si="326"/>
        <v>0</v>
      </c>
      <c r="M258" s="273">
        <f t="shared" si="327"/>
        <v>0</v>
      </c>
      <c r="N258" s="338" t="str">
        <f t="shared" si="328"/>
        <v>-</v>
      </c>
      <c r="O258" s="347" t="str">
        <f t="shared" si="314"/>
        <v>-</v>
      </c>
    </row>
    <row r="259" spans="1:15" ht="23.25" thickBot="1" x14ac:dyDescent="0.3">
      <c r="A259" s="274" t="s">
        <v>103</v>
      </c>
      <c r="B259" s="946" t="s">
        <v>29</v>
      </c>
      <c r="C259" s="947"/>
      <c r="D259" s="948"/>
      <c r="E259" s="320">
        <f t="shared" ref="E259" si="329">SUM(E252:E258)</f>
        <v>0</v>
      </c>
      <c r="F259" s="285">
        <v>80000</v>
      </c>
      <c r="G259" s="320">
        <f>SUM(G252:G258)</f>
        <v>0</v>
      </c>
      <c r="H259" s="321">
        <f t="shared" ref="H259:I259" si="330">SUM(H252:H258)</f>
        <v>0</v>
      </c>
      <c r="I259" s="321">
        <f t="shared" si="330"/>
        <v>0</v>
      </c>
      <c r="J259" s="345">
        <f>+G259/F259</f>
        <v>0</v>
      </c>
      <c r="K259" s="320">
        <f t="shared" ref="K259" si="331">SUM(K252:K258)</f>
        <v>0</v>
      </c>
      <c r="L259" s="321">
        <f>SUM(L252:L258)</f>
        <v>0</v>
      </c>
      <c r="M259" s="322">
        <f t="shared" ref="M259" si="332">SUM(M252:M258)</f>
        <v>0</v>
      </c>
      <c r="N259" s="339" t="str">
        <f t="shared" si="328"/>
        <v>-</v>
      </c>
      <c r="O259" s="345" t="str">
        <f t="shared" si="314"/>
        <v>-</v>
      </c>
    </row>
    <row r="260" spans="1:15" ht="24.75" thickBot="1" x14ac:dyDescent="0.3">
      <c r="A260" s="252" t="s">
        <v>103</v>
      </c>
      <c r="B260" s="1004" t="s">
        <v>19</v>
      </c>
      <c r="C260" s="641" t="s">
        <v>235</v>
      </c>
      <c r="D260" s="669" t="s">
        <v>177</v>
      </c>
      <c r="E260" s="674"/>
      <c r="F260" s="671">
        <v>220000</v>
      </c>
      <c r="G260" s="644">
        <f t="shared" ref="G260:G262" si="333">+H260+I260</f>
        <v>0</v>
      </c>
      <c r="H260" s="458"/>
      <c r="I260" s="458"/>
      <c r="J260" s="531" t="str">
        <f>IFERROR(G260/#REF!,"-")</f>
        <v>-</v>
      </c>
      <c r="K260" s="457">
        <f>+L260+M260</f>
        <v>0</v>
      </c>
      <c r="L260" s="458">
        <f t="shared" ref="L260:L262" si="334">+H260+L147</f>
        <v>0</v>
      </c>
      <c r="M260" s="459">
        <f t="shared" ref="M260:M262" si="335">+I260+M147</f>
        <v>0</v>
      </c>
      <c r="N260" s="646" t="str">
        <f>IFERROR(K260/E260,"-")</f>
        <v>-</v>
      </c>
      <c r="O260" s="647" t="str">
        <f t="shared" si="314"/>
        <v>-</v>
      </c>
    </row>
    <row r="261" spans="1:15" ht="24.75" thickBot="1" x14ac:dyDescent="0.3">
      <c r="A261" s="252"/>
      <c r="B261" s="1005"/>
      <c r="C261" s="296" t="s">
        <v>377</v>
      </c>
      <c r="D261" s="645" t="s">
        <v>423</v>
      </c>
      <c r="E261" s="675"/>
      <c r="F261" s="672"/>
      <c r="G261" s="640">
        <f t="shared" si="333"/>
        <v>118722</v>
      </c>
      <c r="H261" s="272">
        <v>118272</v>
      </c>
      <c r="I261" s="272">
        <v>450</v>
      </c>
      <c r="J261" s="351" t="str">
        <f>IFERROR(G261/#REF!,"-")</f>
        <v>-</v>
      </c>
      <c r="K261" s="335">
        <f>+L261+M261</f>
        <v>406890</v>
      </c>
      <c r="L261" s="458">
        <f t="shared" si="334"/>
        <v>405504</v>
      </c>
      <c r="M261" s="459">
        <f t="shared" si="335"/>
        <v>1386</v>
      </c>
      <c r="N261" s="340" t="str">
        <f t="shared" ref="N261:N262" si="336">IFERROR(K261/E261,"-")</f>
        <v>-</v>
      </c>
      <c r="O261" s="639">
        <f>IFERROR(M261/K261,"-")</f>
        <v>3.4063260340632603E-3</v>
      </c>
    </row>
    <row r="262" spans="1:15" ht="24.75" thickBot="1" x14ac:dyDescent="0.3">
      <c r="A262" s="252"/>
      <c r="B262" s="1006"/>
      <c r="C262" s="635" t="s">
        <v>342</v>
      </c>
      <c r="D262" s="670"/>
      <c r="E262" s="676"/>
      <c r="F262" s="673"/>
      <c r="G262" s="589">
        <f t="shared" si="333"/>
        <v>0</v>
      </c>
      <c r="H262" s="282"/>
      <c r="I262" s="282"/>
      <c r="J262" s="353"/>
      <c r="K262" s="460">
        <f>+L262+M262</f>
        <v>0</v>
      </c>
      <c r="L262" s="458">
        <f t="shared" si="334"/>
        <v>0</v>
      </c>
      <c r="M262" s="459">
        <f t="shared" si="335"/>
        <v>0</v>
      </c>
      <c r="N262" s="338" t="str">
        <f t="shared" si="336"/>
        <v>-</v>
      </c>
      <c r="O262" s="636" t="str">
        <f t="shared" ref="O262:O280" si="337">IFERROR(M262/K262,"-")</f>
        <v>-</v>
      </c>
    </row>
    <row r="263" spans="1:15" ht="23.25" thickBot="1" x14ac:dyDescent="0.3">
      <c r="A263" s="274" t="s">
        <v>103</v>
      </c>
      <c r="B263" s="975" t="s">
        <v>46</v>
      </c>
      <c r="C263" s="947"/>
      <c r="D263" s="948"/>
      <c r="E263" s="320">
        <f>SUM(E260:E262)</f>
        <v>0</v>
      </c>
      <c r="F263" s="323">
        <f t="shared" ref="F263" si="338">SUM(F260)</f>
        <v>220000</v>
      </c>
      <c r="G263" s="320">
        <f>SUM(G260)</f>
        <v>0</v>
      </c>
      <c r="H263" s="321">
        <f>SUM(H260:H262)</f>
        <v>118272</v>
      </c>
      <c r="I263" s="321">
        <f>SUM(I260:I262)</f>
        <v>450</v>
      </c>
      <c r="J263" s="345">
        <f>+G263/F263</f>
        <v>0</v>
      </c>
      <c r="K263" s="637">
        <f>SUM(K260:K261)</f>
        <v>406890</v>
      </c>
      <c r="L263" s="321">
        <f>SUM(L260:L261)</f>
        <v>405504</v>
      </c>
      <c r="M263" s="322">
        <f>SUM(M260:M261)</f>
        <v>1386</v>
      </c>
      <c r="N263" s="339" t="str">
        <f>IFERROR(K263/E263,"-")</f>
        <v>-</v>
      </c>
      <c r="O263" s="345">
        <f t="shared" si="337"/>
        <v>3.4063260340632603E-3</v>
      </c>
    </row>
    <row r="264" spans="1:15" ht="24" x14ac:dyDescent="0.25">
      <c r="A264" s="274" t="s">
        <v>103</v>
      </c>
      <c r="B264" s="965" t="s">
        <v>20</v>
      </c>
      <c r="C264" s="291" t="s">
        <v>317</v>
      </c>
      <c r="D264" s="291" t="s">
        <v>289</v>
      </c>
      <c r="E264" s="270"/>
      <c r="F264" s="271"/>
      <c r="G264" s="332">
        <f t="shared" ref="G264:G266" si="339">+H264+I264</f>
        <v>0</v>
      </c>
      <c r="H264" s="272"/>
      <c r="I264" s="272"/>
      <c r="J264" s="351" t="str">
        <f>IFERROR(G264/#REF!,"-")</f>
        <v>-</v>
      </c>
      <c r="K264" s="332">
        <f t="shared" ref="K264:K266" si="340">+L264+M264</f>
        <v>0</v>
      </c>
      <c r="L264" s="272">
        <f t="shared" ref="L264:L266" si="341">+H264+L151</f>
        <v>0</v>
      </c>
      <c r="M264" s="273">
        <f t="shared" ref="M264:M266" si="342">+I264+M151</f>
        <v>0</v>
      </c>
      <c r="N264" s="336" t="str">
        <f t="shared" ref="N264:N267" si="343">IFERROR(K264/E264,"-")</f>
        <v>-</v>
      </c>
      <c r="O264" s="346" t="str">
        <f t="shared" si="337"/>
        <v>-</v>
      </c>
    </row>
    <row r="265" spans="1:15" ht="24" x14ac:dyDescent="0.25">
      <c r="A265" s="274" t="s">
        <v>103</v>
      </c>
      <c r="B265" s="966"/>
      <c r="C265" s="292" t="s">
        <v>114</v>
      </c>
      <c r="D265" s="292"/>
      <c r="E265" s="276"/>
      <c r="F265" s="277"/>
      <c r="G265" s="333">
        <f t="shared" si="339"/>
        <v>0</v>
      </c>
      <c r="H265" s="278"/>
      <c r="I265" s="278"/>
      <c r="J265" s="352" t="str">
        <f>IFERROR(G265/#REF!,"-")</f>
        <v>-</v>
      </c>
      <c r="K265" s="333">
        <f t="shared" si="340"/>
        <v>0</v>
      </c>
      <c r="L265" s="272">
        <f t="shared" si="341"/>
        <v>0</v>
      </c>
      <c r="M265" s="273">
        <f t="shared" si="342"/>
        <v>0</v>
      </c>
      <c r="N265" s="337" t="str">
        <f t="shared" si="343"/>
        <v>-</v>
      </c>
      <c r="O265" s="263" t="str">
        <f t="shared" si="337"/>
        <v>-</v>
      </c>
    </row>
    <row r="266" spans="1:15" ht="24.75" thickBot="1" x14ac:dyDescent="0.3">
      <c r="A266" s="274" t="s">
        <v>103</v>
      </c>
      <c r="B266" s="967"/>
      <c r="C266" s="293" t="s">
        <v>120</v>
      </c>
      <c r="D266" s="293"/>
      <c r="E266" s="280"/>
      <c r="F266" s="281"/>
      <c r="G266" s="334">
        <f t="shared" si="339"/>
        <v>0</v>
      </c>
      <c r="H266" s="282"/>
      <c r="I266" s="282"/>
      <c r="J266" s="353" t="str">
        <f>IFERROR(G266/#REF!,"-")</f>
        <v>-</v>
      </c>
      <c r="K266" s="334">
        <f t="shared" si="340"/>
        <v>0</v>
      </c>
      <c r="L266" s="272">
        <f t="shared" si="341"/>
        <v>0</v>
      </c>
      <c r="M266" s="273">
        <f t="shared" si="342"/>
        <v>0</v>
      </c>
      <c r="N266" s="338" t="str">
        <f t="shared" si="343"/>
        <v>-</v>
      </c>
      <c r="O266" s="347" t="str">
        <f t="shared" si="337"/>
        <v>-</v>
      </c>
    </row>
    <row r="267" spans="1:15" ht="23.25" thickBot="1" x14ac:dyDescent="0.3">
      <c r="A267" s="274" t="s">
        <v>103</v>
      </c>
      <c r="B267" s="947" t="s">
        <v>47</v>
      </c>
      <c r="C267" s="947"/>
      <c r="D267" s="964"/>
      <c r="E267" s="320">
        <f t="shared" ref="E267" si="344">SUM(E264:E266)</f>
        <v>0</v>
      </c>
      <c r="F267" s="285">
        <v>50000</v>
      </c>
      <c r="G267" s="320">
        <f>SUM(G264:G266)</f>
        <v>0</v>
      </c>
      <c r="H267" s="321">
        <f t="shared" ref="H267:I267" si="345">SUM(H264:H266)</f>
        <v>0</v>
      </c>
      <c r="I267" s="321">
        <f t="shared" si="345"/>
        <v>0</v>
      </c>
      <c r="J267" s="345">
        <f>+G267/F267</f>
        <v>0</v>
      </c>
      <c r="K267" s="320">
        <f t="shared" ref="K267:M267" si="346">SUM(K264:K266)</f>
        <v>0</v>
      </c>
      <c r="L267" s="321">
        <f t="shared" si="346"/>
        <v>0</v>
      </c>
      <c r="M267" s="322">
        <f t="shared" si="346"/>
        <v>0</v>
      </c>
      <c r="N267" s="339" t="str">
        <f t="shared" si="343"/>
        <v>-</v>
      </c>
      <c r="O267" s="345" t="str">
        <f t="shared" si="337"/>
        <v>-</v>
      </c>
    </row>
    <row r="268" spans="1:15" ht="23.25" thickBot="1" x14ac:dyDescent="0.3">
      <c r="A268" s="274" t="s">
        <v>103</v>
      </c>
      <c r="B268" s="960" t="s">
        <v>21</v>
      </c>
      <c r="C268" s="961"/>
      <c r="D268" s="962"/>
      <c r="E268" s="326">
        <f>+E243+E251+E259+E263+E267</f>
        <v>0</v>
      </c>
      <c r="F268" s="327">
        <f>+F243+F251+F259+F263+F267</f>
        <v>465000</v>
      </c>
      <c r="G268" s="326">
        <f>+G243+G251+G259+G263+G267</f>
        <v>107772</v>
      </c>
      <c r="H268" s="324">
        <f>+H243+H251+H259+H263+H267</f>
        <v>225832</v>
      </c>
      <c r="I268" s="324">
        <f>+I243+I251+I259+I263+I267</f>
        <v>662</v>
      </c>
      <c r="J268" s="349">
        <f>+G268/F268</f>
        <v>0.23176774193548388</v>
      </c>
      <c r="K268" s="326">
        <f>+K243+K251+K259+K263+K267</f>
        <v>539616</v>
      </c>
      <c r="L268" s="324">
        <f>+L243+L251+L259+L263+L267</f>
        <v>537544</v>
      </c>
      <c r="M268" s="325">
        <f>+M243+M251+M259+M263+M267</f>
        <v>2072</v>
      </c>
      <c r="N268" s="341" t="str">
        <f>IFERROR(K268/E268,"-")</f>
        <v>-</v>
      </c>
      <c r="O268" s="349">
        <f t="shared" si="337"/>
        <v>3.8397675383976754E-3</v>
      </c>
    </row>
    <row r="269" spans="1:15" ht="24" x14ac:dyDescent="0.25">
      <c r="A269" s="274" t="s">
        <v>103</v>
      </c>
      <c r="B269" s="965" t="s">
        <v>400</v>
      </c>
      <c r="C269" s="269" t="s">
        <v>125</v>
      </c>
      <c r="D269" s="269"/>
      <c r="E269" s="270"/>
      <c r="F269" s="271"/>
      <c r="G269" s="332">
        <f t="shared" ref="G269:G272" si="347">+H269+I269</f>
        <v>0</v>
      </c>
      <c r="H269" s="272"/>
      <c r="I269" s="272"/>
      <c r="J269" s="351" t="str">
        <f>IFERROR(G269/#REF!,"-")</f>
        <v>-</v>
      </c>
      <c r="K269" s="332">
        <f t="shared" ref="K269:K272" si="348">+L269+M269</f>
        <v>0</v>
      </c>
      <c r="L269" s="272">
        <f t="shared" ref="L269:L272" si="349">+H269+L156</f>
        <v>0</v>
      </c>
      <c r="M269" s="273">
        <f t="shared" ref="M269:M272" si="350">+I269+M156</f>
        <v>0</v>
      </c>
      <c r="N269" s="336" t="str">
        <f t="shared" ref="N269:N280" si="351">IFERROR(K269/E269,"-")</f>
        <v>-</v>
      </c>
      <c r="O269" s="346" t="str">
        <f t="shared" si="337"/>
        <v>-</v>
      </c>
    </row>
    <row r="270" spans="1:15" ht="24" x14ac:dyDescent="0.25">
      <c r="A270" s="274" t="s">
        <v>103</v>
      </c>
      <c r="B270" s="966"/>
      <c r="C270" s="295" t="s">
        <v>263</v>
      </c>
      <c r="D270" s="295" t="s">
        <v>181</v>
      </c>
      <c r="E270" s="276"/>
      <c r="F270" s="277"/>
      <c r="G270" s="333">
        <f t="shared" si="347"/>
        <v>0</v>
      </c>
      <c r="H270" s="278"/>
      <c r="I270" s="278"/>
      <c r="J270" s="352" t="str">
        <f>IFERROR(G270/#REF!,"-")</f>
        <v>-</v>
      </c>
      <c r="K270" s="333">
        <f t="shared" si="348"/>
        <v>0</v>
      </c>
      <c r="L270" s="272">
        <f t="shared" si="349"/>
        <v>0</v>
      </c>
      <c r="M270" s="273">
        <f t="shared" si="350"/>
        <v>0</v>
      </c>
      <c r="N270" s="337" t="str">
        <f t="shared" si="351"/>
        <v>-</v>
      </c>
      <c r="O270" s="263" t="str">
        <f t="shared" si="337"/>
        <v>-</v>
      </c>
    </row>
    <row r="271" spans="1:15" ht="24" x14ac:dyDescent="0.25">
      <c r="A271" s="274" t="s">
        <v>103</v>
      </c>
      <c r="B271" s="966"/>
      <c r="C271" s="295" t="s">
        <v>362</v>
      </c>
      <c r="D271" s="295" t="s">
        <v>181</v>
      </c>
      <c r="E271" s="276"/>
      <c r="F271" s="277"/>
      <c r="G271" s="333">
        <f t="shared" si="347"/>
        <v>0</v>
      </c>
      <c r="H271" s="278"/>
      <c r="I271" s="278"/>
      <c r="J271" s="352" t="str">
        <f>IFERROR(G271/#REF!,"-")</f>
        <v>-</v>
      </c>
      <c r="K271" s="333">
        <f t="shared" si="348"/>
        <v>0</v>
      </c>
      <c r="L271" s="272">
        <f t="shared" si="349"/>
        <v>0</v>
      </c>
      <c r="M271" s="273">
        <f t="shared" si="350"/>
        <v>0</v>
      </c>
      <c r="N271" s="337" t="str">
        <f t="shared" si="351"/>
        <v>-</v>
      </c>
      <c r="O271" s="263" t="str">
        <f t="shared" si="337"/>
        <v>-</v>
      </c>
    </row>
    <row r="272" spans="1:15" ht="24.75" thickBot="1" x14ac:dyDescent="0.3">
      <c r="A272" s="274" t="s">
        <v>103</v>
      </c>
      <c r="B272" s="967"/>
      <c r="C272" s="279" t="s">
        <v>182</v>
      </c>
      <c r="D272" s="279" t="s">
        <v>93</v>
      </c>
      <c r="E272" s="280"/>
      <c r="F272" s="281"/>
      <c r="G272" s="334">
        <f t="shared" si="347"/>
        <v>0</v>
      </c>
      <c r="H272" s="282"/>
      <c r="I272" s="282"/>
      <c r="J272" s="353" t="str">
        <f>IFERROR(G272/#REF!,"-")</f>
        <v>-</v>
      </c>
      <c r="K272" s="334">
        <f t="shared" si="348"/>
        <v>0</v>
      </c>
      <c r="L272" s="272">
        <f t="shared" si="349"/>
        <v>0</v>
      </c>
      <c r="M272" s="273">
        <f t="shared" si="350"/>
        <v>0</v>
      </c>
      <c r="N272" s="338" t="str">
        <f t="shared" si="351"/>
        <v>-</v>
      </c>
      <c r="O272" s="347" t="str">
        <f t="shared" si="337"/>
        <v>-</v>
      </c>
    </row>
    <row r="273" spans="1:15" ht="23.25" thickBot="1" x14ac:dyDescent="0.3">
      <c r="A273" s="274" t="s">
        <v>103</v>
      </c>
      <c r="B273" s="946" t="s">
        <v>48</v>
      </c>
      <c r="C273" s="947"/>
      <c r="D273" s="948"/>
      <c r="E273" s="284">
        <f>SUM(E269:E272)</f>
        <v>0</v>
      </c>
      <c r="F273" s="285">
        <v>80000</v>
      </c>
      <c r="G273" s="320">
        <f>SUM(G269:G272)</f>
        <v>0</v>
      </c>
      <c r="H273" s="321">
        <f t="shared" ref="H273:I273" si="352">SUM(H269:H272)</f>
        <v>0</v>
      </c>
      <c r="I273" s="321">
        <f t="shared" si="352"/>
        <v>0</v>
      </c>
      <c r="J273" s="345">
        <f>+G273/F273</f>
        <v>0</v>
      </c>
      <c r="K273" s="320">
        <f t="shared" ref="K273" si="353">SUM(K269:K272)</f>
        <v>0</v>
      </c>
      <c r="L273" s="321">
        <f>SUM(L269:L272)</f>
        <v>0</v>
      </c>
      <c r="M273" s="322">
        <f t="shared" ref="M273" si="354">SUM(M269:M272)</f>
        <v>0</v>
      </c>
      <c r="N273" s="339" t="str">
        <f t="shared" si="351"/>
        <v>-</v>
      </c>
      <c r="O273" s="345" t="str">
        <f t="shared" si="337"/>
        <v>-</v>
      </c>
    </row>
    <row r="274" spans="1:15" ht="24" x14ac:dyDescent="0.25">
      <c r="A274" s="274" t="s">
        <v>103</v>
      </c>
      <c r="B274" s="965" t="s">
        <v>23</v>
      </c>
      <c r="C274" s="275" t="s">
        <v>240</v>
      </c>
      <c r="D274" s="296" t="s">
        <v>238</v>
      </c>
      <c r="E274" s="270"/>
      <c r="F274" s="271"/>
      <c r="G274" s="332">
        <f t="shared" ref="G274:G282" si="355">+H274+I274</f>
        <v>0</v>
      </c>
      <c r="H274" s="272"/>
      <c r="I274" s="272"/>
      <c r="J274" s="351" t="str">
        <f>IFERROR(G274/#REF!,"-")</f>
        <v>-</v>
      </c>
      <c r="K274" s="332">
        <f t="shared" ref="K274:K282" si="356">+L274+M274</f>
        <v>0</v>
      </c>
      <c r="L274" s="272">
        <f t="shared" ref="L274:L282" si="357">+H274+L161</f>
        <v>0</v>
      </c>
      <c r="M274" s="273">
        <f t="shared" ref="M274:M282" si="358">+I274+M161</f>
        <v>0</v>
      </c>
      <c r="N274" s="336" t="str">
        <f t="shared" si="351"/>
        <v>-</v>
      </c>
      <c r="O274" s="346" t="str">
        <f t="shared" si="337"/>
        <v>-</v>
      </c>
    </row>
    <row r="275" spans="1:15" ht="24" x14ac:dyDescent="0.25">
      <c r="A275" s="274" t="s">
        <v>103</v>
      </c>
      <c r="B275" s="966"/>
      <c r="C275" s="275" t="s">
        <v>24</v>
      </c>
      <c r="D275" s="275" t="s">
        <v>238</v>
      </c>
      <c r="E275" s="276"/>
      <c r="F275" s="277"/>
      <c r="G275" s="333">
        <f t="shared" si="355"/>
        <v>0</v>
      </c>
      <c r="H275" s="278"/>
      <c r="I275" s="278"/>
      <c r="J275" s="352" t="str">
        <f>IFERROR(G275/#REF!,"-")</f>
        <v>-</v>
      </c>
      <c r="K275" s="333">
        <f t="shared" si="356"/>
        <v>0</v>
      </c>
      <c r="L275" s="272">
        <f t="shared" si="357"/>
        <v>0</v>
      </c>
      <c r="M275" s="273">
        <f t="shared" si="358"/>
        <v>0</v>
      </c>
      <c r="N275" s="337" t="str">
        <f t="shared" si="351"/>
        <v>-</v>
      </c>
      <c r="O275" s="263" t="str">
        <f t="shared" si="337"/>
        <v>-</v>
      </c>
    </row>
    <row r="276" spans="1:15" ht="24" x14ac:dyDescent="0.25">
      <c r="A276" s="274" t="s">
        <v>103</v>
      </c>
      <c r="B276" s="966"/>
      <c r="C276" s="275" t="s">
        <v>236</v>
      </c>
      <c r="D276" s="275" t="s">
        <v>238</v>
      </c>
      <c r="E276" s="276"/>
      <c r="F276" s="277"/>
      <c r="G276" s="333">
        <f t="shared" si="355"/>
        <v>0</v>
      </c>
      <c r="H276" s="278"/>
      <c r="I276" s="278"/>
      <c r="J276" s="352" t="str">
        <f>IFERROR(G276/#REF!,"-")</f>
        <v>-</v>
      </c>
      <c r="K276" s="333">
        <f t="shared" si="356"/>
        <v>0</v>
      </c>
      <c r="L276" s="272">
        <f t="shared" si="357"/>
        <v>0</v>
      </c>
      <c r="M276" s="273">
        <f t="shared" si="358"/>
        <v>0</v>
      </c>
      <c r="N276" s="337" t="str">
        <f t="shared" si="351"/>
        <v>-</v>
      </c>
      <c r="O276" s="263" t="str">
        <f t="shared" si="337"/>
        <v>-</v>
      </c>
    </row>
    <row r="277" spans="1:15" ht="24" x14ac:dyDescent="0.25">
      <c r="A277" s="274" t="s">
        <v>103</v>
      </c>
      <c r="B277" s="966"/>
      <c r="C277" s="275" t="s">
        <v>237</v>
      </c>
      <c r="D277" s="275" t="s">
        <v>238</v>
      </c>
      <c r="E277" s="276"/>
      <c r="F277" s="277"/>
      <c r="G277" s="333">
        <f t="shared" si="355"/>
        <v>0</v>
      </c>
      <c r="H277" s="278"/>
      <c r="I277" s="278"/>
      <c r="J277" s="352" t="str">
        <f>IFERROR(G277/#REF!,"-")</f>
        <v>-</v>
      </c>
      <c r="K277" s="333">
        <f t="shared" si="356"/>
        <v>0</v>
      </c>
      <c r="L277" s="272">
        <f t="shared" si="357"/>
        <v>0</v>
      </c>
      <c r="M277" s="273">
        <f t="shared" si="358"/>
        <v>0</v>
      </c>
      <c r="N277" s="337" t="str">
        <f t="shared" si="351"/>
        <v>-</v>
      </c>
      <c r="O277" s="263" t="str">
        <f t="shared" si="337"/>
        <v>-</v>
      </c>
    </row>
    <row r="278" spans="1:15" ht="24" x14ac:dyDescent="0.25">
      <c r="A278" s="274" t="s">
        <v>103</v>
      </c>
      <c r="B278" s="966"/>
      <c r="C278" s="295" t="s">
        <v>394</v>
      </c>
      <c r="D278" s="275" t="s">
        <v>238</v>
      </c>
      <c r="E278" s="276"/>
      <c r="F278" s="277"/>
      <c r="G278" s="333">
        <f t="shared" si="355"/>
        <v>0</v>
      </c>
      <c r="H278" s="278"/>
      <c r="I278" s="278"/>
      <c r="J278" s="352" t="str">
        <f>IFERROR(G278/#REF!,"-")</f>
        <v>-</v>
      </c>
      <c r="K278" s="333">
        <f t="shared" si="356"/>
        <v>0</v>
      </c>
      <c r="L278" s="272">
        <f t="shared" si="357"/>
        <v>0</v>
      </c>
      <c r="M278" s="273">
        <f t="shared" si="358"/>
        <v>0</v>
      </c>
      <c r="N278" s="337" t="str">
        <f t="shared" si="351"/>
        <v>-</v>
      </c>
      <c r="O278" s="263" t="str">
        <f t="shared" si="337"/>
        <v>-</v>
      </c>
    </row>
    <row r="279" spans="1:15" ht="24" x14ac:dyDescent="0.25">
      <c r="A279" s="274" t="s">
        <v>103</v>
      </c>
      <c r="B279" s="966"/>
      <c r="C279" s="295" t="s">
        <v>422</v>
      </c>
      <c r="D279" s="275" t="s">
        <v>238</v>
      </c>
      <c r="E279" s="276"/>
      <c r="F279" s="277"/>
      <c r="G279" s="333">
        <f t="shared" si="355"/>
        <v>0</v>
      </c>
      <c r="H279" s="278"/>
      <c r="I279" s="278"/>
      <c r="J279" s="352" t="str">
        <f>IFERROR(G279/#REF!,"-")</f>
        <v>-</v>
      </c>
      <c r="K279" s="333">
        <f t="shared" si="356"/>
        <v>0</v>
      </c>
      <c r="L279" s="272">
        <f t="shared" si="357"/>
        <v>0</v>
      </c>
      <c r="M279" s="273">
        <f t="shared" si="358"/>
        <v>0</v>
      </c>
      <c r="N279" s="337" t="str">
        <f t="shared" si="351"/>
        <v>-</v>
      </c>
      <c r="O279" s="263" t="str">
        <f t="shared" si="337"/>
        <v>-</v>
      </c>
    </row>
    <row r="280" spans="1:15" ht="24" x14ac:dyDescent="0.25">
      <c r="A280" s="274" t="s">
        <v>103</v>
      </c>
      <c r="B280" s="966"/>
      <c r="C280" s="295" t="s">
        <v>241</v>
      </c>
      <c r="D280" s="275" t="s">
        <v>243</v>
      </c>
      <c r="E280" s="276"/>
      <c r="F280" s="277"/>
      <c r="G280" s="333">
        <f t="shared" si="355"/>
        <v>0</v>
      </c>
      <c r="H280" s="278"/>
      <c r="I280" s="278"/>
      <c r="J280" s="352" t="str">
        <f>IFERROR(G280/#REF!,"-")</f>
        <v>-</v>
      </c>
      <c r="K280" s="333">
        <f t="shared" si="356"/>
        <v>0</v>
      </c>
      <c r="L280" s="272">
        <f t="shared" si="357"/>
        <v>0</v>
      </c>
      <c r="M280" s="273">
        <f t="shared" si="358"/>
        <v>0</v>
      </c>
      <c r="N280" s="337" t="str">
        <f t="shared" si="351"/>
        <v>-</v>
      </c>
      <c r="O280" s="263" t="str">
        <f t="shared" si="337"/>
        <v>-</v>
      </c>
    </row>
    <row r="281" spans="1:15" ht="24" x14ac:dyDescent="0.25">
      <c r="A281" s="274"/>
      <c r="B281" s="967"/>
      <c r="C281" s="295" t="s">
        <v>456</v>
      </c>
      <c r="D281" s="275" t="s">
        <v>238</v>
      </c>
      <c r="E281" s="280"/>
      <c r="F281" s="281"/>
      <c r="G281" s="333">
        <f t="shared" si="355"/>
        <v>0</v>
      </c>
      <c r="H281" s="282"/>
      <c r="I281" s="282"/>
      <c r="J281" s="352" t="str">
        <f>IFERROR(G281/#REF!,"-")</f>
        <v>-</v>
      </c>
      <c r="K281" s="333">
        <f t="shared" si="356"/>
        <v>0</v>
      </c>
      <c r="L281" s="272">
        <f t="shared" si="357"/>
        <v>0</v>
      </c>
      <c r="M281" s="273">
        <f t="shared" si="358"/>
        <v>0</v>
      </c>
      <c r="N281" s="338"/>
      <c r="O281" s="347"/>
    </row>
    <row r="282" spans="1:15" ht="24.75" thickBot="1" x14ac:dyDescent="0.3">
      <c r="A282" s="274" t="s">
        <v>103</v>
      </c>
      <c r="B282" s="967"/>
      <c r="C282" s="295" t="s">
        <v>242</v>
      </c>
      <c r="D282" s="275" t="s">
        <v>238</v>
      </c>
      <c r="E282" s="280"/>
      <c r="F282" s="281"/>
      <c r="G282" s="334">
        <f t="shared" si="355"/>
        <v>0</v>
      </c>
      <c r="H282" s="282"/>
      <c r="I282" s="282"/>
      <c r="J282" s="353" t="str">
        <f>IFERROR(G282/#REF!,"-")</f>
        <v>-</v>
      </c>
      <c r="K282" s="334">
        <f t="shared" si="356"/>
        <v>0</v>
      </c>
      <c r="L282" s="272">
        <f t="shared" si="357"/>
        <v>0</v>
      </c>
      <c r="M282" s="273">
        <f t="shared" si="358"/>
        <v>0</v>
      </c>
      <c r="N282" s="338" t="str">
        <f t="shared" ref="N282:N284" si="359">IFERROR(K282/E282,"-")</f>
        <v>-</v>
      </c>
      <c r="O282" s="347" t="str">
        <f t="shared" ref="O282:O299" si="360">IFERROR(M282/K282,"-")</f>
        <v>-</v>
      </c>
    </row>
    <row r="283" spans="1:15" ht="23.25" thickBot="1" x14ac:dyDescent="0.3">
      <c r="A283" s="274" t="s">
        <v>103</v>
      </c>
      <c r="B283" s="946" t="s">
        <v>49</v>
      </c>
      <c r="C283" s="947"/>
      <c r="D283" s="948"/>
      <c r="E283" s="284">
        <f>SUM(E274:E282)</f>
        <v>0</v>
      </c>
      <c r="F283" s="285">
        <v>14000</v>
      </c>
      <c r="G283" s="320">
        <f>SUM(G274:G282)</f>
        <v>0</v>
      </c>
      <c r="H283" s="321">
        <f t="shared" ref="H283:I283" si="361">SUM(H274:H282)</f>
        <v>0</v>
      </c>
      <c r="I283" s="321">
        <f t="shared" si="361"/>
        <v>0</v>
      </c>
      <c r="J283" s="345">
        <f>+G284/F284</f>
        <v>0</v>
      </c>
      <c r="K283" s="320">
        <f>SUM(K274:K282)</f>
        <v>0</v>
      </c>
      <c r="L283" s="321">
        <f>+H283</f>
        <v>0</v>
      </c>
      <c r="M283" s="322">
        <f>+I283</f>
        <v>0</v>
      </c>
      <c r="N283" s="339" t="str">
        <f t="shared" si="359"/>
        <v>-</v>
      </c>
      <c r="O283" s="345" t="str">
        <f t="shared" si="360"/>
        <v>-</v>
      </c>
    </row>
    <row r="284" spans="1:15" ht="23.25" thickBot="1" x14ac:dyDescent="0.3">
      <c r="A284" s="274" t="s">
        <v>103</v>
      </c>
      <c r="B284" s="960" t="s">
        <v>25</v>
      </c>
      <c r="C284" s="961"/>
      <c r="D284" s="962"/>
      <c r="E284" s="326">
        <f t="shared" ref="E284:F284" si="362">+E273+E283</f>
        <v>0</v>
      </c>
      <c r="F284" s="327">
        <f t="shared" si="362"/>
        <v>94000</v>
      </c>
      <c r="G284" s="326">
        <f>+G273+G283</f>
        <v>0</v>
      </c>
      <c r="H284" s="324">
        <f t="shared" ref="H284:I284" si="363">+H273+H283</f>
        <v>0</v>
      </c>
      <c r="I284" s="324">
        <f t="shared" si="363"/>
        <v>0</v>
      </c>
      <c r="J284" s="349" t="str">
        <f>IFERROR(G284/#REF!,"-")</f>
        <v>-</v>
      </c>
      <c r="K284" s="326">
        <f t="shared" ref="K284" si="364">+K273+K283</f>
        <v>0</v>
      </c>
      <c r="L284" s="324">
        <f>+L273+L283</f>
        <v>0</v>
      </c>
      <c r="M284" s="325">
        <f t="shared" ref="M284" si="365">+M273+M283</f>
        <v>0</v>
      </c>
      <c r="N284" s="341" t="str">
        <f t="shared" si="359"/>
        <v>-</v>
      </c>
      <c r="O284" s="349" t="str">
        <f t="shared" si="360"/>
        <v>-</v>
      </c>
    </row>
    <row r="285" spans="1:15" ht="23.25" thickBot="1" x14ac:dyDescent="0.3">
      <c r="A285" s="274" t="s">
        <v>103</v>
      </c>
      <c r="B285" s="963" t="s">
        <v>172</v>
      </c>
      <c r="C285" s="941"/>
      <c r="D285" s="942"/>
      <c r="E285" s="330">
        <f>+E268+E284</f>
        <v>0</v>
      </c>
      <c r="F285" s="331">
        <f t="shared" ref="F285:I285" si="366">+F268+F284</f>
        <v>559000</v>
      </c>
      <c r="G285" s="330">
        <f t="shared" si="366"/>
        <v>107772</v>
      </c>
      <c r="H285" s="328">
        <f t="shared" si="366"/>
        <v>225832</v>
      </c>
      <c r="I285" s="328">
        <f t="shared" si="366"/>
        <v>662</v>
      </c>
      <c r="J285" s="350">
        <f>+G285/F285</f>
        <v>0.19279427549194991</v>
      </c>
      <c r="K285" s="330">
        <f>+K268+K284</f>
        <v>539616</v>
      </c>
      <c r="L285" s="328">
        <f t="shared" ref="L285:M285" si="367">+L268+L284</f>
        <v>537544</v>
      </c>
      <c r="M285" s="329">
        <f t="shared" si="367"/>
        <v>2072</v>
      </c>
      <c r="N285" s="342" t="str">
        <f>IFERROR(K285/E285,"-")</f>
        <v>-</v>
      </c>
      <c r="O285" s="350">
        <f t="shared" si="360"/>
        <v>3.8397675383976754E-3</v>
      </c>
    </row>
    <row r="286" spans="1:15" ht="24" x14ac:dyDescent="0.25">
      <c r="A286" s="268" t="s">
        <v>101</v>
      </c>
      <c r="B286" s="956" t="s">
        <v>26</v>
      </c>
      <c r="C286" s="297" t="s">
        <v>297</v>
      </c>
      <c r="D286" s="297" t="s">
        <v>177</v>
      </c>
      <c r="E286" s="270"/>
      <c r="F286" s="271"/>
      <c r="G286" s="332">
        <f t="shared" ref="G286:G295" si="368">+H286+I286</f>
        <v>0</v>
      </c>
      <c r="H286" s="272"/>
      <c r="I286" s="272"/>
      <c r="J286" s="351" t="str">
        <f>IFERROR(G286/#REF!,"-")</f>
        <v>-</v>
      </c>
      <c r="K286" s="332">
        <f t="shared" ref="K286:K295" si="369">+L286+M286</f>
        <v>0</v>
      </c>
      <c r="L286" s="272">
        <f t="shared" ref="L286:L295" si="370">+H286+L173</f>
        <v>0</v>
      </c>
      <c r="M286" s="273">
        <f t="shared" ref="M286:M295" si="371">+I286+M173</f>
        <v>0</v>
      </c>
      <c r="N286" s="336" t="str">
        <f t="shared" ref="N286:N287" si="372">IFERROR(K286/E286,"-")</f>
        <v>-</v>
      </c>
      <c r="O286" s="346" t="str">
        <f t="shared" si="360"/>
        <v>-</v>
      </c>
    </row>
    <row r="287" spans="1:15" ht="24" x14ac:dyDescent="0.25">
      <c r="A287" s="274" t="s">
        <v>101</v>
      </c>
      <c r="B287" s="956"/>
      <c r="C287" s="298" t="s">
        <v>424</v>
      </c>
      <c r="D287" s="298" t="s">
        <v>423</v>
      </c>
      <c r="E287" s="276"/>
      <c r="F287" s="277"/>
      <c r="G287" s="333">
        <f t="shared" si="368"/>
        <v>48314</v>
      </c>
      <c r="H287" s="278">
        <v>47736</v>
      </c>
      <c r="I287" s="278">
        <v>578</v>
      </c>
      <c r="J287" s="352" t="str">
        <f>IFERROR(G287/#REF!,"-")</f>
        <v>-</v>
      </c>
      <c r="K287" s="333">
        <f t="shared" si="369"/>
        <v>249062</v>
      </c>
      <c r="L287" s="272">
        <f t="shared" si="370"/>
        <v>246636</v>
      </c>
      <c r="M287" s="273">
        <f t="shared" si="371"/>
        <v>2426</v>
      </c>
      <c r="N287" s="337" t="str">
        <f t="shared" si="372"/>
        <v>-</v>
      </c>
      <c r="O287" s="263">
        <f t="shared" si="360"/>
        <v>9.7405465305827471E-3</v>
      </c>
    </row>
    <row r="288" spans="1:15" ht="24" x14ac:dyDescent="0.25">
      <c r="A288" s="274" t="s">
        <v>101</v>
      </c>
      <c r="B288" s="956"/>
      <c r="C288" s="299" t="s">
        <v>27</v>
      </c>
      <c r="D288" s="299" t="s">
        <v>334</v>
      </c>
      <c r="E288" s="280"/>
      <c r="F288" s="281"/>
      <c r="G288" s="333">
        <f t="shared" si="368"/>
        <v>0</v>
      </c>
      <c r="H288" s="282"/>
      <c r="I288" s="282"/>
      <c r="J288" s="353" t="str">
        <f>IFERROR(G288/#REF!,"-")</f>
        <v>-</v>
      </c>
      <c r="K288" s="333">
        <f t="shared" si="369"/>
        <v>0</v>
      </c>
      <c r="L288" s="272">
        <f t="shared" si="370"/>
        <v>0</v>
      </c>
      <c r="M288" s="273">
        <f t="shared" si="371"/>
        <v>0</v>
      </c>
      <c r="N288" s="283"/>
      <c r="O288" s="263" t="str">
        <f t="shared" si="360"/>
        <v>-</v>
      </c>
    </row>
    <row r="289" spans="1:15" ht="24" x14ac:dyDescent="0.25">
      <c r="A289" s="274" t="s">
        <v>101</v>
      </c>
      <c r="B289" s="956"/>
      <c r="C289" s="299" t="s">
        <v>27</v>
      </c>
      <c r="D289" s="299" t="s">
        <v>234</v>
      </c>
      <c r="E289" s="280"/>
      <c r="F289" s="281"/>
      <c r="G289" s="333">
        <f t="shared" si="368"/>
        <v>0</v>
      </c>
      <c r="H289" s="282"/>
      <c r="I289" s="282"/>
      <c r="J289" s="353" t="str">
        <f>IFERROR(G289/#REF!,"-")</f>
        <v>-</v>
      </c>
      <c r="K289" s="333">
        <f t="shared" si="369"/>
        <v>0</v>
      </c>
      <c r="L289" s="272">
        <f t="shared" si="370"/>
        <v>0</v>
      </c>
      <c r="M289" s="273">
        <f t="shared" si="371"/>
        <v>0</v>
      </c>
      <c r="N289" s="283"/>
      <c r="O289" s="263" t="str">
        <f t="shared" si="360"/>
        <v>-</v>
      </c>
    </row>
    <row r="290" spans="1:15" ht="24" x14ac:dyDescent="0.25">
      <c r="A290" s="274" t="s">
        <v>101</v>
      </c>
      <c r="B290" s="956"/>
      <c r="C290" s="299" t="s">
        <v>27</v>
      </c>
      <c r="D290" s="299" t="s">
        <v>279</v>
      </c>
      <c r="E290" s="280"/>
      <c r="F290" s="281"/>
      <c r="G290" s="333">
        <f t="shared" si="368"/>
        <v>0</v>
      </c>
      <c r="H290" s="282"/>
      <c r="I290" s="282"/>
      <c r="J290" s="353" t="str">
        <f>IFERROR(G290/#REF!,"-")</f>
        <v>-</v>
      </c>
      <c r="K290" s="333">
        <f t="shared" si="369"/>
        <v>0</v>
      </c>
      <c r="L290" s="272">
        <f t="shared" si="370"/>
        <v>0</v>
      </c>
      <c r="M290" s="273">
        <f t="shared" si="371"/>
        <v>0</v>
      </c>
      <c r="N290" s="283"/>
      <c r="O290" s="263" t="str">
        <f t="shared" si="360"/>
        <v>-</v>
      </c>
    </row>
    <row r="291" spans="1:15" ht="22.5" customHeight="1" x14ac:dyDescent="0.25">
      <c r="A291" s="274"/>
      <c r="B291" s="956"/>
      <c r="C291" s="299" t="s">
        <v>432</v>
      </c>
      <c r="D291" s="299" t="s">
        <v>178</v>
      </c>
      <c r="E291" s="280"/>
      <c r="F291" s="281"/>
      <c r="G291" s="334">
        <f t="shared" si="368"/>
        <v>0</v>
      </c>
      <c r="H291" s="282"/>
      <c r="I291" s="282"/>
      <c r="J291" s="353" t="str">
        <f>IFERROR(G291/#REF!,"-")</f>
        <v>-</v>
      </c>
      <c r="K291" s="334">
        <f t="shared" si="369"/>
        <v>0</v>
      </c>
      <c r="L291" s="272">
        <f t="shared" si="370"/>
        <v>0</v>
      </c>
      <c r="M291" s="273">
        <f t="shared" si="371"/>
        <v>0</v>
      </c>
      <c r="N291" s="283"/>
      <c r="O291" s="263" t="str">
        <f t="shared" si="360"/>
        <v>-</v>
      </c>
    </row>
    <row r="292" spans="1:15" ht="24" x14ac:dyDescent="0.25">
      <c r="A292" s="274"/>
      <c r="B292" s="956"/>
      <c r="C292" s="299" t="s">
        <v>333</v>
      </c>
      <c r="D292" s="299" t="s">
        <v>94</v>
      </c>
      <c r="E292" s="280"/>
      <c r="F292" s="281"/>
      <c r="G292" s="334">
        <f t="shared" si="368"/>
        <v>0</v>
      </c>
      <c r="H292" s="282"/>
      <c r="I292" s="282"/>
      <c r="J292" s="353" t="str">
        <f>IFERROR(G292/#REF!,"-")</f>
        <v>-</v>
      </c>
      <c r="K292" s="334">
        <f t="shared" si="369"/>
        <v>0</v>
      </c>
      <c r="L292" s="272">
        <f t="shared" si="370"/>
        <v>0</v>
      </c>
      <c r="M292" s="273">
        <f t="shared" si="371"/>
        <v>0</v>
      </c>
      <c r="N292" s="283"/>
      <c r="O292" s="263" t="str">
        <f t="shared" si="360"/>
        <v>-</v>
      </c>
    </row>
    <row r="293" spans="1:15" ht="24" x14ac:dyDescent="0.25">
      <c r="A293" s="274"/>
      <c r="B293" s="956"/>
      <c r="C293" s="299" t="s">
        <v>433</v>
      </c>
      <c r="D293" s="299" t="s">
        <v>178</v>
      </c>
      <c r="E293" s="280"/>
      <c r="F293" s="281"/>
      <c r="G293" s="334">
        <f t="shared" si="368"/>
        <v>0</v>
      </c>
      <c r="H293" s="282"/>
      <c r="I293" s="282"/>
      <c r="J293" s="353" t="str">
        <f>IFERROR(G293/#REF!,"-")</f>
        <v>-</v>
      </c>
      <c r="K293" s="334">
        <f t="shared" si="369"/>
        <v>0</v>
      </c>
      <c r="L293" s="272">
        <f t="shared" si="370"/>
        <v>0</v>
      </c>
      <c r="M293" s="272">
        <f t="shared" si="371"/>
        <v>0</v>
      </c>
      <c r="N293" s="283"/>
      <c r="O293" s="263" t="str">
        <f t="shared" si="360"/>
        <v>-</v>
      </c>
    </row>
    <row r="294" spans="1:15" ht="24" x14ac:dyDescent="0.25">
      <c r="A294" s="274"/>
      <c r="B294" s="956"/>
      <c r="C294" s="299" t="s">
        <v>382</v>
      </c>
      <c r="D294" s="299" t="s">
        <v>366</v>
      </c>
      <c r="E294" s="280"/>
      <c r="F294" s="281"/>
      <c r="G294" s="334">
        <f t="shared" si="368"/>
        <v>0</v>
      </c>
      <c r="H294" s="282"/>
      <c r="I294" s="282"/>
      <c r="J294" s="353" t="str">
        <f>IFERROR(G294/#REF!,"-")</f>
        <v>-</v>
      </c>
      <c r="K294" s="334">
        <f t="shared" si="369"/>
        <v>0</v>
      </c>
      <c r="L294" s="272">
        <f t="shared" si="370"/>
        <v>0</v>
      </c>
      <c r="M294" s="273">
        <f t="shared" si="371"/>
        <v>0</v>
      </c>
      <c r="N294" s="283"/>
      <c r="O294" s="263" t="str">
        <f t="shared" si="360"/>
        <v>-</v>
      </c>
    </row>
    <row r="295" spans="1:15" ht="24.75" thickBot="1" x14ac:dyDescent="0.3">
      <c r="A295" s="274" t="s">
        <v>101</v>
      </c>
      <c r="B295" s="956"/>
      <c r="C295" s="300" t="s">
        <v>290</v>
      </c>
      <c r="D295" s="299" t="s">
        <v>289</v>
      </c>
      <c r="E295" s="280"/>
      <c r="F295" s="281"/>
      <c r="G295" s="334">
        <f t="shared" si="368"/>
        <v>0</v>
      </c>
      <c r="H295" s="282"/>
      <c r="I295" s="282"/>
      <c r="J295" s="353" t="str">
        <f>IFERROR(G295/#REF!,"-")</f>
        <v>-</v>
      </c>
      <c r="K295" s="334">
        <f t="shared" si="369"/>
        <v>0</v>
      </c>
      <c r="L295" s="272">
        <f t="shared" si="370"/>
        <v>0</v>
      </c>
      <c r="M295" s="273">
        <f t="shared" si="371"/>
        <v>0</v>
      </c>
      <c r="N295" s="338" t="str">
        <f t="shared" ref="N295:N299" si="373">IFERROR(K295/E295,"-")</f>
        <v>-</v>
      </c>
      <c r="O295" s="347" t="str">
        <f t="shared" si="360"/>
        <v>-</v>
      </c>
    </row>
    <row r="296" spans="1:15" ht="23.25" thickBot="1" x14ac:dyDescent="0.3">
      <c r="A296" s="274" t="s">
        <v>101</v>
      </c>
      <c r="B296" s="969"/>
      <c r="C296" s="301"/>
      <c r="D296" s="302" t="s">
        <v>52</v>
      </c>
      <c r="E296" s="284">
        <f>SUM(E286:E295)</f>
        <v>0</v>
      </c>
      <c r="F296" s="285">
        <v>160000</v>
      </c>
      <c r="G296" s="320">
        <f>SUM(G286:G295)</f>
        <v>48314</v>
      </c>
      <c r="H296" s="321">
        <f>SUM(H286:H295)</f>
        <v>47736</v>
      </c>
      <c r="I296" s="321">
        <f>SUM(I286:I295)</f>
        <v>578</v>
      </c>
      <c r="J296" s="345">
        <f>+G296/F296</f>
        <v>0.30196250000000002</v>
      </c>
      <c r="K296" s="320">
        <f>SUM(K286:K295)</f>
        <v>249062</v>
      </c>
      <c r="L296" s="321">
        <f>SUM(L286:L295)</f>
        <v>246636</v>
      </c>
      <c r="M296" s="322">
        <f>SUM(M286:M295)</f>
        <v>2426</v>
      </c>
      <c r="N296" s="339" t="str">
        <f t="shared" si="373"/>
        <v>-</v>
      </c>
      <c r="O296" s="345">
        <f t="shared" si="360"/>
        <v>9.7405465305827471E-3</v>
      </c>
    </row>
    <row r="297" spans="1:15" ht="24" x14ac:dyDescent="0.25">
      <c r="A297" s="274" t="s">
        <v>101</v>
      </c>
      <c r="B297" s="955" t="s">
        <v>28</v>
      </c>
      <c r="C297" s="299" t="s">
        <v>27</v>
      </c>
      <c r="D297" s="297" t="s">
        <v>492</v>
      </c>
      <c r="E297" s="270"/>
      <c r="F297" s="271"/>
      <c r="G297" s="332">
        <f t="shared" ref="G297:G301" si="374">+H297+I297</f>
        <v>32645</v>
      </c>
      <c r="H297" s="272">
        <v>31824</v>
      </c>
      <c r="I297" s="272">
        <v>821</v>
      </c>
      <c r="J297" s="351" t="str">
        <f>IFERROR(G297/#REF!,"-")</f>
        <v>-</v>
      </c>
      <c r="K297" s="332">
        <f t="shared" ref="K297:K303" si="375">+L297+M297</f>
        <v>32645</v>
      </c>
      <c r="L297" s="272">
        <f t="shared" ref="L297:L303" si="376">+H297+L184</f>
        <v>31824</v>
      </c>
      <c r="M297" s="273">
        <f t="shared" ref="M297:M303" si="377">+I297+M184</f>
        <v>821</v>
      </c>
      <c r="N297" s="336" t="str">
        <f t="shared" si="373"/>
        <v>-</v>
      </c>
      <c r="O297" s="346">
        <f t="shared" si="360"/>
        <v>2.5149333741767498E-2</v>
      </c>
    </row>
    <row r="298" spans="1:15" ht="24" x14ac:dyDescent="0.25">
      <c r="A298" s="274" t="s">
        <v>101</v>
      </c>
      <c r="B298" s="956"/>
      <c r="C298" s="299" t="s">
        <v>385</v>
      </c>
      <c r="D298" s="299" t="s">
        <v>334</v>
      </c>
      <c r="E298" s="276"/>
      <c r="F298" s="277"/>
      <c r="G298" s="333">
        <f t="shared" si="374"/>
        <v>28434</v>
      </c>
      <c r="H298" s="278">
        <v>27846</v>
      </c>
      <c r="I298" s="278">
        <v>588</v>
      </c>
      <c r="J298" s="352" t="str">
        <f>IFERROR(G298/#REF!,"-")</f>
        <v>-</v>
      </c>
      <c r="K298" s="333">
        <f t="shared" si="375"/>
        <v>96975</v>
      </c>
      <c r="L298" s="272">
        <f t="shared" si="376"/>
        <v>95472</v>
      </c>
      <c r="M298" s="273">
        <f t="shared" si="377"/>
        <v>1503</v>
      </c>
      <c r="N298" s="337" t="str">
        <f t="shared" si="373"/>
        <v>-</v>
      </c>
      <c r="O298" s="263">
        <f t="shared" si="360"/>
        <v>1.5498839907192575E-2</v>
      </c>
    </row>
    <row r="299" spans="1:15" ht="24" x14ac:dyDescent="0.25">
      <c r="A299" s="274" t="s">
        <v>101</v>
      </c>
      <c r="B299" s="956"/>
      <c r="C299" s="299" t="s">
        <v>27</v>
      </c>
      <c r="D299" s="299" t="s">
        <v>334</v>
      </c>
      <c r="E299" s="276"/>
      <c r="F299" s="277"/>
      <c r="G299" s="333">
        <f t="shared" si="374"/>
        <v>0</v>
      </c>
      <c r="H299" s="278"/>
      <c r="I299" s="278"/>
      <c r="J299" s="352" t="str">
        <f>IFERROR(G299/#REF!,"-")</f>
        <v>-</v>
      </c>
      <c r="K299" s="333">
        <f t="shared" si="375"/>
        <v>0</v>
      </c>
      <c r="L299" s="272">
        <f t="shared" si="376"/>
        <v>0</v>
      </c>
      <c r="M299" s="273">
        <f t="shared" si="377"/>
        <v>0</v>
      </c>
      <c r="N299" s="337" t="str">
        <f t="shared" si="373"/>
        <v>-</v>
      </c>
      <c r="O299" s="263" t="str">
        <f t="shared" si="360"/>
        <v>-</v>
      </c>
    </row>
    <row r="300" spans="1:15" ht="24" x14ac:dyDescent="0.25">
      <c r="A300" s="274"/>
      <c r="B300" s="956"/>
      <c r="C300" s="299" t="s">
        <v>460</v>
      </c>
      <c r="D300" s="299" t="s">
        <v>334</v>
      </c>
      <c r="E300" s="280"/>
      <c r="F300" s="281"/>
      <c r="G300" s="333">
        <f t="shared" si="374"/>
        <v>0</v>
      </c>
      <c r="H300" s="282"/>
      <c r="I300" s="282"/>
      <c r="J300" s="352" t="str">
        <f>IFERROR(G300/#REF!,"-")</f>
        <v>-</v>
      </c>
      <c r="K300" s="333">
        <f t="shared" si="375"/>
        <v>0</v>
      </c>
      <c r="L300" s="272">
        <f t="shared" si="376"/>
        <v>0</v>
      </c>
      <c r="M300" s="273">
        <f t="shared" si="377"/>
        <v>0</v>
      </c>
      <c r="N300" s="338"/>
      <c r="O300" s="347"/>
    </row>
    <row r="301" spans="1:15" ht="24" x14ac:dyDescent="0.25">
      <c r="A301" s="274" t="s">
        <v>101</v>
      </c>
      <c r="B301" s="956"/>
      <c r="C301" s="299" t="s">
        <v>382</v>
      </c>
      <c r="D301" s="300" t="s">
        <v>366</v>
      </c>
      <c r="E301" s="280"/>
      <c r="F301" s="281"/>
      <c r="G301" s="334">
        <f t="shared" si="374"/>
        <v>0</v>
      </c>
      <c r="H301" s="282"/>
      <c r="I301" s="282"/>
      <c r="J301" s="352" t="str">
        <f>IFERROR(G301/#REF!,"-")</f>
        <v>-</v>
      </c>
      <c r="K301" s="334">
        <f t="shared" si="375"/>
        <v>0</v>
      </c>
      <c r="L301" s="272">
        <f t="shared" si="376"/>
        <v>0</v>
      </c>
      <c r="M301" s="702">
        <f t="shared" si="377"/>
        <v>0</v>
      </c>
      <c r="N301" s="338" t="str">
        <f t="shared" ref="N301" si="378">IFERROR(K301/E301,"-")</f>
        <v>-</v>
      </c>
      <c r="O301" s="347" t="str">
        <f t="shared" ref="O301" si="379">IFERROR(M301/K301,"-")</f>
        <v>-</v>
      </c>
    </row>
    <row r="302" spans="1:15" ht="24" x14ac:dyDescent="0.25">
      <c r="A302" s="274"/>
      <c r="B302" s="956"/>
      <c r="C302" s="299" t="s">
        <v>458</v>
      </c>
      <c r="D302" s="300" t="s">
        <v>280</v>
      </c>
      <c r="E302" s="280"/>
      <c r="F302" s="281"/>
      <c r="G302" s="334"/>
      <c r="H302" s="282"/>
      <c r="I302" s="282"/>
      <c r="J302" s="352" t="str">
        <f>IFERROR(G302/#REF!,"-")</f>
        <v>-</v>
      </c>
      <c r="K302" s="334">
        <f t="shared" si="375"/>
        <v>0</v>
      </c>
      <c r="L302" s="272">
        <f t="shared" si="376"/>
        <v>0</v>
      </c>
      <c r="M302" s="272">
        <f t="shared" si="377"/>
        <v>0</v>
      </c>
      <c r="N302" s="338"/>
      <c r="O302" s="347"/>
    </row>
    <row r="303" spans="1:15" ht="24.75" thickBot="1" x14ac:dyDescent="0.3">
      <c r="A303" s="274" t="s">
        <v>101</v>
      </c>
      <c r="B303" s="956"/>
      <c r="C303" s="299" t="s">
        <v>27</v>
      </c>
      <c r="D303" s="300" t="s">
        <v>234</v>
      </c>
      <c r="E303" s="280"/>
      <c r="F303" s="281"/>
      <c r="G303" s="334">
        <f t="shared" ref="G303" si="380">+H303+I303</f>
        <v>0</v>
      </c>
      <c r="H303" s="282"/>
      <c r="I303" s="282"/>
      <c r="J303" s="353" t="str">
        <f>IFERROR(G303/#REF!,"-")</f>
        <v>-</v>
      </c>
      <c r="K303" s="334">
        <f t="shared" si="375"/>
        <v>0</v>
      </c>
      <c r="L303" s="272">
        <f t="shared" si="376"/>
        <v>0</v>
      </c>
      <c r="M303" s="702">
        <f t="shared" si="377"/>
        <v>0</v>
      </c>
      <c r="N303" s="338" t="str">
        <f t="shared" ref="N303:N304" si="381">IFERROR(K303/E303,"-")</f>
        <v>-</v>
      </c>
      <c r="O303" s="347" t="str">
        <f t="shared" ref="O303:O319" si="382">IFERROR(M303/K303,"-")</f>
        <v>-</v>
      </c>
    </row>
    <row r="304" spans="1:15" ht="23.25" thickBot="1" x14ac:dyDescent="0.3">
      <c r="A304" s="274" t="s">
        <v>101</v>
      </c>
      <c r="B304" s="956"/>
      <c r="C304" s="304"/>
      <c r="D304" s="305" t="s">
        <v>52</v>
      </c>
      <c r="E304" s="306">
        <f>SUM(E297:E303)</f>
        <v>0</v>
      </c>
      <c r="F304" s="307">
        <v>80000</v>
      </c>
      <c r="G304" s="366">
        <f>SUM(G297:G303)</f>
        <v>61079</v>
      </c>
      <c r="H304" s="365">
        <f>SUM(H297:H303)</f>
        <v>59670</v>
      </c>
      <c r="I304" s="365">
        <f>SUM(I297:I303)</f>
        <v>1409</v>
      </c>
      <c r="J304" s="356">
        <f>+G304/F304</f>
        <v>0.76348749999999999</v>
      </c>
      <c r="K304" s="366">
        <f>SUM(K297:K303)</f>
        <v>129620</v>
      </c>
      <c r="L304" s="365">
        <f>SUM(L297:L303)</f>
        <v>127296</v>
      </c>
      <c r="M304" s="367">
        <f>SUM(M297:M303)</f>
        <v>2324</v>
      </c>
      <c r="N304" s="355" t="str">
        <f t="shared" si="381"/>
        <v>-</v>
      </c>
      <c r="O304" s="356">
        <f t="shared" si="382"/>
        <v>1.7929331893226354E-2</v>
      </c>
    </row>
    <row r="305" spans="1:15" ht="23.25" thickBot="1" x14ac:dyDescent="0.3">
      <c r="A305" s="777" t="s">
        <v>101</v>
      </c>
      <c r="B305" s="957" t="s">
        <v>162</v>
      </c>
      <c r="C305" s="958"/>
      <c r="D305" s="959"/>
      <c r="E305" s="308">
        <f>+E304+E296</f>
        <v>0</v>
      </c>
      <c r="F305" s="309">
        <v>240000</v>
      </c>
      <c r="G305" s="369">
        <f>+G296+G304</f>
        <v>109393</v>
      </c>
      <c r="H305" s="368">
        <f>+H296+H304</f>
        <v>107406</v>
      </c>
      <c r="I305" s="368">
        <f>+I296+I304</f>
        <v>1987</v>
      </c>
      <c r="J305" s="358">
        <f>+G305/F305</f>
        <v>0.45580416666666668</v>
      </c>
      <c r="K305" s="369">
        <f>+K296+K304</f>
        <v>378682</v>
      </c>
      <c r="L305" s="368">
        <f>+L296+L304</f>
        <v>373932</v>
      </c>
      <c r="M305" s="370">
        <f>+M296+M304</f>
        <v>4750</v>
      </c>
      <c r="N305" s="357" t="str">
        <f>IFERROR(K305/E305,"-")</f>
        <v>-</v>
      </c>
      <c r="O305" s="358">
        <f t="shared" si="382"/>
        <v>1.2543506160842079E-2</v>
      </c>
    </row>
    <row r="306" spans="1:15" ht="24" x14ac:dyDescent="0.25">
      <c r="A306" s="274" t="s">
        <v>101</v>
      </c>
      <c r="B306" s="956" t="s">
        <v>30</v>
      </c>
      <c r="C306" s="303" t="s">
        <v>446</v>
      </c>
      <c r="D306" s="299" t="s">
        <v>334</v>
      </c>
      <c r="E306" s="270"/>
      <c r="F306" s="271"/>
      <c r="G306" s="332">
        <f t="shared" ref="G306:G308" si="383">+H306+I306</f>
        <v>0</v>
      </c>
      <c r="H306" s="272"/>
      <c r="I306" s="272"/>
      <c r="J306" s="351" t="str">
        <f>IFERROR(G306/#REF!,"-")</f>
        <v>-</v>
      </c>
      <c r="K306" s="332">
        <f t="shared" ref="K306:K308" si="384">+L306+M306</f>
        <v>0</v>
      </c>
      <c r="L306" s="272">
        <f t="shared" ref="L306:L308" si="385">+H306+L193</f>
        <v>0</v>
      </c>
      <c r="M306" s="273">
        <f t="shared" ref="M306:M308" si="386">+I306+M193</f>
        <v>0</v>
      </c>
      <c r="N306" s="336" t="str">
        <f t="shared" ref="N306:N319" si="387">IFERROR(K306/E306,"-")</f>
        <v>-</v>
      </c>
      <c r="O306" s="346" t="str">
        <f t="shared" si="382"/>
        <v>-</v>
      </c>
    </row>
    <row r="307" spans="1:15" ht="24" x14ac:dyDescent="0.25">
      <c r="A307" s="274" t="s">
        <v>101</v>
      </c>
      <c r="B307" s="956"/>
      <c r="C307" s="300" t="s">
        <v>429</v>
      </c>
      <c r="D307" s="303" t="s">
        <v>366</v>
      </c>
      <c r="E307" s="276"/>
      <c r="F307" s="277"/>
      <c r="G307" s="333">
        <f t="shared" si="383"/>
        <v>0</v>
      </c>
      <c r="H307" s="278"/>
      <c r="I307" s="278"/>
      <c r="J307" s="352" t="str">
        <f>IFERROR(G307/#REF!,"-")</f>
        <v>-</v>
      </c>
      <c r="K307" s="333">
        <f t="shared" si="384"/>
        <v>0</v>
      </c>
      <c r="L307" s="272">
        <f t="shared" si="385"/>
        <v>0</v>
      </c>
      <c r="M307" s="273">
        <f t="shared" si="386"/>
        <v>0</v>
      </c>
      <c r="N307" s="337" t="str">
        <f t="shared" si="387"/>
        <v>-</v>
      </c>
      <c r="O307" s="263" t="str">
        <f t="shared" si="382"/>
        <v>-</v>
      </c>
    </row>
    <row r="308" spans="1:15" ht="24.75" thickBot="1" x14ac:dyDescent="0.3">
      <c r="A308" s="274" t="s">
        <v>101</v>
      </c>
      <c r="B308" s="956"/>
      <c r="C308" s="300" t="s">
        <v>291</v>
      </c>
      <c r="D308" s="300" t="s">
        <v>366</v>
      </c>
      <c r="E308" s="280"/>
      <c r="F308" s="281"/>
      <c r="G308" s="334">
        <f t="shared" si="383"/>
        <v>0</v>
      </c>
      <c r="H308" s="282"/>
      <c r="I308" s="282"/>
      <c r="J308" s="353" t="str">
        <f>IFERROR(G308/#REF!,"-")</f>
        <v>-</v>
      </c>
      <c r="K308" s="334">
        <f t="shared" si="384"/>
        <v>0</v>
      </c>
      <c r="L308" s="272">
        <f t="shared" si="385"/>
        <v>0</v>
      </c>
      <c r="M308" s="273">
        <f t="shared" si="386"/>
        <v>0</v>
      </c>
      <c r="N308" s="338" t="str">
        <f t="shared" si="387"/>
        <v>-</v>
      </c>
      <c r="O308" s="347" t="str">
        <f t="shared" si="382"/>
        <v>-</v>
      </c>
    </row>
    <row r="309" spans="1:15" ht="23.25" thickBot="1" x14ac:dyDescent="0.3">
      <c r="A309" s="274" t="s">
        <v>101</v>
      </c>
      <c r="B309" s="956"/>
      <c r="C309" s="301"/>
      <c r="D309" s="302" t="s">
        <v>50</v>
      </c>
      <c r="E309" s="284">
        <v>0</v>
      </c>
      <c r="F309" s="285">
        <v>50000</v>
      </c>
      <c r="G309" s="320">
        <f>SUM(G306:G308)</f>
        <v>0</v>
      </c>
      <c r="H309" s="321">
        <f>SUM(H306:H308)</f>
        <v>0</v>
      </c>
      <c r="I309" s="321">
        <f>SUM(I306:I308)</f>
        <v>0</v>
      </c>
      <c r="J309" s="345" t="e">
        <f>+H309/G309</f>
        <v>#DIV/0!</v>
      </c>
      <c r="K309" s="320">
        <f>SUM(K306:K308)</f>
        <v>0</v>
      </c>
      <c r="L309" s="321">
        <f>SUM(L306:L308)</f>
        <v>0</v>
      </c>
      <c r="M309" s="322">
        <f>SUM(M306:M308)</f>
        <v>0</v>
      </c>
      <c r="N309" s="339" t="str">
        <f t="shared" si="387"/>
        <v>-</v>
      </c>
      <c r="O309" s="345" t="str">
        <f t="shared" si="382"/>
        <v>-</v>
      </c>
    </row>
    <row r="310" spans="1:15" ht="24" x14ac:dyDescent="0.25">
      <c r="A310" s="274" t="s">
        <v>101</v>
      </c>
      <c r="B310" s="956"/>
      <c r="C310" s="297" t="s">
        <v>434</v>
      </c>
      <c r="D310" s="297" t="s">
        <v>92</v>
      </c>
      <c r="E310" s="270"/>
      <c r="F310" s="271"/>
      <c r="G310" s="332">
        <f t="shared" ref="G310:G311" si="388">+H310+I310</f>
        <v>0</v>
      </c>
      <c r="H310" s="272"/>
      <c r="I310" s="272"/>
      <c r="J310" s="351" t="str">
        <f>IFERROR(G310/#REF!,"-")</f>
        <v>-</v>
      </c>
      <c r="K310" s="332">
        <f t="shared" ref="K310:K315" si="389">+L310+M310</f>
        <v>0</v>
      </c>
      <c r="L310" s="272">
        <f t="shared" ref="L310:L315" si="390">+H310+L197</f>
        <v>0</v>
      </c>
      <c r="M310" s="273">
        <f t="shared" ref="M310:M315" si="391">+I310+M197</f>
        <v>0</v>
      </c>
      <c r="N310" s="336" t="str">
        <f t="shared" si="387"/>
        <v>-</v>
      </c>
      <c r="O310" s="346" t="str">
        <f t="shared" si="382"/>
        <v>-</v>
      </c>
    </row>
    <row r="311" spans="1:15" ht="24" x14ac:dyDescent="0.25">
      <c r="A311" s="274"/>
      <c r="B311" s="956"/>
      <c r="C311" s="303" t="s">
        <v>449</v>
      </c>
      <c r="D311" s="299" t="s">
        <v>334</v>
      </c>
      <c r="E311" s="270"/>
      <c r="F311" s="271"/>
      <c r="G311" s="332">
        <f t="shared" si="388"/>
        <v>0</v>
      </c>
      <c r="H311" s="272"/>
      <c r="I311" s="272"/>
      <c r="J311" s="351" t="str">
        <f>IFERROR(G311/#REF!,"-")</f>
        <v>-</v>
      </c>
      <c r="K311" s="332">
        <f t="shared" si="389"/>
        <v>0</v>
      </c>
      <c r="L311" s="272">
        <f t="shared" si="390"/>
        <v>0</v>
      </c>
      <c r="M311" s="273">
        <f t="shared" si="391"/>
        <v>0</v>
      </c>
      <c r="N311" s="337" t="str">
        <f t="shared" si="387"/>
        <v>-</v>
      </c>
      <c r="O311" s="346" t="str">
        <f t="shared" si="382"/>
        <v>-</v>
      </c>
    </row>
    <row r="312" spans="1:15" ht="24" x14ac:dyDescent="0.25">
      <c r="A312" s="274"/>
      <c r="B312" s="956"/>
      <c r="C312" s="303" t="s">
        <v>452</v>
      </c>
      <c r="D312" s="299" t="s">
        <v>334</v>
      </c>
      <c r="E312" s="270"/>
      <c r="F312" s="271"/>
      <c r="G312" s="332"/>
      <c r="H312" s="272"/>
      <c r="I312" s="272"/>
      <c r="J312" s="351" t="str">
        <f>IFERROR(G312/#REF!,"-")</f>
        <v>-</v>
      </c>
      <c r="K312" s="332">
        <f t="shared" si="389"/>
        <v>0</v>
      </c>
      <c r="L312" s="272">
        <f t="shared" si="390"/>
        <v>0</v>
      </c>
      <c r="M312" s="273">
        <f t="shared" si="391"/>
        <v>0</v>
      </c>
      <c r="N312" s="337" t="str">
        <f t="shared" si="387"/>
        <v>-</v>
      </c>
      <c r="O312" s="346" t="str">
        <f t="shared" si="382"/>
        <v>-</v>
      </c>
    </row>
    <row r="313" spans="1:15" ht="24" x14ac:dyDescent="0.25">
      <c r="A313" s="274" t="s">
        <v>101</v>
      </c>
      <c r="B313" s="956"/>
      <c r="C313" s="303" t="s">
        <v>335</v>
      </c>
      <c r="D313" s="303" t="s">
        <v>234</v>
      </c>
      <c r="E313" s="276"/>
      <c r="F313" s="277"/>
      <c r="G313" s="333">
        <f t="shared" ref="G313" si="392">+H313+I313</f>
        <v>0</v>
      </c>
      <c r="H313" s="278"/>
      <c r="I313" s="278"/>
      <c r="J313" s="351" t="str">
        <f>IFERROR(G313/#REF!,"-")</f>
        <v>-</v>
      </c>
      <c r="K313" s="333">
        <f t="shared" si="389"/>
        <v>0</v>
      </c>
      <c r="L313" s="272">
        <f t="shared" si="390"/>
        <v>0</v>
      </c>
      <c r="M313" s="273">
        <f t="shared" si="391"/>
        <v>0</v>
      </c>
      <c r="N313" s="337" t="str">
        <f t="shared" si="387"/>
        <v>-</v>
      </c>
      <c r="O313" s="263" t="str">
        <f t="shared" si="382"/>
        <v>-</v>
      </c>
    </row>
    <row r="314" spans="1:15" ht="24" x14ac:dyDescent="0.25">
      <c r="A314" s="274"/>
      <c r="B314" s="956"/>
      <c r="C314" s="300" t="s">
        <v>459</v>
      </c>
      <c r="D314" s="300" t="s">
        <v>366</v>
      </c>
      <c r="E314" s="280"/>
      <c r="F314" s="281"/>
      <c r="G314" s="334"/>
      <c r="H314" s="282"/>
      <c r="I314" s="282"/>
      <c r="J314" s="351" t="str">
        <f>IFERROR(G314/#REF!,"-")</f>
        <v>-</v>
      </c>
      <c r="K314" s="333">
        <f t="shared" si="389"/>
        <v>0</v>
      </c>
      <c r="L314" s="272">
        <f t="shared" si="390"/>
        <v>0</v>
      </c>
      <c r="M314" s="272">
        <f t="shared" si="391"/>
        <v>0</v>
      </c>
      <c r="N314" s="337" t="str">
        <f t="shared" si="387"/>
        <v>-</v>
      </c>
      <c r="O314" s="263" t="str">
        <f t="shared" si="382"/>
        <v>-</v>
      </c>
    </row>
    <row r="315" spans="1:15" ht="24.75" thickBot="1" x14ac:dyDescent="0.3">
      <c r="A315" s="274" t="s">
        <v>101</v>
      </c>
      <c r="B315" s="956"/>
      <c r="C315" s="300" t="s">
        <v>435</v>
      </c>
      <c r="D315" s="300" t="s">
        <v>423</v>
      </c>
      <c r="E315" s="280"/>
      <c r="F315" s="281"/>
      <c r="G315" s="334">
        <f t="shared" ref="G315" si="393">+H315+I315</f>
        <v>0</v>
      </c>
      <c r="H315" s="282"/>
      <c r="I315" s="282"/>
      <c r="J315" s="353" t="str">
        <f>IFERROR(G315/#REF!,"-")</f>
        <v>-</v>
      </c>
      <c r="K315" s="334">
        <f t="shared" si="389"/>
        <v>0</v>
      </c>
      <c r="L315" s="272">
        <f t="shared" si="390"/>
        <v>0</v>
      </c>
      <c r="M315" s="273">
        <f t="shared" si="391"/>
        <v>0</v>
      </c>
      <c r="N315" s="338" t="str">
        <f t="shared" si="387"/>
        <v>-</v>
      </c>
      <c r="O315" s="347" t="str">
        <f t="shared" si="382"/>
        <v>-</v>
      </c>
    </row>
    <row r="316" spans="1:15" ht="23.25" thickBot="1" x14ac:dyDescent="0.3">
      <c r="A316" s="274" t="s">
        <v>101</v>
      </c>
      <c r="B316" s="956"/>
      <c r="C316" s="304"/>
      <c r="D316" s="305" t="s">
        <v>51</v>
      </c>
      <c r="E316" s="306">
        <f>SUM(E310)</f>
        <v>0</v>
      </c>
      <c r="F316" s="307">
        <v>50000</v>
      </c>
      <c r="G316" s="366">
        <f>SUM(G310:G315)</f>
        <v>0</v>
      </c>
      <c r="H316" s="365">
        <f t="shared" ref="H316:I316" si="394">SUM(H310:H315)</f>
        <v>0</v>
      </c>
      <c r="I316" s="365">
        <f t="shared" si="394"/>
        <v>0</v>
      </c>
      <c r="J316" s="356">
        <f>+G316/F316</f>
        <v>0</v>
      </c>
      <c r="K316" s="366">
        <f t="shared" ref="K316:M316" si="395">SUM(K310:K315)</f>
        <v>0</v>
      </c>
      <c r="L316" s="365">
        <f t="shared" si="395"/>
        <v>0</v>
      </c>
      <c r="M316" s="367">
        <f t="shared" si="395"/>
        <v>0</v>
      </c>
      <c r="N316" s="355" t="str">
        <f t="shared" si="387"/>
        <v>-</v>
      </c>
      <c r="O316" s="356" t="str">
        <f t="shared" si="382"/>
        <v>-</v>
      </c>
    </row>
    <row r="317" spans="1:15" ht="23.25" thickBot="1" x14ac:dyDescent="0.3">
      <c r="A317" s="274" t="s">
        <v>101</v>
      </c>
      <c r="B317" s="957" t="s">
        <v>163</v>
      </c>
      <c r="C317" s="958"/>
      <c r="D317" s="959"/>
      <c r="E317" s="308">
        <f>+E316+E309</f>
        <v>0</v>
      </c>
      <c r="F317" s="309">
        <v>50000</v>
      </c>
      <c r="G317" s="369">
        <f>+G309+G316</f>
        <v>0</v>
      </c>
      <c r="H317" s="368">
        <f t="shared" ref="H317:I317" si="396">+H309+H316</f>
        <v>0</v>
      </c>
      <c r="I317" s="368">
        <f t="shared" si="396"/>
        <v>0</v>
      </c>
      <c r="J317" s="358">
        <f>+G317/F317</f>
        <v>0</v>
      </c>
      <c r="K317" s="369">
        <f t="shared" ref="K317:M317" si="397">+K309+K316</f>
        <v>0</v>
      </c>
      <c r="L317" s="368">
        <f t="shared" si="397"/>
        <v>0</v>
      </c>
      <c r="M317" s="370">
        <f t="shared" si="397"/>
        <v>0</v>
      </c>
      <c r="N317" s="357" t="str">
        <f t="shared" si="387"/>
        <v>-</v>
      </c>
      <c r="O317" s="358" t="str">
        <f t="shared" si="382"/>
        <v>-</v>
      </c>
    </row>
    <row r="318" spans="1:15" ht="24.75" thickBot="1" x14ac:dyDescent="0.3">
      <c r="A318" s="274" t="s">
        <v>101</v>
      </c>
      <c r="B318" s="598" t="s">
        <v>32</v>
      </c>
      <c r="C318" s="773"/>
      <c r="D318" s="310" t="s">
        <v>32</v>
      </c>
      <c r="E318" s="287">
        <v>0</v>
      </c>
      <c r="F318" s="288">
        <v>110000</v>
      </c>
      <c r="G318" s="335">
        <f t="shared" ref="G318" si="398">+H318+I318</f>
        <v>0</v>
      </c>
      <c r="H318" s="289"/>
      <c r="I318" s="289"/>
      <c r="J318" s="354" t="str">
        <f>IFERROR(G318/#REF!,"-")</f>
        <v>-</v>
      </c>
      <c r="K318" s="335">
        <f>+L318+M318</f>
        <v>0</v>
      </c>
      <c r="L318" s="289">
        <f>+H318+L205</f>
        <v>0</v>
      </c>
      <c r="M318" s="290">
        <f>+I318+M205</f>
        <v>0</v>
      </c>
      <c r="N318" s="340" t="str">
        <f t="shared" si="387"/>
        <v>-</v>
      </c>
      <c r="O318" s="348" t="str">
        <f t="shared" si="382"/>
        <v>-</v>
      </c>
    </row>
    <row r="319" spans="1:15" ht="23.25" thickBot="1" x14ac:dyDescent="0.3">
      <c r="A319" s="274" t="s">
        <v>101</v>
      </c>
      <c r="B319" s="960" t="s">
        <v>21</v>
      </c>
      <c r="C319" s="961"/>
      <c r="D319" s="962"/>
      <c r="E319" s="326">
        <f>+E305+E317+E318</f>
        <v>0</v>
      </c>
      <c r="F319" s="327">
        <f>+F305+F317+F318</f>
        <v>400000</v>
      </c>
      <c r="G319" s="326">
        <f>+G305+G317+G318</f>
        <v>109393</v>
      </c>
      <c r="H319" s="324">
        <f>+H305+H317+H318</f>
        <v>107406</v>
      </c>
      <c r="I319" s="324">
        <f>+I305+I317+I318</f>
        <v>1987</v>
      </c>
      <c r="J319" s="349">
        <f>+G319/F319</f>
        <v>0.27348250000000002</v>
      </c>
      <c r="K319" s="326">
        <f>+K305+K317+K318</f>
        <v>378682</v>
      </c>
      <c r="L319" s="324">
        <f>+L305+L317+L318</f>
        <v>373932</v>
      </c>
      <c r="M319" s="325">
        <f>+M305+M317+M318</f>
        <v>4750</v>
      </c>
      <c r="N319" s="341" t="str">
        <f t="shared" si="387"/>
        <v>-</v>
      </c>
      <c r="O319" s="349">
        <f t="shared" si="382"/>
        <v>1.2543506160842079E-2</v>
      </c>
    </row>
    <row r="320" spans="1:15" ht="23.25" thickBot="1" x14ac:dyDescent="0.3">
      <c r="A320" s="274" t="s">
        <v>101</v>
      </c>
      <c r="B320" s="963" t="s">
        <v>171</v>
      </c>
      <c r="C320" s="941"/>
      <c r="D320" s="942"/>
      <c r="E320" s="330">
        <f>+E319</f>
        <v>0</v>
      </c>
      <c r="F320" s="331">
        <f t="shared" ref="F320:I320" si="399">+F319</f>
        <v>400000</v>
      </c>
      <c r="G320" s="330">
        <f t="shared" si="399"/>
        <v>109393</v>
      </c>
      <c r="H320" s="328">
        <f t="shared" si="399"/>
        <v>107406</v>
      </c>
      <c r="I320" s="328">
        <f t="shared" si="399"/>
        <v>1987</v>
      </c>
      <c r="J320" s="350">
        <f>+J319</f>
        <v>0.27348250000000002</v>
      </c>
      <c r="K320" s="330">
        <f>+K319</f>
        <v>378682</v>
      </c>
      <c r="L320" s="328">
        <f t="shared" ref="L320" si="400">+L319</f>
        <v>373932</v>
      </c>
      <c r="M320" s="329">
        <f>+M319</f>
        <v>4750</v>
      </c>
      <c r="N320" s="342" t="str">
        <f t="shared" ref="N320:O320" si="401">+N319</f>
        <v>-</v>
      </c>
      <c r="O320" s="350">
        <f t="shared" si="401"/>
        <v>1.2543506160842079E-2</v>
      </c>
    </row>
    <row r="321" spans="1:15" ht="24" x14ac:dyDescent="0.25">
      <c r="A321" s="268" t="s">
        <v>102</v>
      </c>
      <c r="B321" s="949" t="s">
        <v>401</v>
      </c>
      <c r="C321" s="311" t="s">
        <v>113</v>
      </c>
      <c r="D321" s="311"/>
      <c r="E321" s="270"/>
      <c r="F321" s="271"/>
      <c r="G321" s="332">
        <f t="shared" ref="G321:G323" si="402">+H321+I321</f>
        <v>0</v>
      </c>
      <c r="H321" s="272"/>
      <c r="I321" s="272"/>
      <c r="J321" s="351" t="str">
        <f>IFERROR(G321/#REF!,"-")</f>
        <v>-</v>
      </c>
      <c r="K321" s="332">
        <f t="shared" ref="K321:K323" si="403">+L321+M321</f>
        <v>0</v>
      </c>
      <c r="L321" s="272">
        <f t="shared" ref="L321:L323" si="404">+H321+L208</f>
        <v>0</v>
      </c>
      <c r="M321" s="273">
        <f t="shared" ref="M321:M323" si="405">+I321+M208</f>
        <v>0</v>
      </c>
      <c r="N321" s="336" t="str">
        <f t="shared" ref="N321:N328" si="406">IFERROR(K321/E321,"-")</f>
        <v>-</v>
      </c>
      <c r="O321" s="346" t="str">
        <f t="shared" ref="O321:O346" si="407">IFERROR(M321/K321,"-")</f>
        <v>-</v>
      </c>
    </row>
    <row r="322" spans="1:15" ht="24" x14ac:dyDescent="0.25">
      <c r="A322" s="274" t="s">
        <v>102</v>
      </c>
      <c r="B322" s="951"/>
      <c r="C322" s="312" t="s">
        <v>247</v>
      </c>
      <c r="D322" s="312"/>
      <c r="E322" s="276"/>
      <c r="F322" s="277"/>
      <c r="G322" s="333">
        <f t="shared" si="402"/>
        <v>1252</v>
      </c>
      <c r="H322" s="278">
        <v>1200</v>
      </c>
      <c r="I322" s="278">
        <v>52</v>
      </c>
      <c r="J322" s="352" t="str">
        <f>IFERROR(G322/#REF!,"-")</f>
        <v>-</v>
      </c>
      <c r="K322" s="333">
        <f t="shared" si="403"/>
        <v>1997</v>
      </c>
      <c r="L322" s="272">
        <f t="shared" si="404"/>
        <v>1900</v>
      </c>
      <c r="M322" s="273">
        <f t="shared" si="405"/>
        <v>97</v>
      </c>
      <c r="N322" s="337" t="str">
        <f t="shared" si="406"/>
        <v>-</v>
      </c>
      <c r="O322" s="263">
        <f t="shared" si="407"/>
        <v>4.8572859288933401E-2</v>
      </c>
    </row>
    <row r="323" spans="1:15" ht="24.75" thickBot="1" x14ac:dyDescent="0.3">
      <c r="A323" s="274" t="s">
        <v>102</v>
      </c>
      <c r="B323" s="950"/>
      <c r="C323" s="313" t="s">
        <v>33</v>
      </c>
      <c r="D323" s="313"/>
      <c r="E323" s="280"/>
      <c r="F323" s="281"/>
      <c r="G323" s="334">
        <f t="shared" si="402"/>
        <v>0</v>
      </c>
      <c r="H323" s="282"/>
      <c r="I323" s="282"/>
      <c r="J323" s="353" t="str">
        <f>IFERROR(G323/#REF!,"-")</f>
        <v>-</v>
      </c>
      <c r="K323" s="334">
        <f t="shared" si="403"/>
        <v>0</v>
      </c>
      <c r="L323" s="272">
        <f t="shared" si="404"/>
        <v>0</v>
      </c>
      <c r="M323" s="273">
        <f t="shared" si="405"/>
        <v>0</v>
      </c>
      <c r="N323" s="338" t="str">
        <f t="shared" si="406"/>
        <v>-</v>
      </c>
      <c r="O323" s="347" t="str">
        <f t="shared" si="407"/>
        <v>-</v>
      </c>
    </row>
    <row r="324" spans="1:15" ht="23.25" thickBot="1" x14ac:dyDescent="0.3">
      <c r="A324" s="274" t="s">
        <v>102</v>
      </c>
      <c r="B324" s="946" t="s">
        <v>34</v>
      </c>
      <c r="C324" s="947"/>
      <c r="D324" s="948"/>
      <c r="E324" s="284">
        <f>SUM(E321:E323)</f>
        <v>0</v>
      </c>
      <c r="F324" s="285">
        <v>6500</v>
      </c>
      <c r="G324" s="320">
        <f>SUM(G321:G323)</f>
        <v>1252</v>
      </c>
      <c r="H324" s="321">
        <f t="shared" ref="H324:I324" si="408">SUM(H321:H323)</f>
        <v>1200</v>
      </c>
      <c r="I324" s="321">
        <f t="shared" si="408"/>
        <v>52</v>
      </c>
      <c r="J324" s="345" t="str">
        <f>IFERROR(G324/#REF!,"-")</f>
        <v>-</v>
      </c>
      <c r="K324" s="320">
        <f t="shared" ref="K324:M324" si="409">SUM(K321:K323)</f>
        <v>1997</v>
      </c>
      <c r="L324" s="321">
        <f t="shared" si="409"/>
        <v>1900</v>
      </c>
      <c r="M324" s="322">
        <f t="shared" si="409"/>
        <v>97</v>
      </c>
      <c r="N324" s="339" t="str">
        <f t="shared" si="406"/>
        <v>-</v>
      </c>
      <c r="O324" s="345">
        <f t="shared" si="407"/>
        <v>4.8572859288933401E-2</v>
      </c>
    </row>
    <row r="325" spans="1:15" ht="24" x14ac:dyDescent="0.25">
      <c r="A325" s="274" t="s">
        <v>102</v>
      </c>
      <c r="B325" s="949" t="s">
        <v>35</v>
      </c>
      <c r="C325" s="311" t="s">
        <v>113</v>
      </c>
      <c r="D325" s="311"/>
      <c r="E325" s="270"/>
      <c r="F325" s="271"/>
      <c r="G325" s="332">
        <f t="shared" ref="G325:G328" si="410">+H325+I325</f>
        <v>0</v>
      </c>
      <c r="H325" s="272"/>
      <c r="I325" s="272"/>
      <c r="J325" s="351" t="str">
        <f>IFERROR(G325/#REF!,"-")</f>
        <v>-</v>
      </c>
      <c r="K325" s="332">
        <f t="shared" ref="K325:K328" si="411">+L325+M325</f>
        <v>0</v>
      </c>
      <c r="L325" s="272">
        <f t="shared" ref="L325:L328" si="412">+H325+L212</f>
        <v>0</v>
      </c>
      <c r="M325" s="273">
        <f t="shared" ref="M325:M328" si="413">+I325+M212</f>
        <v>0</v>
      </c>
      <c r="N325" s="336" t="str">
        <f t="shared" si="406"/>
        <v>-</v>
      </c>
      <c r="O325" s="346" t="str">
        <f t="shared" si="407"/>
        <v>-</v>
      </c>
    </row>
    <row r="326" spans="1:15" ht="24" x14ac:dyDescent="0.25">
      <c r="A326" s="274" t="s">
        <v>102</v>
      </c>
      <c r="B326" s="951"/>
      <c r="C326" s="312" t="s">
        <v>247</v>
      </c>
      <c r="D326" s="312"/>
      <c r="E326" s="276"/>
      <c r="F326" s="277"/>
      <c r="G326" s="333">
        <f t="shared" si="410"/>
        <v>0</v>
      </c>
      <c r="H326" s="278"/>
      <c r="I326" s="278"/>
      <c r="J326" s="352" t="str">
        <f>IFERROR(G326/#REF!,"-")</f>
        <v>-</v>
      </c>
      <c r="K326" s="333">
        <f t="shared" si="411"/>
        <v>0</v>
      </c>
      <c r="L326" s="272">
        <f t="shared" si="412"/>
        <v>0</v>
      </c>
      <c r="M326" s="273">
        <f t="shared" si="413"/>
        <v>0</v>
      </c>
      <c r="N326" s="337" t="str">
        <f t="shared" si="406"/>
        <v>-</v>
      </c>
      <c r="O326" s="263" t="str">
        <f t="shared" si="407"/>
        <v>-</v>
      </c>
    </row>
    <row r="327" spans="1:15" ht="24" x14ac:dyDescent="0.25">
      <c r="A327" s="274" t="s">
        <v>102</v>
      </c>
      <c r="B327" s="951"/>
      <c r="C327" s="312" t="s">
        <v>184</v>
      </c>
      <c r="D327" s="312"/>
      <c r="E327" s="276"/>
      <c r="F327" s="277"/>
      <c r="G327" s="333">
        <f t="shared" si="410"/>
        <v>0</v>
      </c>
      <c r="H327" s="278"/>
      <c r="I327" s="278"/>
      <c r="J327" s="352" t="str">
        <f>IFERROR(G327/#REF!,"-")</f>
        <v>-</v>
      </c>
      <c r="K327" s="333">
        <f t="shared" si="411"/>
        <v>0</v>
      </c>
      <c r="L327" s="272">
        <f t="shared" si="412"/>
        <v>0</v>
      </c>
      <c r="M327" s="273">
        <f t="shared" si="413"/>
        <v>0</v>
      </c>
      <c r="N327" s="337" t="str">
        <f t="shared" si="406"/>
        <v>-</v>
      </c>
      <c r="O327" s="263" t="str">
        <f t="shared" si="407"/>
        <v>-</v>
      </c>
    </row>
    <row r="328" spans="1:15" ht="24.75" thickBot="1" x14ac:dyDescent="0.3">
      <c r="A328" s="274" t="s">
        <v>102</v>
      </c>
      <c r="B328" s="950"/>
      <c r="C328" s="313" t="s">
        <v>36</v>
      </c>
      <c r="D328" s="313"/>
      <c r="E328" s="280"/>
      <c r="F328" s="281"/>
      <c r="G328" s="334">
        <f t="shared" si="410"/>
        <v>0</v>
      </c>
      <c r="H328" s="282"/>
      <c r="I328" s="282"/>
      <c r="J328" s="353" t="str">
        <f>IFERROR(G328/#REF!,"-")</f>
        <v>-</v>
      </c>
      <c r="K328" s="334">
        <f t="shared" si="411"/>
        <v>0</v>
      </c>
      <c r="L328" s="272">
        <f t="shared" si="412"/>
        <v>0</v>
      </c>
      <c r="M328" s="273">
        <f t="shared" si="413"/>
        <v>0</v>
      </c>
      <c r="N328" s="338" t="str">
        <f t="shared" si="406"/>
        <v>-</v>
      </c>
      <c r="O328" s="347" t="str">
        <f t="shared" si="407"/>
        <v>-</v>
      </c>
    </row>
    <row r="329" spans="1:15" ht="23.25" thickBot="1" x14ac:dyDescent="0.3">
      <c r="A329" s="274" t="s">
        <v>102</v>
      </c>
      <c r="B329" s="946" t="s">
        <v>37</v>
      </c>
      <c r="C329" s="947"/>
      <c r="D329" s="948"/>
      <c r="E329" s="284">
        <f>SUM(E325:E328)</f>
        <v>0</v>
      </c>
      <c r="F329" s="285">
        <v>6500</v>
      </c>
      <c r="G329" s="320">
        <f>SUM(G325:G328)</f>
        <v>0</v>
      </c>
      <c r="H329" s="321">
        <f t="shared" ref="H329:I329" si="414">SUM(H325:H328)</f>
        <v>0</v>
      </c>
      <c r="I329" s="321">
        <f t="shared" si="414"/>
        <v>0</v>
      </c>
      <c r="J329" s="345" t="str">
        <f>IFERROR(G329/#REF!,"-")</f>
        <v>-</v>
      </c>
      <c r="K329" s="320">
        <f t="shared" ref="K329:M329" si="415">SUM(K325:K328)</f>
        <v>0</v>
      </c>
      <c r="L329" s="321">
        <f t="shared" si="415"/>
        <v>0</v>
      </c>
      <c r="M329" s="322">
        <f t="shared" si="415"/>
        <v>0</v>
      </c>
      <c r="N329" s="339" t="str">
        <f>IFERROR(K329/E329,"-")</f>
        <v>-</v>
      </c>
      <c r="O329" s="345" t="str">
        <f t="shared" si="407"/>
        <v>-</v>
      </c>
    </row>
    <row r="330" spans="1:15" ht="24" x14ac:dyDescent="0.25">
      <c r="A330" s="274" t="s">
        <v>102</v>
      </c>
      <c r="B330" s="949" t="s">
        <v>402</v>
      </c>
      <c r="C330" s="314" t="s">
        <v>116</v>
      </c>
      <c r="D330" s="314"/>
      <c r="E330" s="270"/>
      <c r="F330" s="271"/>
      <c r="G330" s="332">
        <f t="shared" ref="G330:G331" si="416">+H330+I330</f>
        <v>0</v>
      </c>
      <c r="H330" s="272"/>
      <c r="I330" s="272"/>
      <c r="J330" s="351" t="str">
        <f>IFERROR(G330/#REF!,"-")</f>
        <v>-</v>
      </c>
      <c r="K330" s="332">
        <f t="shared" ref="K330:K331" si="417">+L330+M330</f>
        <v>0</v>
      </c>
      <c r="L330" s="272">
        <f t="shared" ref="L330:L331" si="418">+H330+L217</f>
        <v>0</v>
      </c>
      <c r="M330" s="273">
        <f t="shared" ref="M330:M331" si="419">+I330+M217</f>
        <v>0</v>
      </c>
      <c r="N330" s="336" t="str">
        <f t="shared" ref="N330:N346" si="420">IFERROR(K330/E330,"-")</f>
        <v>-</v>
      </c>
      <c r="O330" s="346" t="str">
        <f t="shared" si="407"/>
        <v>-</v>
      </c>
    </row>
    <row r="331" spans="1:15" ht="24.75" thickBot="1" x14ac:dyDescent="0.3">
      <c r="A331" s="274" t="s">
        <v>102</v>
      </c>
      <c r="B331" s="950"/>
      <c r="C331" s="286" t="s">
        <v>132</v>
      </c>
      <c r="D331" s="286"/>
      <c r="E331" s="280"/>
      <c r="F331" s="281"/>
      <c r="G331" s="334">
        <f t="shared" si="416"/>
        <v>1790</v>
      </c>
      <c r="H331" s="282">
        <v>1690</v>
      </c>
      <c r="I331" s="282">
        <v>100</v>
      </c>
      <c r="J331" s="353" t="str">
        <f>IFERROR(G331/#REF!,"-")</f>
        <v>-</v>
      </c>
      <c r="K331" s="334">
        <f t="shared" si="417"/>
        <v>2660</v>
      </c>
      <c r="L331" s="272">
        <f t="shared" si="418"/>
        <v>2490</v>
      </c>
      <c r="M331" s="273">
        <f t="shared" si="419"/>
        <v>170</v>
      </c>
      <c r="N331" s="338" t="str">
        <f t="shared" si="420"/>
        <v>-</v>
      </c>
      <c r="O331" s="347">
        <f t="shared" si="407"/>
        <v>6.3909774436090222E-2</v>
      </c>
    </row>
    <row r="332" spans="1:15" ht="23.25" thickBot="1" x14ac:dyDescent="0.3">
      <c r="A332" s="777" t="s">
        <v>102</v>
      </c>
      <c r="B332" s="946" t="s">
        <v>38</v>
      </c>
      <c r="C332" s="947"/>
      <c r="D332" s="948"/>
      <c r="E332" s="284">
        <f>SUM(E330:E331)</f>
        <v>0</v>
      </c>
      <c r="F332" s="285">
        <v>2800</v>
      </c>
      <c r="G332" s="320">
        <f>SUM(G330:G331)</f>
        <v>1790</v>
      </c>
      <c r="H332" s="321">
        <f t="shared" ref="H332:I332" si="421">SUM(H330:H331)</f>
        <v>1690</v>
      </c>
      <c r="I332" s="321">
        <f t="shared" si="421"/>
        <v>100</v>
      </c>
      <c r="J332" s="345" t="str">
        <f>IFERROR(G332/#REF!,"-")</f>
        <v>-</v>
      </c>
      <c r="K332" s="320">
        <f t="shared" ref="K332:M332" si="422">SUM(K330:K331)</f>
        <v>2660</v>
      </c>
      <c r="L332" s="321">
        <f t="shared" si="422"/>
        <v>2490</v>
      </c>
      <c r="M332" s="322">
        <f t="shared" si="422"/>
        <v>170</v>
      </c>
      <c r="N332" s="339" t="str">
        <f t="shared" si="420"/>
        <v>-</v>
      </c>
      <c r="O332" s="345">
        <f t="shared" si="407"/>
        <v>6.3909774436090222E-2</v>
      </c>
    </row>
    <row r="333" spans="1:15" ht="24" x14ac:dyDescent="0.25">
      <c r="A333" s="274" t="s">
        <v>102</v>
      </c>
      <c r="B333" s="949" t="s">
        <v>403</v>
      </c>
      <c r="C333" s="269" t="s">
        <v>306</v>
      </c>
      <c r="D333" s="269"/>
      <c r="E333" s="270"/>
      <c r="F333" s="315"/>
      <c r="G333" s="332">
        <f t="shared" ref="G333:G337" si="423">+H333+I333</f>
        <v>27057</v>
      </c>
      <c r="H333" s="272">
        <v>26880</v>
      </c>
      <c r="I333" s="272">
        <v>177</v>
      </c>
      <c r="J333" s="371" t="str">
        <f>IFERROR(G333/#REF!,"-")</f>
        <v>-</v>
      </c>
      <c r="K333" s="332">
        <f t="shared" ref="K333:K337" si="424">+L333+M333</f>
        <v>59217</v>
      </c>
      <c r="L333" s="272">
        <f t="shared" ref="L333:L337" si="425">+H333+L220</f>
        <v>58800</v>
      </c>
      <c r="M333" s="272">
        <f t="shared" ref="M333:M337" si="426">+I333+M220</f>
        <v>417</v>
      </c>
      <c r="N333" s="359" t="str">
        <f t="shared" si="420"/>
        <v>-</v>
      </c>
      <c r="O333" s="360">
        <f t="shared" si="407"/>
        <v>7.041896752621713E-3</v>
      </c>
    </row>
    <row r="334" spans="1:15" ht="24" x14ac:dyDescent="0.25">
      <c r="A334" s="274" t="s">
        <v>102</v>
      </c>
      <c r="B334" s="951"/>
      <c r="C334" s="269" t="s">
        <v>307</v>
      </c>
      <c r="D334" s="275"/>
      <c r="E334" s="276"/>
      <c r="F334" s="316"/>
      <c r="G334" s="333">
        <f t="shared" si="423"/>
        <v>0</v>
      </c>
      <c r="H334" s="278"/>
      <c r="I334" s="278"/>
      <c r="J334" s="372" t="str">
        <f>IFERROR(G334/#REF!,"-")</f>
        <v>-</v>
      </c>
      <c r="K334" s="333">
        <f t="shared" si="424"/>
        <v>0</v>
      </c>
      <c r="L334" s="272">
        <f t="shared" si="425"/>
        <v>0</v>
      </c>
      <c r="M334" s="273">
        <f t="shared" si="426"/>
        <v>0</v>
      </c>
      <c r="N334" s="361" t="str">
        <f t="shared" si="420"/>
        <v>-</v>
      </c>
      <c r="O334" s="362" t="str">
        <f t="shared" si="407"/>
        <v>-</v>
      </c>
    </row>
    <row r="335" spans="1:15" ht="24" x14ac:dyDescent="0.25">
      <c r="A335" s="274" t="s">
        <v>102</v>
      </c>
      <c r="B335" s="951"/>
      <c r="C335" s="275" t="s">
        <v>345</v>
      </c>
      <c r="D335" s="275"/>
      <c r="E335" s="276"/>
      <c r="F335" s="316"/>
      <c r="G335" s="333">
        <f t="shared" si="423"/>
        <v>0</v>
      </c>
      <c r="H335" s="278"/>
      <c r="I335" s="278"/>
      <c r="J335" s="372" t="str">
        <f>IFERROR(G335/#REF!,"-")</f>
        <v>-</v>
      </c>
      <c r="K335" s="333">
        <f t="shared" si="424"/>
        <v>0</v>
      </c>
      <c r="L335" s="272">
        <f t="shared" si="425"/>
        <v>0</v>
      </c>
      <c r="M335" s="273">
        <f t="shared" si="426"/>
        <v>0</v>
      </c>
      <c r="N335" s="361" t="str">
        <f t="shared" si="420"/>
        <v>-</v>
      </c>
      <c r="O335" s="362" t="str">
        <f t="shared" si="407"/>
        <v>-</v>
      </c>
    </row>
    <row r="336" spans="1:15" ht="24" x14ac:dyDescent="0.25">
      <c r="A336" s="274" t="s">
        <v>102</v>
      </c>
      <c r="B336" s="951"/>
      <c r="C336" s="275" t="s">
        <v>157</v>
      </c>
      <c r="D336" s="275"/>
      <c r="E336" s="276"/>
      <c r="F336" s="316"/>
      <c r="G336" s="333">
        <f t="shared" si="423"/>
        <v>0</v>
      </c>
      <c r="H336" s="278"/>
      <c r="I336" s="278"/>
      <c r="J336" s="372" t="str">
        <f>IFERROR(G336/#REF!,"-")</f>
        <v>-</v>
      </c>
      <c r="K336" s="333">
        <f t="shared" si="424"/>
        <v>0</v>
      </c>
      <c r="L336" s="272">
        <f t="shared" si="425"/>
        <v>0</v>
      </c>
      <c r="M336" s="273">
        <f t="shared" si="426"/>
        <v>0</v>
      </c>
      <c r="N336" s="361" t="str">
        <f t="shared" si="420"/>
        <v>-</v>
      </c>
      <c r="O336" s="362" t="str">
        <f t="shared" si="407"/>
        <v>-</v>
      </c>
    </row>
    <row r="337" spans="1:15" ht="24.75" thickBot="1" x14ac:dyDescent="0.3">
      <c r="A337" s="274" t="s">
        <v>102</v>
      </c>
      <c r="B337" s="950"/>
      <c r="C337" s="279" t="s">
        <v>158</v>
      </c>
      <c r="D337" s="279"/>
      <c r="E337" s="280"/>
      <c r="F337" s="317"/>
      <c r="G337" s="334">
        <f t="shared" si="423"/>
        <v>0</v>
      </c>
      <c r="H337" s="282"/>
      <c r="I337" s="282"/>
      <c r="J337" s="373" t="str">
        <f>IFERROR(G337/#REF!,"-")</f>
        <v>-</v>
      </c>
      <c r="K337" s="334">
        <f t="shared" si="424"/>
        <v>0</v>
      </c>
      <c r="L337" s="272">
        <f t="shared" si="425"/>
        <v>0</v>
      </c>
      <c r="M337" s="273">
        <f t="shared" si="426"/>
        <v>0</v>
      </c>
      <c r="N337" s="363" t="str">
        <f t="shared" si="420"/>
        <v>-</v>
      </c>
      <c r="O337" s="364" t="str">
        <f t="shared" si="407"/>
        <v>-</v>
      </c>
    </row>
    <row r="338" spans="1:15" ht="23.25" thickBot="1" x14ac:dyDescent="0.3">
      <c r="A338" s="274" t="s">
        <v>102</v>
      </c>
      <c r="B338" s="946" t="s">
        <v>39</v>
      </c>
      <c r="C338" s="947"/>
      <c r="D338" s="948"/>
      <c r="E338" s="320">
        <f>SUM(E333:E337)</f>
        <v>0</v>
      </c>
      <c r="F338" s="285">
        <v>25000</v>
      </c>
      <c r="G338" s="320">
        <f>SUM(G333:G337)</f>
        <v>27057</v>
      </c>
      <c r="H338" s="321">
        <f>SUM(H333:H337)</f>
        <v>26880</v>
      </c>
      <c r="I338" s="321">
        <f>SUM(I333:I337)</f>
        <v>177</v>
      </c>
      <c r="J338" s="345" t="str">
        <f>IFERROR(G338/#REF!,"-")</f>
        <v>-</v>
      </c>
      <c r="K338" s="320">
        <f>SUM(K333:K337)</f>
        <v>59217</v>
      </c>
      <c r="L338" s="321">
        <f>SUM(L333:L337)</f>
        <v>58800</v>
      </c>
      <c r="M338" s="322">
        <f>SUM(M333:M337)</f>
        <v>417</v>
      </c>
      <c r="N338" s="339" t="str">
        <f t="shared" si="420"/>
        <v>-</v>
      </c>
      <c r="O338" s="345">
        <f t="shared" si="407"/>
        <v>7.041896752621713E-3</v>
      </c>
    </row>
    <row r="339" spans="1:15" ht="24" x14ac:dyDescent="0.25">
      <c r="A339" s="274" t="s">
        <v>102</v>
      </c>
      <c r="B339" s="949" t="s">
        <v>404</v>
      </c>
      <c r="C339" s="269" t="s">
        <v>186</v>
      </c>
      <c r="D339" s="269"/>
      <c r="E339" s="270"/>
      <c r="F339" s="271"/>
      <c r="G339" s="332">
        <f t="shared" ref="G339:G341" si="427">+H339+I339</f>
        <v>0</v>
      </c>
      <c r="H339" s="272"/>
      <c r="I339" s="272"/>
      <c r="J339" s="351" t="str">
        <f>IFERROR(G339/#REF!,"-")</f>
        <v>-</v>
      </c>
      <c r="K339" s="332">
        <f t="shared" ref="K339:K341" si="428">+L339+M339</f>
        <v>0</v>
      </c>
      <c r="L339" s="272">
        <f t="shared" ref="L339:L341" si="429">+H339+L226</f>
        <v>0</v>
      </c>
      <c r="M339" s="273">
        <f t="shared" ref="M339:M341" si="430">+I339+M226</f>
        <v>0</v>
      </c>
      <c r="N339" s="336" t="str">
        <f t="shared" si="420"/>
        <v>-</v>
      </c>
      <c r="O339" s="346" t="str">
        <f t="shared" si="407"/>
        <v>-</v>
      </c>
    </row>
    <row r="340" spans="1:15" ht="24" x14ac:dyDescent="0.25">
      <c r="A340" s="274" t="s">
        <v>102</v>
      </c>
      <c r="B340" s="951"/>
      <c r="C340" s="275" t="s">
        <v>159</v>
      </c>
      <c r="D340" s="275"/>
      <c r="E340" s="276"/>
      <c r="F340" s="277"/>
      <c r="G340" s="333">
        <f t="shared" si="427"/>
        <v>0</v>
      </c>
      <c r="H340" s="278"/>
      <c r="I340" s="278"/>
      <c r="J340" s="372" t="str">
        <f>IFERROR(G340/#REF!,"-")</f>
        <v>-</v>
      </c>
      <c r="K340" s="333">
        <f t="shared" si="428"/>
        <v>11826</v>
      </c>
      <c r="L340" s="714">
        <f t="shared" si="429"/>
        <v>11400</v>
      </c>
      <c r="M340" s="273">
        <f t="shared" si="430"/>
        <v>426</v>
      </c>
      <c r="N340" s="361" t="str">
        <f t="shared" si="420"/>
        <v>-</v>
      </c>
      <c r="O340" s="362">
        <f t="shared" si="407"/>
        <v>3.6022323693556568E-2</v>
      </c>
    </row>
    <row r="341" spans="1:15" ht="24.75" thickBot="1" x14ac:dyDescent="0.3">
      <c r="A341" s="274" t="s">
        <v>102</v>
      </c>
      <c r="B341" s="950"/>
      <c r="C341" s="279" t="s">
        <v>186</v>
      </c>
      <c r="D341" s="279"/>
      <c r="E341" s="280"/>
      <c r="F341" s="281"/>
      <c r="G341" s="334">
        <f t="shared" si="427"/>
        <v>0</v>
      </c>
      <c r="H341" s="282"/>
      <c r="I341" s="282"/>
      <c r="J341" s="373" t="str">
        <f>IFERROR(G341/#REF!,"-")</f>
        <v>-</v>
      </c>
      <c r="K341" s="334">
        <f t="shared" si="428"/>
        <v>0</v>
      </c>
      <c r="L341" s="272">
        <f t="shared" si="429"/>
        <v>0</v>
      </c>
      <c r="M341" s="273">
        <f t="shared" si="430"/>
        <v>0</v>
      </c>
      <c r="N341" s="363" t="str">
        <f t="shared" si="420"/>
        <v>-</v>
      </c>
      <c r="O341" s="364" t="str">
        <f t="shared" si="407"/>
        <v>-</v>
      </c>
    </row>
    <row r="342" spans="1:15" ht="23.25" thickBot="1" x14ac:dyDescent="0.3">
      <c r="A342" s="274" t="s">
        <v>102</v>
      </c>
      <c r="B342" s="952" t="s">
        <v>41</v>
      </c>
      <c r="C342" s="953"/>
      <c r="D342" s="954"/>
      <c r="E342" s="320">
        <f>SUM(E339:E341)</f>
        <v>0</v>
      </c>
      <c r="F342" s="285"/>
      <c r="G342" s="320">
        <f>SUM(G339:G341)</f>
        <v>0</v>
      </c>
      <c r="H342" s="321">
        <f t="shared" ref="H342:I342" si="431">SUM(H339:H341)</f>
        <v>0</v>
      </c>
      <c r="I342" s="321">
        <f t="shared" si="431"/>
        <v>0</v>
      </c>
      <c r="J342" s="345" t="str">
        <f>IFERROR(G342/#REF!,"-")</f>
        <v>-</v>
      </c>
      <c r="K342" s="320">
        <f t="shared" ref="K342:M342" si="432">SUM(K339:K341)</f>
        <v>11826</v>
      </c>
      <c r="L342" s="365">
        <f t="shared" si="432"/>
        <v>11400</v>
      </c>
      <c r="M342" s="367">
        <f t="shared" si="432"/>
        <v>426</v>
      </c>
      <c r="N342" s="339" t="str">
        <f t="shared" si="420"/>
        <v>-</v>
      </c>
      <c r="O342" s="345">
        <f t="shared" si="407"/>
        <v>3.6022323693556568E-2</v>
      </c>
    </row>
    <row r="343" spans="1:15" ht="24.75" thickBot="1" x14ac:dyDescent="0.3">
      <c r="A343" s="274" t="s">
        <v>102</v>
      </c>
      <c r="B343" s="949" t="s">
        <v>42</v>
      </c>
      <c r="C343" s="269" t="s">
        <v>160</v>
      </c>
      <c r="D343" s="269"/>
      <c r="E343" s="270">
        <v>0</v>
      </c>
      <c r="F343" s="271"/>
      <c r="G343" s="332">
        <f t="shared" ref="G343:G344" si="433">+H343+I343</f>
        <v>0</v>
      </c>
      <c r="H343" s="272"/>
      <c r="I343" s="272"/>
      <c r="J343" s="371" t="str">
        <f>IFERROR(G343/#REF!,"-")</f>
        <v>-</v>
      </c>
      <c r="K343" s="695">
        <f t="shared" ref="K343:K344" si="434">+L343+M343</f>
        <v>0</v>
      </c>
      <c r="L343" s="688">
        <f t="shared" ref="L343:L344" si="435">+H343+L230</f>
        <v>0</v>
      </c>
      <c r="M343" s="688">
        <f t="shared" ref="M343:M344" si="436">+I343+M230</f>
        <v>0</v>
      </c>
      <c r="N343" s="359" t="str">
        <f t="shared" si="420"/>
        <v>-</v>
      </c>
      <c r="O343" s="360" t="str">
        <f t="shared" si="407"/>
        <v>-</v>
      </c>
    </row>
    <row r="344" spans="1:15" ht="24.75" thickBot="1" x14ac:dyDescent="0.3">
      <c r="A344" s="274" t="s">
        <v>102</v>
      </c>
      <c r="B344" s="950"/>
      <c r="C344" s="279" t="s">
        <v>161</v>
      </c>
      <c r="D344" s="279"/>
      <c r="E344" s="280">
        <v>0</v>
      </c>
      <c r="F344" s="281"/>
      <c r="G344" s="334">
        <f t="shared" si="433"/>
        <v>0</v>
      </c>
      <c r="H344" s="282"/>
      <c r="I344" s="282"/>
      <c r="J344" s="373" t="str">
        <f>IFERROR(G344/#REF!,"-")</f>
        <v>-</v>
      </c>
      <c r="K344" s="696">
        <f t="shared" si="434"/>
        <v>0</v>
      </c>
      <c r="L344" s="688">
        <f t="shared" si="435"/>
        <v>0</v>
      </c>
      <c r="M344" s="688">
        <f t="shared" si="436"/>
        <v>0</v>
      </c>
      <c r="N344" s="363" t="str">
        <f t="shared" si="420"/>
        <v>-</v>
      </c>
      <c r="O344" s="364" t="str">
        <f t="shared" si="407"/>
        <v>-</v>
      </c>
    </row>
    <row r="345" spans="1:15" ht="23.25" thickBot="1" x14ac:dyDescent="0.3">
      <c r="A345" s="274" t="s">
        <v>102</v>
      </c>
      <c r="B345" s="952" t="s">
        <v>43</v>
      </c>
      <c r="C345" s="953"/>
      <c r="D345" s="954"/>
      <c r="E345" s="284">
        <v>0</v>
      </c>
      <c r="F345" s="285">
        <v>25000</v>
      </c>
      <c r="G345" s="320">
        <f>SUM(G343:G344)</f>
        <v>0</v>
      </c>
      <c r="H345" s="321">
        <f t="shared" ref="H345:I345" si="437">SUM(H343:H344)</f>
        <v>0</v>
      </c>
      <c r="I345" s="321">
        <f t="shared" si="437"/>
        <v>0</v>
      </c>
      <c r="J345" s="345" t="str">
        <f>IFERROR(G345/#REF!,"-")</f>
        <v>-</v>
      </c>
      <c r="K345" s="760">
        <f t="shared" ref="K345:M345" si="438">SUM(K343:K344)</f>
        <v>0</v>
      </c>
      <c r="L345" s="761">
        <f t="shared" si="438"/>
        <v>0</v>
      </c>
      <c r="M345" s="761">
        <f t="shared" si="438"/>
        <v>0</v>
      </c>
      <c r="N345" s="339" t="str">
        <f t="shared" si="420"/>
        <v>-</v>
      </c>
      <c r="O345" s="345" t="str">
        <f t="shared" si="407"/>
        <v>-</v>
      </c>
    </row>
    <row r="346" spans="1:15" ht="23.25" thickBot="1" x14ac:dyDescent="0.3">
      <c r="A346" s="274" t="s">
        <v>102</v>
      </c>
      <c r="B346" s="938" t="s">
        <v>25</v>
      </c>
      <c r="C346" s="939"/>
      <c r="D346" s="940"/>
      <c r="E346" s="326">
        <f t="shared" ref="E346:F346" si="439">+E324+E329+E332+E338+E342+E345</f>
        <v>0</v>
      </c>
      <c r="F346" s="327">
        <f t="shared" si="439"/>
        <v>65800</v>
      </c>
      <c r="G346" s="326">
        <f>+G324+G329+G332+G338+G342+G345</f>
        <v>30099</v>
      </c>
      <c r="H346" s="324">
        <f>+H324+H329+H332+H338+H342+H345</f>
        <v>29770</v>
      </c>
      <c r="I346" s="324">
        <f t="shared" ref="I346" si="440">+I324+I329+I332+I338+I342+I345</f>
        <v>329</v>
      </c>
      <c r="J346" s="349" t="str">
        <f>IFERROR(G346/#REF!,"-")</f>
        <v>-</v>
      </c>
      <c r="K346" s="326">
        <f>+K324+K329+K332+K338+K342+K345</f>
        <v>75700</v>
      </c>
      <c r="L346" s="759">
        <f t="shared" ref="L346:M346" si="441">+L324+L329+L332+L338+L342+L345</f>
        <v>74590</v>
      </c>
      <c r="M346" s="325">
        <f t="shared" si="441"/>
        <v>1110</v>
      </c>
      <c r="N346" s="341" t="str">
        <f t="shared" si="420"/>
        <v>-</v>
      </c>
      <c r="O346" s="349">
        <f t="shared" si="407"/>
        <v>1.4663143989431969E-2</v>
      </c>
    </row>
    <row r="347" spans="1:15" ht="23.25" thickBot="1" x14ac:dyDescent="0.3">
      <c r="A347" s="318" t="s">
        <v>102</v>
      </c>
      <c r="B347" s="941" t="s">
        <v>173</v>
      </c>
      <c r="C347" s="941"/>
      <c r="D347" s="942"/>
      <c r="E347" s="330">
        <f>+E346</f>
        <v>0</v>
      </c>
      <c r="F347" s="331">
        <f t="shared" ref="F347:O347" si="442">+F346</f>
        <v>65800</v>
      </c>
      <c r="G347" s="330">
        <f t="shared" si="442"/>
        <v>30099</v>
      </c>
      <c r="H347" s="328">
        <f t="shared" si="442"/>
        <v>29770</v>
      </c>
      <c r="I347" s="328">
        <f t="shared" si="442"/>
        <v>329</v>
      </c>
      <c r="J347" s="350" t="str">
        <f t="shared" si="442"/>
        <v>-</v>
      </c>
      <c r="K347" s="330">
        <f t="shared" si="442"/>
        <v>75700</v>
      </c>
      <c r="L347" s="328">
        <f t="shared" si="442"/>
        <v>74590</v>
      </c>
      <c r="M347" s="329">
        <f t="shared" si="442"/>
        <v>1110</v>
      </c>
      <c r="N347" s="342" t="str">
        <f t="shared" si="442"/>
        <v>-</v>
      </c>
      <c r="O347" s="350">
        <f t="shared" si="442"/>
        <v>1.4663143989431969E-2</v>
      </c>
    </row>
    <row r="348" spans="1:15" ht="26.25" thickBot="1" x14ac:dyDescent="0.3">
      <c r="A348" s="319"/>
      <c r="B348" s="943" t="s">
        <v>174</v>
      </c>
      <c r="C348" s="944"/>
      <c r="D348" s="945"/>
      <c r="E348" s="374">
        <f>+E285+E320+E347</f>
        <v>0</v>
      </c>
      <c r="F348" s="374">
        <f>+F285+F320+F347</f>
        <v>1024800</v>
      </c>
      <c r="G348" s="374">
        <f>+G285+G320+G347</f>
        <v>247264</v>
      </c>
      <c r="H348" s="374">
        <f>+H285+H320+H347</f>
        <v>363008</v>
      </c>
      <c r="I348" s="374">
        <f>+I285+I320+I347</f>
        <v>2978</v>
      </c>
      <c r="J348" s="375" t="str">
        <f>IFERROR(G348/#REF!,"-")</f>
        <v>-</v>
      </c>
      <c r="K348" s="374">
        <f>+K285+K320+K347</f>
        <v>993998</v>
      </c>
      <c r="L348" s="374">
        <f>+L285+L320+L347</f>
        <v>986066</v>
      </c>
      <c r="M348" s="374">
        <f>+M285+M320+M347</f>
        <v>7932</v>
      </c>
      <c r="N348" s="375" t="str">
        <f>IFERROR(K348/E348,"-")</f>
        <v>-</v>
      </c>
      <c r="O348" s="375">
        <f>IFERROR(M348/K348,"-")</f>
        <v>7.9798953317813514E-3</v>
      </c>
    </row>
    <row r="349" spans="1:15" ht="22.5" x14ac:dyDescent="0.25">
      <c r="A349" s="978" t="s">
        <v>1</v>
      </c>
      <c r="B349" s="981" t="s">
        <v>2</v>
      </c>
      <c r="C349" s="984" t="s">
        <v>396</v>
      </c>
      <c r="D349" s="984" t="s">
        <v>397</v>
      </c>
      <c r="E349" s="987" t="s">
        <v>4</v>
      </c>
      <c r="F349" s="988"/>
      <c r="G349" s="988"/>
      <c r="H349" s="988"/>
      <c r="I349" s="988"/>
      <c r="J349" s="988"/>
      <c r="K349" s="988"/>
      <c r="L349" s="988"/>
      <c r="M349" s="988"/>
      <c r="N349" s="988"/>
      <c r="O349" s="989"/>
    </row>
    <row r="350" spans="1:15" ht="22.5" x14ac:dyDescent="0.25">
      <c r="A350" s="979"/>
      <c r="B350" s="982"/>
      <c r="C350" s="985"/>
      <c r="D350" s="985"/>
      <c r="E350" s="990" t="s">
        <v>7</v>
      </c>
      <c r="F350" s="992" t="s">
        <v>108</v>
      </c>
      <c r="G350" s="994" t="s">
        <v>493</v>
      </c>
      <c r="H350" s="995"/>
      <c r="I350" s="995"/>
      <c r="J350" s="996"/>
      <c r="K350" s="997" t="s">
        <v>398</v>
      </c>
      <c r="L350" s="998"/>
      <c r="M350" s="999"/>
      <c r="N350" s="1000" t="s">
        <v>399</v>
      </c>
      <c r="O350" s="1002" t="s">
        <v>164</v>
      </c>
    </row>
    <row r="351" spans="1:15" ht="41.25" thickBot="1" x14ac:dyDescent="0.3">
      <c r="A351" s="980"/>
      <c r="B351" s="983"/>
      <c r="C351" s="986"/>
      <c r="D351" s="986"/>
      <c r="E351" s="991"/>
      <c r="F351" s="993"/>
      <c r="G351" s="452" t="s">
        <v>13</v>
      </c>
      <c r="H351" s="453" t="s">
        <v>14</v>
      </c>
      <c r="I351" s="453" t="s">
        <v>15</v>
      </c>
      <c r="J351" s="454" t="s">
        <v>166</v>
      </c>
      <c r="K351" s="680" t="s">
        <v>13</v>
      </c>
      <c r="L351" s="678" t="s">
        <v>14</v>
      </c>
      <c r="M351" s="679" t="s">
        <v>15</v>
      </c>
      <c r="N351" s="1001"/>
      <c r="O351" s="1003"/>
    </row>
    <row r="352" spans="1:15" ht="24.75" thickBot="1" x14ac:dyDescent="0.3">
      <c r="A352" s="268" t="s">
        <v>103</v>
      </c>
      <c r="B352" s="965" t="s">
        <v>16</v>
      </c>
      <c r="C352" s="269" t="s">
        <v>368</v>
      </c>
      <c r="D352" s="269" t="s">
        <v>369</v>
      </c>
      <c r="E352" s="270">
        <v>20000</v>
      </c>
      <c r="F352" s="271"/>
      <c r="G352" s="332">
        <f>+H352+I352</f>
        <v>0</v>
      </c>
      <c r="H352" s="272"/>
      <c r="I352" s="272"/>
      <c r="J352" s="351"/>
      <c r="K352" s="457">
        <f>+L352+M352</f>
        <v>0</v>
      </c>
      <c r="L352" s="688">
        <f>+H352+L239</f>
        <v>0</v>
      </c>
      <c r="M352" s="688">
        <f>+I352+M239</f>
        <v>0</v>
      </c>
      <c r="N352" s="336">
        <f>IFERROR(K352/E352,"-")</f>
        <v>0</v>
      </c>
      <c r="O352" s="343" t="str">
        <f t="shared" ref="O352:O353" si="443">IFERROR(M352/K352,"-")</f>
        <v>-</v>
      </c>
    </row>
    <row r="353" spans="1:15" ht="24" x14ac:dyDescent="0.25">
      <c r="A353" s="274" t="s">
        <v>103</v>
      </c>
      <c r="B353" s="966"/>
      <c r="C353" s="275" t="s">
        <v>376</v>
      </c>
      <c r="D353" s="275" t="s">
        <v>375</v>
      </c>
      <c r="E353" s="276"/>
      <c r="F353" s="277"/>
      <c r="G353" s="333">
        <f t="shared" ref="G353:G355" si="444">+H353+I353</f>
        <v>0</v>
      </c>
      <c r="H353" s="278"/>
      <c r="I353" s="278"/>
      <c r="J353" s="352" t="str">
        <f>IFERROR(G353/#REF!,"-")</f>
        <v>-</v>
      </c>
      <c r="K353" s="690">
        <f t="shared" ref="K353:K355" si="445">+L353+M353</f>
        <v>0</v>
      </c>
      <c r="L353" s="527">
        <f t="shared" ref="L353:L355" si="446">+H353+L240</f>
        <v>0</v>
      </c>
      <c r="M353" s="459">
        <f t="shared" ref="M353:M355" si="447">+I353+M240</f>
        <v>0</v>
      </c>
      <c r="N353" s="337" t="str">
        <f t="shared" ref="N353:N355" si="448">IFERROR(K353/E353,"-")</f>
        <v>-</v>
      </c>
      <c r="O353" s="265" t="str">
        <f t="shared" si="443"/>
        <v>-</v>
      </c>
    </row>
    <row r="354" spans="1:15" s="723" customFormat="1" ht="22.5" x14ac:dyDescent="0.25">
      <c r="A354" s="274" t="s">
        <v>103</v>
      </c>
      <c r="B354" s="966"/>
      <c r="C354" s="573" t="s">
        <v>431</v>
      </c>
      <c r="D354" s="573" t="s">
        <v>366</v>
      </c>
      <c r="E354" s="720"/>
      <c r="F354" s="721"/>
      <c r="G354" s="333">
        <f t="shared" si="444"/>
        <v>0</v>
      </c>
      <c r="H354" s="722"/>
      <c r="I354" s="722"/>
      <c r="J354" s="352" t="str">
        <f>IFERROR(G354/#REF!,"-")</f>
        <v>-</v>
      </c>
      <c r="K354" s="690">
        <f t="shared" si="445"/>
        <v>3520</v>
      </c>
      <c r="L354" s="720">
        <f t="shared" si="446"/>
        <v>3520</v>
      </c>
      <c r="M354" s="529">
        <f t="shared" si="447"/>
        <v>0</v>
      </c>
      <c r="N354" s="337" t="str">
        <f t="shared" si="448"/>
        <v>-</v>
      </c>
      <c r="O354" s="265">
        <f>IFERROR(M354/K354,"-")</f>
        <v>0</v>
      </c>
    </row>
    <row r="355" spans="1:15" ht="24.75" thickBot="1" x14ac:dyDescent="0.3">
      <c r="A355" s="274" t="s">
        <v>103</v>
      </c>
      <c r="B355" s="967"/>
      <c r="C355" s="279" t="s">
        <v>428</v>
      </c>
      <c r="D355" s="279" t="s">
        <v>374</v>
      </c>
      <c r="E355" s="280"/>
      <c r="F355" s="281"/>
      <c r="G355" s="334">
        <f t="shared" si="444"/>
        <v>0</v>
      </c>
      <c r="H355" s="272"/>
      <c r="I355" s="272"/>
      <c r="J355" s="353" t="str">
        <f>IFERROR(G355/#REF!,"-")</f>
        <v>-</v>
      </c>
      <c r="K355" s="691">
        <f t="shared" si="445"/>
        <v>0</v>
      </c>
      <c r="L355" s="530">
        <f t="shared" si="446"/>
        <v>0</v>
      </c>
      <c r="M355" s="462">
        <f t="shared" si="447"/>
        <v>0</v>
      </c>
      <c r="N355" s="338" t="str">
        <f t="shared" si="448"/>
        <v>-</v>
      </c>
      <c r="O355" s="344" t="str">
        <f t="shared" ref="O355:O373" si="449">IFERROR(M355/K355,"-")</f>
        <v>-</v>
      </c>
    </row>
    <row r="356" spans="1:15" ht="23.25" thickBot="1" x14ac:dyDescent="0.3">
      <c r="A356" s="274" t="s">
        <v>103</v>
      </c>
      <c r="B356" s="946" t="s">
        <v>44</v>
      </c>
      <c r="C356" s="947"/>
      <c r="D356" s="948"/>
      <c r="E356" s="320">
        <f>SUM(E352:E355)</f>
        <v>20000</v>
      </c>
      <c r="F356" s="285">
        <v>15000</v>
      </c>
      <c r="G356" s="320">
        <f>SUM(G352:G355)</f>
        <v>0</v>
      </c>
      <c r="H356" s="321">
        <f t="shared" ref="H356:I356" si="450">SUM(H352:H355)</f>
        <v>0</v>
      </c>
      <c r="I356" s="321">
        <f t="shared" si="450"/>
        <v>0</v>
      </c>
      <c r="J356" s="345">
        <f>+G356/F356</f>
        <v>0</v>
      </c>
      <c r="K356" s="320">
        <f t="shared" ref="K356" si="451">SUM(K352:K355)</f>
        <v>3520</v>
      </c>
      <c r="L356" s="692">
        <f>SUM(L352:L355)</f>
        <v>3520</v>
      </c>
      <c r="M356" s="693">
        <f>SUM(M352:M355)</f>
        <v>0</v>
      </c>
      <c r="N356" s="339">
        <f>IFERROR(K356/E356,"-")</f>
        <v>0.17599999999999999</v>
      </c>
      <c r="O356" s="345">
        <f t="shared" si="449"/>
        <v>0</v>
      </c>
    </row>
    <row r="357" spans="1:15" ht="24" x14ac:dyDescent="0.25">
      <c r="A357" s="274" t="s">
        <v>103</v>
      </c>
      <c r="B357" s="965" t="s">
        <v>17</v>
      </c>
      <c r="C357" s="269" t="s">
        <v>294</v>
      </c>
      <c r="D357" s="269"/>
      <c r="E357" s="270"/>
      <c r="F357" s="271"/>
      <c r="G357" s="332">
        <f t="shared" ref="G357:G363" si="452">+H357+I357</f>
        <v>0</v>
      </c>
      <c r="H357" s="272"/>
      <c r="I357" s="272"/>
      <c r="J357" s="351" t="str">
        <f>IFERROR(G357/#REF!,"-")</f>
        <v>-</v>
      </c>
      <c r="K357" s="694">
        <f t="shared" ref="K357:K363" si="453">+L357+M357</f>
        <v>0</v>
      </c>
      <c r="L357" s="527">
        <f t="shared" ref="L357:L363" si="454">+H357+L244</f>
        <v>0</v>
      </c>
      <c r="M357" s="459">
        <f t="shared" ref="M357:M363" si="455">+I357+M244</f>
        <v>0</v>
      </c>
      <c r="N357" s="336" t="str">
        <f t="shared" ref="N357:N363" si="456">IFERROR(K357/E357,"-")</f>
        <v>-</v>
      </c>
      <c r="O357" s="346" t="str">
        <f t="shared" si="449"/>
        <v>-</v>
      </c>
    </row>
    <row r="358" spans="1:15" ht="24" x14ac:dyDescent="0.25">
      <c r="A358" s="274" t="s">
        <v>103</v>
      </c>
      <c r="B358" s="966"/>
      <c r="C358" s="275" t="s">
        <v>344</v>
      </c>
      <c r="D358" s="275" t="s">
        <v>232</v>
      </c>
      <c r="E358" s="276">
        <v>1600000</v>
      </c>
      <c r="F358" s="277"/>
      <c r="G358" s="333">
        <f t="shared" si="452"/>
        <v>6120</v>
      </c>
      <c r="H358" s="278">
        <v>5980</v>
      </c>
      <c r="I358" s="278">
        <v>140</v>
      </c>
      <c r="J358" s="352" t="str">
        <f>IFERROR(G358/#REF!,"-")</f>
        <v>-</v>
      </c>
      <c r="K358" s="690">
        <f t="shared" si="453"/>
        <v>6120</v>
      </c>
      <c r="L358" s="276">
        <f t="shared" si="454"/>
        <v>5980</v>
      </c>
      <c r="M358" s="436">
        <f t="shared" si="455"/>
        <v>140</v>
      </c>
      <c r="N358" s="337">
        <f t="shared" si="456"/>
        <v>3.8249999999999998E-3</v>
      </c>
      <c r="O358" s="263">
        <f t="shared" si="449"/>
        <v>2.2875816993464051E-2</v>
      </c>
    </row>
    <row r="359" spans="1:15" ht="24" x14ac:dyDescent="0.25">
      <c r="A359" s="274" t="s">
        <v>103</v>
      </c>
      <c r="B359" s="966"/>
      <c r="C359" s="275" t="s">
        <v>367</v>
      </c>
      <c r="D359" s="275" t="s">
        <v>187</v>
      </c>
      <c r="E359" s="276">
        <v>1000000</v>
      </c>
      <c r="F359" s="277"/>
      <c r="G359" s="333">
        <f t="shared" si="452"/>
        <v>122816</v>
      </c>
      <c r="H359" s="278">
        <v>122400</v>
      </c>
      <c r="I359" s="278">
        <v>416</v>
      </c>
      <c r="J359" s="352" t="str">
        <f>IFERROR(G359/#REF!,"-")</f>
        <v>-</v>
      </c>
      <c r="K359" s="690">
        <f t="shared" si="453"/>
        <v>252022</v>
      </c>
      <c r="L359" s="276">
        <f t="shared" si="454"/>
        <v>250920</v>
      </c>
      <c r="M359" s="436">
        <f t="shared" si="455"/>
        <v>1102</v>
      </c>
      <c r="N359" s="337">
        <f t="shared" si="456"/>
        <v>0.25202200000000002</v>
      </c>
      <c r="O359" s="263">
        <f t="shared" si="449"/>
        <v>4.3726341351151884E-3</v>
      </c>
    </row>
    <row r="360" spans="1:15" ht="24" x14ac:dyDescent="0.25">
      <c r="A360" s="274" t="s">
        <v>103</v>
      </c>
      <c r="B360" s="966"/>
      <c r="C360" s="275" t="s">
        <v>293</v>
      </c>
      <c r="D360" s="275" t="s">
        <v>188</v>
      </c>
      <c r="E360" s="276"/>
      <c r="F360" s="277"/>
      <c r="G360" s="333">
        <f t="shared" si="452"/>
        <v>0</v>
      </c>
      <c r="H360" s="278"/>
      <c r="I360" s="278"/>
      <c r="J360" s="352" t="str">
        <f>IFERROR(G360/#REF!,"-")</f>
        <v>-</v>
      </c>
      <c r="K360" s="690">
        <f t="shared" si="453"/>
        <v>0</v>
      </c>
      <c r="L360" s="276">
        <f t="shared" si="454"/>
        <v>0</v>
      </c>
      <c r="M360" s="436">
        <f t="shared" si="455"/>
        <v>0</v>
      </c>
      <c r="N360" s="337" t="str">
        <f t="shared" si="456"/>
        <v>-</v>
      </c>
      <c r="O360" s="263" t="str">
        <f t="shared" si="449"/>
        <v>-</v>
      </c>
    </row>
    <row r="361" spans="1:15" ht="24" x14ac:dyDescent="0.25">
      <c r="A361" s="274" t="s">
        <v>103</v>
      </c>
      <c r="B361" s="966"/>
      <c r="C361" s="275" t="s">
        <v>323</v>
      </c>
      <c r="D361" s="275" t="s">
        <v>318</v>
      </c>
      <c r="E361" s="276"/>
      <c r="F361" s="277"/>
      <c r="G361" s="333">
        <f t="shared" si="452"/>
        <v>0</v>
      </c>
      <c r="H361" s="278"/>
      <c r="I361" s="278"/>
      <c r="J361" s="352" t="str">
        <f>IFERROR(G361/#REF!,"-")</f>
        <v>-</v>
      </c>
      <c r="K361" s="690">
        <f t="shared" si="453"/>
        <v>0</v>
      </c>
      <c r="L361" s="276">
        <f t="shared" si="454"/>
        <v>0</v>
      </c>
      <c r="M361" s="436">
        <f t="shared" si="455"/>
        <v>0</v>
      </c>
      <c r="N361" s="337" t="str">
        <f t="shared" si="456"/>
        <v>-</v>
      </c>
      <c r="O361" s="263" t="str">
        <f t="shared" si="449"/>
        <v>-</v>
      </c>
    </row>
    <row r="362" spans="1:15" ht="24" x14ac:dyDescent="0.25">
      <c r="A362" s="274" t="s">
        <v>103</v>
      </c>
      <c r="B362" s="966"/>
      <c r="C362" s="275" t="s">
        <v>352</v>
      </c>
      <c r="D362" s="275" t="s">
        <v>189</v>
      </c>
      <c r="E362" s="276"/>
      <c r="F362" s="277"/>
      <c r="G362" s="333">
        <f t="shared" si="452"/>
        <v>0</v>
      </c>
      <c r="H362" s="278"/>
      <c r="I362" s="278"/>
      <c r="J362" s="352" t="str">
        <f>IFERROR(G362/#REF!,"-")</f>
        <v>-</v>
      </c>
      <c r="K362" s="690">
        <f t="shared" si="453"/>
        <v>0</v>
      </c>
      <c r="L362" s="276">
        <f t="shared" si="454"/>
        <v>0</v>
      </c>
      <c r="M362" s="436">
        <f t="shared" si="455"/>
        <v>0</v>
      </c>
      <c r="N362" s="337" t="str">
        <f t="shared" si="456"/>
        <v>-</v>
      </c>
      <c r="O362" s="263" t="str">
        <f t="shared" si="449"/>
        <v>-</v>
      </c>
    </row>
    <row r="363" spans="1:15" ht="24.75" thickBot="1" x14ac:dyDescent="0.3">
      <c r="A363" s="274" t="s">
        <v>103</v>
      </c>
      <c r="B363" s="967"/>
      <c r="C363" s="279" t="s">
        <v>341</v>
      </c>
      <c r="D363" s="279" t="s">
        <v>232</v>
      </c>
      <c r="E363" s="280"/>
      <c r="F363" s="281"/>
      <c r="G363" s="334">
        <f t="shared" si="452"/>
        <v>0</v>
      </c>
      <c r="H363" s="282"/>
      <c r="I363" s="282"/>
      <c r="J363" s="353" t="str">
        <f>IFERROR(G363/#REF!,"-")</f>
        <v>-</v>
      </c>
      <c r="K363" s="691">
        <f t="shared" si="453"/>
        <v>0</v>
      </c>
      <c r="L363" s="530">
        <f t="shared" si="454"/>
        <v>0</v>
      </c>
      <c r="M363" s="462">
        <f t="shared" si="455"/>
        <v>0</v>
      </c>
      <c r="N363" s="338" t="str">
        <f t="shared" si="456"/>
        <v>-</v>
      </c>
      <c r="O363" s="347" t="str">
        <f t="shared" si="449"/>
        <v>-</v>
      </c>
    </row>
    <row r="364" spans="1:15" ht="23.25" thickBot="1" x14ac:dyDescent="0.3">
      <c r="A364" s="274" t="s">
        <v>103</v>
      </c>
      <c r="B364" s="946" t="s">
        <v>45</v>
      </c>
      <c r="C364" s="947"/>
      <c r="D364" s="948"/>
      <c r="E364" s="320">
        <f>SUM(E357:E363)</f>
        <v>2600000</v>
      </c>
      <c r="F364" s="285">
        <v>100000</v>
      </c>
      <c r="G364" s="320">
        <f>SUM(G357:G363)</f>
        <v>128936</v>
      </c>
      <c r="H364" s="321">
        <f t="shared" ref="H364:I364" si="457">SUM(H357:H363)</f>
        <v>128380</v>
      </c>
      <c r="I364" s="321">
        <f t="shared" si="457"/>
        <v>556</v>
      </c>
      <c r="J364" s="345">
        <f>+G364/F364</f>
        <v>1.2893600000000001</v>
      </c>
      <c r="K364" s="320">
        <f>SUM(K357:K363)</f>
        <v>258142</v>
      </c>
      <c r="L364" s="519">
        <f>SUM(L357:L363)</f>
        <v>256900</v>
      </c>
      <c r="M364" s="689">
        <f t="shared" ref="M364" si="458">SUM(M357:M363)</f>
        <v>1242</v>
      </c>
      <c r="N364" s="339">
        <f>IFERROR(K364/E364,"-")</f>
        <v>9.9285384615384609E-2</v>
      </c>
      <c r="O364" s="345">
        <f t="shared" si="449"/>
        <v>4.8113054055519827E-3</v>
      </c>
    </row>
    <row r="365" spans="1:15" ht="24" x14ac:dyDescent="0.25">
      <c r="A365" s="274" t="s">
        <v>103</v>
      </c>
      <c r="B365" s="965" t="s">
        <v>18</v>
      </c>
      <c r="C365" s="269" t="s">
        <v>312</v>
      </c>
      <c r="D365" s="269" t="s">
        <v>92</v>
      </c>
      <c r="E365" s="270"/>
      <c r="F365" s="271"/>
      <c r="G365" s="332">
        <f t="shared" ref="G365:G371" si="459">+H365+I365</f>
        <v>0</v>
      </c>
      <c r="H365" s="272"/>
      <c r="I365" s="272"/>
      <c r="J365" s="351" t="str">
        <f>IFERROR(G365/#REF!,"-")</f>
        <v>-</v>
      </c>
      <c r="K365" s="332">
        <f t="shared" ref="K365:K371" si="460">+L365+M365</f>
        <v>0</v>
      </c>
      <c r="L365" s="272">
        <f t="shared" ref="L365:L371" si="461">+H365+L252</f>
        <v>0</v>
      </c>
      <c r="M365" s="273">
        <f t="shared" ref="M365:M371" si="462">+I365+M252</f>
        <v>0</v>
      </c>
      <c r="N365" s="336" t="str">
        <f t="shared" ref="N365:N372" si="463">IFERROR(K365/E365,"-")</f>
        <v>-</v>
      </c>
      <c r="O365" s="346" t="str">
        <f t="shared" si="449"/>
        <v>-</v>
      </c>
    </row>
    <row r="366" spans="1:15" ht="24" x14ac:dyDescent="0.25">
      <c r="A366" s="274" t="s">
        <v>103</v>
      </c>
      <c r="B366" s="966"/>
      <c r="C366" s="275" t="s">
        <v>233</v>
      </c>
      <c r="D366" s="275" t="s">
        <v>234</v>
      </c>
      <c r="E366" s="276"/>
      <c r="F366" s="277"/>
      <c r="G366" s="333">
        <f t="shared" si="459"/>
        <v>0</v>
      </c>
      <c r="H366" s="278"/>
      <c r="I366" s="278"/>
      <c r="J366" s="352" t="str">
        <f>IFERROR(G366/#REF!,"-")</f>
        <v>-</v>
      </c>
      <c r="K366" s="333">
        <f t="shared" si="460"/>
        <v>0</v>
      </c>
      <c r="L366" s="272">
        <f t="shared" si="461"/>
        <v>0</v>
      </c>
      <c r="M366" s="273">
        <f t="shared" si="462"/>
        <v>0</v>
      </c>
      <c r="N366" s="337" t="str">
        <f t="shared" si="463"/>
        <v>-</v>
      </c>
      <c r="O366" s="263" t="str">
        <f t="shared" si="449"/>
        <v>-</v>
      </c>
    </row>
    <row r="367" spans="1:15" ht="24" x14ac:dyDescent="0.25">
      <c r="A367" s="274" t="s">
        <v>103</v>
      </c>
      <c r="B367" s="966"/>
      <c r="C367" s="275" t="s">
        <v>115</v>
      </c>
      <c r="D367" s="275"/>
      <c r="E367" s="276"/>
      <c r="F367" s="277"/>
      <c r="G367" s="333">
        <f t="shared" si="459"/>
        <v>0</v>
      </c>
      <c r="H367" s="278"/>
      <c r="I367" s="278"/>
      <c r="J367" s="352" t="str">
        <f>IFERROR(G367/#REF!,"-")</f>
        <v>-</v>
      </c>
      <c r="K367" s="333">
        <f t="shared" si="460"/>
        <v>0</v>
      </c>
      <c r="L367" s="272">
        <f t="shared" si="461"/>
        <v>0</v>
      </c>
      <c r="M367" s="273">
        <f t="shared" si="462"/>
        <v>0</v>
      </c>
      <c r="N367" s="337" t="str">
        <f t="shared" si="463"/>
        <v>-</v>
      </c>
      <c r="O367" s="263" t="str">
        <f t="shared" si="449"/>
        <v>-</v>
      </c>
    </row>
    <row r="368" spans="1:15" ht="24" x14ac:dyDescent="0.25">
      <c r="A368" s="274" t="s">
        <v>103</v>
      </c>
      <c r="B368" s="966"/>
      <c r="C368" s="275" t="s">
        <v>122</v>
      </c>
      <c r="D368" s="275"/>
      <c r="E368" s="276"/>
      <c r="F368" s="277"/>
      <c r="G368" s="333">
        <f t="shared" si="459"/>
        <v>0</v>
      </c>
      <c r="H368" s="278"/>
      <c r="I368" s="278"/>
      <c r="J368" s="352" t="str">
        <f>IFERROR(G368/#REF!,"-")</f>
        <v>-</v>
      </c>
      <c r="K368" s="333">
        <f t="shared" si="460"/>
        <v>0</v>
      </c>
      <c r="L368" s="272">
        <f t="shared" si="461"/>
        <v>0</v>
      </c>
      <c r="M368" s="273">
        <f t="shared" si="462"/>
        <v>0</v>
      </c>
      <c r="N368" s="337" t="str">
        <f t="shared" si="463"/>
        <v>-</v>
      </c>
      <c r="O368" s="263" t="str">
        <f t="shared" si="449"/>
        <v>-</v>
      </c>
    </row>
    <row r="369" spans="1:15" ht="24" x14ac:dyDescent="0.25">
      <c r="A369" s="274" t="s">
        <v>103</v>
      </c>
      <c r="B369" s="966"/>
      <c r="C369" s="275" t="s">
        <v>176</v>
      </c>
      <c r="D369" s="275" t="s">
        <v>177</v>
      </c>
      <c r="E369" s="276"/>
      <c r="F369" s="277"/>
      <c r="G369" s="333">
        <f t="shared" si="459"/>
        <v>0</v>
      </c>
      <c r="H369" s="278"/>
      <c r="I369" s="278"/>
      <c r="J369" s="352" t="str">
        <f>IFERROR(G369/#REF!,"-")</f>
        <v>-</v>
      </c>
      <c r="K369" s="333">
        <f t="shared" si="460"/>
        <v>0</v>
      </c>
      <c r="L369" s="272">
        <f t="shared" si="461"/>
        <v>0</v>
      </c>
      <c r="M369" s="273">
        <f t="shared" si="462"/>
        <v>0</v>
      </c>
      <c r="N369" s="337" t="str">
        <f t="shared" si="463"/>
        <v>-</v>
      </c>
      <c r="O369" s="263" t="str">
        <f t="shared" si="449"/>
        <v>-</v>
      </c>
    </row>
    <row r="370" spans="1:15" ht="24" x14ac:dyDescent="0.25">
      <c r="A370" s="274" t="s">
        <v>103</v>
      </c>
      <c r="B370" s="966"/>
      <c r="C370" s="275" t="s">
        <v>179</v>
      </c>
      <c r="D370" s="275" t="s">
        <v>178</v>
      </c>
      <c r="E370" s="276"/>
      <c r="F370" s="277"/>
      <c r="G370" s="333">
        <f t="shared" si="459"/>
        <v>0</v>
      </c>
      <c r="H370" s="278"/>
      <c r="I370" s="278"/>
      <c r="J370" s="352" t="str">
        <f>IFERROR(G370/#REF!,"-")</f>
        <v>-</v>
      </c>
      <c r="K370" s="333">
        <f t="shared" si="460"/>
        <v>0</v>
      </c>
      <c r="L370" s="272">
        <f t="shared" si="461"/>
        <v>0</v>
      </c>
      <c r="M370" s="273">
        <f t="shared" si="462"/>
        <v>0</v>
      </c>
      <c r="N370" s="337" t="str">
        <f t="shared" si="463"/>
        <v>-</v>
      </c>
      <c r="O370" s="263" t="str">
        <f t="shared" si="449"/>
        <v>-</v>
      </c>
    </row>
    <row r="371" spans="1:15" ht="24.75" thickBot="1" x14ac:dyDescent="0.3">
      <c r="A371" s="274" t="s">
        <v>103</v>
      </c>
      <c r="B371" s="967"/>
      <c r="C371" s="286" t="s">
        <v>180</v>
      </c>
      <c r="D371" s="286" t="s">
        <v>107</v>
      </c>
      <c r="E371" s="280"/>
      <c r="F371" s="281"/>
      <c r="G371" s="334">
        <f t="shared" si="459"/>
        <v>0</v>
      </c>
      <c r="H371" s="282"/>
      <c r="I371" s="282"/>
      <c r="J371" s="353" t="str">
        <f>IFERROR(G371/#REF!,"-")</f>
        <v>-</v>
      </c>
      <c r="K371" s="334">
        <f t="shared" si="460"/>
        <v>0</v>
      </c>
      <c r="L371" s="272">
        <f t="shared" si="461"/>
        <v>0</v>
      </c>
      <c r="M371" s="273">
        <f t="shared" si="462"/>
        <v>0</v>
      </c>
      <c r="N371" s="338" t="str">
        <f t="shared" si="463"/>
        <v>-</v>
      </c>
      <c r="O371" s="347" t="str">
        <f t="shared" si="449"/>
        <v>-</v>
      </c>
    </row>
    <row r="372" spans="1:15" ht="23.25" thickBot="1" x14ac:dyDescent="0.3">
      <c r="A372" s="274" t="s">
        <v>103</v>
      </c>
      <c r="B372" s="946" t="s">
        <v>29</v>
      </c>
      <c r="C372" s="947"/>
      <c r="D372" s="948"/>
      <c r="E372" s="320">
        <f t="shared" ref="E372" si="464">SUM(E365:E371)</f>
        <v>0</v>
      </c>
      <c r="F372" s="285">
        <v>80000</v>
      </c>
      <c r="G372" s="320">
        <f>SUM(G365:G371)</f>
        <v>0</v>
      </c>
      <c r="H372" s="321">
        <f t="shared" ref="H372:I372" si="465">SUM(H365:H371)</f>
        <v>0</v>
      </c>
      <c r="I372" s="321">
        <f t="shared" si="465"/>
        <v>0</v>
      </c>
      <c r="J372" s="345">
        <f>+G372/F372</f>
        <v>0</v>
      </c>
      <c r="K372" s="320">
        <f t="shared" ref="K372" si="466">SUM(K365:K371)</f>
        <v>0</v>
      </c>
      <c r="L372" s="321">
        <f>SUM(L365:L371)</f>
        <v>0</v>
      </c>
      <c r="M372" s="322">
        <f t="shared" ref="M372" si="467">SUM(M365:M371)</f>
        <v>0</v>
      </c>
      <c r="N372" s="339" t="str">
        <f t="shared" si="463"/>
        <v>-</v>
      </c>
      <c r="O372" s="345" t="str">
        <f t="shared" si="449"/>
        <v>-</v>
      </c>
    </row>
    <row r="373" spans="1:15" ht="24.75" thickBot="1" x14ac:dyDescent="0.3">
      <c r="A373" s="252" t="s">
        <v>103</v>
      </c>
      <c r="B373" s="1004" t="s">
        <v>19</v>
      </c>
      <c r="C373" s="641" t="s">
        <v>235</v>
      </c>
      <c r="D373" s="669" t="s">
        <v>177</v>
      </c>
      <c r="E373" s="674"/>
      <c r="F373" s="671">
        <v>220000</v>
      </c>
      <c r="G373" s="644">
        <f t="shared" ref="G373:G375" si="468">+H373+I373</f>
        <v>0</v>
      </c>
      <c r="H373" s="458"/>
      <c r="I373" s="458"/>
      <c r="J373" s="531" t="str">
        <f>IFERROR(G373/#REF!,"-")</f>
        <v>-</v>
      </c>
      <c r="K373" s="457">
        <f>+L373+M373</f>
        <v>0</v>
      </c>
      <c r="L373" s="458">
        <f t="shared" ref="L373:L375" si="469">+H373+L260</f>
        <v>0</v>
      </c>
      <c r="M373" s="459">
        <f t="shared" ref="M373:M375" si="470">+I373+M260</f>
        <v>0</v>
      </c>
      <c r="N373" s="646" t="str">
        <f>IFERROR(K373/E373,"-")</f>
        <v>-</v>
      </c>
      <c r="O373" s="647" t="str">
        <f t="shared" si="449"/>
        <v>-</v>
      </c>
    </row>
    <row r="374" spans="1:15" ht="24.75" thickBot="1" x14ac:dyDescent="0.3">
      <c r="A374" s="252"/>
      <c r="B374" s="1005"/>
      <c r="C374" s="296" t="s">
        <v>377</v>
      </c>
      <c r="D374" s="645" t="s">
        <v>423</v>
      </c>
      <c r="E374" s="675">
        <v>1000000</v>
      </c>
      <c r="F374" s="672"/>
      <c r="G374" s="640">
        <f t="shared" si="468"/>
        <v>169298</v>
      </c>
      <c r="H374" s="272">
        <v>168960</v>
      </c>
      <c r="I374" s="272">
        <v>338</v>
      </c>
      <c r="J374" s="351" t="str">
        <f>IFERROR(G374/#REF!,"-")</f>
        <v>-</v>
      </c>
      <c r="K374" s="335">
        <f>+L374+M374</f>
        <v>576188</v>
      </c>
      <c r="L374" s="458">
        <f t="shared" si="469"/>
        <v>574464</v>
      </c>
      <c r="M374" s="459">
        <f t="shared" si="470"/>
        <v>1724</v>
      </c>
      <c r="N374" s="340">
        <f t="shared" ref="N374:N375" si="471">IFERROR(K374/E374,"-")</f>
        <v>0.57618800000000003</v>
      </c>
      <c r="O374" s="639">
        <f>IFERROR(M374/K374,"-")</f>
        <v>2.9920789742236909E-3</v>
      </c>
    </row>
    <row r="375" spans="1:15" ht="24.75" thickBot="1" x14ac:dyDescent="0.3">
      <c r="A375" s="252"/>
      <c r="B375" s="1006"/>
      <c r="C375" s="635" t="s">
        <v>342</v>
      </c>
      <c r="D375" s="670"/>
      <c r="E375" s="676">
        <v>150000</v>
      </c>
      <c r="F375" s="673"/>
      <c r="G375" s="589">
        <f t="shared" si="468"/>
        <v>0</v>
      </c>
      <c r="H375" s="282"/>
      <c r="I375" s="282"/>
      <c r="J375" s="353"/>
      <c r="K375" s="460">
        <f>+L375+M375</f>
        <v>0</v>
      </c>
      <c r="L375" s="458">
        <f t="shared" si="469"/>
        <v>0</v>
      </c>
      <c r="M375" s="459">
        <f t="shared" si="470"/>
        <v>0</v>
      </c>
      <c r="N375" s="338">
        <f t="shared" si="471"/>
        <v>0</v>
      </c>
      <c r="O375" s="636" t="str">
        <f t="shared" ref="O375:O393" si="472">IFERROR(M375/K375,"-")</f>
        <v>-</v>
      </c>
    </row>
    <row r="376" spans="1:15" ht="23.25" thickBot="1" x14ac:dyDescent="0.3">
      <c r="A376" s="274" t="s">
        <v>103</v>
      </c>
      <c r="B376" s="975" t="s">
        <v>46</v>
      </c>
      <c r="C376" s="947"/>
      <c r="D376" s="948"/>
      <c r="E376" s="320">
        <f>SUM(E373:E375)</f>
        <v>1150000</v>
      </c>
      <c r="F376" s="323">
        <f t="shared" ref="F376" si="473">SUM(F373)</f>
        <v>220000</v>
      </c>
      <c r="G376" s="320">
        <f>SUM(G373)</f>
        <v>0</v>
      </c>
      <c r="H376" s="321">
        <f>SUM(H373:H375)</f>
        <v>168960</v>
      </c>
      <c r="I376" s="321">
        <f>SUM(I373:I375)</f>
        <v>338</v>
      </c>
      <c r="J376" s="345">
        <f>+G376/F376</f>
        <v>0</v>
      </c>
      <c r="K376" s="637">
        <f>SUM(K373:K374)</f>
        <v>576188</v>
      </c>
      <c r="L376" s="321">
        <f>SUM(L373:L374)</f>
        <v>574464</v>
      </c>
      <c r="M376" s="322">
        <f>SUM(M373:M374)</f>
        <v>1724</v>
      </c>
      <c r="N376" s="339">
        <f>IFERROR(K376/E376,"-")</f>
        <v>0.50103304347826083</v>
      </c>
      <c r="O376" s="345">
        <f t="shared" si="472"/>
        <v>2.9920789742236909E-3</v>
      </c>
    </row>
    <row r="377" spans="1:15" ht="24" x14ac:dyDescent="0.25">
      <c r="A377" s="274" t="s">
        <v>103</v>
      </c>
      <c r="B377" s="965" t="s">
        <v>20</v>
      </c>
      <c r="C377" s="291" t="s">
        <v>317</v>
      </c>
      <c r="D377" s="291" t="s">
        <v>289</v>
      </c>
      <c r="E377" s="270"/>
      <c r="F377" s="271"/>
      <c r="G377" s="332">
        <f t="shared" ref="G377:G379" si="474">+H377+I377</f>
        <v>0</v>
      </c>
      <c r="H377" s="272"/>
      <c r="I377" s="272"/>
      <c r="J377" s="351" t="str">
        <f>IFERROR(G377/#REF!,"-")</f>
        <v>-</v>
      </c>
      <c r="K377" s="332">
        <f t="shared" ref="K377:K379" si="475">+L377+M377</f>
        <v>0</v>
      </c>
      <c r="L377" s="272">
        <f t="shared" ref="L377:L379" si="476">+H377+L264</f>
        <v>0</v>
      </c>
      <c r="M377" s="273">
        <f t="shared" ref="M377:M379" si="477">+I377+M264</f>
        <v>0</v>
      </c>
      <c r="N377" s="336" t="str">
        <f t="shared" ref="N377:N380" si="478">IFERROR(K377/E377,"-")</f>
        <v>-</v>
      </c>
      <c r="O377" s="346" t="str">
        <f t="shared" si="472"/>
        <v>-</v>
      </c>
    </row>
    <row r="378" spans="1:15" ht="24" x14ac:dyDescent="0.25">
      <c r="A378" s="274" t="s">
        <v>103</v>
      </c>
      <c r="B378" s="966"/>
      <c r="C378" s="292" t="s">
        <v>114</v>
      </c>
      <c r="D378" s="292"/>
      <c r="E378" s="276"/>
      <c r="F378" s="277"/>
      <c r="G378" s="333">
        <f t="shared" si="474"/>
        <v>0</v>
      </c>
      <c r="H378" s="278"/>
      <c r="I378" s="278"/>
      <c r="J378" s="352" t="str">
        <f>IFERROR(G378/#REF!,"-")</f>
        <v>-</v>
      </c>
      <c r="K378" s="333">
        <f t="shared" si="475"/>
        <v>0</v>
      </c>
      <c r="L378" s="272">
        <f t="shared" si="476"/>
        <v>0</v>
      </c>
      <c r="M378" s="273">
        <f t="shared" si="477"/>
        <v>0</v>
      </c>
      <c r="N378" s="337" t="str">
        <f t="shared" si="478"/>
        <v>-</v>
      </c>
      <c r="O378" s="263" t="str">
        <f t="shared" si="472"/>
        <v>-</v>
      </c>
    </row>
    <row r="379" spans="1:15" ht="24.75" thickBot="1" x14ac:dyDescent="0.3">
      <c r="A379" s="274" t="s">
        <v>103</v>
      </c>
      <c r="B379" s="967"/>
      <c r="C379" s="293" t="s">
        <v>120</v>
      </c>
      <c r="D379" s="293"/>
      <c r="E379" s="280"/>
      <c r="F379" s="281"/>
      <c r="G379" s="334">
        <f t="shared" si="474"/>
        <v>0</v>
      </c>
      <c r="H379" s="282"/>
      <c r="I379" s="282"/>
      <c r="J379" s="353" t="str">
        <f>IFERROR(G379/#REF!,"-")</f>
        <v>-</v>
      </c>
      <c r="K379" s="334">
        <f t="shared" si="475"/>
        <v>0</v>
      </c>
      <c r="L379" s="272">
        <f t="shared" si="476"/>
        <v>0</v>
      </c>
      <c r="M379" s="273">
        <f t="shared" si="477"/>
        <v>0</v>
      </c>
      <c r="N379" s="338" t="str">
        <f t="shared" si="478"/>
        <v>-</v>
      </c>
      <c r="O379" s="347" t="str">
        <f t="shared" si="472"/>
        <v>-</v>
      </c>
    </row>
    <row r="380" spans="1:15" ht="23.25" thickBot="1" x14ac:dyDescent="0.3">
      <c r="A380" s="274" t="s">
        <v>103</v>
      </c>
      <c r="B380" s="947" t="s">
        <v>47</v>
      </c>
      <c r="C380" s="947"/>
      <c r="D380" s="964"/>
      <c r="E380" s="320">
        <f t="shared" ref="E380" si="479">SUM(E377:E379)</f>
        <v>0</v>
      </c>
      <c r="F380" s="285">
        <v>50000</v>
      </c>
      <c r="G380" s="320">
        <f>SUM(G377:G379)</f>
        <v>0</v>
      </c>
      <c r="H380" s="321">
        <f t="shared" ref="H380:I380" si="480">SUM(H377:H379)</f>
        <v>0</v>
      </c>
      <c r="I380" s="321">
        <f t="shared" si="480"/>
        <v>0</v>
      </c>
      <c r="J380" s="345">
        <f>+G380/F380</f>
        <v>0</v>
      </c>
      <c r="K380" s="320">
        <f t="shared" ref="K380:M380" si="481">SUM(K377:K379)</f>
        <v>0</v>
      </c>
      <c r="L380" s="321">
        <f t="shared" si="481"/>
        <v>0</v>
      </c>
      <c r="M380" s="322">
        <f t="shared" si="481"/>
        <v>0</v>
      </c>
      <c r="N380" s="339" t="str">
        <f t="shared" si="478"/>
        <v>-</v>
      </c>
      <c r="O380" s="345" t="str">
        <f t="shared" si="472"/>
        <v>-</v>
      </c>
    </row>
    <row r="381" spans="1:15" ht="23.25" thickBot="1" x14ac:dyDescent="0.3">
      <c r="A381" s="274" t="s">
        <v>103</v>
      </c>
      <c r="B381" s="960" t="s">
        <v>21</v>
      </c>
      <c r="C381" s="961"/>
      <c r="D381" s="962"/>
      <c r="E381" s="326">
        <f>+E356+E364+E372+E376+E380</f>
        <v>3770000</v>
      </c>
      <c r="F381" s="327">
        <f>+F356+F364+F372+F376+F380</f>
        <v>465000</v>
      </c>
      <c r="G381" s="326">
        <f>+G356+G364+G372+G376+G380</f>
        <v>128936</v>
      </c>
      <c r="H381" s="324">
        <f>+H356+H364+H372+H376+H380</f>
        <v>297340</v>
      </c>
      <c r="I381" s="324">
        <f>+I356+I364+I372+I376+I380</f>
        <v>894</v>
      </c>
      <c r="J381" s="349">
        <f>+G381/F381</f>
        <v>0.27728172043010751</v>
      </c>
      <c r="K381" s="326">
        <f>+K356+K364+K372+K376+K380</f>
        <v>837850</v>
      </c>
      <c r="L381" s="324">
        <f>+L356+L364+L372+L376+L380</f>
        <v>834884</v>
      </c>
      <c r="M381" s="325">
        <f>+M356+M364+M372+M376+M380</f>
        <v>2966</v>
      </c>
      <c r="N381" s="341">
        <f>IFERROR(K381/E381,"-")</f>
        <v>0.22224137931034482</v>
      </c>
      <c r="O381" s="349">
        <f t="shared" si="472"/>
        <v>3.5400131288416781E-3</v>
      </c>
    </row>
    <row r="382" spans="1:15" ht="24" x14ac:dyDescent="0.25">
      <c r="A382" s="274" t="s">
        <v>103</v>
      </c>
      <c r="B382" s="965" t="s">
        <v>400</v>
      </c>
      <c r="C382" s="269" t="s">
        <v>125</v>
      </c>
      <c r="D382" s="269"/>
      <c r="E382" s="270"/>
      <c r="F382" s="271"/>
      <c r="G382" s="332">
        <f t="shared" ref="G382:G385" si="482">+H382+I382</f>
        <v>0</v>
      </c>
      <c r="H382" s="272"/>
      <c r="I382" s="272"/>
      <c r="J382" s="351" t="str">
        <f>IFERROR(G382/#REF!,"-")</f>
        <v>-</v>
      </c>
      <c r="K382" s="332">
        <f t="shared" ref="K382:K385" si="483">+L382+M382</f>
        <v>0</v>
      </c>
      <c r="L382" s="272">
        <f t="shared" ref="L382:L385" si="484">+H382+L269</f>
        <v>0</v>
      </c>
      <c r="M382" s="273">
        <f t="shared" ref="M382:M385" si="485">+I382+M269</f>
        <v>0</v>
      </c>
      <c r="N382" s="336" t="str">
        <f t="shared" ref="N382:N393" si="486">IFERROR(K382/E382,"-")</f>
        <v>-</v>
      </c>
      <c r="O382" s="346" t="str">
        <f t="shared" si="472"/>
        <v>-</v>
      </c>
    </row>
    <row r="383" spans="1:15" ht="24" x14ac:dyDescent="0.25">
      <c r="A383" s="274" t="s">
        <v>103</v>
      </c>
      <c r="B383" s="966"/>
      <c r="C383" s="295" t="s">
        <v>263</v>
      </c>
      <c r="D383" s="295" t="s">
        <v>181</v>
      </c>
      <c r="E383" s="276"/>
      <c r="F383" s="277"/>
      <c r="G383" s="333">
        <f t="shared" si="482"/>
        <v>0</v>
      </c>
      <c r="H383" s="278"/>
      <c r="I383" s="278"/>
      <c r="J383" s="352" t="str">
        <f>IFERROR(G383/#REF!,"-")</f>
        <v>-</v>
      </c>
      <c r="K383" s="333">
        <f t="shared" si="483"/>
        <v>0</v>
      </c>
      <c r="L383" s="272">
        <f t="shared" si="484"/>
        <v>0</v>
      </c>
      <c r="M383" s="273">
        <f t="shared" si="485"/>
        <v>0</v>
      </c>
      <c r="N383" s="337" t="str">
        <f t="shared" si="486"/>
        <v>-</v>
      </c>
      <c r="O383" s="263" t="str">
        <f t="shared" si="472"/>
        <v>-</v>
      </c>
    </row>
    <row r="384" spans="1:15" ht="24" x14ac:dyDescent="0.25">
      <c r="A384" s="274" t="s">
        <v>103</v>
      </c>
      <c r="B384" s="966"/>
      <c r="C384" s="295" t="s">
        <v>362</v>
      </c>
      <c r="D384" s="295" t="s">
        <v>181</v>
      </c>
      <c r="E384" s="276"/>
      <c r="F384" s="277"/>
      <c r="G384" s="333">
        <f t="shared" si="482"/>
        <v>0</v>
      </c>
      <c r="H384" s="278"/>
      <c r="I384" s="278"/>
      <c r="J384" s="352" t="str">
        <f>IFERROR(G384/#REF!,"-")</f>
        <v>-</v>
      </c>
      <c r="K384" s="333">
        <f t="shared" si="483"/>
        <v>0</v>
      </c>
      <c r="L384" s="272">
        <f t="shared" si="484"/>
        <v>0</v>
      </c>
      <c r="M384" s="273">
        <f t="shared" si="485"/>
        <v>0</v>
      </c>
      <c r="N384" s="337" t="str">
        <f t="shared" si="486"/>
        <v>-</v>
      </c>
      <c r="O384" s="263" t="str">
        <f t="shared" si="472"/>
        <v>-</v>
      </c>
    </row>
    <row r="385" spans="1:15" ht="24.75" thickBot="1" x14ac:dyDescent="0.3">
      <c r="A385" s="274" t="s">
        <v>103</v>
      </c>
      <c r="B385" s="967"/>
      <c r="C385" s="279" t="s">
        <v>182</v>
      </c>
      <c r="D385" s="279" t="s">
        <v>93</v>
      </c>
      <c r="E385" s="280"/>
      <c r="F385" s="281"/>
      <c r="G385" s="334">
        <f t="shared" si="482"/>
        <v>0</v>
      </c>
      <c r="H385" s="282"/>
      <c r="I385" s="282"/>
      <c r="J385" s="353" t="str">
        <f>IFERROR(G385/#REF!,"-")</f>
        <v>-</v>
      </c>
      <c r="K385" s="334">
        <f t="shared" si="483"/>
        <v>0</v>
      </c>
      <c r="L385" s="272">
        <f t="shared" si="484"/>
        <v>0</v>
      </c>
      <c r="M385" s="273">
        <f t="shared" si="485"/>
        <v>0</v>
      </c>
      <c r="N385" s="338" t="str">
        <f t="shared" si="486"/>
        <v>-</v>
      </c>
      <c r="O385" s="347" t="str">
        <f t="shared" si="472"/>
        <v>-</v>
      </c>
    </row>
    <row r="386" spans="1:15" ht="23.25" thickBot="1" x14ac:dyDescent="0.3">
      <c r="A386" s="274" t="s">
        <v>103</v>
      </c>
      <c r="B386" s="946" t="s">
        <v>48</v>
      </c>
      <c r="C386" s="947"/>
      <c r="D386" s="948"/>
      <c r="E386" s="284">
        <f>SUM(E382:E385)</f>
        <v>0</v>
      </c>
      <c r="F386" s="285">
        <v>80000</v>
      </c>
      <c r="G386" s="320">
        <f>SUM(G382:G385)</f>
        <v>0</v>
      </c>
      <c r="H386" s="321">
        <f t="shared" ref="H386:I386" si="487">SUM(H382:H385)</f>
        <v>0</v>
      </c>
      <c r="I386" s="321">
        <f t="shared" si="487"/>
        <v>0</v>
      </c>
      <c r="J386" s="345">
        <f>+G386/F386</f>
        <v>0</v>
      </c>
      <c r="K386" s="320">
        <f t="shared" ref="K386" si="488">SUM(K382:K385)</f>
        <v>0</v>
      </c>
      <c r="L386" s="321">
        <f>SUM(L382:L385)</f>
        <v>0</v>
      </c>
      <c r="M386" s="322">
        <f t="shared" ref="M386" si="489">SUM(M382:M385)</f>
        <v>0</v>
      </c>
      <c r="N386" s="339" t="str">
        <f t="shared" si="486"/>
        <v>-</v>
      </c>
      <c r="O386" s="345" t="str">
        <f t="shared" si="472"/>
        <v>-</v>
      </c>
    </row>
    <row r="387" spans="1:15" ht="24" x14ac:dyDescent="0.25">
      <c r="A387" s="274" t="s">
        <v>103</v>
      </c>
      <c r="B387" s="965" t="s">
        <v>23</v>
      </c>
      <c r="C387" s="275" t="s">
        <v>500</v>
      </c>
      <c r="D387" s="296" t="s">
        <v>238</v>
      </c>
      <c r="E387" s="270">
        <v>10000</v>
      </c>
      <c r="F387" s="271"/>
      <c r="G387" s="332">
        <f t="shared" ref="G387:G395" si="490">+H387+I387</f>
        <v>0</v>
      </c>
      <c r="H387" s="272"/>
      <c r="I387" s="272"/>
      <c r="J387" s="351" t="str">
        <f>IFERROR(G387/#REF!,"-")</f>
        <v>-</v>
      </c>
      <c r="K387" s="332">
        <f t="shared" ref="K387:K395" si="491">+L387+M387</f>
        <v>0</v>
      </c>
      <c r="L387" s="272">
        <f t="shared" ref="L387:L395" si="492">+H387+L274</f>
        <v>0</v>
      </c>
      <c r="M387" s="273">
        <f t="shared" ref="M387:M395" si="493">+I387+M274</f>
        <v>0</v>
      </c>
      <c r="N387" s="336">
        <f t="shared" si="486"/>
        <v>0</v>
      </c>
      <c r="O387" s="346" t="str">
        <f t="shared" si="472"/>
        <v>-</v>
      </c>
    </row>
    <row r="388" spans="1:15" ht="24" x14ac:dyDescent="0.25">
      <c r="A388" s="274" t="s">
        <v>103</v>
      </c>
      <c r="B388" s="966"/>
      <c r="C388" s="275" t="s">
        <v>24</v>
      </c>
      <c r="D388" s="275" t="s">
        <v>238</v>
      </c>
      <c r="E388" s="276"/>
      <c r="F388" s="277"/>
      <c r="G388" s="333">
        <f t="shared" si="490"/>
        <v>0</v>
      </c>
      <c r="H388" s="278"/>
      <c r="I388" s="278"/>
      <c r="J388" s="352" t="str">
        <f>IFERROR(G388/#REF!,"-")</f>
        <v>-</v>
      </c>
      <c r="K388" s="333">
        <f t="shared" si="491"/>
        <v>0</v>
      </c>
      <c r="L388" s="272">
        <f t="shared" si="492"/>
        <v>0</v>
      </c>
      <c r="M388" s="273">
        <f t="shared" si="493"/>
        <v>0</v>
      </c>
      <c r="N388" s="337" t="str">
        <f t="shared" si="486"/>
        <v>-</v>
      </c>
      <c r="O388" s="263" t="str">
        <f t="shared" si="472"/>
        <v>-</v>
      </c>
    </row>
    <row r="389" spans="1:15" ht="24" x14ac:dyDescent="0.25">
      <c r="A389" s="274" t="s">
        <v>103</v>
      </c>
      <c r="B389" s="966"/>
      <c r="C389" s="275" t="s">
        <v>236</v>
      </c>
      <c r="D389" s="275" t="s">
        <v>238</v>
      </c>
      <c r="E389" s="276"/>
      <c r="F389" s="277"/>
      <c r="G389" s="333">
        <f t="shared" si="490"/>
        <v>0</v>
      </c>
      <c r="H389" s="278"/>
      <c r="I389" s="278"/>
      <c r="J389" s="352" t="str">
        <f>IFERROR(G389/#REF!,"-")</f>
        <v>-</v>
      </c>
      <c r="K389" s="333">
        <f t="shared" si="491"/>
        <v>0</v>
      </c>
      <c r="L389" s="272">
        <f t="shared" si="492"/>
        <v>0</v>
      </c>
      <c r="M389" s="273">
        <f t="shared" si="493"/>
        <v>0</v>
      </c>
      <c r="N389" s="337" t="str">
        <f t="shared" si="486"/>
        <v>-</v>
      </c>
      <c r="O389" s="263" t="str">
        <f t="shared" si="472"/>
        <v>-</v>
      </c>
    </row>
    <row r="390" spans="1:15" ht="24" x14ac:dyDescent="0.25">
      <c r="A390" s="274" t="s">
        <v>103</v>
      </c>
      <c r="B390" s="966"/>
      <c r="C390" s="275" t="s">
        <v>237</v>
      </c>
      <c r="D390" s="275" t="s">
        <v>238</v>
      </c>
      <c r="E390" s="276"/>
      <c r="F390" s="277"/>
      <c r="G390" s="333">
        <f t="shared" si="490"/>
        <v>0</v>
      </c>
      <c r="H390" s="278"/>
      <c r="I390" s="278"/>
      <c r="J390" s="352" t="str">
        <f>IFERROR(G390/#REF!,"-")</f>
        <v>-</v>
      </c>
      <c r="K390" s="333">
        <f t="shared" si="491"/>
        <v>0</v>
      </c>
      <c r="L390" s="272">
        <f t="shared" si="492"/>
        <v>0</v>
      </c>
      <c r="M390" s="273">
        <f t="shared" si="493"/>
        <v>0</v>
      </c>
      <c r="N390" s="337" t="str">
        <f t="shared" si="486"/>
        <v>-</v>
      </c>
      <c r="O390" s="263" t="str">
        <f t="shared" si="472"/>
        <v>-</v>
      </c>
    </row>
    <row r="391" spans="1:15" ht="24" x14ac:dyDescent="0.25">
      <c r="A391" s="274" t="s">
        <v>103</v>
      </c>
      <c r="B391" s="966"/>
      <c r="C391" s="295" t="s">
        <v>394</v>
      </c>
      <c r="D391" s="275" t="s">
        <v>238</v>
      </c>
      <c r="E391" s="276"/>
      <c r="F391" s="277"/>
      <c r="G391" s="333">
        <f t="shared" si="490"/>
        <v>0</v>
      </c>
      <c r="H391" s="278"/>
      <c r="I391" s="278"/>
      <c r="J391" s="352" t="str">
        <f>IFERROR(G391/#REF!,"-")</f>
        <v>-</v>
      </c>
      <c r="K391" s="333">
        <f t="shared" si="491"/>
        <v>0</v>
      </c>
      <c r="L391" s="272">
        <f t="shared" si="492"/>
        <v>0</v>
      </c>
      <c r="M391" s="273">
        <f t="shared" si="493"/>
        <v>0</v>
      </c>
      <c r="N391" s="337" t="str">
        <f t="shared" si="486"/>
        <v>-</v>
      </c>
      <c r="O391" s="263" t="str">
        <f t="shared" si="472"/>
        <v>-</v>
      </c>
    </row>
    <row r="392" spans="1:15" ht="24" x14ac:dyDescent="0.25">
      <c r="A392" s="274" t="s">
        <v>103</v>
      </c>
      <c r="B392" s="966"/>
      <c r="C392" s="295" t="s">
        <v>422</v>
      </c>
      <c r="D392" s="275" t="s">
        <v>238</v>
      </c>
      <c r="E392" s="276"/>
      <c r="F392" s="277"/>
      <c r="G392" s="333">
        <f t="shared" si="490"/>
        <v>0</v>
      </c>
      <c r="H392" s="278"/>
      <c r="I392" s="278"/>
      <c r="J392" s="352" t="str">
        <f>IFERROR(G392/#REF!,"-")</f>
        <v>-</v>
      </c>
      <c r="K392" s="333">
        <f t="shared" si="491"/>
        <v>0</v>
      </c>
      <c r="L392" s="272">
        <f t="shared" si="492"/>
        <v>0</v>
      </c>
      <c r="M392" s="273">
        <f t="shared" si="493"/>
        <v>0</v>
      </c>
      <c r="N392" s="337" t="str">
        <f t="shared" si="486"/>
        <v>-</v>
      </c>
      <c r="O392" s="263" t="str">
        <f t="shared" si="472"/>
        <v>-</v>
      </c>
    </row>
    <row r="393" spans="1:15" ht="24" x14ac:dyDescent="0.25">
      <c r="A393" s="274" t="s">
        <v>103</v>
      </c>
      <c r="B393" s="966"/>
      <c r="C393" s="295" t="s">
        <v>241</v>
      </c>
      <c r="D393" s="275" t="s">
        <v>243</v>
      </c>
      <c r="E393" s="276"/>
      <c r="F393" s="277"/>
      <c r="G393" s="333">
        <f t="shared" si="490"/>
        <v>0</v>
      </c>
      <c r="H393" s="278"/>
      <c r="I393" s="278"/>
      <c r="J393" s="352" t="str">
        <f>IFERROR(G393/#REF!,"-")</f>
        <v>-</v>
      </c>
      <c r="K393" s="333">
        <f t="shared" si="491"/>
        <v>0</v>
      </c>
      <c r="L393" s="272">
        <f t="shared" si="492"/>
        <v>0</v>
      </c>
      <c r="M393" s="273">
        <f t="shared" si="493"/>
        <v>0</v>
      </c>
      <c r="N393" s="337" t="str">
        <f t="shared" si="486"/>
        <v>-</v>
      </c>
      <c r="O393" s="263" t="str">
        <f t="shared" si="472"/>
        <v>-</v>
      </c>
    </row>
    <row r="394" spans="1:15" ht="24" x14ac:dyDescent="0.25">
      <c r="A394" s="274"/>
      <c r="B394" s="967"/>
      <c r="C394" s="295" t="s">
        <v>456</v>
      </c>
      <c r="D394" s="275" t="s">
        <v>238</v>
      </c>
      <c r="E394" s="280"/>
      <c r="F394" s="281"/>
      <c r="G394" s="333">
        <f t="shared" si="490"/>
        <v>0</v>
      </c>
      <c r="H394" s="282"/>
      <c r="I394" s="282"/>
      <c r="J394" s="352" t="str">
        <f>IFERROR(G394/#REF!,"-")</f>
        <v>-</v>
      </c>
      <c r="K394" s="333">
        <f t="shared" si="491"/>
        <v>0</v>
      </c>
      <c r="L394" s="272">
        <f t="shared" si="492"/>
        <v>0</v>
      </c>
      <c r="M394" s="273">
        <f t="shared" si="493"/>
        <v>0</v>
      </c>
      <c r="N394" s="338"/>
      <c r="O394" s="347"/>
    </row>
    <row r="395" spans="1:15" ht="24.75" thickBot="1" x14ac:dyDescent="0.3">
      <c r="A395" s="274" t="s">
        <v>103</v>
      </c>
      <c r="B395" s="967"/>
      <c r="C395" s="295" t="s">
        <v>242</v>
      </c>
      <c r="D395" s="275" t="s">
        <v>238</v>
      </c>
      <c r="E395" s="280"/>
      <c r="F395" s="281"/>
      <c r="G395" s="334">
        <f t="shared" si="490"/>
        <v>0</v>
      </c>
      <c r="H395" s="282"/>
      <c r="I395" s="282"/>
      <c r="J395" s="353" t="str">
        <f>IFERROR(G395/#REF!,"-")</f>
        <v>-</v>
      </c>
      <c r="K395" s="334">
        <f t="shared" si="491"/>
        <v>0</v>
      </c>
      <c r="L395" s="272">
        <f t="shared" si="492"/>
        <v>0</v>
      </c>
      <c r="M395" s="273">
        <f t="shared" si="493"/>
        <v>0</v>
      </c>
      <c r="N395" s="338" t="str">
        <f t="shared" ref="N395:N397" si="494">IFERROR(K395/E395,"-")</f>
        <v>-</v>
      </c>
      <c r="O395" s="347" t="str">
        <f t="shared" ref="O395:O412" si="495">IFERROR(M395/K395,"-")</f>
        <v>-</v>
      </c>
    </row>
    <row r="396" spans="1:15" ht="23.25" thickBot="1" x14ac:dyDescent="0.3">
      <c r="A396" s="274" t="s">
        <v>103</v>
      </c>
      <c r="B396" s="946" t="s">
        <v>49</v>
      </c>
      <c r="C396" s="947"/>
      <c r="D396" s="948"/>
      <c r="E396" s="284">
        <f>SUM(E387:E395)</f>
        <v>10000</v>
      </c>
      <c r="F396" s="285">
        <v>14000</v>
      </c>
      <c r="G396" s="320">
        <f>SUM(G387:G395)</f>
        <v>0</v>
      </c>
      <c r="H396" s="321">
        <f t="shared" ref="H396:I396" si="496">SUM(H387:H395)</f>
        <v>0</v>
      </c>
      <c r="I396" s="321">
        <f t="shared" si="496"/>
        <v>0</v>
      </c>
      <c r="J396" s="345">
        <f>+G397/F397</f>
        <v>0</v>
      </c>
      <c r="K396" s="320">
        <f>SUM(K387:K395)</f>
        <v>0</v>
      </c>
      <c r="L396" s="321">
        <f>+H396</f>
        <v>0</v>
      </c>
      <c r="M396" s="322">
        <f>+I396</f>
        <v>0</v>
      </c>
      <c r="N396" s="339">
        <f t="shared" si="494"/>
        <v>0</v>
      </c>
      <c r="O396" s="345" t="str">
        <f t="shared" si="495"/>
        <v>-</v>
      </c>
    </row>
    <row r="397" spans="1:15" ht="23.25" thickBot="1" x14ac:dyDescent="0.3">
      <c r="A397" s="274" t="s">
        <v>103</v>
      </c>
      <c r="B397" s="960" t="s">
        <v>25</v>
      </c>
      <c r="C397" s="961"/>
      <c r="D397" s="962"/>
      <c r="E397" s="326">
        <f t="shared" ref="E397:F397" si="497">+E386+E396</f>
        <v>10000</v>
      </c>
      <c r="F397" s="327">
        <f t="shared" si="497"/>
        <v>94000</v>
      </c>
      <c r="G397" s="326">
        <f>+G386+G396</f>
        <v>0</v>
      </c>
      <c r="H397" s="324">
        <f t="shared" ref="H397:I397" si="498">+H386+H396</f>
        <v>0</v>
      </c>
      <c r="I397" s="324">
        <f t="shared" si="498"/>
        <v>0</v>
      </c>
      <c r="J397" s="349" t="str">
        <f>IFERROR(G397/#REF!,"-")</f>
        <v>-</v>
      </c>
      <c r="K397" s="326">
        <f t="shared" ref="K397" si="499">+K386+K396</f>
        <v>0</v>
      </c>
      <c r="L397" s="324">
        <f>+L386+L396</f>
        <v>0</v>
      </c>
      <c r="M397" s="325">
        <f t="shared" ref="M397" si="500">+M386+M396</f>
        <v>0</v>
      </c>
      <c r="N397" s="341">
        <f t="shared" si="494"/>
        <v>0</v>
      </c>
      <c r="O397" s="349" t="str">
        <f t="shared" si="495"/>
        <v>-</v>
      </c>
    </row>
    <row r="398" spans="1:15" ht="23.25" thickBot="1" x14ac:dyDescent="0.3">
      <c r="A398" s="274" t="s">
        <v>103</v>
      </c>
      <c r="B398" s="963" t="s">
        <v>172</v>
      </c>
      <c r="C398" s="941"/>
      <c r="D398" s="942"/>
      <c r="E398" s="330">
        <f>+E381+E397</f>
        <v>3780000</v>
      </c>
      <c r="F398" s="331">
        <f t="shared" ref="F398:I398" si="501">+F381+F397</f>
        <v>559000</v>
      </c>
      <c r="G398" s="330">
        <f t="shared" si="501"/>
        <v>128936</v>
      </c>
      <c r="H398" s="328">
        <f t="shared" si="501"/>
        <v>297340</v>
      </c>
      <c r="I398" s="328">
        <f t="shared" si="501"/>
        <v>894</v>
      </c>
      <c r="J398" s="350">
        <f>+G398/F398</f>
        <v>0.23065474060822899</v>
      </c>
      <c r="K398" s="330">
        <f>+K381+K397</f>
        <v>837850</v>
      </c>
      <c r="L398" s="328">
        <f t="shared" ref="L398:M398" si="502">+L381+L397</f>
        <v>834884</v>
      </c>
      <c r="M398" s="329">
        <f t="shared" si="502"/>
        <v>2966</v>
      </c>
      <c r="N398" s="342">
        <f>IFERROR(K398/E398,"-")</f>
        <v>0.22165343915343916</v>
      </c>
      <c r="O398" s="350">
        <f t="shared" si="495"/>
        <v>3.5400131288416781E-3</v>
      </c>
    </row>
    <row r="399" spans="1:15" ht="24" x14ac:dyDescent="0.25">
      <c r="A399" s="268" t="s">
        <v>101</v>
      </c>
      <c r="B399" s="956" t="s">
        <v>26</v>
      </c>
      <c r="C399" s="297" t="s">
        <v>297</v>
      </c>
      <c r="D399" s="297" t="s">
        <v>177</v>
      </c>
      <c r="E399" s="270"/>
      <c r="F399" s="271"/>
      <c r="G399" s="332">
        <f t="shared" ref="G399:G408" si="503">+H399+I399</f>
        <v>0</v>
      </c>
      <c r="H399" s="272"/>
      <c r="I399" s="272"/>
      <c r="J399" s="351" t="str">
        <f>IFERROR(G399/#REF!,"-")</f>
        <v>-</v>
      </c>
      <c r="K399" s="332">
        <f t="shared" ref="K399:K408" si="504">+L399+M399</f>
        <v>0</v>
      </c>
      <c r="L399" s="272">
        <f t="shared" ref="L399:L408" si="505">+H399+L286</f>
        <v>0</v>
      </c>
      <c r="M399" s="273">
        <f t="shared" ref="M399:M408" si="506">+I399+M286</f>
        <v>0</v>
      </c>
      <c r="N399" s="336" t="str">
        <f t="shared" ref="N399:N408" si="507">IFERROR(K399/E399,"-")</f>
        <v>-</v>
      </c>
      <c r="O399" s="346" t="str">
        <f t="shared" si="495"/>
        <v>-</v>
      </c>
    </row>
    <row r="400" spans="1:15" ht="24" x14ac:dyDescent="0.25">
      <c r="A400" s="274" t="s">
        <v>101</v>
      </c>
      <c r="B400" s="956"/>
      <c r="C400" s="298" t="s">
        <v>424</v>
      </c>
      <c r="D400" s="298" t="s">
        <v>423</v>
      </c>
      <c r="E400" s="276">
        <v>564432</v>
      </c>
      <c r="F400" s="277"/>
      <c r="G400" s="333">
        <f t="shared" si="503"/>
        <v>0</v>
      </c>
      <c r="H400" s="278"/>
      <c r="I400" s="278"/>
      <c r="J400" s="352" t="str">
        <f>IFERROR(G400/#REF!,"-")</f>
        <v>-</v>
      </c>
      <c r="K400" s="333">
        <f t="shared" si="504"/>
        <v>249062</v>
      </c>
      <c r="L400" s="272">
        <f t="shared" si="505"/>
        <v>246636</v>
      </c>
      <c r="M400" s="273">
        <f t="shared" si="506"/>
        <v>2426</v>
      </c>
      <c r="N400" s="337">
        <f t="shared" si="507"/>
        <v>0.44126130339881509</v>
      </c>
      <c r="O400" s="263">
        <f t="shared" si="495"/>
        <v>9.7405465305827471E-3</v>
      </c>
    </row>
    <row r="401" spans="1:15" ht="24" x14ac:dyDescent="0.25">
      <c r="A401" s="274" t="s">
        <v>101</v>
      </c>
      <c r="B401" s="956"/>
      <c r="C401" s="299" t="s">
        <v>27</v>
      </c>
      <c r="D401" s="299" t="s">
        <v>334</v>
      </c>
      <c r="E401" s="280">
        <v>1301232</v>
      </c>
      <c r="F401" s="281"/>
      <c r="G401" s="333">
        <f t="shared" si="503"/>
        <v>0</v>
      </c>
      <c r="H401" s="282"/>
      <c r="I401" s="282"/>
      <c r="J401" s="353" t="str">
        <f>IFERROR(G401/#REF!,"-")</f>
        <v>-</v>
      </c>
      <c r="K401" s="333">
        <f t="shared" si="504"/>
        <v>0</v>
      </c>
      <c r="L401" s="272">
        <f t="shared" si="505"/>
        <v>0</v>
      </c>
      <c r="M401" s="273">
        <f t="shared" si="506"/>
        <v>0</v>
      </c>
      <c r="N401" s="337">
        <f t="shared" si="507"/>
        <v>0</v>
      </c>
      <c r="O401" s="263" t="str">
        <f t="shared" si="495"/>
        <v>-</v>
      </c>
    </row>
    <row r="402" spans="1:15" ht="24" x14ac:dyDescent="0.25">
      <c r="A402" s="274" t="s">
        <v>101</v>
      </c>
      <c r="B402" s="956"/>
      <c r="C402" s="299" t="s">
        <v>27</v>
      </c>
      <c r="D402" s="297" t="s">
        <v>492</v>
      </c>
      <c r="E402" s="280"/>
      <c r="F402" s="281"/>
      <c r="G402" s="333">
        <f t="shared" si="503"/>
        <v>68588</v>
      </c>
      <c r="H402" s="282">
        <v>67626</v>
      </c>
      <c r="I402" s="282">
        <v>962</v>
      </c>
      <c r="J402" s="353" t="str">
        <f>IFERROR(G402/#REF!,"-")</f>
        <v>-</v>
      </c>
      <c r="K402" s="333">
        <f t="shared" si="504"/>
        <v>68588</v>
      </c>
      <c r="L402" s="272">
        <f t="shared" si="505"/>
        <v>67626</v>
      </c>
      <c r="M402" s="273">
        <f t="shared" si="506"/>
        <v>962</v>
      </c>
      <c r="N402" s="337" t="str">
        <f t="shared" si="507"/>
        <v>-</v>
      </c>
      <c r="O402" s="263">
        <f t="shared" si="495"/>
        <v>1.4025777103866566E-2</v>
      </c>
    </row>
    <row r="403" spans="1:15" ht="24" x14ac:dyDescent="0.25">
      <c r="A403" s="274" t="s">
        <v>101</v>
      </c>
      <c r="B403" s="956"/>
      <c r="C403" s="299" t="s">
        <v>27</v>
      </c>
      <c r="D403" s="299" t="s">
        <v>279</v>
      </c>
      <c r="E403" s="280"/>
      <c r="F403" s="281"/>
      <c r="G403" s="333">
        <f t="shared" si="503"/>
        <v>0</v>
      </c>
      <c r="H403" s="282"/>
      <c r="I403" s="282"/>
      <c r="J403" s="353" t="str">
        <f>IFERROR(G403/#REF!,"-")</f>
        <v>-</v>
      </c>
      <c r="K403" s="333">
        <f t="shared" si="504"/>
        <v>0</v>
      </c>
      <c r="L403" s="272">
        <f t="shared" si="505"/>
        <v>0</v>
      </c>
      <c r="M403" s="273">
        <f t="shared" si="506"/>
        <v>0</v>
      </c>
      <c r="N403" s="337" t="str">
        <f t="shared" si="507"/>
        <v>-</v>
      </c>
      <c r="O403" s="263" t="str">
        <f t="shared" si="495"/>
        <v>-</v>
      </c>
    </row>
    <row r="404" spans="1:15" ht="22.5" customHeight="1" x14ac:dyDescent="0.25">
      <c r="A404" s="274"/>
      <c r="B404" s="956"/>
      <c r="C404" s="299" t="s">
        <v>432</v>
      </c>
      <c r="D404" s="299" t="s">
        <v>178</v>
      </c>
      <c r="E404" s="280"/>
      <c r="F404" s="281"/>
      <c r="G404" s="334">
        <f t="shared" si="503"/>
        <v>0</v>
      </c>
      <c r="H404" s="282"/>
      <c r="I404" s="282"/>
      <c r="J404" s="353" t="str">
        <f>IFERROR(G404/#REF!,"-")</f>
        <v>-</v>
      </c>
      <c r="K404" s="334">
        <f t="shared" si="504"/>
        <v>0</v>
      </c>
      <c r="L404" s="272">
        <f t="shared" si="505"/>
        <v>0</v>
      </c>
      <c r="M404" s="273">
        <f t="shared" si="506"/>
        <v>0</v>
      </c>
      <c r="N404" s="337" t="str">
        <f t="shared" si="507"/>
        <v>-</v>
      </c>
      <c r="O404" s="263" t="str">
        <f t="shared" si="495"/>
        <v>-</v>
      </c>
    </row>
    <row r="405" spans="1:15" ht="24" x14ac:dyDescent="0.25">
      <c r="A405" s="274"/>
      <c r="B405" s="956"/>
      <c r="C405" s="299" t="s">
        <v>333</v>
      </c>
      <c r="D405" s="299" t="s">
        <v>94</v>
      </c>
      <c r="E405" s="280"/>
      <c r="F405" s="281"/>
      <c r="G405" s="334">
        <f t="shared" si="503"/>
        <v>0</v>
      </c>
      <c r="H405" s="282"/>
      <c r="I405" s="282"/>
      <c r="J405" s="353" t="str">
        <f>IFERROR(G405/#REF!,"-")</f>
        <v>-</v>
      </c>
      <c r="K405" s="334">
        <f t="shared" si="504"/>
        <v>0</v>
      </c>
      <c r="L405" s="272">
        <f t="shared" si="505"/>
        <v>0</v>
      </c>
      <c r="M405" s="273">
        <f t="shared" si="506"/>
        <v>0</v>
      </c>
      <c r="N405" s="337" t="str">
        <f t="shared" si="507"/>
        <v>-</v>
      </c>
      <c r="O405" s="263" t="str">
        <f t="shared" si="495"/>
        <v>-</v>
      </c>
    </row>
    <row r="406" spans="1:15" ht="24" x14ac:dyDescent="0.25">
      <c r="A406" s="274"/>
      <c r="B406" s="956"/>
      <c r="C406" s="299" t="s">
        <v>433</v>
      </c>
      <c r="D406" s="299" t="s">
        <v>178</v>
      </c>
      <c r="E406" s="280"/>
      <c r="F406" s="281"/>
      <c r="G406" s="334">
        <f t="shared" si="503"/>
        <v>0</v>
      </c>
      <c r="H406" s="282"/>
      <c r="I406" s="282"/>
      <c r="J406" s="353" t="str">
        <f>IFERROR(G406/#REF!,"-")</f>
        <v>-</v>
      </c>
      <c r="K406" s="334">
        <f t="shared" si="504"/>
        <v>0</v>
      </c>
      <c r="L406" s="272">
        <f t="shared" si="505"/>
        <v>0</v>
      </c>
      <c r="M406" s="272">
        <f t="shared" si="506"/>
        <v>0</v>
      </c>
      <c r="N406" s="337" t="str">
        <f t="shared" si="507"/>
        <v>-</v>
      </c>
      <c r="O406" s="263" t="str">
        <f t="shared" si="495"/>
        <v>-</v>
      </c>
    </row>
    <row r="407" spans="1:15" ht="24" x14ac:dyDescent="0.25">
      <c r="A407" s="274"/>
      <c r="B407" s="956"/>
      <c r="C407" s="299" t="s">
        <v>382</v>
      </c>
      <c r="D407" s="299" t="s">
        <v>366</v>
      </c>
      <c r="E407" s="280"/>
      <c r="F407" s="281"/>
      <c r="G407" s="334">
        <f t="shared" si="503"/>
        <v>0</v>
      </c>
      <c r="H407" s="282"/>
      <c r="I407" s="282"/>
      <c r="J407" s="353" t="str">
        <f>IFERROR(G407/#REF!,"-")</f>
        <v>-</v>
      </c>
      <c r="K407" s="334">
        <f t="shared" si="504"/>
        <v>0</v>
      </c>
      <c r="L407" s="272">
        <f t="shared" si="505"/>
        <v>0</v>
      </c>
      <c r="M407" s="273">
        <f t="shared" si="506"/>
        <v>0</v>
      </c>
      <c r="N407" s="337" t="str">
        <f t="shared" si="507"/>
        <v>-</v>
      </c>
      <c r="O407" s="263" t="str">
        <f t="shared" si="495"/>
        <v>-</v>
      </c>
    </row>
    <row r="408" spans="1:15" ht="24.75" thickBot="1" x14ac:dyDescent="0.3">
      <c r="A408" s="274" t="s">
        <v>101</v>
      </c>
      <c r="B408" s="956"/>
      <c r="C408" s="300" t="s">
        <v>290</v>
      </c>
      <c r="D408" s="299" t="s">
        <v>289</v>
      </c>
      <c r="E408" s="280"/>
      <c r="F408" s="281"/>
      <c r="G408" s="334">
        <f t="shared" si="503"/>
        <v>0</v>
      </c>
      <c r="H408" s="282"/>
      <c r="I408" s="282"/>
      <c r="J408" s="353" t="str">
        <f>IFERROR(G408/#REF!,"-")</f>
        <v>-</v>
      </c>
      <c r="K408" s="334">
        <f t="shared" si="504"/>
        <v>0</v>
      </c>
      <c r="L408" s="272">
        <f t="shared" si="505"/>
        <v>0</v>
      </c>
      <c r="M408" s="273">
        <f t="shared" si="506"/>
        <v>0</v>
      </c>
      <c r="N408" s="337" t="str">
        <f t="shared" si="507"/>
        <v>-</v>
      </c>
      <c r="O408" s="347" t="str">
        <f t="shared" si="495"/>
        <v>-</v>
      </c>
    </row>
    <row r="409" spans="1:15" ht="23.25" thickBot="1" x14ac:dyDescent="0.3">
      <c r="A409" s="274" t="s">
        <v>101</v>
      </c>
      <c r="B409" s="969"/>
      <c r="C409" s="301"/>
      <c r="D409" s="302" t="s">
        <v>52</v>
      </c>
      <c r="E409" s="284">
        <f>SUM(E399:E408)</f>
        <v>1865664</v>
      </c>
      <c r="F409" s="285">
        <v>160000</v>
      </c>
      <c r="G409" s="320">
        <f>SUM(G399:G408)</f>
        <v>68588</v>
      </c>
      <c r="H409" s="321">
        <f>SUM(H399:H408)</f>
        <v>67626</v>
      </c>
      <c r="I409" s="321">
        <f>SUM(I399:I408)</f>
        <v>962</v>
      </c>
      <c r="J409" s="345">
        <f>+G409/F409</f>
        <v>0.42867499999999997</v>
      </c>
      <c r="K409" s="320">
        <f>SUM(K399:K408)</f>
        <v>317650</v>
      </c>
      <c r="L409" s="321">
        <f>SUM(L399:L408)</f>
        <v>314262</v>
      </c>
      <c r="M409" s="322">
        <f>SUM(M399:M408)</f>
        <v>3388</v>
      </c>
      <c r="N409" s="339">
        <f t="shared" ref="N409:N412" si="508">IFERROR(K409/E409,"-")</f>
        <v>0.17026109738945491</v>
      </c>
      <c r="O409" s="345">
        <f t="shared" si="495"/>
        <v>1.066582716826696E-2</v>
      </c>
    </row>
    <row r="410" spans="1:15" ht="24" x14ac:dyDescent="0.25">
      <c r="A410" s="274" t="s">
        <v>101</v>
      </c>
      <c r="B410" s="955" t="s">
        <v>28</v>
      </c>
      <c r="C410" s="299" t="s">
        <v>27</v>
      </c>
      <c r="D410" s="297" t="s">
        <v>492</v>
      </c>
      <c r="E410" s="270"/>
      <c r="F410" s="271"/>
      <c r="G410" s="332">
        <f t="shared" ref="G410:G414" si="509">+H410+I410</f>
        <v>44233</v>
      </c>
      <c r="H410" s="272">
        <v>43758</v>
      </c>
      <c r="I410" s="272">
        <v>475</v>
      </c>
      <c r="J410" s="351" t="str">
        <f>IFERROR(G410/#REF!,"-")</f>
        <v>-</v>
      </c>
      <c r="K410" s="332">
        <f t="shared" ref="K410:K416" si="510">+L410+M410</f>
        <v>76878</v>
      </c>
      <c r="L410" s="272">
        <f t="shared" ref="L410:L416" si="511">+H410+L297</f>
        <v>75582</v>
      </c>
      <c r="M410" s="273">
        <f t="shared" ref="M410:M416" si="512">+I410+M297</f>
        <v>1296</v>
      </c>
      <c r="N410" s="336" t="str">
        <f t="shared" si="508"/>
        <v>-</v>
      </c>
      <c r="O410" s="346">
        <f t="shared" si="495"/>
        <v>1.6857878716928121E-2</v>
      </c>
    </row>
    <row r="411" spans="1:15" ht="24" x14ac:dyDescent="0.25">
      <c r="A411" s="274" t="s">
        <v>101</v>
      </c>
      <c r="B411" s="956"/>
      <c r="C411" s="299" t="s">
        <v>385</v>
      </c>
      <c r="D411" s="299" t="s">
        <v>334</v>
      </c>
      <c r="E411" s="276"/>
      <c r="F411" s="277"/>
      <c r="G411" s="333">
        <f t="shared" si="509"/>
        <v>0</v>
      </c>
      <c r="H411" s="278"/>
      <c r="I411" s="278"/>
      <c r="J411" s="352" t="str">
        <f>IFERROR(G411/#REF!,"-")</f>
        <v>-</v>
      </c>
      <c r="K411" s="333">
        <f t="shared" si="510"/>
        <v>96975</v>
      </c>
      <c r="L411" s="272">
        <f t="shared" si="511"/>
        <v>95472</v>
      </c>
      <c r="M411" s="273">
        <f t="shared" si="512"/>
        <v>1503</v>
      </c>
      <c r="N411" s="337" t="str">
        <f t="shared" si="508"/>
        <v>-</v>
      </c>
      <c r="O411" s="263">
        <f t="shared" si="495"/>
        <v>1.5498839907192575E-2</v>
      </c>
    </row>
    <row r="412" spans="1:15" ht="24" x14ac:dyDescent="0.25">
      <c r="A412" s="274" t="s">
        <v>101</v>
      </c>
      <c r="B412" s="956"/>
      <c r="C412" s="299" t="s">
        <v>27</v>
      </c>
      <c r="D412" s="299" t="s">
        <v>334</v>
      </c>
      <c r="E412" s="276"/>
      <c r="F412" s="277"/>
      <c r="G412" s="333">
        <f t="shared" si="509"/>
        <v>0</v>
      </c>
      <c r="H412" s="278"/>
      <c r="I412" s="278"/>
      <c r="J412" s="352" t="str">
        <f>IFERROR(G412/#REF!,"-")</f>
        <v>-</v>
      </c>
      <c r="K412" s="333">
        <f t="shared" si="510"/>
        <v>0</v>
      </c>
      <c r="L412" s="272">
        <f t="shared" si="511"/>
        <v>0</v>
      </c>
      <c r="M412" s="273">
        <f t="shared" si="512"/>
        <v>0</v>
      </c>
      <c r="N412" s="337" t="str">
        <f t="shared" si="508"/>
        <v>-</v>
      </c>
      <c r="O412" s="263" t="str">
        <f t="shared" si="495"/>
        <v>-</v>
      </c>
    </row>
    <row r="413" spans="1:15" ht="24" x14ac:dyDescent="0.25">
      <c r="A413" s="274"/>
      <c r="B413" s="956"/>
      <c r="C413" s="299" t="s">
        <v>460</v>
      </c>
      <c r="D413" s="299" t="s">
        <v>334</v>
      </c>
      <c r="E413" s="280"/>
      <c r="F413" s="281"/>
      <c r="G413" s="333">
        <f t="shared" si="509"/>
        <v>0</v>
      </c>
      <c r="H413" s="282"/>
      <c r="I413" s="282"/>
      <c r="J413" s="352" t="str">
        <f>IFERROR(G413/#REF!,"-")</f>
        <v>-</v>
      </c>
      <c r="K413" s="333">
        <f t="shared" si="510"/>
        <v>0</v>
      </c>
      <c r="L413" s="272">
        <f t="shared" si="511"/>
        <v>0</v>
      </c>
      <c r="M413" s="273">
        <f t="shared" si="512"/>
        <v>0</v>
      </c>
      <c r="N413" s="338"/>
      <c r="O413" s="347"/>
    </row>
    <row r="414" spans="1:15" ht="24" x14ac:dyDescent="0.25">
      <c r="A414" s="274" t="s">
        <v>101</v>
      </c>
      <c r="B414" s="956"/>
      <c r="C414" s="299" t="s">
        <v>382</v>
      </c>
      <c r="D414" s="300" t="s">
        <v>366</v>
      </c>
      <c r="E414" s="280"/>
      <c r="F414" s="281"/>
      <c r="G414" s="334">
        <f t="shared" si="509"/>
        <v>0</v>
      </c>
      <c r="H414" s="282"/>
      <c r="I414" s="282"/>
      <c r="J414" s="352" t="str">
        <f>IFERROR(G414/#REF!,"-")</f>
        <v>-</v>
      </c>
      <c r="K414" s="334">
        <f t="shared" si="510"/>
        <v>0</v>
      </c>
      <c r="L414" s="272">
        <f t="shared" si="511"/>
        <v>0</v>
      </c>
      <c r="M414" s="702">
        <f t="shared" si="512"/>
        <v>0</v>
      </c>
      <c r="N414" s="338" t="str">
        <f t="shared" ref="N414" si="513">IFERROR(K414/E414,"-")</f>
        <v>-</v>
      </c>
      <c r="O414" s="347" t="str">
        <f t="shared" ref="O414" si="514">IFERROR(M414/K414,"-")</f>
        <v>-</v>
      </c>
    </row>
    <row r="415" spans="1:15" ht="24" x14ac:dyDescent="0.25">
      <c r="A415" s="274"/>
      <c r="B415" s="956"/>
      <c r="C415" s="299" t="s">
        <v>458</v>
      </c>
      <c r="D415" s="300" t="s">
        <v>280</v>
      </c>
      <c r="E415" s="280"/>
      <c r="F415" s="281"/>
      <c r="G415" s="334"/>
      <c r="H415" s="282"/>
      <c r="I415" s="282"/>
      <c r="J415" s="352" t="str">
        <f>IFERROR(G415/#REF!,"-")</f>
        <v>-</v>
      </c>
      <c r="K415" s="334">
        <f t="shared" si="510"/>
        <v>0</v>
      </c>
      <c r="L415" s="272">
        <f t="shared" si="511"/>
        <v>0</v>
      </c>
      <c r="M415" s="272">
        <f t="shared" si="512"/>
        <v>0</v>
      </c>
      <c r="N415" s="338"/>
      <c r="O415" s="347"/>
    </row>
    <row r="416" spans="1:15" ht="24.75" thickBot="1" x14ac:dyDescent="0.3">
      <c r="A416" s="274" t="s">
        <v>101</v>
      </c>
      <c r="B416" s="956"/>
      <c r="C416" s="299" t="s">
        <v>27</v>
      </c>
      <c r="D416" s="300" t="s">
        <v>234</v>
      </c>
      <c r="E416" s="280"/>
      <c r="F416" s="281"/>
      <c r="G416" s="334">
        <f t="shared" ref="G416" si="515">+H416+I416</f>
        <v>0</v>
      </c>
      <c r="H416" s="282"/>
      <c r="I416" s="282"/>
      <c r="J416" s="353" t="str">
        <f>IFERROR(G416/#REF!,"-")</f>
        <v>-</v>
      </c>
      <c r="K416" s="334">
        <f t="shared" si="510"/>
        <v>0</v>
      </c>
      <c r="L416" s="272">
        <f t="shared" si="511"/>
        <v>0</v>
      </c>
      <c r="M416" s="702">
        <f t="shared" si="512"/>
        <v>0</v>
      </c>
      <c r="N416" s="338" t="str">
        <f t="shared" ref="N416:N417" si="516">IFERROR(K416/E416,"-")</f>
        <v>-</v>
      </c>
      <c r="O416" s="347" t="str">
        <f t="shared" ref="O416:O432" si="517">IFERROR(M416/K416,"-")</f>
        <v>-</v>
      </c>
    </row>
    <row r="417" spans="1:15" ht="23.25" thickBot="1" x14ac:dyDescent="0.3">
      <c r="A417" s="274" t="s">
        <v>101</v>
      </c>
      <c r="B417" s="956"/>
      <c r="C417" s="304"/>
      <c r="D417" s="305" t="s">
        <v>52</v>
      </c>
      <c r="E417" s="306">
        <f>SUM(E410:E416)</f>
        <v>0</v>
      </c>
      <c r="F417" s="307">
        <v>80000</v>
      </c>
      <c r="G417" s="366">
        <f>SUM(G410:G416)</f>
        <v>44233</v>
      </c>
      <c r="H417" s="365">
        <f>SUM(H410:H416)</f>
        <v>43758</v>
      </c>
      <c r="I417" s="365">
        <f>SUM(I410:I416)</f>
        <v>475</v>
      </c>
      <c r="J417" s="356">
        <f>+G417/F417</f>
        <v>0.55291250000000003</v>
      </c>
      <c r="K417" s="366">
        <f>SUM(K410:K416)</f>
        <v>173853</v>
      </c>
      <c r="L417" s="365">
        <f>SUM(L410:L416)</f>
        <v>171054</v>
      </c>
      <c r="M417" s="367">
        <f>SUM(M410:M416)</f>
        <v>2799</v>
      </c>
      <c r="N417" s="355" t="str">
        <f t="shared" si="516"/>
        <v>-</v>
      </c>
      <c r="O417" s="356">
        <f t="shared" si="517"/>
        <v>1.6099808458870424E-2</v>
      </c>
    </row>
    <row r="418" spans="1:15" ht="23.25" thickBot="1" x14ac:dyDescent="0.3">
      <c r="A418" s="785" t="s">
        <v>101</v>
      </c>
      <c r="B418" s="957" t="s">
        <v>162</v>
      </c>
      <c r="C418" s="958"/>
      <c r="D418" s="959"/>
      <c r="E418" s="308">
        <f>+E417+E409</f>
        <v>1865664</v>
      </c>
      <c r="F418" s="309">
        <f>+F417+F409</f>
        <v>240000</v>
      </c>
      <c r="G418" s="369">
        <f>+G409+G417</f>
        <v>112821</v>
      </c>
      <c r="H418" s="368">
        <f>+H409+H417</f>
        <v>111384</v>
      </c>
      <c r="I418" s="368">
        <f>+I409+I417</f>
        <v>1437</v>
      </c>
      <c r="J418" s="358">
        <f>+G418/F418</f>
        <v>0.47008749999999999</v>
      </c>
      <c r="K418" s="369">
        <f>+K409+K417</f>
        <v>491503</v>
      </c>
      <c r="L418" s="368">
        <f>+L409+L417</f>
        <v>485316</v>
      </c>
      <c r="M418" s="370">
        <f>+M409+M417</f>
        <v>6187</v>
      </c>
      <c r="N418" s="357">
        <f>IFERROR(K418/E418,"-")</f>
        <v>0.26344668707763025</v>
      </c>
      <c r="O418" s="358">
        <f t="shared" si="517"/>
        <v>1.2587919097136743E-2</v>
      </c>
    </row>
    <row r="419" spans="1:15" ht="24" x14ac:dyDescent="0.25">
      <c r="A419" s="274" t="s">
        <v>101</v>
      </c>
      <c r="B419" s="956" t="s">
        <v>30</v>
      </c>
      <c r="C419" s="303" t="s">
        <v>446</v>
      </c>
      <c r="D419" s="299" t="s">
        <v>334</v>
      </c>
      <c r="E419" s="270">
        <v>225000</v>
      </c>
      <c r="F419" s="271"/>
      <c r="G419" s="332">
        <f t="shared" ref="G419:G421" si="518">+H419+I419</f>
        <v>0</v>
      </c>
      <c r="H419" s="272"/>
      <c r="I419" s="272"/>
      <c r="J419" s="351" t="str">
        <f>IFERROR(G419/#REF!,"-")</f>
        <v>-</v>
      </c>
      <c r="K419" s="332">
        <f t="shared" ref="K419:K421" si="519">+L419+M419</f>
        <v>0</v>
      </c>
      <c r="L419" s="272">
        <f t="shared" ref="L419:L421" si="520">+H419+L306</f>
        <v>0</v>
      </c>
      <c r="M419" s="273">
        <f t="shared" ref="M419:M421" si="521">+I419+M306</f>
        <v>0</v>
      </c>
      <c r="N419" s="336">
        <f t="shared" ref="N419:N432" si="522">IFERROR(K419/E419,"-")</f>
        <v>0</v>
      </c>
      <c r="O419" s="346" t="str">
        <f t="shared" si="517"/>
        <v>-</v>
      </c>
    </row>
    <row r="420" spans="1:15" ht="24" x14ac:dyDescent="0.25">
      <c r="A420" s="274" t="s">
        <v>101</v>
      </c>
      <c r="B420" s="956"/>
      <c r="C420" s="300" t="s">
        <v>429</v>
      </c>
      <c r="D420" s="303" t="s">
        <v>366</v>
      </c>
      <c r="E420" s="276"/>
      <c r="F420" s="277"/>
      <c r="G420" s="333">
        <f t="shared" si="518"/>
        <v>0</v>
      </c>
      <c r="H420" s="278"/>
      <c r="I420" s="278"/>
      <c r="J420" s="352" t="str">
        <f>IFERROR(G420/#REF!,"-")</f>
        <v>-</v>
      </c>
      <c r="K420" s="333">
        <f t="shared" si="519"/>
        <v>0</v>
      </c>
      <c r="L420" s="272">
        <f t="shared" si="520"/>
        <v>0</v>
      </c>
      <c r="M420" s="273">
        <f t="shared" si="521"/>
        <v>0</v>
      </c>
      <c r="N420" s="337" t="str">
        <f t="shared" si="522"/>
        <v>-</v>
      </c>
      <c r="O420" s="263" t="str">
        <f t="shared" si="517"/>
        <v>-</v>
      </c>
    </row>
    <row r="421" spans="1:15" ht="24.75" thickBot="1" x14ac:dyDescent="0.3">
      <c r="A421" s="274" t="s">
        <v>101</v>
      </c>
      <c r="B421" s="956"/>
      <c r="C421" s="300" t="s">
        <v>291</v>
      </c>
      <c r="D421" s="300" t="s">
        <v>366</v>
      </c>
      <c r="E421" s="280"/>
      <c r="F421" s="281"/>
      <c r="G421" s="334">
        <f t="shared" si="518"/>
        <v>0</v>
      </c>
      <c r="H421" s="282"/>
      <c r="I421" s="282"/>
      <c r="J421" s="353" t="str">
        <f>IFERROR(G421/#REF!,"-")</f>
        <v>-</v>
      </c>
      <c r="K421" s="334">
        <f t="shared" si="519"/>
        <v>0</v>
      </c>
      <c r="L421" s="272">
        <f t="shared" si="520"/>
        <v>0</v>
      </c>
      <c r="M421" s="273">
        <f t="shared" si="521"/>
        <v>0</v>
      </c>
      <c r="N421" s="338" t="str">
        <f t="shared" si="522"/>
        <v>-</v>
      </c>
      <c r="O421" s="347" t="str">
        <f t="shared" si="517"/>
        <v>-</v>
      </c>
    </row>
    <row r="422" spans="1:15" ht="23.25" thickBot="1" x14ac:dyDescent="0.3">
      <c r="A422" s="274" t="s">
        <v>101</v>
      </c>
      <c r="B422" s="956"/>
      <c r="C422" s="301"/>
      <c r="D422" s="302" t="s">
        <v>50</v>
      </c>
      <c r="E422" s="284">
        <f>SUM(E419:E421)</f>
        <v>225000</v>
      </c>
      <c r="F422" s="285">
        <v>50000</v>
      </c>
      <c r="G422" s="320">
        <f>SUM(G419:G421)</f>
        <v>0</v>
      </c>
      <c r="H422" s="321">
        <f>SUM(H419:H421)</f>
        <v>0</v>
      </c>
      <c r="I422" s="321">
        <f>SUM(I419:I421)</f>
        <v>0</v>
      </c>
      <c r="J422" s="345" t="e">
        <f>+H422/G422</f>
        <v>#DIV/0!</v>
      </c>
      <c r="K422" s="320">
        <f>SUM(K419:K421)</f>
        <v>0</v>
      </c>
      <c r="L422" s="321">
        <f>SUM(L419:L421)</f>
        <v>0</v>
      </c>
      <c r="M422" s="322">
        <f>SUM(M419:M421)</f>
        <v>0</v>
      </c>
      <c r="N422" s="339">
        <f t="shared" si="522"/>
        <v>0</v>
      </c>
      <c r="O422" s="345" t="str">
        <f t="shared" si="517"/>
        <v>-</v>
      </c>
    </row>
    <row r="423" spans="1:15" ht="24" x14ac:dyDescent="0.25">
      <c r="A423" s="274" t="s">
        <v>101</v>
      </c>
      <c r="B423" s="956"/>
      <c r="C423" s="297" t="s">
        <v>434</v>
      </c>
      <c r="D423" s="297" t="s">
        <v>92</v>
      </c>
      <c r="E423" s="270"/>
      <c r="F423" s="271"/>
      <c r="G423" s="332">
        <f t="shared" ref="G423:G424" si="523">+H423+I423</f>
        <v>0</v>
      </c>
      <c r="H423" s="272"/>
      <c r="I423" s="272"/>
      <c r="J423" s="351" t="str">
        <f>IFERROR(G423/#REF!,"-")</f>
        <v>-</v>
      </c>
      <c r="K423" s="332">
        <f t="shared" ref="K423:K428" si="524">+L423+M423</f>
        <v>0</v>
      </c>
      <c r="L423" s="272">
        <f t="shared" ref="L423:L428" si="525">+H423+L310</f>
        <v>0</v>
      </c>
      <c r="M423" s="273">
        <f t="shared" ref="M423:M428" si="526">+I423+M310</f>
        <v>0</v>
      </c>
      <c r="N423" s="336" t="str">
        <f t="shared" si="522"/>
        <v>-</v>
      </c>
      <c r="O423" s="346" t="str">
        <f t="shared" si="517"/>
        <v>-</v>
      </c>
    </row>
    <row r="424" spans="1:15" ht="24" x14ac:dyDescent="0.25">
      <c r="A424" s="274"/>
      <c r="B424" s="956"/>
      <c r="C424" s="303" t="s">
        <v>449</v>
      </c>
      <c r="D424" s="299" t="s">
        <v>334</v>
      </c>
      <c r="E424" s="270"/>
      <c r="F424" s="271"/>
      <c r="G424" s="332">
        <f t="shared" si="523"/>
        <v>0</v>
      </c>
      <c r="H424" s="272"/>
      <c r="I424" s="272"/>
      <c r="J424" s="351" t="str">
        <f>IFERROR(G424/#REF!,"-")</f>
        <v>-</v>
      </c>
      <c r="K424" s="332">
        <f t="shared" si="524"/>
        <v>0</v>
      </c>
      <c r="L424" s="272">
        <f t="shared" si="525"/>
        <v>0</v>
      </c>
      <c r="M424" s="273">
        <f t="shared" si="526"/>
        <v>0</v>
      </c>
      <c r="N424" s="337" t="str">
        <f t="shared" si="522"/>
        <v>-</v>
      </c>
      <c r="O424" s="346" t="str">
        <f t="shared" si="517"/>
        <v>-</v>
      </c>
    </row>
    <row r="425" spans="1:15" ht="24" x14ac:dyDescent="0.25">
      <c r="A425" s="274"/>
      <c r="B425" s="956"/>
      <c r="C425" s="303" t="s">
        <v>452</v>
      </c>
      <c r="D425" s="299" t="s">
        <v>334</v>
      </c>
      <c r="E425" s="270"/>
      <c r="F425" s="271"/>
      <c r="G425" s="332"/>
      <c r="H425" s="272"/>
      <c r="I425" s="272"/>
      <c r="J425" s="351" t="str">
        <f>IFERROR(G425/#REF!,"-")</f>
        <v>-</v>
      </c>
      <c r="K425" s="332">
        <f t="shared" si="524"/>
        <v>0</v>
      </c>
      <c r="L425" s="272">
        <f t="shared" si="525"/>
        <v>0</v>
      </c>
      <c r="M425" s="273">
        <f t="shared" si="526"/>
        <v>0</v>
      </c>
      <c r="N425" s="337" t="str">
        <f t="shared" si="522"/>
        <v>-</v>
      </c>
      <c r="O425" s="346" t="str">
        <f t="shared" si="517"/>
        <v>-</v>
      </c>
    </row>
    <row r="426" spans="1:15" ht="24" x14ac:dyDescent="0.25">
      <c r="A426" s="274" t="s">
        <v>101</v>
      </c>
      <c r="B426" s="956"/>
      <c r="C426" s="303" t="s">
        <v>501</v>
      </c>
      <c r="D426" s="300" t="s">
        <v>423</v>
      </c>
      <c r="E426" s="276">
        <v>125000</v>
      </c>
      <c r="F426" s="277"/>
      <c r="G426" s="333">
        <f t="shared" ref="G426" si="527">+H426+I426</f>
        <v>8116</v>
      </c>
      <c r="H426" s="278">
        <v>7488</v>
      </c>
      <c r="I426" s="278">
        <v>628</v>
      </c>
      <c r="J426" s="351" t="str">
        <f>IFERROR(G426/#REF!,"-")</f>
        <v>-</v>
      </c>
      <c r="K426" s="333">
        <f t="shared" si="524"/>
        <v>8116</v>
      </c>
      <c r="L426" s="272">
        <f t="shared" si="525"/>
        <v>7488</v>
      </c>
      <c r="M426" s="273">
        <f t="shared" si="526"/>
        <v>628</v>
      </c>
      <c r="N426" s="337">
        <f t="shared" si="522"/>
        <v>6.4928E-2</v>
      </c>
      <c r="O426" s="263">
        <f t="shared" si="517"/>
        <v>7.737801872843765E-2</v>
      </c>
    </row>
    <row r="427" spans="1:15" ht="24" x14ac:dyDescent="0.25">
      <c r="A427" s="274"/>
      <c r="B427" s="956"/>
      <c r="C427" s="300" t="s">
        <v>459</v>
      </c>
      <c r="D427" s="300" t="s">
        <v>366</v>
      </c>
      <c r="E427" s="280"/>
      <c r="F427" s="281"/>
      <c r="G427" s="334"/>
      <c r="H427" s="282"/>
      <c r="I427" s="282"/>
      <c r="J427" s="351" t="str">
        <f>IFERROR(G427/#REF!,"-")</f>
        <v>-</v>
      </c>
      <c r="K427" s="333">
        <f t="shared" si="524"/>
        <v>0</v>
      </c>
      <c r="L427" s="272">
        <f t="shared" si="525"/>
        <v>0</v>
      </c>
      <c r="M427" s="272">
        <f t="shared" si="526"/>
        <v>0</v>
      </c>
      <c r="N427" s="337" t="str">
        <f t="shared" si="522"/>
        <v>-</v>
      </c>
      <c r="O427" s="263" t="str">
        <f t="shared" si="517"/>
        <v>-</v>
      </c>
    </row>
    <row r="428" spans="1:15" ht="24.75" thickBot="1" x14ac:dyDescent="0.3">
      <c r="A428" s="274" t="s">
        <v>101</v>
      </c>
      <c r="B428" s="956"/>
      <c r="C428" s="300" t="s">
        <v>435</v>
      </c>
      <c r="D428" s="300" t="s">
        <v>423</v>
      </c>
      <c r="E428" s="280"/>
      <c r="F428" s="281"/>
      <c r="G428" s="334">
        <f t="shared" ref="G428" si="528">+H428+I428</f>
        <v>0</v>
      </c>
      <c r="H428" s="282"/>
      <c r="I428" s="282"/>
      <c r="J428" s="353" t="str">
        <f>IFERROR(G428/#REF!,"-")</f>
        <v>-</v>
      </c>
      <c r="K428" s="334">
        <f t="shared" si="524"/>
        <v>0</v>
      </c>
      <c r="L428" s="272">
        <f t="shared" si="525"/>
        <v>0</v>
      </c>
      <c r="M428" s="273">
        <f t="shared" si="526"/>
        <v>0</v>
      </c>
      <c r="N428" s="338" t="str">
        <f t="shared" si="522"/>
        <v>-</v>
      </c>
      <c r="O428" s="347" t="str">
        <f t="shared" si="517"/>
        <v>-</v>
      </c>
    </row>
    <row r="429" spans="1:15" ht="23.25" thickBot="1" x14ac:dyDescent="0.3">
      <c r="A429" s="274" t="s">
        <v>101</v>
      </c>
      <c r="B429" s="956"/>
      <c r="C429" s="304"/>
      <c r="D429" s="305" t="s">
        <v>51</v>
      </c>
      <c r="E429" s="306">
        <f>SUM(E423:E428)</f>
        <v>125000</v>
      </c>
      <c r="F429" s="307">
        <v>50000</v>
      </c>
      <c r="G429" s="366">
        <f>SUM(G423:G428)</f>
        <v>8116</v>
      </c>
      <c r="H429" s="365">
        <f t="shared" ref="H429:I429" si="529">SUM(H423:H428)</f>
        <v>7488</v>
      </c>
      <c r="I429" s="365">
        <f t="shared" si="529"/>
        <v>628</v>
      </c>
      <c r="J429" s="356">
        <f>+G429/F429</f>
        <v>0.16231999999999999</v>
      </c>
      <c r="K429" s="366">
        <f t="shared" ref="K429:M429" si="530">SUM(K423:K428)</f>
        <v>8116</v>
      </c>
      <c r="L429" s="365">
        <f t="shared" si="530"/>
        <v>7488</v>
      </c>
      <c r="M429" s="367">
        <f t="shared" si="530"/>
        <v>628</v>
      </c>
      <c r="N429" s="355">
        <f t="shared" si="522"/>
        <v>6.4928E-2</v>
      </c>
      <c r="O429" s="356">
        <f t="shared" si="517"/>
        <v>7.737801872843765E-2</v>
      </c>
    </row>
    <row r="430" spans="1:15" ht="23.25" thickBot="1" x14ac:dyDescent="0.3">
      <c r="A430" s="274" t="s">
        <v>101</v>
      </c>
      <c r="B430" s="957" t="s">
        <v>163</v>
      </c>
      <c r="C430" s="958"/>
      <c r="D430" s="959"/>
      <c r="E430" s="308">
        <f>+E429+E422</f>
        <v>350000</v>
      </c>
      <c r="F430" s="309">
        <v>50000</v>
      </c>
      <c r="G430" s="369">
        <f>+G422+G429</f>
        <v>8116</v>
      </c>
      <c r="H430" s="368">
        <f t="shared" ref="H430:I430" si="531">+H422+H429</f>
        <v>7488</v>
      </c>
      <c r="I430" s="368">
        <f t="shared" si="531"/>
        <v>628</v>
      </c>
      <c r="J430" s="358">
        <f>+G430/F430</f>
        <v>0.16231999999999999</v>
      </c>
      <c r="K430" s="369">
        <f t="shared" ref="K430:M430" si="532">+K422+K429</f>
        <v>8116</v>
      </c>
      <c r="L430" s="368">
        <f t="shared" si="532"/>
        <v>7488</v>
      </c>
      <c r="M430" s="370">
        <f t="shared" si="532"/>
        <v>628</v>
      </c>
      <c r="N430" s="357">
        <f t="shared" si="522"/>
        <v>2.318857142857143E-2</v>
      </c>
      <c r="O430" s="358">
        <f t="shared" si="517"/>
        <v>7.737801872843765E-2</v>
      </c>
    </row>
    <row r="431" spans="1:15" ht="24.75" thickBot="1" x14ac:dyDescent="0.3">
      <c r="A431" s="274" t="s">
        <v>101</v>
      </c>
      <c r="B431" s="598" t="s">
        <v>32</v>
      </c>
      <c r="C431" s="781"/>
      <c r="D431" s="310" t="s">
        <v>32</v>
      </c>
      <c r="E431" s="287">
        <v>0</v>
      </c>
      <c r="F431" s="288">
        <v>110000</v>
      </c>
      <c r="G431" s="335">
        <f t="shared" ref="G431" si="533">+H431+I431</f>
        <v>0</v>
      </c>
      <c r="H431" s="289"/>
      <c r="I431" s="289"/>
      <c r="J431" s="354" t="str">
        <f>IFERROR(G431/#REF!,"-")</f>
        <v>-</v>
      </c>
      <c r="K431" s="335">
        <f>+L431+M431</f>
        <v>0</v>
      </c>
      <c r="L431" s="289">
        <f>+H431+L318</f>
        <v>0</v>
      </c>
      <c r="M431" s="290">
        <f>+I431+M318</f>
        <v>0</v>
      </c>
      <c r="N431" s="340" t="str">
        <f t="shared" si="522"/>
        <v>-</v>
      </c>
      <c r="O431" s="348" t="str">
        <f t="shared" si="517"/>
        <v>-</v>
      </c>
    </row>
    <row r="432" spans="1:15" ht="23.25" thickBot="1" x14ac:dyDescent="0.3">
      <c r="A432" s="274" t="s">
        <v>101</v>
      </c>
      <c r="B432" s="960" t="s">
        <v>21</v>
      </c>
      <c r="C432" s="961"/>
      <c r="D432" s="962"/>
      <c r="E432" s="326">
        <f>+E418+E430+E431</f>
        <v>2215664</v>
      </c>
      <c r="F432" s="327">
        <f>+F418+F430+F431</f>
        <v>400000</v>
      </c>
      <c r="G432" s="326">
        <f>+G418+G430+G431</f>
        <v>120937</v>
      </c>
      <c r="H432" s="324">
        <f>+H418+H430+H431</f>
        <v>118872</v>
      </c>
      <c r="I432" s="324">
        <f>+I418+I430+I431</f>
        <v>2065</v>
      </c>
      <c r="J432" s="349">
        <f>+G432/F432</f>
        <v>0.30234250000000001</v>
      </c>
      <c r="K432" s="326">
        <f>+K418+K430+K431</f>
        <v>499619</v>
      </c>
      <c r="L432" s="324">
        <f>+L418+L430+L431</f>
        <v>492804</v>
      </c>
      <c r="M432" s="325">
        <f>+M418+M430+M431</f>
        <v>6815</v>
      </c>
      <c r="N432" s="341">
        <f t="shared" si="522"/>
        <v>0.22549402797536089</v>
      </c>
      <c r="O432" s="349">
        <f t="shared" si="517"/>
        <v>1.3640393980212922E-2</v>
      </c>
    </row>
    <row r="433" spans="1:15" ht="23.25" thickBot="1" x14ac:dyDescent="0.3">
      <c r="A433" s="274" t="s">
        <v>101</v>
      </c>
      <c r="B433" s="963" t="s">
        <v>171</v>
      </c>
      <c r="C433" s="941"/>
      <c r="D433" s="942"/>
      <c r="E433" s="330">
        <f>+E432</f>
        <v>2215664</v>
      </c>
      <c r="F433" s="331">
        <f t="shared" ref="F433:I433" si="534">+F432</f>
        <v>400000</v>
      </c>
      <c r="G433" s="330">
        <f t="shared" si="534"/>
        <v>120937</v>
      </c>
      <c r="H433" s="328">
        <f t="shared" si="534"/>
        <v>118872</v>
      </c>
      <c r="I433" s="328">
        <f t="shared" si="534"/>
        <v>2065</v>
      </c>
      <c r="J433" s="350">
        <f>+J432</f>
        <v>0.30234250000000001</v>
      </c>
      <c r="K433" s="330">
        <f>+K432</f>
        <v>499619</v>
      </c>
      <c r="L433" s="328">
        <f t="shared" ref="L433" si="535">+L432</f>
        <v>492804</v>
      </c>
      <c r="M433" s="329">
        <f>+M432</f>
        <v>6815</v>
      </c>
      <c r="N433" s="342">
        <f t="shared" ref="N433:O433" si="536">+N432</f>
        <v>0.22549402797536089</v>
      </c>
      <c r="O433" s="350">
        <f t="shared" si="536"/>
        <v>1.3640393980212922E-2</v>
      </c>
    </row>
    <row r="434" spans="1:15" ht="24" x14ac:dyDescent="0.25">
      <c r="A434" s="268" t="s">
        <v>102</v>
      </c>
      <c r="B434" s="949" t="s">
        <v>401</v>
      </c>
      <c r="C434" s="311" t="s">
        <v>113</v>
      </c>
      <c r="D434" s="311"/>
      <c r="E434" s="270"/>
      <c r="F434" s="271"/>
      <c r="G434" s="332">
        <f t="shared" ref="G434:G436" si="537">+H434+I434</f>
        <v>0</v>
      </c>
      <c r="H434" s="272"/>
      <c r="I434" s="272"/>
      <c r="J434" s="351" t="str">
        <f>IFERROR(G434/#REF!,"-")</f>
        <v>-</v>
      </c>
      <c r="K434" s="332">
        <f t="shared" ref="K434:K436" si="538">+L434+M434</f>
        <v>0</v>
      </c>
      <c r="L434" s="272">
        <f t="shared" ref="L434:L436" si="539">+H434+L321</f>
        <v>0</v>
      </c>
      <c r="M434" s="273">
        <f t="shared" ref="M434:M436" si="540">+I434+M321</f>
        <v>0</v>
      </c>
      <c r="N434" s="336" t="str">
        <f t="shared" ref="N434:N441" si="541">IFERROR(K434/E434,"-")</f>
        <v>-</v>
      </c>
      <c r="O434" s="346" t="str">
        <f t="shared" ref="O434:O459" si="542">IFERROR(M434/K434,"-")</f>
        <v>-</v>
      </c>
    </row>
    <row r="435" spans="1:15" ht="24" x14ac:dyDescent="0.25">
      <c r="A435" s="274" t="s">
        <v>102</v>
      </c>
      <c r="B435" s="951"/>
      <c r="C435" s="312" t="s">
        <v>247</v>
      </c>
      <c r="D435" s="312"/>
      <c r="E435" s="276">
        <v>2000</v>
      </c>
      <c r="F435" s="277"/>
      <c r="G435" s="333">
        <f t="shared" si="537"/>
        <v>1440</v>
      </c>
      <c r="H435" s="278">
        <v>1300</v>
      </c>
      <c r="I435" s="278">
        <v>140</v>
      </c>
      <c r="J435" s="352" t="str">
        <f>IFERROR(G435/#REF!,"-")</f>
        <v>-</v>
      </c>
      <c r="K435" s="333">
        <f t="shared" si="538"/>
        <v>3437</v>
      </c>
      <c r="L435" s="272">
        <f t="shared" si="539"/>
        <v>3200</v>
      </c>
      <c r="M435" s="273">
        <f t="shared" si="540"/>
        <v>237</v>
      </c>
      <c r="N435" s="337">
        <f t="shared" si="541"/>
        <v>1.7184999999999999</v>
      </c>
      <c r="O435" s="263">
        <f t="shared" si="542"/>
        <v>6.8955484434099504E-2</v>
      </c>
    </row>
    <row r="436" spans="1:15" ht="24.75" thickBot="1" x14ac:dyDescent="0.3">
      <c r="A436" s="274" t="s">
        <v>102</v>
      </c>
      <c r="B436" s="950"/>
      <c r="C436" s="313" t="s">
        <v>33</v>
      </c>
      <c r="D436" s="313"/>
      <c r="E436" s="280"/>
      <c r="F436" s="281"/>
      <c r="G436" s="334">
        <f t="shared" si="537"/>
        <v>0</v>
      </c>
      <c r="H436" s="282"/>
      <c r="I436" s="282"/>
      <c r="J436" s="353" t="str">
        <f>IFERROR(G436/#REF!,"-")</f>
        <v>-</v>
      </c>
      <c r="K436" s="334">
        <f t="shared" si="538"/>
        <v>0</v>
      </c>
      <c r="L436" s="272">
        <f t="shared" si="539"/>
        <v>0</v>
      </c>
      <c r="M436" s="273">
        <f t="shared" si="540"/>
        <v>0</v>
      </c>
      <c r="N436" s="338" t="str">
        <f t="shared" si="541"/>
        <v>-</v>
      </c>
      <c r="O436" s="347" t="str">
        <f t="shared" si="542"/>
        <v>-</v>
      </c>
    </row>
    <row r="437" spans="1:15" ht="23.25" thickBot="1" x14ac:dyDescent="0.3">
      <c r="A437" s="274" t="s">
        <v>102</v>
      </c>
      <c r="B437" s="946" t="s">
        <v>34</v>
      </c>
      <c r="C437" s="947"/>
      <c r="D437" s="948"/>
      <c r="E437" s="284">
        <f>SUM(E434:E436)</f>
        <v>2000</v>
      </c>
      <c r="F437" s="285">
        <v>6500</v>
      </c>
      <c r="G437" s="320">
        <f>SUM(G434:G436)</f>
        <v>1440</v>
      </c>
      <c r="H437" s="321">
        <f t="shared" ref="H437:I437" si="543">SUM(H434:H436)</f>
        <v>1300</v>
      </c>
      <c r="I437" s="321">
        <f t="shared" si="543"/>
        <v>140</v>
      </c>
      <c r="J437" s="345" t="str">
        <f>IFERROR(G437/#REF!,"-")</f>
        <v>-</v>
      </c>
      <c r="K437" s="320">
        <f t="shared" ref="K437:M437" si="544">SUM(K434:K436)</f>
        <v>3437</v>
      </c>
      <c r="L437" s="321">
        <f t="shared" si="544"/>
        <v>3200</v>
      </c>
      <c r="M437" s="322">
        <f t="shared" si="544"/>
        <v>237</v>
      </c>
      <c r="N437" s="339">
        <f t="shared" si="541"/>
        <v>1.7184999999999999</v>
      </c>
      <c r="O437" s="345">
        <f t="shared" si="542"/>
        <v>6.8955484434099504E-2</v>
      </c>
    </row>
    <row r="438" spans="1:15" ht="24" x14ac:dyDescent="0.25">
      <c r="A438" s="274" t="s">
        <v>102</v>
      </c>
      <c r="B438" s="949" t="s">
        <v>35</v>
      </c>
      <c r="C438" s="311" t="s">
        <v>113</v>
      </c>
      <c r="D438" s="311"/>
      <c r="E438" s="270"/>
      <c r="F438" s="271"/>
      <c r="G438" s="332">
        <f t="shared" ref="G438:G441" si="545">+H438+I438</f>
        <v>0</v>
      </c>
      <c r="H438" s="272"/>
      <c r="I438" s="272"/>
      <c r="J438" s="351" t="str">
        <f>IFERROR(G438/#REF!,"-")</f>
        <v>-</v>
      </c>
      <c r="K438" s="332">
        <f t="shared" ref="K438:K441" si="546">+L438+M438</f>
        <v>0</v>
      </c>
      <c r="L438" s="272">
        <f t="shared" ref="L438:L441" si="547">+H438+L325</f>
        <v>0</v>
      </c>
      <c r="M438" s="273">
        <f t="shared" ref="M438:M441" si="548">+I438+M325</f>
        <v>0</v>
      </c>
      <c r="N438" s="336" t="str">
        <f t="shared" si="541"/>
        <v>-</v>
      </c>
      <c r="O438" s="346" t="str">
        <f t="shared" si="542"/>
        <v>-</v>
      </c>
    </row>
    <row r="439" spans="1:15" ht="24" x14ac:dyDescent="0.25">
      <c r="A439" s="274" t="s">
        <v>102</v>
      </c>
      <c r="B439" s="951"/>
      <c r="C439" s="312" t="s">
        <v>247</v>
      </c>
      <c r="D439" s="312"/>
      <c r="E439" s="276"/>
      <c r="F439" s="277"/>
      <c r="G439" s="333">
        <f t="shared" si="545"/>
        <v>0</v>
      </c>
      <c r="H439" s="278"/>
      <c r="I439" s="278"/>
      <c r="J439" s="352" t="str">
        <f>IFERROR(G439/#REF!,"-")</f>
        <v>-</v>
      </c>
      <c r="K439" s="333">
        <f t="shared" si="546"/>
        <v>0</v>
      </c>
      <c r="L439" s="272">
        <f t="shared" si="547"/>
        <v>0</v>
      </c>
      <c r="M439" s="273">
        <f t="shared" si="548"/>
        <v>0</v>
      </c>
      <c r="N439" s="337" t="str">
        <f t="shared" si="541"/>
        <v>-</v>
      </c>
      <c r="O439" s="263" t="str">
        <f t="shared" si="542"/>
        <v>-</v>
      </c>
    </row>
    <row r="440" spans="1:15" ht="24" x14ac:dyDescent="0.25">
      <c r="A440" s="274" t="s">
        <v>102</v>
      </c>
      <c r="B440" s="951"/>
      <c r="C440" s="312" t="s">
        <v>496</v>
      </c>
      <c r="D440" s="312"/>
      <c r="E440" s="276">
        <v>20000</v>
      </c>
      <c r="F440" s="277"/>
      <c r="G440" s="333">
        <f t="shared" si="545"/>
        <v>0</v>
      </c>
      <c r="H440" s="278"/>
      <c r="I440" s="278"/>
      <c r="J440" s="352" t="str">
        <f>IFERROR(G440/#REF!,"-")</f>
        <v>-</v>
      </c>
      <c r="K440" s="333">
        <f t="shared" si="546"/>
        <v>0</v>
      </c>
      <c r="L440" s="272">
        <f t="shared" si="547"/>
        <v>0</v>
      </c>
      <c r="M440" s="273">
        <f t="shared" si="548"/>
        <v>0</v>
      </c>
      <c r="N440" s="337">
        <f t="shared" si="541"/>
        <v>0</v>
      </c>
      <c r="O440" s="263" t="str">
        <f t="shared" si="542"/>
        <v>-</v>
      </c>
    </row>
    <row r="441" spans="1:15" ht="24.75" thickBot="1" x14ac:dyDescent="0.3">
      <c r="A441" s="274" t="s">
        <v>102</v>
      </c>
      <c r="B441" s="950"/>
      <c r="C441" s="313" t="s">
        <v>36</v>
      </c>
      <c r="D441" s="313"/>
      <c r="E441" s="280"/>
      <c r="F441" s="281"/>
      <c r="G441" s="334">
        <f t="shared" si="545"/>
        <v>0</v>
      </c>
      <c r="H441" s="282"/>
      <c r="I441" s="282"/>
      <c r="J441" s="353" t="str">
        <f>IFERROR(G441/#REF!,"-")</f>
        <v>-</v>
      </c>
      <c r="K441" s="334">
        <f t="shared" si="546"/>
        <v>0</v>
      </c>
      <c r="L441" s="272">
        <f t="shared" si="547"/>
        <v>0</v>
      </c>
      <c r="M441" s="273">
        <f t="shared" si="548"/>
        <v>0</v>
      </c>
      <c r="N441" s="338" t="str">
        <f t="shared" si="541"/>
        <v>-</v>
      </c>
      <c r="O441" s="347" t="str">
        <f t="shared" si="542"/>
        <v>-</v>
      </c>
    </row>
    <row r="442" spans="1:15" ht="23.25" thickBot="1" x14ac:dyDescent="0.3">
      <c r="A442" s="274" t="s">
        <v>102</v>
      </c>
      <c r="B442" s="946" t="s">
        <v>37</v>
      </c>
      <c r="C442" s="947"/>
      <c r="D442" s="948"/>
      <c r="E442" s="284">
        <f>SUM(E438:E441)</f>
        <v>20000</v>
      </c>
      <c r="F442" s="285">
        <v>6500</v>
      </c>
      <c r="G442" s="320">
        <f>SUM(G438:G441)</f>
        <v>0</v>
      </c>
      <c r="H442" s="321">
        <f t="shared" ref="H442:I442" si="549">SUM(H438:H441)</f>
        <v>0</v>
      </c>
      <c r="I442" s="321">
        <f t="shared" si="549"/>
        <v>0</v>
      </c>
      <c r="J442" s="345" t="str">
        <f>IFERROR(G442/#REF!,"-")</f>
        <v>-</v>
      </c>
      <c r="K442" s="320">
        <f t="shared" ref="K442:M442" si="550">SUM(K438:K441)</f>
        <v>0</v>
      </c>
      <c r="L442" s="321">
        <f t="shared" si="550"/>
        <v>0</v>
      </c>
      <c r="M442" s="322">
        <f t="shared" si="550"/>
        <v>0</v>
      </c>
      <c r="N442" s="339">
        <f>IFERROR(K442/E442,"-")</f>
        <v>0</v>
      </c>
      <c r="O442" s="345" t="str">
        <f t="shared" si="542"/>
        <v>-</v>
      </c>
    </row>
    <row r="443" spans="1:15" ht="24" x14ac:dyDescent="0.25">
      <c r="A443" s="274" t="s">
        <v>102</v>
      </c>
      <c r="B443" s="949" t="s">
        <v>402</v>
      </c>
      <c r="C443" s="314" t="s">
        <v>116</v>
      </c>
      <c r="D443" s="314"/>
      <c r="E443" s="270">
        <v>14000</v>
      </c>
      <c r="F443" s="271"/>
      <c r="G443" s="332">
        <f t="shared" ref="G443:G444" si="551">+H443+I443</f>
        <v>0</v>
      </c>
      <c r="H443" s="272"/>
      <c r="I443" s="272"/>
      <c r="J443" s="351" t="str">
        <f>IFERROR(G443/#REF!,"-")</f>
        <v>-</v>
      </c>
      <c r="K443" s="332">
        <f t="shared" ref="K443:K444" si="552">+L443+M443</f>
        <v>0</v>
      </c>
      <c r="L443" s="272">
        <f t="shared" ref="L443:L444" si="553">+H443+L330</f>
        <v>0</v>
      </c>
      <c r="M443" s="273">
        <f t="shared" ref="M443:M444" si="554">+I443+M330</f>
        <v>0</v>
      </c>
      <c r="N443" s="336">
        <f t="shared" ref="N443:N459" si="555">IFERROR(K443/E443,"-")</f>
        <v>0</v>
      </c>
      <c r="O443" s="346" t="str">
        <f t="shared" si="542"/>
        <v>-</v>
      </c>
    </row>
    <row r="444" spans="1:15" ht="24.75" thickBot="1" x14ac:dyDescent="0.3">
      <c r="A444" s="274" t="s">
        <v>102</v>
      </c>
      <c r="B444" s="950"/>
      <c r="C444" s="286" t="s">
        <v>132</v>
      </c>
      <c r="D444" s="286"/>
      <c r="E444" s="280"/>
      <c r="F444" s="281"/>
      <c r="G444" s="334">
        <f t="shared" si="551"/>
        <v>0</v>
      </c>
      <c r="H444" s="282"/>
      <c r="I444" s="282"/>
      <c r="J444" s="353" t="str">
        <f>IFERROR(G444/#REF!,"-")</f>
        <v>-</v>
      </c>
      <c r="K444" s="334">
        <f t="shared" si="552"/>
        <v>2660</v>
      </c>
      <c r="L444" s="272">
        <f t="shared" si="553"/>
        <v>2490</v>
      </c>
      <c r="M444" s="273">
        <f t="shared" si="554"/>
        <v>170</v>
      </c>
      <c r="N444" s="338" t="str">
        <f t="shared" si="555"/>
        <v>-</v>
      </c>
      <c r="O444" s="347">
        <f t="shared" si="542"/>
        <v>6.3909774436090222E-2</v>
      </c>
    </row>
    <row r="445" spans="1:15" ht="23.25" thickBot="1" x14ac:dyDescent="0.3">
      <c r="A445" s="785" t="s">
        <v>102</v>
      </c>
      <c r="B445" s="946" t="s">
        <v>38</v>
      </c>
      <c r="C445" s="947"/>
      <c r="D445" s="948"/>
      <c r="E445" s="284">
        <f>SUM(E443:E444)</f>
        <v>14000</v>
      </c>
      <c r="F445" s="285">
        <v>2800</v>
      </c>
      <c r="G445" s="320">
        <f>SUM(G443:G444)</f>
        <v>0</v>
      </c>
      <c r="H445" s="321">
        <f t="shared" ref="H445:I445" si="556">SUM(H443:H444)</f>
        <v>0</v>
      </c>
      <c r="I445" s="321">
        <f t="shared" si="556"/>
        <v>0</v>
      </c>
      <c r="J445" s="345" t="str">
        <f>IFERROR(G445/#REF!,"-")</f>
        <v>-</v>
      </c>
      <c r="K445" s="320">
        <f t="shared" ref="K445:M445" si="557">SUM(K443:K444)</f>
        <v>2660</v>
      </c>
      <c r="L445" s="321">
        <f t="shared" si="557"/>
        <v>2490</v>
      </c>
      <c r="M445" s="322">
        <f t="shared" si="557"/>
        <v>170</v>
      </c>
      <c r="N445" s="339">
        <f t="shared" si="555"/>
        <v>0.19</v>
      </c>
      <c r="O445" s="345">
        <f t="shared" si="542"/>
        <v>6.3909774436090222E-2</v>
      </c>
    </row>
    <row r="446" spans="1:15" ht="24" x14ac:dyDescent="0.25">
      <c r="A446" s="274" t="s">
        <v>102</v>
      </c>
      <c r="B446" s="949" t="s">
        <v>403</v>
      </c>
      <c r="C446" s="269" t="s">
        <v>306</v>
      </c>
      <c r="D446" s="269"/>
      <c r="E446" s="270">
        <f>176000+39000+35000+36000+19000</f>
        <v>305000</v>
      </c>
      <c r="F446" s="315"/>
      <c r="G446" s="332">
        <f t="shared" ref="G446:G450" si="558">+H446+I446</f>
        <v>19497</v>
      </c>
      <c r="H446" s="272">
        <v>19356</v>
      </c>
      <c r="I446" s="272">
        <v>141</v>
      </c>
      <c r="J446" s="371" t="str">
        <f>IFERROR(G446/#REF!,"-")</f>
        <v>-</v>
      </c>
      <c r="K446" s="332">
        <f t="shared" ref="K446:K450" si="559">+L446+M446</f>
        <v>78714</v>
      </c>
      <c r="L446" s="272">
        <f t="shared" ref="L446:L450" si="560">+H446+L333</f>
        <v>78156</v>
      </c>
      <c r="M446" s="272">
        <f t="shared" ref="M446:M450" si="561">+I446+M333</f>
        <v>558</v>
      </c>
      <c r="N446" s="359">
        <f t="shared" si="555"/>
        <v>0.25807868852459015</v>
      </c>
      <c r="O446" s="360">
        <f t="shared" si="542"/>
        <v>7.0889549508346677E-3</v>
      </c>
    </row>
    <row r="447" spans="1:15" ht="24" x14ac:dyDescent="0.25">
      <c r="A447" s="274" t="s">
        <v>102</v>
      </c>
      <c r="B447" s="951"/>
      <c r="C447" s="269" t="s">
        <v>307</v>
      </c>
      <c r="D447" s="275"/>
      <c r="E447" s="276"/>
      <c r="F447" s="316"/>
      <c r="G447" s="333">
        <f t="shared" si="558"/>
        <v>0</v>
      </c>
      <c r="H447" s="278"/>
      <c r="I447" s="278"/>
      <c r="J447" s="372" t="str">
        <f>IFERROR(G447/#REF!,"-")</f>
        <v>-</v>
      </c>
      <c r="K447" s="333">
        <f t="shared" si="559"/>
        <v>0</v>
      </c>
      <c r="L447" s="272">
        <f t="shared" si="560"/>
        <v>0</v>
      </c>
      <c r="M447" s="273">
        <f t="shared" si="561"/>
        <v>0</v>
      </c>
      <c r="N447" s="361" t="str">
        <f t="shared" si="555"/>
        <v>-</v>
      </c>
      <c r="O447" s="362" t="str">
        <f t="shared" si="542"/>
        <v>-</v>
      </c>
    </row>
    <row r="448" spans="1:15" ht="24" x14ac:dyDescent="0.25">
      <c r="A448" s="274" t="s">
        <v>102</v>
      </c>
      <c r="B448" s="951"/>
      <c r="C448" s="275" t="s">
        <v>499</v>
      </c>
      <c r="D448" s="275"/>
      <c r="E448" s="276">
        <f>70000+15000</f>
        <v>85000</v>
      </c>
      <c r="F448" s="316"/>
      <c r="G448" s="333">
        <f t="shared" si="558"/>
        <v>7360</v>
      </c>
      <c r="H448" s="278">
        <v>7200</v>
      </c>
      <c r="I448" s="278">
        <v>160</v>
      </c>
      <c r="J448" s="372" t="str">
        <f>IFERROR(G448/#REF!,"-")</f>
        <v>-</v>
      </c>
      <c r="K448" s="333">
        <f t="shared" si="559"/>
        <v>7360</v>
      </c>
      <c r="L448" s="272">
        <f t="shared" si="560"/>
        <v>7200</v>
      </c>
      <c r="M448" s="273">
        <f t="shared" si="561"/>
        <v>160</v>
      </c>
      <c r="N448" s="361">
        <f t="shared" si="555"/>
        <v>8.6588235294117646E-2</v>
      </c>
      <c r="O448" s="362">
        <f t="shared" si="542"/>
        <v>2.1739130434782608E-2</v>
      </c>
    </row>
    <row r="449" spans="1:15" ht="24" x14ac:dyDescent="0.25">
      <c r="A449" s="274" t="s">
        <v>102</v>
      </c>
      <c r="B449" s="951"/>
      <c r="C449" s="275" t="s">
        <v>157</v>
      </c>
      <c r="D449" s="275"/>
      <c r="E449" s="276"/>
      <c r="F449" s="316"/>
      <c r="G449" s="333">
        <f t="shared" si="558"/>
        <v>0</v>
      </c>
      <c r="H449" s="278"/>
      <c r="I449" s="278"/>
      <c r="J449" s="372" t="str">
        <f>IFERROR(G449/#REF!,"-")</f>
        <v>-</v>
      </c>
      <c r="K449" s="333">
        <f t="shared" si="559"/>
        <v>0</v>
      </c>
      <c r="L449" s="272">
        <f t="shared" si="560"/>
        <v>0</v>
      </c>
      <c r="M449" s="273">
        <f t="shared" si="561"/>
        <v>0</v>
      </c>
      <c r="N449" s="361" t="str">
        <f t="shared" si="555"/>
        <v>-</v>
      </c>
      <c r="O449" s="362" t="str">
        <f t="shared" si="542"/>
        <v>-</v>
      </c>
    </row>
    <row r="450" spans="1:15" ht="24.75" thickBot="1" x14ac:dyDescent="0.3">
      <c r="A450" s="274" t="s">
        <v>102</v>
      </c>
      <c r="B450" s="950"/>
      <c r="C450" s="279" t="s">
        <v>158</v>
      </c>
      <c r="D450" s="279"/>
      <c r="E450" s="280"/>
      <c r="F450" s="317"/>
      <c r="G450" s="334">
        <f t="shared" si="558"/>
        <v>0</v>
      </c>
      <c r="H450" s="282"/>
      <c r="I450" s="282"/>
      <c r="J450" s="373" t="str">
        <f>IFERROR(G450/#REF!,"-")</f>
        <v>-</v>
      </c>
      <c r="K450" s="334">
        <f t="shared" si="559"/>
        <v>0</v>
      </c>
      <c r="L450" s="272">
        <f t="shared" si="560"/>
        <v>0</v>
      </c>
      <c r="M450" s="273">
        <f t="shared" si="561"/>
        <v>0</v>
      </c>
      <c r="N450" s="363" t="str">
        <f t="shared" si="555"/>
        <v>-</v>
      </c>
      <c r="O450" s="364" t="str">
        <f t="shared" si="542"/>
        <v>-</v>
      </c>
    </row>
    <row r="451" spans="1:15" ht="23.25" thickBot="1" x14ac:dyDescent="0.3">
      <c r="A451" s="274" t="s">
        <v>102</v>
      </c>
      <c r="B451" s="946" t="s">
        <v>39</v>
      </c>
      <c r="C451" s="947"/>
      <c r="D451" s="948"/>
      <c r="E451" s="320">
        <f>SUM(E446:E450)</f>
        <v>390000</v>
      </c>
      <c r="F451" s="285">
        <v>25000</v>
      </c>
      <c r="G451" s="320">
        <f>SUM(G446:G450)</f>
        <v>26857</v>
      </c>
      <c r="H451" s="321">
        <f>SUM(H446:H450)</f>
        <v>26556</v>
      </c>
      <c r="I451" s="321">
        <f>SUM(I446:I450)</f>
        <v>301</v>
      </c>
      <c r="J451" s="345" t="str">
        <f>IFERROR(G451/#REF!,"-")</f>
        <v>-</v>
      </c>
      <c r="K451" s="320">
        <f>SUM(K446:K450)</f>
        <v>86074</v>
      </c>
      <c r="L451" s="321">
        <f>SUM(L446:L450)</f>
        <v>85356</v>
      </c>
      <c r="M451" s="322">
        <f>SUM(M446:M450)</f>
        <v>718</v>
      </c>
      <c r="N451" s="339">
        <f t="shared" si="555"/>
        <v>0.22070256410256411</v>
      </c>
      <c r="O451" s="345">
        <f t="shared" si="542"/>
        <v>8.3416595022887275E-3</v>
      </c>
    </row>
    <row r="452" spans="1:15" ht="24" x14ac:dyDescent="0.25">
      <c r="A452" s="274" t="s">
        <v>102</v>
      </c>
      <c r="B452" s="949" t="s">
        <v>404</v>
      </c>
      <c r="C452" s="269" t="s">
        <v>186</v>
      </c>
      <c r="D452" s="269"/>
      <c r="E452" s="270"/>
      <c r="F452" s="271"/>
      <c r="G452" s="332">
        <f t="shared" ref="G452:G454" si="562">+H452+I452</f>
        <v>0</v>
      </c>
      <c r="H452" s="272"/>
      <c r="I452" s="272"/>
      <c r="J452" s="351" t="str">
        <f>IFERROR(G452/#REF!,"-")</f>
        <v>-</v>
      </c>
      <c r="K452" s="332">
        <f t="shared" ref="K452:K454" si="563">+L452+M452</f>
        <v>0</v>
      </c>
      <c r="L452" s="272">
        <f t="shared" ref="L452:L454" si="564">+H452+L339</f>
        <v>0</v>
      </c>
      <c r="M452" s="273">
        <f t="shared" ref="M452:M454" si="565">+I452+M339</f>
        <v>0</v>
      </c>
      <c r="N452" s="336" t="str">
        <f t="shared" si="555"/>
        <v>-</v>
      </c>
      <c r="O452" s="346" t="str">
        <f t="shared" si="542"/>
        <v>-</v>
      </c>
    </row>
    <row r="453" spans="1:15" ht="24" x14ac:dyDescent="0.25">
      <c r="A453" s="274" t="s">
        <v>102</v>
      </c>
      <c r="B453" s="951"/>
      <c r="C453" s="275" t="s">
        <v>497</v>
      </c>
      <c r="D453" s="275"/>
      <c r="E453" s="276">
        <f>33000+15000</f>
        <v>48000</v>
      </c>
      <c r="F453" s="277"/>
      <c r="G453" s="333">
        <f t="shared" si="562"/>
        <v>0</v>
      </c>
      <c r="H453" s="278"/>
      <c r="I453" s="278"/>
      <c r="J453" s="372" t="str">
        <f>IFERROR(G453/#REF!,"-")</f>
        <v>-</v>
      </c>
      <c r="K453" s="333">
        <f t="shared" si="563"/>
        <v>11826</v>
      </c>
      <c r="L453" s="714">
        <f t="shared" si="564"/>
        <v>11400</v>
      </c>
      <c r="M453" s="273">
        <f t="shared" si="565"/>
        <v>426</v>
      </c>
      <c r="N453" s="361">
        <f t="shared" si="555"/>
        <v>0.24637500000000001</v>
      </c>
      <c r="O453" s="362">
        <f t="shared" si="542"/>
        <v>3.6022323693556568E-2</v>
      </c>
    </row>
    <row r="454" spans="1:15" ht="24.75" thickBot="1" x14ac:dyDescent="0.3">
      <c r="A454" s="274" t="s">
        <v>102</v>
      </c>
      <c r="B454" s="950"/>
      <c r="C454" s="279" t="s">
        <v>498</v>
      </c>
      <c r="D454" s="279"/>
      <c r="E454" s="280">
        <f>50000+10000</f>
        <v>60000</v>
      </c>
      <c r="F454" s="281"/>
      <c r="G454" s="334">
        <f t="shared" si="562"/>
        <v>0</v>
      </c>
      <c r="H454" s="282"/>
      <c r="I454" s="282"/>
      <c r="J454" s="373" t="str">
        <f>IFERROR(G454/#REF!,"-")</f>
        <v>-</v>
      </c>
      <c r="K454" s="334">
        <f t="shared" si="563"/>
        <v>0</v>
      </c>
      <c r="L454" s="272">
        <f t="shared" si="564"/>
        <v>0</v>
      </c>
      <c r="M454" s="273">
        <f t="shared" si="565"/>
        <v>0</v>
      </c>
      <c r="N454" s="363">
        <f t="shared" si="555"/>
        <v>0</v>
      </c>
      <c r="O454" s="364" t="str">
        <f t="shared" si="542"/>
        <v>-</v>
      </c>
    </row>
    <row r="455" spans="1:15" ht="23.25" thickBot="1" x14ac:dyDescent="0.3">
      <c r="A455" s="274" t="s">
        <v>102</v>
      </c>
      <c r="B455" s="952" t="s">
        <v>41</v>
      </c>
      <c r="C455" s="953"/>
      <c r="D455" s="954"/>
      <c r="E455" s="320">
        <f>SUM(E452:E454)</f>
        <v>108000</v>
      </c>
      <c r="F455" s="285"/>
      <c r="G455" s="320">
        <f>SUM(G452:G454)</f>
        <v>0</v>
      </c>
      <c r="H455" s="321">
        <f t="shared" ref="H455:I455" si="566">SUM(H452:H454)</f>
        <v>0</v>
      </c>
      <c r="I455" s="321">
        <f t="shared" si="566"/>
        <v>0</v>
      </c>
      <c r="J455" s="345" t="str">
        <f>IFERROR(G455/#REF!,"-")</f>
        <v>-</v>
      </c>
      <c r="K455" s="320">
        <f t="shared" ref="K455:M455" si="567">SUM(K452:K454)</f>
        <v>11826</v>
      </c>
      <c r="L455" s="365">
        <f t="shared" si="567"/>
        <v>11400</v>
      </c>
      <c r="M455" s="367">
        <f t="shared" si="567"/>
        <v>426</v>
      </c>
      <c r="N455" s="339">
        <f t="shared" si="555"/>
        <v>0.1095</v>
      </c>
      <c r="O455" s="345">
        <f t="shared" si="542"/>
        <v>3.6022323693556568E-2</v>
      </c>
    </row>
    <row r="456" spans="1:15" ht="24.75" thickBot="1" x14ac:dyDescent="0.3">
      <c r="A456" s="274" t="s">
        <v>102</v>
      </c>
      <c r="B456" s="949" t="s">
        <v>42</v>
      </c>
      <c r="C456" s="269" t="s">
        <v>160</v>
      </c>
      <c r="D456" s="269"/>
      <c r="E456" s="270">
        <v>11076</v>
      </c>
      <c r="F456" s="271"/>
      <c r="G456" s="332">
        <f t="shared" ref="G456:G457" si="568">+H456+I456</f>
        <v>0</v>
      </c>
      <c r="H456" s="272"/>
      <c r="I456" s="272"/>
      <c r="J456" s="371" t="str">
        <f>IFERROR(G456/#REF!,"-")</f>
        <v>-</v>
      </c>
      <c r="K456" s="695">
        <f t="shared" ref="K456:K457" si="569">+L456+M456</f>
        <v>0</v>
      </c>
      <c r="L456" s="688">
        <f t="shared" ref="L456:L457" si="570">+H456+L343</f>
        <v>0</v>
      </c>
      <c r="M456" s="688">
        <f t="shared" ref="M456:M457" si="571">+I456+M343</f>
        <v>0</v>
      </c>
      <c r="N456" s="359">
        <f t="shared" si="555"/>
        <v>0</v>
      </c>
      <c r="O456" s="360" t="str">
        <f t="shared" si="542"/>
        <v>-</v>
      </c>
    </row>
    <row r="457" spans="1:15" ht="24.75" thickBot="1" x14ac:dyDescent="0.3">
      <c r="A457" s="274" t="s">
        <v>102</v>
      </c>
      <c r="B457" s="950"/>
      <c r="C457" s="279" t="s">
        <v>161</v>
      </c>
      <c r="D457" s="279"/>
      <c r="E457" s="280">
        <v>0</v>
      </c>
      <c r="F457" s="281"/>
      <c r="G457" s="334">
        <f t="shared" si="568"/>
        <v>0</v>
      </c>
      <c r="H457" s="282"/>
      <c r="I457" s="282"/>
      <c r="J457" s="373" t="str">
        <f>IFERROR(G457/#REF!,"-")</f>
        <v>-</v>
      </c>
      <c r="K457" s="696">
        <f t="shared" si="569"/>
        <v>0</v>
      </c>
      <c r="L457" s="688">
        <f t="shared" si="570"/>
        <v>0</v>
      </c>
      <c r="M457" s="688">
        <f t="shared" si="571"/>
        <v>0</v>
      </c>
      <c r="N457" s="363" t="str">
        <f t="shared" si="555"/>
        <v>-</v>
      </c>
      <c r="O457" s="364" t="str">
        <f t="shared" si="542"/>
        <v>-</v>
      </c>
    </row>
    <row r="458" spans="1:15" ht="23.25" thickBot="1" x14ac:dyDescent="0.3">
      <c r="A458" s="274" t="s">
        <v>102</v>
      </c>
      <c r="B458" s="952" t="s">
        <v>43</v>
      </c>
      <c r="C458" s="953"/>
      <c r="D458" s="954"/>
      <c r="E458" s="284">
        <f>SUM(E456:E457)</f>
        <v>11076</v>
      </c>
      <c r="F458" s="285">
        <v>25000</v>
      </c>
      <c r="G458" s="320">
        <f>SUM(G456:G457)</f>
        <v>0</v>
      </c>
      <c r="H458" s="321">
        <f t="shared" ref="H458:I458" si="572">SUM(H456:H457)</f>
        <v>0</v>
      </c>
      <c r="I458" s="321">
        <f t="shared" si="572"/>
        <v>0</v>
      </c>
      <c r="J458" s="345" t="str">
        <f>IFERROR(G458/#REF!,"-")</f>
        <v>-</v>
      </c>
      <c r="K458" s="760">
        <f t="shared" ref="K458:M458" si="573">SUM(K456:K457)</f>
        <v>0</v>
      </c>
      <c r="L458" s="761">
        <f t="shared" si="573"/>
        <v>0</v>
      </c>
      <c r="M458" s="761">
        <f t="shared" si="573"/>
        <v>0</v>
      </c>
      <c r="N458" s="339">
        <f t="shared" si="555"/>
        <v>0</v>
      </c>
      <c r="O458" s="345" t="str">
        <f t="shared" si="542"/>
        <v>-</v>
      </c>
    </row>
    <row r="459" spans="1:15" ht="23.25" thickBot="1" x14ac:dyDescent="0.3">
      <c r="A459" s="274" t="s">
        <v>102</v>
      </c>
      <c r="B459" s="938" t="s">
        <v>25</v>
      </c>
      <c r="C459" s="939"/>
      <c r="D459" s="940"/>
      <c r="E459" s="326">
        <f t="shared" ref="E459:F459" si="574">+E437+E442+E445+E451+E455+E458</f>
        <v>545076</v>
      </c>
      <c r="F459" s="327">
        <f t="shared" si="574"/>
        <v>65800</v>
      </c>
      <c r="G459" s="326">
        <f>+G437+G442+G445+G451+G455+G458</f>
        <v>28297</v>
      </c>
      <c r="H459" s="324">
        <f>+H437+H442+H445+H451+H455+H458</f>
        <v>27856</v>
      </c>
      <c r="I459" s="324">
        <f t="shared" ref="I459" si="575">+I437+I442+I445+I451+I455+I458</f>
        <v>441</v>
      </c>
      <c r="J459" s="349" t="str">
        <f>IFERROR(G459/#REF!,"-")</f>
        <v>-</v>
      </c>
      <c r="K459" s="326">
        <f>+K437+K442+K445+K451+K455+K458</f>
        <v>103997</v>
      </c>
      <c r="L459" s="759">
        <f t="shared" ref="L459:M459" si="576">+L437+L442+L445+L451+L455+L458</f>
        <v>102446</v>
      </c>
      <c r="M459" s="325">
        <f t="shared" si="576"/>
        <v>1551</v>
      </c>
      <c r="N459" s="341">
        <f t="shared" si="555"/>
        <v>0.19079357740938879</v>
      </c>
      <c r="O459" s="349">
        <f t="shared" si="542"/>
        <v>1.4913891746877314E-2</v>
      </c>
    </row>
    <row r="460" spans="1:15" ht="23.25" thickBot="1" x14ac:dyDescent="0.3">
      <c r="A460" s="318" t="s">
        <v>102</v>
      </c>
      <c r="B460" s="941" t="s">
        <v>173</v>
      </c>
      <c r="C460" s="941"/>
      <c r="D460" s="942"/>
      <c r="E460" s="330">
        <f>+E459</f>
        <v>545076</v>
      </c>
      <c r="F460" s="331">
        <f t="shared" ref="F460:O460" si="577">+F459</f>
        <v>65800</v>
      </c>
      <c r="G460" s="330">
        <f t="shared" si="577"/>
        <v>28297</v>
      </c>
      <c r="H460" s="328">
        <f t="shared" si="577"/>
        <v>27856</v>
      </c>
      <c r="I460" s="328">
        <f t="shared" si="577"/>
        <v>441</v>
      </c>
      <c r="J460" s="350" t="str">
        <f t="shared" si="577"/>
        <v>-</v>
      </c>
      <c r="K460" s="330">
        <f t="shared" si="577"/>
        <v>103997</v>
      </c>
      <c r="L460" s="328">
        <f t="shared" si="577"/>
        <v>102446</v>
      </c>
      <c r="M460" s="329">
        <f t="shared" si="577"/>
        <v>1551</v>
      </c>
      <c r="N460" s="342">
        <f t="shared" si="577"/>
        <v>0.19079357740938879</v>
      </c>
      <c r="O460" s="350">
        <f t="shared" si="577"/>
        <v>1.4913891746877314E-2</v>
      </c>
    </row>
    <row r="461" spans="1:15" ht="26.25" thickBot="1" x14ac:dyDescent="0.3">
      <c r="A461" s="319"/>
      <c r="B461" s="943" t="s">
        <v>174</v>
      </c>
      <c r="C461" s="944"/>
      <c r="D461" s="945"/>
      <c r="E461" s="374">
        <f>+E398+E433+E460</f>
        <v>6540740</v>
      </c>
      <c r="F461" s="374">
        <f>+F398+F433+F460</f>
        <v>1024800</v>
      </c>
      <c r="G461" s="374">
        <f>+G398+G433+G460</f>
        <v>278170</v>
      </c>
      <c r="H461" s="374">
        <f>+H398+H433+H460</f>
        <v>444068</v>
      </c>
      <c r="I461" s="374">
        <f>+I398+I433+I460</f>
        <v>3400</v>
      </c>
      <c r="J461" s="375" t="str">
        <f>IFERROR(G461/#REF!,"-")</f>
        <v>-</v>
      </c>
      <c r="K461" s="374">
        <f>+K398+K433+K460</f>
        <v>1441466</v>
      </c>
      <c r="L461" s="374">
        <f>+L398+L433+L460</f>
        <v>1430134</v>
      </c>
      <c r="M461" s="374">
        <f>+M398+M433+M460</f>
        <v>11332</v>
      </c>
      <c r="N461" s="375">
        <f>IFERROR(K461/E461,"-")</f>
        <v>0.22038270899011428</v>
      </c>
      <c r="O461" s="375">
        <f>IFERROR(M461/K461,"-")</f>
        <v>7.8614410606979278E-3</v>
      </c>
    </row>
    <row r="462" spans="1:15" ht="22.5" x14ac:dyDescent="0.25">
      <c r="A462" s="978" t="s">
        <v>1</v>
      </c>
      <c r="B462" s="981" t="s">
        <v>2</v>
      </c>
      <c r="C462" s="984" t="s">
        <v>396</v>
      </c>
      <c r="D462" s="984" t="s">
        <v>397</v>
      </c>
      <c r="E462" s="987" t="s">
        <v>4</v>
      </c>
      <c r="F462" s="988"/>
      <c r="G462" s="988"/>
      <c r="H462" s="988"/>
      <c r="I462" s="988"/>
      <c r="J462" s="988"/>
      <c r="K462" s="988"/>
      <c r="L462" s="988"/>
      <c r="M462" s="988"/>
      <c r="N462" s="988"/>
      <c r="O462" s="989"/>
    </row>
    <row r="463" spans="1:15" ht="22.5" x14ac:dyDescent="0.25">
      <c r="A463" s="979"/>
      <c r="B463" s="982"/>
      <c r="C463" s="985"/>
      <c r="D463" s="985"/>
      <c r="E463" s="990" t="s">
        <v>7</v>
      </c>
      <c r="F463" s="992" t="s">
        <v>108</v>
      </c>
      <c r="G463" s="994" t="s">
        <v>504</v>
      </c>
      <c r="H463" s="995"/>
      <c r="I463" s="995"/>
      <c r="J463" s="996"/>
      <c r="K463" s="997" t="s">
        <v>398</v>
      </c>
      <c r="L463" s="998"/>
      <c r="M463" s="999"/>
      <c r="N463" s="1000" t="s">
        <v>399</v>
      </c>
      <c r="O463" s="1002" t="s">
        <v>164</v>
      </c>
    </row>
    <row r="464" spans="1:15" ht="41.25" thickBot="1" x14ac:dyDescent="0.3">
      <c r="A464" s="980"/>
      <c r="B464" s="983"/>
      <c r="C464" s="986"/>
      <c r="D464" s="986"/>
      <c r="E464" s="991"/>
      <c r="F464" s="993"/>
      <c r="G464" s="452" t="s">
        <v>13</v>
      </c>
      <c r="H464" s="453" t="s">
        <v>14</v>
      </c>
      <c r="I464" s="453" t="s">
        <v>15</v>
      </c>
      <c r="J464" s="454" t="s">
        <v>166</v>
      </c>
      <c r="K464" s="680" t="s">
        <v>13</v>
      </c>
      <c r="L464" s="678" t="s">
        <v>14</v>
      </c>
      <c r="M464" s="679" t="s">
        <v>15</v>
      </c>
      <c r="N464" s="1001"/>
      <c r="O464" s="1003"/>
    </row>
    <row r="465" spans="1:15" ht="24.75" thickBot="1" x14ac:dyDescent="0.3">
      <c r="A465" s="268" t="s">
        <v>103</v>
      </c>
      <c r="B465" s="965" t="s">
        <v>16</v>
      </c>
      <c r="C465" s="269" t="s">
        <v>368</v>
      </c>
      <c r="D465" s="269" t="s">
        <v>369</v>
      </c>
      <c r="E465" s="270">
        <v>20000</v>
      </c>
      <c r="F465" s="271"/>
      <c r="G465" s="332">
        <f>+H465+I465</f>
        <v>0</v>
      </c>
      <c r="H465" s="272"/>
      <c r="I465" s="272"/>
      <c r="J465" s="351"/>
      <c r="K465" s="457">
        <f>+L465+M465</f>
        <v>0</v>
      </c>
      <c r="L465" s="688">
        <f>+H465+L352</f>
        <v>0</v>
      </c>
      <c r="M465" s="688">
        <f>+I465+M352</f>
        <v>0</v>
      </c>
      <c r="N465" s="336">
        <f>IFERROR(K465/E465,"-")</f>
        <v>0</v>
      </c>
      <c r="O465" s="343" t="str">
        <f t="shared" ref="O465:O466" si="578">IFERROR(M465/K465,"-")</f>
        <v>-</v>
      </c>
    </row>
    <row r="466" spans="1:15" ht="24" x14ac:dyDescent="0.25">
      <c r="A466" s="274" t="s">
        <v>103</v>
      </c>
      <c r="B466" s="966"/>
      <c r="C466" s="275" t="s">
        <v>376</v>
      </c>
      <c r="D466" s="275" t="s">
        <v>375</v>
      </c>
      <c r="E466" s="276"/>
      <c r="F466" s="277"/>
      <c r="G466" s="333">
        <f t="shared" ref="G466:G468" si="579">+H466+I466</f>
        <v>0</v>
      </c>
      <c r="H466" s="278"/>
      <c r="I466" s="278"/>
      <c r="J466" s="352" t="str">
        <f>IFERROR(G466/#REF!,"-")</f>
        <v>-</v>
      </c>
      <c r="K466" s="690">
        <f t="shared" ref="K466:K468" si="580">+L466+M466</f>
        <v>0</v>
      </c>
      <c r="L466" s="527">
        <f t="shared" ref="L466:L468" si="581">+H466+L353</f>
        <v>0</v>
      </c>
      <c r="M466" s="459">
        <f t="shared" ref="M466:M468" si="582">+I466+M353</f>
        <v>0</v>
      </c>
      <c r="N466" s="337" t="str">
        <f t="shared" ref="N466:N468" si="583">IFERROR(K466/E466,"-")</f>
        <v>-</v>
      </c>
      <c r="O466" s="265" t="str">
        <f t="shared" si="578"/>
        <v>-</v>
      </c>
    </row>
    <row r="467" spans="1:15" s="723" customFormat="1" ht="22.5" x14ac:dyDescent="0.25">
      <c r="A467" s="274" t="s">
        <v>103</v>
      </c>
      <c r="B467" s="966"/>
      <c r="C467" s="573" t="s">
        <v>431</v>
      </c>
      <c r="D467" s="573" t="s">
        <v>366</v>
      </c>
      <c r="E467" s="720"/>
      <c r="F467" s="721"/>
      <c r="G467" s="333">
        <f t="shared" si="579"/>
        <v>0</v>
      </c>
      <c r="H467" s="722"/>
      <c r="I467" s="722"/>
      <c r="J467" s="352" t="str">
        <f>IFERROR(G467/#REF!,"-")</f>
        <v>-</v>
      </c>
      <c r="K467" s="690">
        <f t="shared" si="580"/>
        <v>3520</v>
      </c>
      <c r="L467" s="720">
        <f t="shared" si="581"/>
        <v>3520</v>
      </c>
      <c r="M467" s="529">
        <f t="shared" si="582"/>
        <v>0</v>
      </c>
      <c r="N467" s="337" t="str">
        <f t="shared" si="583"/>
        <v>-</v>
      </c>
      <c r="O467" s="265">
        <f>IFERROR(M467/K467,"-")</f>
        <v>0</v>
      </c>
    </row>
    <row r="468" spans="1:15" ht="24.75" thickBot="1" x14ac:dyDescent="0.3">
      <c r="A468" s="274" t="s">
        <v>103</v>
      </c>
      <c r="B468" s="967"/>
      <c r="C468" s="279" t="s">
        <v>428</v>
      </c>
      <c r="D468" s="279" t="s">
        <v>374</v>
      </c>
      <c r="E468" s="280"/>
      <c r="F468" s="281"/>
      <c r="G468" s="334">
        <f t="shared" si="579"/>
        <v>0</v>
      </c>
      <c r="H468" s="272"/>
      <c r="I468" s="272"/>
      <c r="J468" s="353" t="str">
        <f>IFERROR(G468/#REF!,"-")</f>
        <v>-</v>
      </c>
      <c r="K468" s="691">
        <f t="shared" si="580"/>
        <v>0</v>
      </c>
      <c r="L468" s="530">
        <f t="shared" si="581"/>
        <v>0</v>
      </c>
      <c r="M468" s="462">
        <f t="shared" si="582"/>
        <v>0</v>
      </c>
      <c r="N468" s="338" t="str">
        <f t="shared" si="583"/>
        <v>-</v>
      </c>
      <c r="O468" s="344" t="str">
        <f t="shared" ref="O468:O486" si="584">IFERROR(M468/K468,"-")</f>
        <v>-</v>
      </c>
    </row>
    <row r="469" spans="1:15" ht="23.25" thickBot="1" x14ac:dyDescent="0.3">
      <c r="A469" s="274" t="s">
        <v>103</v>
      </c>
      <c r="B469" s="946" t="s">
        <v>44</v>
      </c>
      <c r="C469" s="947"/>
      <c r="D469" s="948"/>
      <c r="E469" s="320">
        <f>SUM(E465:E468)</f>
        <v>20000</v>
      </c>
      <c r="F469" s="285">
        <v>15000</v>
      </c>
      <c r="G469" s="320">
        <f>SUM(G465:G468)</f>
        <v>0</v>
      </c>
      <c r="H469" s="321">
        <f t="shared" ref="H469:I469" si="585">SUM(H465:H468)</f>
        <v>0</v>
      </c>
      <c r="I469" s="321">
        <f t="shared" si="585"/>
        <v>0</v>
      </c>
      <c r="J469" s="345">
        <f>+G469/F469</f>
        <v>0</v>
      </c>
      <c r="K469" s="320">
        <f t="shared" ref="K469" si="586">SUM(K465:K468)</f>
        <v>3520</v>
      </c>
      <c r="L469" s="692">
        <f>SUM(L465:L468)</f>
        <v>3520</v>
      </c>
      <c r="M469" s="693">
        <f>SUM(M465:M468)</f>
        <v>0</v>
      </c>
      <c r="N469" s="339">
        <f>IFERROR(K469/E469,"-")</f>
        <v>0.17599999999999999</v>
      </c>
      <c r="O469" s="345">
        <f t="shared" si="584"/>
        <v>0</v>
      </c>
    </row>
    <row r="470" spans="1:15" ht="24" x14ac:dyDescent="0.25">
      <c r="A470" s="274" t="s">
        <v>103</v>
      </c>
      <c r="B470" s="965" t="s">
        <v>17</v>
      </c>
      <c r="C470" s="269" t="s">
        <v>294</v>
      </c>
      <c r="D470" s="269"/>
      <c r="E470" s="270"/>
      <c r="F470" s="271"/>
      <c r="G470" s="332">
        <f t="shared" ref="G470:G476" si="587">+H470+I470</f>
        <v>0</v>
      </c>
      <c r="H470" s="272"/>
      <c r="I470" s="272"/>
      <c r="J470" s="351" t="str">
        <f>IFERROR(G470/#REF!,"-")</f>
        <v>-</v>
      </c>
      <c r="K470" s="694">
        <f t="shared" ref="K470:K476" si="588">+L470+M470</f>
        <v>0</v>
      </c>
      <c r="L470" s="527">
        <f t="shared" ref="L470:L476" si="589">+H470+L357</f>
        <v>0</v>
      </c>
      <c r="M470" s="459">
        <f t="shared" ref="M470:M476" si="590">+I470+M357</f>
        <v>0</v>
      </c>
      <c r="N470" s="336" t="str">
        <f t="shared" ref="N470:N476" si="591">IFERROR(K470/E470,"-")</f>
        <v>-</v>
      </c>
      <c r="O470" s="346" t="str">
        <f t="shared" si="584"/>
        <v>-</v>
      </c>
    </row>
    <row r="471" spans="1:15" ht="24" x14ac:dyDescent="0.25">
      <c r="A471" s="274" t="s">
        <v>103</v>
      </c>
      <c r="B471" s="966"/>
      <c r="C471" s="275" t="s">
        <v>344</v>
      </c>
      <c r="D471" s="275" t="s">
        <v>232</v>
      </c>
      <c r="E471" s="276">
        <v>1600000</v>
      </c>
      <c r="F471" s="277"/>
      <c r="G471" s="333">
        <f t="shared" si="587"/>
        <v>0</v>
      </c>
      <c r="H471" s="278"/>
      <c r="I471" s="278"/>
      <c r="J471" s="352" t="str">
        <f>IFERROR(G471/#REF!,"-")</f>
        <v>-</v>
      </c>
      <c r="K471" s="690">
        <f t="shared" si="588"/>
        <v>6120</v>
      </c>
      <c r="L471" s="276">
        <f t="shared" si="589"/>
        <v>5980</v>
      </c>
      <c r="M471" s="436">
        <f t="shared" si="590"/>
        <v>140</v>
      </c>
      <c r="N471" s="337">
        <f t="shared" si="591"/>
        <v>3.8249999999999998E-3</v>
      </c>
      <c r="O471" s="263">
        <f t="shared" si="584"/>
        <v>2.2875816993464051E-2</v>
      </c>
    </row>
    <row r="472" spans="1:15" ht="24" x14ac:dyDescent="0.25">
      <c r="A472" s="274" t="s">
        <v>103</v>
      </c>
      <c r="B472" s="966"/>
      <c r="C472" s="275" t="s">
        <v>367</v>
      </c>
      <c r="D472" s="275" t="s">
        <v>187</v>
      </c>
      <c r="E472" s="276">
        <v>1000000</v>
      </c>
      <c r="F472" s="277"/>
      <c r="G472" s="333">
        <f t="shared" si="587"/>
        <v>98290</v>
      </c>
      <c r="H472" s="278">
        <f>91800+6120</f>
        <v>97920</v>
      </c>
      <c r="I472" s="278">
        <v>370</v>
      </c>
      <c r="J472" s="352" t="str">
        <f>IFERROR(G472/#REF!,"-")</f>
        <v>-</v>
      </c>
      <c r="K472" s="690">
        <f t="shared" si="588"/>
        <v>350312</v>
      </c>
      <c r="L472" s="276">
        <f t="shared" si="589"/>
        <v>348840</v>
      </c>
      <c r="M472" s="436">
        <f t="shared" si="590"/>
        <v>1472</v>
      </c>
      <c r="N472" s="337">
        <f t="shared" si="591"/>
        <v>0.35031200000000001</v>
      </c>
      <c r="O472" s="263">
        <f t="shared" si="584"/>
        <v>4.2019685309095892E-3</v>
      </c>
    </row>
    <row r="473" spans="1:15" ht="24" x14ac:dyDescent="0.25">
      <c r="A473" s="274" t="s">
        <v>103</v>
      </c>
      <c r="B473" s="966"/>
      <c r="C473" s="275" t="s">
        <v>293</v>
      </c>
      <c r="D473" s="275" t="s">
        <v>188</v>
      </c>
      <c r="E473" s="276"/>
      <c r="F473" s="277"/>
      <c r="G473" s="333">
        <f t="shared" si="587"/>
        <v>0</v>
      </c>
      <c r="H473" s="278"/>
      <c r="I473" s="278"/>
      <c r="J473" s="352" t="str">
        <f>IFERROR(G473/#REF!,"-")</f>
        <v>-</v>
      </c>
      <c r="K473" s="690">
        <f t="shared" si="588"/>
        <v>0</v>
      </c>
      <c r="L473" s="276">
        <f t="shared" si="589"/>
        <v>0</v>
      </c>
      <c r="M473" s="436">
        <f t="shared" si="590"/>
        <v>0</v>
      </c>
      <c r="N473" s="337" t="str">
        <f t="shared" si="591"/>
        <v>-</v>
      </c>
      <c r="O473" s="263" t="str">
        <f t="shared" si="584"/>
        <v>-</v>
      </c>
    </row>
    <row r="474" spans="1:15" ht="24" x14ac:dyDescent="0.25">
      <c r="A474" s="274" t="s">
        <v>103</v>
      </c>
      <c r="B474" s="966"/>
      <c r="C474" s="275" t="s">
        <v>323</v>
      </c>
      <c r="D474" s="275" t="s">
        <v>318</v>
      </c>
      <c r="E474" s="276"/>
      <c r="F474" s="277"/>
      <c r="G474" s="333">
        <f t="shared" si="587"/>
        <v>0</v>
      </c>
      <c r="H474" s="278"/>
      <c r="I474" s="278"/>
      <c r="J474" s="352" t="str">
        <f>IFERROR(G474/#REF!,"-")</f>
        <v>-</v>
      </c>
      <c r="K474" s="690">
        <f t="shared" si="588"/>
        <v>0</v>
      </c>
      <c r="L474" s="276">
        <f t="shared" si="589"/>
        <v>0</v>
      </c>
      <c r="M474" s="436">
        <f t="shared" si="590"/>
        <v>0</v>
      </c>
      <c r="N474" s="337" t="str">
        <f t="shared" si="591"/>
        <v>-</v>
      </c>
      <c r="O474" s="263" t="str">
        <f t="shared" si="584"/>
        <v>-</v>
      </c>
    </row>
    <row r="475" spans="1:15" ht="24" x14ac:dyDescent="0.25">
      <c r="A475" s="274" t="s">
        <v>103</v>
      </c>
      <c r="B475" s="966"/>
      <c r="C475" s="275" t="s">
        <v>352</v>
      </c>
      <c r="D475" s="275" t="s">
        <v>189</v>
      </c>
      <c r="E475" s="276"/>
      <c r="F475" s="277"/>
      <c r="G475" s="333">
        <f t="shared" si="587"/>
        <v>0</v>
      </c>
      <c r="H475" s="278"/>
      <c r="I475" s="278"/>
      <c r="J475" s="352" t="str">
        <f>IFERROR(G475/#REF!,"-")</f>
        <v>-</v>
      </c>
      <c r="K475" s="690">
        <f t="shared" si="588"/>
        <v>0</v>
      </c>
      <c r="L475" s="276">
        <f t="shared" si="589"/>
        <v>0</v>
      </c>
      <c r="M475" s="436">
        <f t="shared" si="590"/>
        <v>0</v>
      </c>
      <c r="N475" s="337" t="str">
        <f t="shared" si="591"/>
        <v>-</v>
      </c>
      <c r="O475" s="263" t="str">
        <f t="shared" si="584"/>
        <v>-</v>
      </c>
    </row>
    <row r="476" spans="1:15" ht="24.75" thickBot="1" x14ac:dyDescent="0.3">
      <c r="A476" s="274" t="s">
        <v>103</v>
      </c>
      <c r="B476" s="967"/>
      <c r="C476" s="279" t="s">
        <v>341</v>
      </c>
      <c r="D476" s="279" t="s">
        <v>232</v>
      </c>
      <c r="E476" s="280"/>
      <c r="F476" s="281"/>
      <c r="G476" s="334">
        <f t="shared" si="587"/>
        <v>0</v>
      </c>
      <c r="H476" s="282"/>
      <c r="I476" s="282"/>
      <c r="J476" s="353" t="str">
        <f>IFERROR(G476/#REF!,"-")</f>
        <v>-</v>
      </c>
      <c r="K476" s="691">
        <f t="shared" si="588"/>
        <v>0</v>
      </c>
      <c r="L476" s="530">
        <f t="shared" si="589"/>
        <v>0</v>
      </c>
      <c r="M476" s="462">
        <f t="shared" si="590"/>
        <v>0</v>
      </c>
      <c r="N476" s="338" t="str">
        <f t="shared" si="591"/>
        <v>-</v>
      </c>
      <c r="O476" s="347" t="str">
        <f t="shared" si="584"/>
        <v>-</v>
      </c>
    </row>
    <row r="477" spans="1:15" ht="23.25" thickBot="1" x14ac:dyDescent="0.3">
      <c r="A477" s="274" t="s">
        <v>103</v>
      </c>
      <c r="B477" s="946" t="s">
        <v>45</v>
      </c>
      <c r="C477" s="947"/>
      <c r="D477" s="948"/>
      <c r="E477" s="320">
        <f>SUM(E470:E476)</f>
        <v>2600000</v>
      </c>
      <c r="F477" s="285">
        <v>100000</v>
      </c>
      <c r="G477" s="320">
        <f>SUM(G470:G476)</f>
        <v>98290</v>
      </c>
      <c r="H477" s="321">
        <f t="shared" ref="H477:I477" si="592">SUM(H470:H476)</f>
        <v>97920</v>
      </c>
      <c r="I477" s="321">
        <f t="shared" si="592"/>
        <v>370</v>
      </c>
      <c r="J477" s="345">
        <f>+G477/F477</f>
        <v>0.9829</v>
      </c>
      <c r="K477" s="320">
        <f>SUM(K470:K476)</f>
        <v>356432</v>
      </c>
      <c r="L477" s="519">
        <f>SUM(L470:L476)</f>
        <v>354820</v>
      </c>
      <c r="M477" s="689">
        <f t="shared" ref="M477" si="593">SUM(M470:M476)</f>
        <v>1612</v>
      </c>
      <c r="N477" s="339">
        <f>IFERROR(K477/E477,"-")</f>
        <v>0.13708923076923077</v>
      </c>
      <c r="O477" s="345">
        <f t="shared" si="584"/>
        <v>4.5226017865960411E-3</v>
      </c>
    </row>
    <row r="478" spans="1:15" ht="24" x14ac:dyDescent="0.25">
      <c r="A478" s="274" t="s">
        <v>103</v>
      </c>
      <c r="B478" s="965" t="s">
        <v>18</v>
      </c>
      <c r="C478" s="269" t="s">
        <v>312</v>
      </c>
      <c r="D478" s="269" t="s">
        <v>92</v>
      </c>
      <c r="E478" s="270"/>
      <c r="F478" s="271"/>
      <c r="G478" s="332">
        <f t="shared" ref="G478:G484" si="594">+H478+I478</f>
        <v>0</v>
      </c>
      <c r="H478" s="272"/>
      <c r="I478" s="272"/>
      <c r="J478" s="351" t="str">
        <f>IFERROR(G478/#REF!,"-")</f>
        <v>-</v>
      </c>
      <c r="K478" s="332">
        <f t="shared" ref="K478:K484" si="595">+L478+M478</f>
        <v>0</v>
      </c>
      <c r="L478" s="272">
        <f t="shared" ref="L478:L484" si="596">+H478+L365</f>
        <v>0</v>
      </c>
      <c r="M478" s="273">
        <f t="shared" ref="M478:M484" si="597">+I478+M365</f>
        <v>0</v>
      </c>
      <c r="N478" s="336" t="str">
        <f t="shared" ref="N478:N485" si="598">IFERROR(K478/E478,"-")</f>
        <v>-</v>
      </c>
      <c r="O478" s="346" t="str">
        <f t="shared" si="584"/>
        <v>-</v>
      </c>
    </row>
    <row r="479" spans="1:15" ht="24" x14ac:dyDescent="0.25">
      <c r="A479" s="274" t="s">
        <v>103</v>
      </c>
      <c r="B479" s="966"/>
      <c r="C479" s="275" t="s">
        <v>233</v>
      </c>
      <c r="D479" s="275" t="s">
        <v>234</v>
      </c>
      <c r="E479" s="276"/>
      <c r="F479" s="277"/>
      <c r="G479" s="333">
        <f t="shared" si="594"/>
        <v>0</v>
      </c>
      <c r="H479" s="278"/>
      <c r="I479" s="278"/>
      <c r="J479" s="352" t="str">
        <f>IFERROR(G479/#REF!,"-")</f>
        <v>-</v>
      </c>
      <c r="K479" s="333">
        <f t="shared" si="595"/>
        <v>0</v>
      </c>
      <c r="L479" s="272">
        <f t="shared" si="596"/>
        <v>0</v>
      </c>
      <c r="M479" s="273">
        <f t="shared" si="597"/>
        <v>0</v>
      </c>
      <c r="N479" s="337" t="str">
        <f t="shared" si="598"/>
        <v>-</v>
      </c>
      <c r="O479" s="263" t="str">
        <f t="shared" si="584"/>
        <v>-</v>
      </c>
    </row>
    <row r="480" spans="1:15" ht="24" x14ac:dyDescent="0.25">
      <c r="A480" s="274" t="s">
        <v>103</v>
      </c>
      <c r="B480" s="966"/>
      <c r="C480" s="275" t="s">
        <v>115</v>
      </c>
      <c r="D480" s="275"/>
      <c r="E480" s="276"/>
      <c r="F480" s="277"/>
      <c r="G480" s="333">
        <f t="shared" si="594"/>
        <v>0</v>
      </c>
      <c r="H480" s="278"/>
      <c r="I480" s="278"/>
      <c r="J480" s="352" t="str">
        <f>IFERROR(G480/#REF!,"-")</f>
        <v>-</v>
      </c>
      <c r="K480" s="333">
        <f t="shared" si="595"/>
        <v>0</v>
      </c>
      <c r="L480" s="272">
        <f t="shared" si="596"/>
        <v>0</v>
      </c>
      <c r="M480" s="273">
        <f t="shared" si="597"/>
        <v>0</v>
      </c>
      <c r="N480" s="337" t="str">
        <f t="shared" si="598"/>
        <v>-</v>
      </c>
      <c r="O480" s="263" t="str">
        <f t="shared" si="584"/>
        <v>-</v>
      </c>
    </row>
    <row r="481" spans="1:15" ht="24" x14ac:dyDescent="0.25">
      <c r="A481" s="274" t="s">
        <v>103</v>
      </c>
      <c r="B481" s="966"/>
      <c r="C481" s="275" t="s">
        <v>122</v>
      </c>
      <c r="D481" s="275"/>
      <c r="E481" s="276"/>
      <c r="F481" s="277"/>
      <c r="G481" s="333">
        <f t="shared" si="594"/>
        <v>0</v>
      </c>
      <c r="H481" s="278"/>
      <c r="I481" s="278"/>
      <c r="J481" s="352" t="str">
        <f>IFERROR(G481/#REF!,"-")</f>
        <v>-</v>
      </c>
      <c r="K481" s="333">
        <f t="shared" si="595"/>
        <v>0</v>
      </c>
      <c r="L481" s="272">
        <f t="shared" si="596"/>
        <v>0</v>
      </c>
      <c r="M481" s="273">
        <f t="shared" si="597"/>
        <v>0</v>
      </c>
      <c r="N481" s="337" t="str">
        <f t="shared" si="598"/>
        <v>-</v>
      </c>
      <c r="O481" s="263" t="str">
        <f t="shared" si="584"/>
        <v>-</v>
      </c>
    </row>
    <row r="482" spans="1:15" ht="24" x14ac:dyDescent="0.25">
      <c r="A482" s="274" t="s">
        <v>103</v>
      </c>
      <c r="B482" s="966"/>
      <c r="C482" s="275" t="s">
        <v>176</v>
      </c>
      <c r="D482" s="275" t="s">
        <v>177</v>
      </c>
      <c r="E482" s="276"/>
      <c r="F482" s="277"/>
      <c r="G482" s="333">
        <f t="shared" si="594"/>
        <v>0</v>
      </c>
      <c r="H482" s="278"/>
      <c r="I482" s="278"/>
      <c r="J482" s="352" t="str">
        <f>IFERROR(G482/#REF!,"-")</f>
        <v>-</v>
      </c>
      <c r="K482" s="333">
        <f t="shared" si="595"/>
        <v>0</v>
      </c>
      <c r="L482" s="272">
        <f t="shared" si="596"/>
        <v>0</v>
      </c>
      <c r="M482" s="273">
        <f t="shared" si="597"/>
        <v>0</v>
      </c>
      <c r="N482" s="337" t="str">
        <f t="shared" si="598"/>
        <v>-</v>
      </c>
      <c r="O482" s="263" t="str">
        <f t="shared" si="584"/>
        <v>-</v>
      </c>
    </row>
    <row r="483" spans="1:15" ht="24" x14ac:dyDescent="0.25">
      <c r="A483" s="274" t="s">
        <v>103</v>
      </c>
      <c r="B483" s="966"/>
      <c r="C483" s="275" t="s">
        <v>179</v>
      </c>
      <c r="D483" s="275" t="s">
        <v>178</v>
      </c>
      <c r="E483" s="276"/>
      <c r="F483" s="277"/>
      <c r="G483" s="333">
        <f t="shared" si="594"/>
        <v>0</v>
      </c>
      <c r="H483" s="278"/>
      <c r="I483" s="278"/>
      <c r="J483" s="352" t="str">
        <f>IFERROR(G483/#REF!,"-")</f>
        <v>-</v>
      </c>
      <c r="K483" s="333">
        <f t="shared" si="595"/>
        <v>0</v>
      </c>
      <c r="L483" s="272">
        <f t="shared" si="596"/>
        <v>0</v>
      </c>
      <c r="M483" s="273">
        <f t="shared" si="597"/>
        <v>0</v>
      </c>
      <c r="N483" s="337" t="str">
        <f t="shared" si="598"/>
        <v>-</v>
      </c>
      <c r="O483" s="263" t="str">
        <f t="shared" si="584"/>
        <v>-</v>
      </c>
    </row>
    <row r="484" spans="1:15" ht="24.75" thickBot="1" x14ac:dyDescent="0.3">
      <c r="A484" s="274" t="s">
        <v>103</v>
      </c>
      <c r="B484" s="967"/>
      <c r="C484" s="286" t="s">
        <v>180</v>
      </c>
      <c r="D484" s="286" t="s">
        <v>107</v>
      </c>
      <c r="E484" s="280"/>
      <c r="F484" s="281"/>
      <c r="G484" s="334">
        <f t="shared" si="594"/>
        <v>0</v>
      </c>
      <c r="H484" s="282"/>
      <c r="I484" s="282"/>
      <c r="J484" s="353" t="str">
        <f>IFERROR(G484/#REF!,"-")</f>
        <v>-</v>
      </c>
      <c r="K484" s="334">
        <f t="shared" si="595"/>
        <v>0</v>
      </c>
      <c r="L484" s="272">
        <f t="shared" si="596"/>
        <v>0</v>
      </c>
      <c r="M484" s="273">
        <f t="shared" si="597"/>
        <v>0</v>
      </c>
      <c r="N484" s="338" t="str">
        <f t="shared" si="598"/>
        <v>-</v>
      </c>
      <c r="O484" s="347" t="str">
        <f t="shared" si="584"/>
        <v>-</v>
      </c>
    </row>
    <row r="485" spans="1:15" ht="23.25" thickBot="1" x14ac:dyDescent="0.3">
      <c r="A485" s="274" t="s">
        <v>103</v>
      </c>
      <c r="B485" s="946" t="s">
        <v>29</v>
      </c>
      <c r="C485" s="947"/>
      <c r="D485" s="948"/>
      <c r="E485" s="320">
        <f t="shared" ref="E485" si="599">SUM(E478:E484)</f>
        <v>0</v>
      </c>
      <c r="F485" s="285">
        <v>80000</v>
      </c>
      <c r="G485" s="320">
        <f>SUM(G478:G484)</f>
        <v>0</v>
      </c>
      <c r="H485" s="321">
        <f t="shared" ref="H485:I485" si="600">SUM(H478:H484)</f>
        <v>0</v>
      </c>
      <c r="I485" s="321">
        <f t="shared" si="600"/>
        <v>0</v>
      </c>
      <c r="J485" s="345">
        <f>+G485/F485</f>
        <v>0</v>
      </c>
      <c r="K485" s="320">
        <f t="shared" ref="K485" si="601">SUM(K478:K484)</f>
        <v>0</v>
      </c>
      <c r="L485" s="321">
        <f>SUM(L478:L484)</f>
        <v>0</v>
      </c>
      <c r="M485" s="322">
        <f t="shared" ref="M485" si="602">SUM(M478:M484)</f>
        <v>0</v>
      </c>
      <c r="N485" s="339" t="str">
        <f t="shared" si="598"/>
        <v>-</v>
      </c>
      <c r="O485" s="345" t="str">
        <f t="shared" si="584"/>
        <v>-</v>
      </c>
    </row>
    <row r="486" spans="1:15" ht="24.75" thickBot="1" x14ac:dyDescent="0.3">
      <c r="A486" s="252" t="s">
        <v>103</v>
      </c>
      <c r="B486" s="1004" t="s">
        <v>19</v>
      </c>
      <c r="C486" s="641" t="s">
        <v>235</v>
      </c>
      <c r="D486" s="669" t="s">
        <v>177</v>
      </c>
      <c r="E486" s="674"/>
      <c r="F486" s="671">
        <v>220000</v>
      </c>
      <c r="G486" s="644">
        <f t="shared" ref="G486:G488" si="603">+H486+I486</f>
        <v>0</v>
      </c>
      <c r="H486" s="458"/>
      <c r="I486" s="458"/>
      <c r="J486" s="531" t="str">
        <f>IFERROR(G486/#REF!,"-")</f>
        <v>-</v>
      </c>
      <c r="K486" s="457">
        <f>+L486+M486</f>
        <v>0</v>
      </c>
      <c r="L486" s="458">
        <f t="shared" ref="L486:L488" si="604">+H486+L373</f>
        <v>0</v>
      </c>
      <c r="M486" s="459">
        <f t="shared" ref="M486:M488" si="605">+I486+M373</f>
        <v>0</v>
      </c>
      <c r="N486" s="646" t="str">
        <f>IFERROR(K486/E486,"-")</f>
        <v>-</v>
      </c>
      <c r="O486" s="647" t="str">
        <f t="shared" si="584"/>
        <v>-</v>
      </c>
    </row>
    <row r="487" spans="1:15" ht="24.75" thickBot="1" x14ac:dyDescent="0.3">
      <c r="A487" s="252"/>
      <c r="B487" s="1005"/>
      <c r="C487" s="296" t="s">
        <v>377</v>
      </c>
      <c r="D487" s="645" t="s">
        <v>423</v>
      </c>
      <c r="E487" s="675">
        <v>1000000</v>
      </c>
      <c r="F487" s="672"/>
      <c r="G487" s="640">
        <f t="shared" si="603"/>
        <v>0</v>
      </c>
      <c r="H487" s="272"/>
      <c r="I487" s="272"/>
      <c r="J487" s="351" t="str">
        <f>IFERROR(G487/#REF!,"-")</f>
        <v>-</v>
      </c>
      <c r="K487" s="335">
        <f>+L487+M487</f>
        <v>576188</v>
      </c>
      <c r="L487" s="458">
        <f t="shared" si="604"/>
        <v>574464</v>
      </c>
      <c r="M487" s="459">
        <f t="shared" si="605"/>
        <v>1724</v>
      </c>
      <c r="N487" s="340">
        <f t="shared" ref="N487:N488" si="606">IFERROR(K487/E487,"-")</f>
        <v>0.57618800000000003</v>
      </c>
      <c r="O487" s="639">
        <f>IFERROR(M487/K487,"-")</f>
        <v>2.9920789742236909E-3</v>
      </c>
    </row>
    <row r="488" spans="1:15" ht="24.75" thickBot="1" x14ac:dyDescent="0.3">
      <c r="A488" s="252"/>
      <c r="B488" s="1006"/>
      <c r="C488" s="635" t="s">
        <v>342</v>
      </c>
      <c r="D488" s="670"/>
      <c r="E488" s="676">
        <v>150000</v>
      </c>
      <c r="F488" s="673"/>
      <c r="G488" s="589">
        <f t="shared" si="603"/>
        <v>0</v>
      </c>
      <c r="H488" s="282"/>
      <c r="I488" s="282"/>
      <c r="J488" s="353"/>
      <c r="K488" s="460">
        <f>+L488+M488</f>
        <v>0</v>
      </c>
      <c r="L488" s="458">
        <f t="shared" si="604"/>
        <v>0</v>
      </c>
      <c r="M488" s="459">
        <f t="shared" si="605"/>
        <v>0</v>
      </c>
      <c r="N488" s="338">
        <f t="shared" si="606"/>
        <v>0</v>
      </c>
      <c r="O488" s="636" t="str">
        <f t="shared" ref="O488:O506" si="607">IFERROR(M488/K488,"-")</f>
        <v>-</v>
      </c>
    </row>
    <row r="489" spans="1:15" ht="23.25" thickBot="1" x14ac:dyDescent="0.3">
      <c r="A489" s="274" t="s">
        <v>103</v>
      </c>
      <c r="B489" s="975" t="s">
        <v>46</v>
      </c>
      <c r="C489" s="947"/>
      <c r="D489" s="948"/>
      <c r="E489" s="320">
        <f>SUM(E486:E488)</f>
        <v>1150000</v>
      </c>
      <c r="F489" s="323">
        <f t="shared" ref="F489" si="608">SUM(F486)</f>
        <v>220000</v>
      </c>
      <c r="G489" s="320">
        <f>SUM(G486)</f>
        <v>0</v>
      </c>
      <c r="H489" s="321">
        <f>SUM(H486:H488)</f>
        <v>0</v>
      </c>
      <c r="I489" s="321">
        <f>SUM(I486:I488)</f>
        <v>0</v>
      </c>
      <c r="J489" s="345">
        <f>+G489/F489</f>
        <v>0</v>
      </c>
      <c r="K489" s="637">
        <f>SUM(K486:K487)</f>
        <v>576188</v>
      </c>
      <c r="L489" s="321">
        <f>SUM(L486:L487)</f>
        <v>574464</v>
      </c>
      <c r="M489" s="322">
        <f>SUM(M486:M487)</f>
        <v>1724</v>
      </c>
      <c r="N489" s="339">
        <f>IFERROR(K489/E489,"-")</f>
        <v>0.50103304347826083</v>
      </c>
      <c r="O489" s="345">
        <f t="shared" si="607"/>
        <v>2.9920789742236909E-3</v>
      </c>
    </row>
    <row r="490" spans="1:15" ht="24" x14ac:dyDescent="0.25">
      <c r="A490" s="274" t="s">
        <v>103</v>
      </c>
      <c r="B490" s="965" t="s">
        <v>20</v>
      </c>
      <c r="C490" s="291" t="s">
        <v>317</v>
      </c>
      <c r="D490" s="291" t="s">
        <v>289</v>
      </c>
      <c r="E490" s="270"/>
      <c r="F490" s="271"/>
      <c r="G490" s="332">
        <f t="shared" ref="G490:G492" si="609">+H490+I490</f>
        <v>0</v>
      </c>
      <c r="H490" s="272"/>
      <c r="I490" s="272"/>
      <c r="J490" s="351" t="str">
        <f>IFERROR(G490/#REF!,"-")</f>
        <v>-</v>
      </c>
      <c r="K490" s="332">
        <f t="shared" ref="K490:K492" si="610">+L490+M490</f>
        <v>0</v>
      </c>
      <c r="L490" s="272">
        <f t="shared" ref="L490:L492" si="611">+H490+L377</f>
        <v>0</v>
      </c>
      <c r="M490" s="273">
        <f t="shared" ref="M490:M492" si="612">+I490+M377</f>
        <v>0</v>
      </c>
      <c r="N490" s="336" t="str">
        <f t="shared" ref="N490:N493" si="613">IFERROR(K490/E490,"-")</f>
        <v>-</v>
      </c>
      <c r="O490" s="346" t="str">
        <f t="shared" si="607"/>
        <v>-</v>
      </c>
    </row>
    <row r="491" spans="1:15" ht="24" x14ac:dyDescent="0.25">
      <c r="A491" s="274" t="s">
        <v>103</v>
      </c>
      <c r="B491" s="966"/>
      <c r="C491" s="292" t="s">
        <v>114</v>
      </c>
      <c r="D491" s="292"/>
      <c r="E491" s="276"/>
      <c r="F491" s="277"/>
      <c r="G491" s="333">
        <f t="shared" si="609"/>
        <v>0</v>
      </c>
      <c r="H491" s="278"/>
      <c r="I491" s="278"/>
      <c r="J491" s="352" t="str">
        <f>IFERROR(G491/#REF!,"-")</f>
        <v>-</v>
      </c>
      <c r="K491" s="333">
        <f t="shared" si="610"/>
        <v>0</v>
      </c>
      <c r="L491" s="272">
        <f t="shared" si="611"/>
        <v>0</v>
      </c>
      <c r="M491" s="273">
        <f t="shared" si="612"/>
        <v>0</v>
      </c>
      <c r="N491" s="337" t="str">
        <f t="shared" si="613"/>
        <v>-</v>
      </c>
      <c r="O491" s="263" t="str">
        <f t="shared" si="607"/>
        <v>-</v>
      </c>
    </row>
    <row r="492" spans="1:15" ht="24.75" thickBot="1" x14ac:dyDescent="0.3">
      <c r="A492" s="274" t="s">
        <v>103</v>
      </c>
      <c r="B492" s="967"/>
      <c r="C492" s="293" t="s">
        <v>120</v>
      </c>
      <c r="D492" s="293"/>
      <c r="E492" s="280"/>
      <c r="F492" s="281"/>
      <c r="G492" s="334">
        <f t="shared" si="609"/>
        <v>0</v>
      </c>
      <c r="H492" s="282"/>
      <c r="I492" s="282"/>
      <c r="J492" s="353" t="str">
        <f>IFERROR(G492/#REF!,"-")</f>
        <v>-</v>
      </c>
      <c r="K492" s="334">
        <f t="shared" si="610"/>
        <v>0</v>
      </c>
      <c r="L492" s="272">
        <f t="shared" si="611"/>
        <v>0</v>
      </c>
      <c r="M492" s="273">
        <f t="shared" si="612"/>
        <v>0</v>
      </c>
      <c r="N492" s="338" t="str">
        <f t="shared" si="613"/>
        <v>-</v>
      </c>
      <c r="O492" s="347" t="str">
        <f t="shared" si="607"/>
        <v>-</v>
      </c>
    </row>
    <row r="493" spans="1:15" ht="23.25" thickBot="1" x14ac:dyDescent="0.3">
      <c r="A493" s="274" t="s">
        <v>103</v>
      </c>
      <c r="B493" s="947" t="s">
        <v>47</v>
      </c>
      <c r="C493" s="947"/>
      <c r="D493" s="964"/>
      <c r="E493" s="320">
        <f t="shared" ref="E493" si="614">SUM(E490:E492)</f>
        <v>0</v>
      </c>
      <c r="F493" s="285">
        <v>50000</v>
      </c>
      <c r="G493" s="320">
        <f>SUM(G490:G492)</f>
        <v>0</v>
      </c>
      <c r="H493" s="321">
        <f t="shared" ref="H493:I493" si="615">SUM(H490:H492)</f>
        <v>0</v>
      </c>
      <c r="I493" s="321">
        <f t="shared" si="615"/>
        <v>0</v>
      </c>
      <c r="J493" s="345">
        <f>+G493/F493</f>
        <v>0</v>
      </c>
      <c r="K493" s="320">
        <f t="shared" ref="K493:M493" si="616">SUM(K490:K492)</f>
        <v>0</v>
      </c>
      <c r="L493" s="321">
        <f t="shared" si="616"/>
        <v>0</v>
      </c>
      <c r="M493" s="322">
        <f t="shared" si="616"/>
        <v>0</v>
      </c>
      <c r="N493" s="339" t="str">
        <f t="shared" si="613"/>
        <v>-</v>
      </c>
      <c r="O493" s="345" t="str">
        <f t="shared" si="607"/>
        <v>-</v>
      </c>
    </row>
    <row r="494" spans="1:15" ht="23.25" thickBot="1" x14ac:dyDescent="0.3">
      <c r="A494" s="274" t="s">
        <v>103</v>
      </c>
      <c r="B494" s="960" t="s">
        <v>21</v>
      </c>
      <c r="C494" s="961"/>
      <c r="D494" s="962"/>
      <c r="E494" s="326">
        <f>+E469+E477+E485+E489+E493</f>
        <v>3770000</v>
      </c>
      <c r="F494" s="327">
        <f>+F469+F477+F485+F489+F493</f>
        <v>465000</v>
      </c>
      <c r="G494" s="326">
        <f>+G469+G477+G485+G489+G493</f>
        <v>98290</v>
      </c>
      <c r="H494" s="324">
        <f>+H469+H477+H485+H489+H493</f>
        <v>97920</v>
      </c>
      <c r="I494" s="324">
        <f>+I469+I477+I485+I489+I493</f>
        <v>370</v>
      </c>
      <c r="J494" s="349">
        <f>+G494/F494</f>
        <v>0.21137634408602152</v>
      </c>
      <c r="K494" s="326">
        <f>+K469+K477+K485+K489+K493</f>
        <v>936140</v>
      </c>
      <c r="L494" s="324">
        <f>+L469+L477+L485+L489+L493</f>
        <v>932804</v>
      </c>
      <c r="M494" s="325">
        <f>+M469+M477+M485+M489+M493</f>
        <v>3336</v>
      </c>
      <c r="N494" s="341">
        <f>IFERROR(K494/E494,"-")</f>
        <v>0.24831299734748011</v>
      </c>
      <c r="O494" s="349">
        <f t="shared" si="607"/>
        <v>3.5635695515628006E-3</v>
      </c>
    </row>
    <row r="495" spans="1:15" ht="24" x14ac:dyDescent="0.25">
      <c r="A495" s="274" t="s">
        <v>103</v>
      </c>
      <c r="B495" s="965" t="s">
        <v>400</v>
      </c>
      <c r="C495" s="269" t="s">
        <v>125</v>
      </c>
      <c r="D495" s="269"/>
      <c r="E495" s="270"/>
      <c r="F495" s="271"/>
      <c r="G495" s="332">
        <f t="shared" ref="G495:G498" si="617">+H495+I495</f>
        <v>0</v>
      </c>
      <c r="H495" s="272"/>
      <c r="I495" s="272"/>
      <c r="J495" s="351" t="str">
        <f>IFERROR(G495/#REF!,"-")</f>
        <v>-</v>
      </c>
      <c r="K495" s="332">
        <f t="shared" ref="K495:K498" si="618">+L495+M495</f>
        <v>0</v>
      </c>
      <c r="L495" s="272">
        <f t="shared" ref="L495:L498" si="619">+H495+L382</f>
        <v>0</v>
      </c>
      <c r="M495" s="273">
        <f t="shared" ref="M495:M498" si="620">+I495+M382</f>
        <v>0</v>
      </c>
      <c r="N495" s="336" t="str">
        <f t="shared" ref="N495:N506" si="621">IFERROR(K495/E495,"-")</f>
        <v>-</v>
      </c>
      <c r="O495" s="346" t="str">
        <f t="shared" si="607"/>
        <v>-</v>
      </c>
    </row>
    <row r="496" spans="1:15" ht="24" x14ac:dyDescent="0.25">
      <c r="A496" s="274" t="s">
        <v>103</v>
      </c>
      <c r="B496" s="966"/>
      <c r="C496" s="295" t="s">
        <v>263</v>
      </c>
      <c r="D496" s="295" t="s">
        <v>181</v>
      </c>
      <c r="E496" s="276"/>
      <c r="F496" s="277"/>
      <c r="G496" s="333">
        <f t="shared" si="617"/>
        <v>0</v>
      </c>
      <c r="H496" s="278"/>
      <c r="I496" s="278"/>
      <c r="J496" s="352" t="str">
        <f>IFERROR(G496/#REF!,"-")</f>
        <v>-</v>
      </c>
      <c r="K496" s="333">
        <f t="shared" si="618"/>
        <v>0</v>
      </c>
      <c r="L496" s="272">
        <f t="shared" si="619"/>
        <v>0</v>
      </c>
      <c r="M496" s="273">
        <f t="shared" si="620"/>
        <v>0</v>
      </c>
      <c r="N496" s="337" t="str">
        <f t="shared" si="621"/>
        <v>-</v>
      </c>
      <c r="O496" s="263" t="str">
        <f t="shared" si="607"/>
        <v>-</v>
      </c>
    </row>
    <row r="497" spans="1:15" ht="24" x14ac:dyDescent="0.25">
      <c r="A497" s="274" t="s">
        <v>103</v>
      </c>
      <c r="B497" s="966"/>
      <c r="C497" s="295" t="s">
        <v>362</v>
      </c>
      <c r="D497" s="295" t="s">
        <v>181</v>
      </c>
      <c r="E497" s="276"/>
      <c r="F497" s="277"/>
      <c r="G497" s="333">
        <f t="shared" si="617"/>
        <v>0</v>
      </c>
      <c r="H497" s="278"/>
      <c r="I497" s="278"/>
      <c r="J497" s="352" t="str">
        <f>IFERROR(G497/#REF!,"-")</f>
        <v>-</v>
      </c>
      <c r="K497" s="333">
        <f t="shared" si="618"/>
        <v>0</v>
      </c>
      <c r="L497" s="272">
        <f t="shared" si="619"/>
        <v>0</v>
      </c>
      <c r="M497" s="273">
        <f t="shared" si="620"/>
        <v>0</v>
      </c>
      <c r="N497" s="337" t="str">
        <f t="shared" si="621"/>
        <v>-</v>
      </c>
      <c r="O497" s="263" t="str">
        <f t="shared" si="607"/>
        <v>-</v>
      </c>
    </row>
    <row r="498" spans="1:15" ht="24.75" thickBot="1" x14ac:dyDescent="0.3">
      <c r="A498" s="274" t="s">
        <v>103</v>
      </c>
      <c r="B498" s="967"/>
      <c r="C498" s="279" t="s">
        <v>182</v>
      </c>
      <c r="D498" s="279" t="s">
        <v>93</v>
      </c>
      <c r="E498" s="280"/>
      <c r="F498" s="281"/>
      <c r="G498" s="334">
        <f t="shared" si="617"/>
        <v>0</v>
      </c>
      <c r="H498" s="282"/>
      <c r="I498" s="282"/>
      <c r="J498" s="353" t="str">
        <f>IFERROR(G498/#REF!,"-")</f>
        <v>-</v>
      </c>
      <c r="K498" s="334">
        <f t="shared" si="618"/>
        <v>0</v>
      </c>
      <c r="L498" s="272">
        <f t="shared" si="619"/>
        <v>0</v>
      </c>
      <c r="M498" s="273">
        <f t="shared" si="620"/>
        <v>0</v>
      </c>
      <c r="N498" s="338" t="str">
        <f t="shared" si="621"/>
        <v>-</v>
      </c>
      <c r="O498" s="347" t="str">
        <f t="shared" si="607"/>
        <v>-</v>
      </c>
    </row>
    <row r="499" spans="1:15" ht="23.25" thickBot="1" x14ac:dyDescent="0.3">
      <c r="A499" s="274" t="s">
        <v>103</v>
      </c>
      <c r="B499" s="946" t="s">
        <v>48</v>
      </c>
      <c r="C499" s="947"/>
      <c r="D499" s="948"/>
      <c r="E499" s="284">
        <f>SUM(E495:E498)</f>
        <v>0</v>
      </c>
      <c r="F499" s="285">
        <v>80000</v>
      </c>
      <c r="G499" s="320">
        <f>SUM(G495:G498)</f>
        <v>0</v>
      </c>
      <c r="H499" s="321">
        <f t="shared" ref="H499:I499" si="622">SUM(H495:H498)</f>
        <v>0</v>
      </c>
      <c r="I499" s="321">
        <f t="shared" si="622"/>
        <v>0</v>
      </c>
      <c r="J499" s="345">
        <f>+G499/F499</f>
        <v>0</v>
      </c>
      <c r="K499" s="320">
        <f t="shared" ref="K499" si="623">SUM(K495:K498)</f>
        <v>0</v>
      </c>
      <c r="L499" s="321">
        <f>SUM(L495:L498)</f>
        <v>0</v>
      </c>
      <c r="M499" s="322">
        <f t="shared" ref="M499" si="624">SUM(M495:M498)</f>
        <v>0</v>
      </c>
      <c r="N499" s="339" t="str">
        <f t="shared" si="621"/>
        <v>-</v>
      </c>
      <c r="O499" s="345" t="str">
        <f t="shared" si="607"/>
        <v>-</v>
      </c>
    </row>
    <row r="500" spans="1:15" ht="24" x14ac:dyDescent="0.25">
      <c r="A500" s="274" t="s">
        <v>103</v>
      </c>
      <c r="B500" s="965" t="s">
        <v>23</v>
      </c>
      <c r="C500" s="275" t="s">
        <v>500</v>
      </c>
      <c r="D500" s="296" t="s">
        <v>238</v>
      </c>
      <c r="E500" s="270">
        <v>10000</v>
      </c>
      <c r="F500" s="271"/>
      <c r="G500" s="332">
        <f t="shared" ref="G500:G508" si="625">+H500+I500</f>
        <v>0</v>
      </c>
      <c r="H500" s="272"/>
      <c r="I500" s="272"/>
      <c r="J500" s="351" t="str">
        <f>IFERROR(G500/#REF!,"-")</f>
        <v>-</v>
      </c>
      <c r="K500" s="332">
        <f t="shared" ref="K500:K508" si="626">+L500+M500</f>
        <v>0</v>
      </c>
      <c r="L500" s="272">
        <f t="shared" ref="L500:L508" si="627">+H500+L387</f>
        <v>0</v>
      </c>
      <c r="M500" s="273">
        <f t="shared" ref="M500:M508" si="628">+I500+M387</f>
        <v>0</v>
      </c>
      <c r="N500" s="336">
        <f t="shared" si="621"/>
        <v>0</v>
      </c>
      <c r="O500" s="346" t="str">
        <f t="shared" si="607"/>
        <v>-</v>
      </c>
    </row>
    <row r="501" spans="1:15" ht="24" x14ac:dyDescent="0.25">
      <c r="A501" s="274" t="s">
        <v>103</v>
      </c>
      <c r="B501" s="966"/>
      <c r="C501" s="275" t="s">
        <v>24</v>
      </c>
      <c r="D501" s="275" t="s">
        <v>238</v>
      </c>
      <c r="E501" s="276"/>
      <c r="F501" s="277"/>
      <c r="G501" s="333">
        <f t="shared" si="625"/>
        <v>0</v>
      </c>
      <c r="H501" s="278"/>
      <c r="I501" s="278"/>
      <c r="J501" s="352" t="str">
        <f>IFERROR(G501/#REF!,"-")</f>
        <v>-</v>
      </c>
      <c r="K501" s="333">
        <f t="shared" si="626"/>
        <v>0</v>
      </c>
      <c r="L501" s="272">
        <f t="shared" si="627"/>
        <v>0</v>
      </c>
      <c r="M501" s="273">
        <f t="shared" si="628"/>
        <v>0</v>
      </c>
      <c r="N501" s="337" t="str">
        <f t="shared" si="621"/>
        <v>-</v>
      </c>
      <c r="O501" s="263" t="str">
        <f t="shared" si="607"/>
        <v>-</v>
      </c>
    </row>
    <row r="502" spans="1:15" ht="24" x14ac:dyDescent="0.25">
      <c r="A502" s="274" t="s">
        <v>103</v>
      </c>
      <c r="B502" s="966"/>
      <c r="C502" s="275" t="s">
        <v>236</v>
      </c>
      <c r="D502" s="275" t="s">
        <v>238</v>
      </c>
      <c r="E502" s="276"/>
      <c r="F502" s="277"/>
      <c r="G502" s="333">
        <f t="shared" si="625"/>
        <v>0</v>
      </c>
      <c r="H502" s="278"/>
      <c r="I502" s="278"/>
      <c r="J502" s="352" t="str">
        <f>IFERROR(G502/#REF!,"-")</f>
        <v>-</v>
      </c>
      <c r="K502" s="333">
        <f t="shared" si="626"/>
        <v>0</v>
      </c>
      <c r="L502" s="272">
        <f t="shared" si="627"/>
        <v>0</v>
      </c>
      <c r="M502" s="273">
        <f t="shared" si="628"/>
        <v>0</v>
      </c>
      <c r="N502" s="337" t="str">
        <f t="shared" si="621"/>
        <v>-</v>
      </c>
      <c r="O502" s="263" t="str">
        <f t="shared" si="607"/>
        <v>-</v>
      </c>
    </row>
    <row r="503" spans="1:15" ht="24" x14ac:dyDescent="0.25">
      <c r="A503" s="274" t="s">
        <v>103</v>
      </c>
      <c r="B503" s="966"/>
      <c r="C503" s="275" t="s">
        <v>237</v>
      </c>
      <c r="D503" s="275" t="s">
        <v>238</v>
      </c>
      <c r="E503" s="276"/>
      <c r="F503" s="277"/>
      <c r="G503" s="333">
        <f t="shared" si="625"/>
        <v>0</v>
      </c>
      <c r="H503" s="278"/>
      <c r="I503" s="278"/>
      <c r="J503" s="352" t="str">
        <f>IFERROR(G503/#REF!,"-")</f>
        <v>-</v>
      </c>
      <c r="K503" s="333">
        <f t="shared" si="626"/>
        <v>0</v>
      </c>
      <c r="L503" s="272">
        <f t="shared" si="627"/>
        <v>0</v>
      </c>
      <c r="M503" s="273">
        <f t="shared" si="628"/>
        <v>0</v>
      </c>
      <c r="N503" s="337" t="str">
        <f t="shared" si="621"/>
        <v>-</v>
      </c>
      <c r="O503" s="263" t="str">
        <f t="shared" si="607"/>
        <v>-</v>
      </c>
    </row>
    <row r="504" spans="1:15" ht="24" x14ac:dyDescent="0.25">
      <c r="A504" s="274" t="s">
        <v>103</v>
      </c>
      <c r="B504" s="966"/>
      <c r="C504" s="295" t="s">
        <v>394</v>
      </c>
      <c r="D504" s="275" t="s">
        <v>238</v>
      </c>
      <c r="E504" s="276"/>
      <c r="F504" s="277"/>
      <c r="G504" s="333">
        <f t="shared" si="625"/>
        <v>0</v>
      </c>
      <c r="H504" s="278"/>
      <c r="I504" s="278"/>
      <c r="J504" s="352" t="str">
        <f>IFERROR(G504/#REF!,"-")</f>
        <v>-</v>
      </c>
      <c r="K504" s="333">
        <f t="shared" si="626"/>
        <v>0</v>
      </c>
      <c r="L504" s="272">
        <f t="shared" si="627"/>
        <v>0</v>
      </c>
      <c r="M504" s="273">
        <f t="shared" si="628"/>
        <v>0</v>
      </c>
      <c r="N504" s="337" t="str">
        <f t="shared" si="621"/>
        <v>-</v>
      </c>
      <c r="O504" s="263" t="str">
        <f t="shared" si="607"/>
        <v>-</v>
      </c>
    </row>
    <row r="505" spans="1:15" ht="24" x14ac:dyDescent="0.25">
      <c r="A505" s="274" t="s">
        <v>103</v>
      </c>
      <c r="B505" s="966"/>
      <c r="C505" s="295" t="s">
        <v>422</v>
      </c>
      <c r="D505" s="275" t="s">
        <v>238</v>
      </c>
      <c r="E505" s="276"/>
      <c r="F505" s="277"/>
      <c r="G505" s="333">
        <f t="shared" si="625"/>
        <v>0</v>
      </c>
      <c r="H505" s="278"/>
      <c r="I505" s="278"/>
      <c r="J505" s="352" t="str">
        <f>IFERROR(G505/#REF!,"-")</f>
        <v>-</v>
      </c>
      <c r="K505" s="333">
        <f t="shared" si="626"/>
        <v>0</v>
      </c>
      <c r="L505" s="272">
        <f t="shared" si="627"/>
        <v>0</v>
      </c>
      <c r="M505" s="273">
        <f t="shared" si="628"/>
        <v>0</v>
      </c>
      <c r="N505" s="337" t="str">
        <f t="shared" si="621"/>
        <v>-</v>
      </c>
      <c r="O505" s="263" t="str">
        <f t="shared" si="607"/>
        <v>-</v>
      </c>
    </row>
    <row r="506" spans="1:15" ht="24" x14ac:dyDescent="0.25">
      <c r="A506" s="274" t="s">
        <v>103</v>
      </c>
      <c r="B506" s="966"/>
      <c r="C506" s="295" t="s">
        <v>241</v>
      </c>
      <c r="D506" s="275" t="s">
        <v>243</v>
      </c>
      <c r="E506" s="276"/>
      <c r="F506" s="277"/>
      <c r="G506" s="333">
        <f t="shared" si="625"/>
        <v>0</v>
      </c>
      <c r="H506" s="278"/>
      <c r="I506" s="278"/>
      <c r="J506" s="352" t="str">
        <f>IFERROR(G506/#REF!,"-")</f>
        <v>-</v>
      </c>
      <c r="K506" s="333">
        <f t="shared" si="626"/>
        <v>0</v>
      </c>
      <c r="L506" s="272">
        <f t="shared" si="627"/>
        <v>0</v>
      </c>
      <c r="M506" s="273">
        <f t="shared" si="628"/>
        <v>0</v>
      </c>
      <c r="N506" s="337" t="str">
        <f t="shared" si="621"/>
        <v>-</v>
      </c>
      <c r="O506" s="263" t="str">
        <f t="shared" si="607"/>
        <v>-</v>
      </c>
    </row>
    <row r="507" spans="1:15" ht="24" x14ac:dyDescent="0.25">
      <c r="A507" s="274"/>
      <c r="B507" s="967"/>
      <c r="C507" s="295" t="s">
        <v>456</v>
      </c>
      <c r="D507" s="275" t="s">
        <v>238</v>
      </c>
      <c r="E507" s="280"/>
      <c r="F507" s="281"/>
      <c r="G507" s="333">
        <f t="shared" si="625"/>
        <v>0</v>
      </c>
      <c r="H507" s="282"/>
      <c r="I507" s="282"/>
      <c r="J507" s="352" t="str">
        <f>IFERROR(G507/#REF!,"-")</f>
        <v>-</v>
      </c>
      <c r="K507" s="333">
        <f t="shared" si="626"/>
        <v>0</v>
      </c>
      <c r="L507" s="272">
        <f t="shared" si="627"/>
        <v>0</v>
      </c>
      <c r="M507" s="273">
        <f t="shared" si="628"/>
        <v>0</v>
      </c>
      <c r="N507" s="338"/>
      <c r="O507" s="347"/>
    </row>
    <row r="508" spans="1:15" ht="24.75" thickBot="1" x14ac:dyDescent="0.3">
      <c r="A508" s="274" t="s">
        <v>103</v>
      </c>
      <c r="B508" s="967"/>
      <c r="C508" s="295" t="s">
        <v>242</v>
      </c>
      <c r="D508" s="275" t="s">
        <v>238</v>
      </c>
      <c r="E508" s="280"/>
      <c r="F508" s="281"/>
      <c r="G508" s="334">
        <f t="shared" si="625"/>
        <v>0</v>
      </c>
      <c r="H508" s="282"/>
      <c r="I508" s="282"/>
      <c r="J508" s="353" t="str">
        <f>IFERROR(G508/#REF!,"-")</f>
        <v>-</v>
      </c>
      <c r="K508" s="334">
        <f t="shared" si="626"/>
        <v>0</v>
      </c>
      <c r="L508" s="272">
        <f t="shared" si="627"/>
        <v>0</v>
      </c>
      <c r="M508" s="273">
        <f t="shared" si="628"/>
        <v>0</v>
      </c>
      <c r="N508" s="338" t="str">
        <f t="shared" ref="N508:N510" si="629">IFERROR(K508/E508,"-")</f>
        <v>-</v>
      </c>
      <c r="O508" s="347" t="str">
        <f t="shared" ref="O508:O525" si="630">IFERROR(M508/K508,"-")</f>
        <v>-</v>
      </c>
    </row>
    <row r="509" spans="1:15" ht="23.25" thickBot="1" x14ac:dyDescent="0.3">
      <c r="A509" s="274" t="s">
        <v>103</v>
      </c>
      <c r="B509" s="946" t="s">
        <v>49</v>
      </c>
      <c r="C509" s="947"/>
      <c r="D509" s="948"/>
      <c r="E509" s="284">
        <f>SUM(E500:E508)</f>
        <v>10000</v>
      </c>
      <c r="F509" s="285">
        <v>14000</v>
      </c>
      <c r="G509" s="320">
        <f>SUM(G500:G508)</f>
        <v>0</v>
      </c>
      <c r="H509" s="321">
        <f t="shared" ref="H509:I509" si="631">SUM(H500:H508)</f>
        <v>0</v>
      </c>
      <c r="I509" s="321">
        <f t="shared" si="631"/>
        <v>0</v>
      </c>
      <c r="J509" s="345">
        <f>+G510/F510</f>
        <v>0</v>
      </c>
      <c r="K509" s="320">
        <f>SUM(K500:K508)</f>
        <v>0</v>
      </c>
      <c r="L509" s="321">
        <f>+H509</f>
        <v>0</v>
      </c>
      <c r="M509" s="322">
        <f>+I509</f>
        <v>0</v>
      </c>
      <c r="N509" s="339">
        <f t="shared" si="629"/>
        <v>0</v>
      </c>
      <c r="O509" s="345" t="str">
        <f t="shared" si="630"/>
        <v>-</v>
      </c>
    </row>
    <row r="510" spans="1:15" ht="23.25" thickBot="1" x14ac:dyDescent="0.3">
      <c r="A510" s="274" t="s">
        <v>103</v>
      </c>
      <c r="B510" s="960" t="s">
        <v>25</v>
      </c>
      <c r="C510" s="961"/>
      <c r="D510" s="962"/>
      <c r="E510" s="326">
        <f t="shared" ref="E510:F510" si="632">+E499+E509</f>
        <v>10000</v>
      </c>
      <c r="F510" s="327">
        <f t="shared" si="632"/>
        <v>94000</v>
      </c>
      <c r="G510" s="326">
        <f>+G499+G509</f>
        <v>0</v>
      </c>
      <c r="H510" s="324">
        <f t="shared" ref="H510:I510" si="633">+H499+H509</f>
        <v>0</v>
      </c>
      <c r="I510" s="324">
        <f t="shared" si="633"/>
        <v>0</v>
      </c>
      <c r="J510" s="349" t="str">
        <f>IFERROR(G510/#REF!,"-")</f>
        <v>-</v>
      </c>
      <c r="K510" s="326">
        <f t="shared" ref="K510" si="634">+K499+K509</f>
        <v>0</v>
      </c>
      <c r="L510" s="324">
        <f>+L499+L509</f>
        <v>0</v>
      </c>
      <c r="M510" s="325">
        <f t="shared" ref="M510" si="635">+M499+M509</f>
        <v>0</v>
      </c>
      <c r="N510" s="341">
        <f t="shared" si="629"/>
        <v>0</v>
      </c>
      <c r="O510" s="349" t="str">
        <f t="shared" si="630"/>
        <v>-</v>
      </c>
    </row>
    <row r="511" spans="1:15" ht="23.25" thickBot="1" x14ac:dyDescent="0.3">
      <c r="A511" s="274" t="s">
        <v>103</v>
      </c>
      <c r="B511" s="963" t="s">
        <v>172</v>
      </c>
      <c r="C511" s="941"/>
      <c r="D511" s="942"/>
      <c r="E511" s="330">
        <f>+E494+E510</f>
        <v>3780000</v>
      </c>
      <c r="F511" s="331">
        <f t="shared" ref="F511:I511" si="636">+F494+F510</f>
        <v>559000</v>
      </c>
      <c r="G511" s="330">
        <f t="shared" si="636"/>
        <v>98290</v>
      </c>
      <c r="H511" s="328">
        <f t="shared" si="636"/>
        <v>97920</v>
      </c>
      <c r="I511" s="328">
        <f t="shared" si="636"/>
        <v>370</v>
      </c>
      <c r="J511" s="350">
        <f>+G511/F511</f>
        <v>0.17583184257602863</v>
      </c>
      <c r="K511" s="330">
        <f>+K494+K510</f>
        <v>936140</v>
      </c>
      <c r="L511" s="328">
        <f t="shared" ref="L511:M511" si="637">+L494+L510</f>
        <v>932804</v>
      </c>
      <c r="M511" s="329">
        <f t="shared" si="637"/>
        <v>3336</v>
      </c>
      <c r="N511" s="342">
        <f>IFERROR(K511/E511,"-")</f>
        <v>0.24765608465608466</v>
      </c>
      <c r="O511" s="350">
        <f t="shared" si="630"/>
        <v>3.5635695515628006E-3</v>
      </c>
    </row>
    <row r="512" spans="1:15" ht="24" x14ac:dyDescent="0.25">
      <c r="A512" s="268" t="s">
        <v>101</v>
      </c>
      <c r="B512" s="956" t="s">
        <v>26</v>
      </c>
      <c r="C512" s="297" t="s">
        <v>297</v>
      </c>
      <c r="D512" s="297" t="s">
        <v>177</v>
      </c>
      <c r="E512" s="270"/>
      <c r="F512" s="271"/>
      <c r="G512" s="332">
        <f t="shared" ref="G512:G521" si="638">+H512+I512</f>
        <v>0</v>
      </c>
      <c r="H512" s="272"/>
      <c r="I512" s="272"/>
      <c r="J512" s="351" t="str">
        <f>IFERROR(G512/#REF!,"-")</f>
        <v>-</v>
      </c>
      <c r="K512" s="332">
        <f t="shared" ref="K512:K521" si="639">+L512+M512</f>
        <v>0</v>
      </c>
      <c r="L512" s="272">
        <f t="shared" ref="L512:L521" si="640">+H512+L399</f>
        <v>0</v>
      </c>
      <c r="M512" s="273">
        <f t="shared" ref="M512:M521" si="641">+I512+M399</f>
        <v>0</v>
      </c>
      <c r="N512" s="336" t="str">
        <f t="shared" ref="N512:N525" si="642">IFERROR(K512/E512,"-")</f>
        <v>-</v>
      </c>
      <c r="O512" s="346" t="str">
        <f t="shared" si="630"/>
        <v>-</v>
      </c>
    </row>
    <row r="513" spans="1:15" ht="24" x14ac:dyDescent="0.25">
      <c r="A513" s="274" t="s">
        <v>101</v>
      </c>
      <c r="B513" s="956"/>
      <c r="C513" s="298" t="s">
        <v>424</v>
      </c>
      <c r="D513" s="298" t="s">
        <v>423</v>
      </c>
      <c r="E513" s="276">
        <v>564432</v>
      </c>
      <c r="F513" s="277"/>
      <c r="G513" s="333">
        <f t="shared" si="638"/>
        <v>3978</v>
      </c>
      <c r="H513" s="278">
        <v>3978</v>
      </c>
      <c r="I513" s="278"/>
      <c r="J513" s="352" t="str">
        <f>IFERROR(G513/#REF!,"-")</f>
        <v>-</v>
      </c>
      <c r="K513" s="333">
        <f t="shared" si="639"/>
        <v>253040</v>
      </c>
      <c r="L513" s="272">
        <f t="shared" si="640"/>
        <v>250614</v>
      </c>
      <c r="M513" s="273">
        <f t="shared" si="641"/>
        <v>2426</v>
      </c>
      <c r="N513" s="337">
        <f t="shared" si="642"/>
        <v>0.44830909657850726</v>
      </c>
      <c r="O513" s="263">
        <f t="shared" si="630"/>
        <v>9.5874170091685106E-3</v>
      </c>
    </row>
    <row r="514" spans="1:15" ht="24" x14ac:dyDescent="0.25">
      <c r="A514" s="274" t="s">
        <v>101</v>
      </c>
      <c r="B514" s="956"/>
      <c r="C514" s="299" t="s">
        <v>27</v>
      </c>
      <c r="D514" s="299" t="s">
        <v>334</v>
      </c>
      <c r="E514" s="280">
        <v>1301232</v>
      </c>
      <c r="F514" s="281"/>
      <c r="G514" s="333">
        <f t="shared" si="638"/>
        <v>0</v>
      </c>
      <c r="H514" s="282"/>
      <c r="I514" s="282"/>
      <c r="J514" s="353" t="str">
        <f>IFERROR(G514/#REF!,"-")</f>
        <v>-</v>
      </c>
      <c r="K514" s="333">
        <f t="shared" si="639"/>
        <v>0</v>
      </c>
      <c r="L514" s="272">
        <f t="shared" si="640"/>
        <v>0</v>
      </c>
      <c r="M514" s="273">
        <f t="shared" si="641"/>
        <v>0</v>
      </c>
      <c r="N514" s="337">
        <f t="shared" si="642"/>
        <v>0</v>
      </c>
      <c r="O514" s="263" t="str">
        <f t="shared" si="630"/>
        <v>-</v>
      </c>
    </row>
    <row r="515" spans="1:15" ht="24" x14ac:dyDescent="0.25">
      <c r="A515" s="274" t="s">
        <v>101</v>
      </c>
      <c r="B515" s="956"/>
      <c r="C515" s="299" t="s">
        <v>27</v>
      </c>
      <c r="D515" s="297" t="s">
        <v>492</v>
      </c>
      <c r="E515" s="280"/>
      <c r="F515" s="281"/>
      <c r="G515" s="333">
        <f t="shared" si="638"/>
        <v>202042</v>
      </c>
      <c r="H515" s="282">
        <f>107406+59670+31824</f>
        <v>198900</v>
      </c>
      <c r="I515" s="282">
        <f>1166+1269+707</f>
        <v>3142</v>
      </c>
      <c r="J515" s="353" t="str">
        <f>IFERROR(G515/#REF!,"-")</f>
        <v>-</v>
      </c>
      <c r="K515" s="333">
        <f t="shared" si="639"/>
        <v>270630</v>
      </c>
      <c r="L515" s="272">
        <f t="shared" si="640"/>
        <v>266526</v>
      </c>
      <c r="M515" s="273">
        <f t="shared" si="641"/>
        <v>4104</v>
      </c>
      <c r="N515" s="337" t="str">
        <f t="shared" si="642"/>
        <v>-</v>
      </c>
      <c r="O515" s="263">
        <f t="shared" si="630"/>
        <v>1.5164615896242102E-2</v>
      </c>
    </row>
    <row r="516" spans="1:15" ht="24" x14ac:dyDescent="0.25">
      <c r="A516" s="274" t="s">
        <v>101</v>
      </c>
      <c r="B516" s="956"/>
      <c r="C516" s="299" t="s">
        <v>27</v>
      </c>
      <c r="D516" s="299" t="s">
        <v>279</v>
      </c>
      <c r="E516" s="280"/>
      <c r="F516" s="281">
        <v>160000</v>
      </c>
      <c r="G516" s="333">
        <f t="shared" si="638"/>
        <v>0</v>
      </c>
      <c r="H516" s="282"/>
      <c r="I516" s="282"/>
      <c r="J516" s="353" t="str">
        <f>IFERROR(G516/#REF!,"-")</f>
        <v>-</v>
      </c>
      <c r="K516" s="333">
        <f t="shared" si="639"/>
        <v>0</v>
      </c>
      <c r="L516" s="272">
        <f t="shared" si="640"/>
        <v>0</v>
      </c>
      <c r="M516" s="273">
        <f t="shared" si="641"/>
        <v>0</v>
      </c>
      <c r="N516" s="337" t="str">
        <f t="shared" si="642"/>
        <v>-</v>
      </c>
      <c r="O516" s="263" t="str">
        <f t="shared" si="630"/>
        <v>-</v>
      </c>
    </row>
    <row r="517" spans="1:15" ht="22.5" customHeight="1" x14ac:dyDescent="0.25">
      <c r="A517" s="274"/>
      <c r="B517" s="956"/>
      <c r="C517" s="299" t="s">
        <v>432</v>
      </c>
      <c r="D517" s="299" t="s">
        <v>178</v>
      </c>
      <c r="E517" s="280"/>
      <c r="F517" s="281"/>
      <c r="G517" s="334">
        <f t="shared" si="638"/>
        <v>0</v>
      </c>
      <c r="H517" s="282"/>
      <c r="I517" s="282"/>
      <c r="J517" s="353" t="str">
        <f>IFERROR(G517/#REF!,"-")</f>
        <v>-</v>
      </c>
      <c r="K517" s="334">
        <f t="shared" si="639"/>
        <v>0</v>
      </c>
      <c r="L517" s="272">
        <f t="shared" si="640"/>
        <v>0</v>
      </c>
      <c r="M517" s="273">
        <f t="shared" si="641"/>
        <v>0</v>
      </c>
      <c r="N517" s="337" t="str">
        <f t="shared" si="642"/>
        <v>-</v>
      </c>
      <c r="O517" s="263" t="str">
        <f t="shared" si="630"/>
        <v>-</v>
      </c>
    </row>
    <row r="518" spans="1:15" ht="24" x14ac:dyDescent="0.25">
      <c r="A518" s="274"/>
      <c r="B518" s="956"/>
      <c r="C518" s="299" t="s">
        <v>333</v>
      </c>
      <c r="D518" s="299" t="s">
        <v>94</v>
      </c>
      <c r="E518" s="280"/>
      <c r="F518" s="281"/>
      <c r="G518" s="334">
        <f t="shared" si="638"/>
        <v>0</v>
      </c>
      <c r="H518" s="282"/>
      <c r="I518" s="282"/>
      <c r="J518" s="353" t="str">
        <f>IFERROR(G518/#REF!,"-")</f>
        <v>-</v>
      </c>
      <c r="K518" s="334">
        <f t="shared" si="639"/>
        <v>0</v>
      </c>
      <c r="L518" s="272">
        <f t="shared" si="640"/>
        <v>0</v>
      </c>
      <c r="M518" s="273">
        <f t="shared" si="641"/>
        <v>0</v>
      </c>
      <c r="N518" s="337" t="str">
        <f t="shared" si="642"/>
        <v>-</v>
      </c>
      <c r="O518" s="263" t="str">
        <f t="shared" si="630"/>
        <v>-</v>
      </c>
    </row>
    <row r="519" spans="1:15" ht="24" x14ac:dyDescent="0.25">
      <c r="A519" s="274"/>
      <c r="B519" s="956"/>
      <c r="C519" s="299" t="s">
        <v>433</v>
      </c>
      <c r="D519" s="299" t="s">
        <v>178</v>
      </c>
      <c r="E519" s="280"/>
      <c r="F519" s="281">
        <v>80000</v>
      </c>
      <c r="G519" s="334">
        <f t="shared" si="638"/>
        <v>0</v>
      </c>
      <c r="H519" s="282"/>
      <c r="I519" s="282"/>
      <c r="J519" s="353" t="str">
        <f>IFERROR(G519/#REF!,"-")</f>
        <v>-</v>
      </c>
      <c r="K519" s="334">
        <f t="shared" si="639"/>
        <v>0</v>
      </c>
      <c r="L519" s="272">
        <f t="shared" si="640"/>
        <v>0</v>
      </c>
      <c r="M519" s="272">
        <f t="shared" si="641"/>
        <v>0</v>
      </c>
      <c r="N519" s="337" t="str">
        <f t="shared" si="642"/>
        <v>-</v>
      </c>
      <c r="O519" s="263" t="str">
        <f t="shared" si="630"/>
        <v>-</v>
      </c>
    </row>
    <row r="520" spans="1:15" ht="24" x14ac:dyDescent="0.25">
      <c r="A520" s="274"/>
      <c r="B520" s="956"/>
      <c r="C520" s="299" t="s">
        <v>382</v>
      </c>
      <c r="D520" s="299" t="s">
        <v>366</v>
      </c>
      <c r="E520" s="280"/>
      <c r="F520" s="281">
        <v>80000</v>
      </c>
      <c r="G520" s="334">
        <f t="shared" si="638"/>
        <v>0</v>
      </c>
      <c r="H520" s="282"/>
      <c r="I520" s="282"/>
      <c r="J520" s="353" t="str">
        <f>IFERROR(G520/#REF!,"-")</f>
        <v>-</v>
      </c>
      <c r="K520" s="334">
        <f t="shared" si="639"/>
        <v>0</v>
      </c>
      <c r="L520" s="272">
        <f t="shared" si="640"/>
        <v>0</v>
      </c>
      <c r="M520" s="273">
        <f t="shared" si="641"/>
        <v>0</v>
      </c>
      <c r="N520" s="337" t="str">
        <f t="shared" si="642"/>
        <v>-</v>
      </c>
      <c r="O520" s="263" t="str">
        <f t="shared" si="630"/>
        <v>-</v>
      </c>
    </row>
    <row r="521" spans="1:15" ht="24.75" thickBot="1" x14ac:dyDescent="0.3">
      <c r="A521" s="274" t="s">
        <v>101</v>
      </c>
      <c r="B521" s="956"/>
      <c r="C521" s="300" t="s">
        <v>290</v>
      </c>
      <c r="D521" s="299" t="s">
        <v>289</v>
      </c>
      <c r="E521" s="280"/>
      <c r="F521" s="281"/>
      <c r="G521" s="334">
        <f t="shared" si="638"/>
        <v>0</v>
      </c>
      <c r="H521" s="282"/>
      <c r="I521" s="282"/>
      <c r="J521" s="353" t="str">
        <f>IFERROR(G521/#REF!,"-")</f>
        <v>-</v>
      </c>
      <c r="K521" s="334">
        <f t="shared" si="639"/>
        <v>0</v>
      </c>
      <c r="L521" s="272">
        <f t="shared" si="640"/>
        <v>0</v>
      </c>
      <c r="M521" s="273">
        <f t="shared" si="641"/>
        <v>0</v>
      </c>
      <c r="N521" s="337" t="str">
        <f t="shared" si="642"/>
        <v>-</v>
      </c>
      <c r="O521" s="347" t="str">
        <f t="shared" si="630"/>
        <v>-</v>
      </c>
    </row>
    <row r="522" spans="1:15" ht="23.25" thickBot="1" x14ac:dyDescent="0.3">
      <c r="A522" s="274" t="s">
        <v>101</v>
      </c>
      <c r="B522" s="969"/>
      <c r="C522" s="301"/>
      <c r="D522" s="302" t="s">
        <v>52</v>
      </c>
      <c r="E522" s="284">
        <f>SUM(E512:E521)</f>
        <v>1865664</v>
      </c>
      <c r="F522" s="285">
        <f>SUM(F512:F521)</f>
        <v>320000</v>
      </c>
      <c r="G522" s="320">
        <f>SUM(G512:G521)</f>
        <v>206020</v>
      </c>
      <c r="H522" s="321">
        <f>SUM(H512:H521)</f>
        <v>202878</v>
      </c>
      <c r="I522" s="321">
        <f>SUM(I512:I521)</f>
        <v>3142</v>
      </c>
      <c r="J522" s="345">
        <f>+G522/F522</f>
        <v>0.64381250000000001</v>
      </c>
      <c r="K522" s="320">
        <f>SUM(K512:K521)</f>
        <v>523670</v>
      </c>
      <c r="L522" s="321">
        <f>SUM(L512:L521)</f>
        <v>517140</v>
      </c>
      <c r="M522" s="322">
        <f>SUM(M512:M521)</f>
        <v>6530</v>
      </c>
      <c r="N522" s="339">
        <f t="shared" si="642"/>
        <v>0.28068826969915267</v>
      </c>
      <c r="O522" s="345">
        <f t="shared" si="630"/>
        <v>1.2469685107033055E-2</v>
      </c>
    </row>
    <row r="523" spans="1:15" ht="24" x14ac:dyDescent="0.25">
      <c r="A523" s="274" t="s">
        <v>101</v>
      </c>
      <c r="B523" s="955" t="s">
        <v>28</v>
      </c>
      <c r="C523" s="299" t="s">
        <v>27</v>
      </c>
      <c r="D523" s="297" t="s">
        <v>492</v>
      </c>
      <c r="E523" s="270"/>
      <c r="F523" s="271"/>
      <c r="G523" s="332">
        <f t="shared" ref="G523:G527" si="643">+H523+I523</f>
        <v>0</v>
      </c>
      <c r="H523" s="272"/>
      <c r="I523" s="272"/>
      <c r="J523" s="351" t="str">
        <f>IFERROR(G523/#REF!,"-")</f>
        <v>-</v>
      </c>
      <c r="K523" s="332">
        <f t="shared" ref="K523:K529" si="644">+L523+M523</f>
        <v>76878</v>
      </c>
      <c r="L523" s="272">
        <f t="shared" ref="L523:L529" si="645">+H523+L410</f>
        <v>75582</v>
      </c>
      <c r="M523" s="273">
        <f t="shared" ref="M523:M529" si="646">+I523+M410</f>
        <v>1296</v>
      </c>
      <c r="N523" s="336" t="str">
        <f t="shared" si="642"/>
        <v>-</v>
      </c>
      <c r="O523" s="346">
        <f t="shared" si="630"/>
        <v>1.6857878716928121E-2</v>
      </c>
    </row>
    <row r="524" spans="1:15" ht="24" x14ac:dyDescent="0.25">
      <c r="A524" s="274" t="s">
        <v>101</v>
      </c>
      <c r="B524" s="956"/>
      <c r="C524" s="299" t="s">
        <v>385</v>
      </c>
      <c r="D524" s="299" t="s">
        <v>334</v>
      </c>
      <c r="E524" s="276"/>
      <c r="F524" s="277"/>
      <c r="G524" s="333">
        <f t="shared" si="643"/>
        <v>0</v>
      </c>
      <c r="H524" s="278"/>
      <c r="I524" s="278"/>
      <c r="J524" s="352" t="str">
        <f>IFERROR(G524/#REF!,"-")</f>
        <v>-</v>
      </c>
      <c r="K524" s="333">
        <f t="shared" si="644"/>
        <v>96975</v>
      </c>
      <c r="L524" s="272">
        <f t="shared" si="645"/>
        <v>95472</v>
      </c>
      <c r="M524" s="273">
        <f t="shared" si="646"/>
        <v>1503</v>
      </c>
      <c r="N524" s="337" t="str">
        <f t="shared" si="642"/>
        <v>-</v>
      </c>
      <c r="O524" s="263">
        <f t="shared" si="630"/>
        <v>1.5498839907192575E-2</v>
      </c>
    </row>
    <row r="525" spans="1:15" ht="24" x14ac:dyDescent="0.25">
      <c r="A525" s="274" t="s">
        <v>101</v>
      </c>
      <c r="B525" s="956"/>
      <c r="C525" s="299" t="s">
        <v>27</v>
      </c>
      <c r="D525" s="299" t="s">
        <v>334</v>
      </c>
      <c r="E525" s="276"/>
      <c r="F525" s="277"/>
      <c r="G525" s="333">
        <f t="shared" si="643"/>
        <v>0</v>
      </c>
      <c r="H525" s="278"/>
      <c r="I525" s="278"/>
      <c r="J525" s="352" t="str">
        <f>IFERROR(G525/#REF!,"-")</f>
        <v>-</v>
      </c>
      <c r="K525" s="333">
        <f t="shared" si="644"/>
        <v>0</v>
      </c>
      <c r="L525" s="272">
        <f t="shared" si="645"/>
        <v>0</v>
      </c>
      <c r="M525" s="273">
        <f t="shared" si="646"/>
        <v>0</v>
      </c>
      <c r="N525" s="337" t="str">
        <f t="shared" si="642"/>
        <v>-</v>
      </c>
      <c r="O525" s="263" t="str">
        <f t="shared" si="630"/>
        <v>-</v>
      </c>
    </row>
    <row r="526" spans="1:15" ht="24" x14ac:dyDescent="0.25">
      <c r="A526" s="274"/>
      <c r="B526" s="956"/>
      <c r="C526" s="299" t="s">
        <v>460</v>
      </c>
      <c r="D526" s="299" t="s">
        <v>334</v>
      </c>
      <c r="E526" s="280"/>
      <c r="F526" s="281"/>
      <c r="G526" s="333">
        <f t="shared" si="643"/>
        <v>0</v>
      </c>
      <c r="H526" s="282"/>
      <c r="I526" s="282"/>
      <c r="J526" s="352" t="str">
        <f>IFERROR(G526/#REF!,"-")</f>
        <v>-</v>
      </c>
      <c r="K526" s="333">
        <f t="shared" si="644"/>
        <v>0</v>
      </c>
      <c r="L526" s="272">
        <f t="shared" si="645"/>
        <v>0</v>
      </c>
      <c r="M526" s="273">
        <f t="shared" si="646"/>
        <v>0</v>
      </c>
      <c r="N526" s="338"/>
      <c r="O526" s="347"/>
    </row>
    <row r="527" spans="1:15" ht="24" x14ac:dyDescent="0.25">
      <c r="A527" s="274" t="s">
        <v>101</v>
      </c>
      <c r="B527" s="956"/>
      <c r="C527" s="299" t="s">
        <v>382</v>
      </c>
      <c r="D527" s="300" t="s">
        <v>366</v>
      </c>
      <c r="E527" s="280"/>
      <c r="F527" s="281"/>
      <c r="G527" s="334">
        <f t="shared" si="643"/>
        <v>0</v>
      </c>
      <c r="H527" s="282"/>
      <c r="I527" s="282"/>
      <c r="J527" s="352" t="str">
        <f>IFERROR(G527/#REF!,"-")</f>
        <v>-</v>
      </c>
      <c r="K527" s="334">
        <f t="shared" si="644"/>
        <v>0</v>
      </c>
      <c r="L527" s="272">
        <f t="shared" si="645"/>
        <v>0</v>
      </c>
      <c r="M527" s="702">
        <f t="shared" si="646"/>
        <v>0</v>
      </c>
      <c r="N527" s="338" t="str">
        <f t="shared" ref="N527" si="647">IFERROR(K527/E527,"-")</f>
        <v>-</v>
      </c>
      <c r="O527" s="347" t="str">
        <f t="shared" ref="O527" si="648">IFERROR(M527/K527,"-")</f>
        <v>-</v>
      </c>
    </row>
    <row r="528" spans="1:15" ht="24" x14ac:dyDescent="0.25">
      <c r="A528" s="274"/>
      <c r="B528" s="956"/>
      <c r="C528" s="299" t="s">
        <v>458</v>
      </c>
      <c r="D528" s="300" t="s">
        <v>280</v>
      </c>
      <c r="E528" s="280"/>
      <c r="F528" s="281"/>
      <c r="G528" s="334"/>
      <c r="H528" s="282"/>
      <c r="I528" s="282"/>
      <c r="J528" s="352" t="str">
        <f>IFERROR(G528/#REF!,"-")</f>
        <v>-</v>
      </c>
      <c r="K528" s="334">
        <f t="shared" si="644"/>
        <v>0</v>
      </c>
      <c r="L528" s="272">
        <f t="shared" si="645"/>
        <v>0</v>
      </c>
      <c r="M528" s="272">
        <f t="shared" si="646"/>
        <v>0</v>
      </c>
      <c r="N528" s="338"/>
      <c r="O528" s="347"/>
    </row>
    <row r="529" spans="1:15" ht="24.75" thickBot="1" x14ac:dyDescent="0.3">
      <c r="A529" s="274" t="s">
        <v>101</v>
      </c>
      <c r="B529" s="956"/>
      <c r="C529" s="299" t="s">
        <v>27</v>
      </c>
      <c r="D529" s="300" t="s">
        <v>234</v>
      </c>
      <c r="E529" s="280"/>
      <c r="F529" s="281"/>
      <c r="G529" s="334">
        <f t="shared" ref="G529" si="649">+H529+I529</f>
        <v>0</v>
      </c>
      <c r="H529" s="282"/>
      <c r="I529" s="282"/>
      <c r="J529" s="353" t="str">
        <f>IFERROR(G529/#REF!,"-")</f>
        <v>-</v>
      </c>
      <c r="K529" s="334">
        <f t="shared" si="644"/>
        <v>0</v>
      </c>
      <c r="L529" s="272">
        <f t="shared" si="645"/>
        <v>0</v>
      </c>
      <c r="M529" s="702">
        <f t="shared" si="646"/>
        <v>0</v>
      </c>
      <c r="N529" s="338" t="str">
        <f t="shared" ref="N529:N530" si="650">IFERROR(K529/E529,"-")</f>
        <v>-</v>
      </c>
      <c r="O529" s="347" t="str">
        <f t="shared" ref="O529:O545" si="651">IFERROR(M529/K529,"-")</f>
        <v>-</v>
      </c>
    </row>
    <row r="530" spans="1:15" ht="23.25" thickBot="1" x14ac:dyDescent="0.3">
      <c r="A530" s="274" t="s">
        <v>101</v>
      </c>
      <c r="B530" s="956"/>
      <c r="C530" s="304"/>
      <c r="D530" s="305" t="s">
        <v>52</v>
      </c>
      <c r="E530" s="306">
        <f>SUM(E523:E529)</f>
        <v>0</v>
      </c>
      <c r="F530" s="307">
        <v>80000</v>
      </c>
      <c r="G530" s="366">
        <f>SUM(G523:G529)</f>
        <v>0</v>
      </c>
      <c r="H530" s="365">
        <f>SUM(H523:H529)</f>
        <v>0</v>
      </c>
      <c r="I530" s="365">
        <f>SUM(I523:I529)</f>
        <v>0</v>
      </c>
      <c r="J530" s="356">
        <f>+G530/F530</f>
        <v>0</v>
      </c>
      <c r="K530" s="366">
        <f>SUM(K523:K529)</f>
        <v>173853</v>
      </c>
      <c r="L530" s="365">
        <f>SUM(L523:L529)</f>
        <v>171054</v>
      </c>
      <c r="M530" s="367">
        <f>SUM(M523:M529)</f>
        <v>2799</v>
      </c>
      <c r="N530" s="355" t="str">
        <f t="shared" si="650"/>
        <v>-</v>
      </c>
      <c r="O530" s="356">
        <f t="shared" si="651"/>
        <v>1.6099808458870424E-2</v>
      </c>
    </row>
    <row r="531" spans="1:15" ht="23.25" thickBot="1" x14ac:dyDescent="0.3">
      <c r="A531" s="794" t="s">
        <v>101</v>
      </c>
      <c r="B531" s="957" t="s">
        <v>162</v>
      </c>
      <c r="C531" s="958"/>
      <c r="D531" s="959"/>
      <c r="E531" s="308">
        <f>+E530+E522</f>
        <v>1865664</v>
      </c>
      <c r="F531" s="309">
        <f>+F530+F522</f>
        <v>400000</v>
      </c>
      <c r="G531" s="369">
        <f>+G522+G530</f>
        <v>206020</v>
      </c>
      <c r="H531" s="368">
        <f>+H522+H530</f>
        <v>202878</v>
      </c>
      <c r="I531" s="368">
        <f>+I522+I530</f>
        <v>3142</v>
      </c>
      <c r="J531" s="358">
        <f>+G531/F531</f>
        <v>0.51505000000000001</v>
      </c>
      <c r="K531" s="369">
        <f>+K522+K530</f>
        <v>697523</v>
      </c>
      <c r="L531" s="368">
        <f>+L522+L530</f>
        <v>688194</v>
      </c>
      <c r="M531" s="370">
        <f>+M522+M530</f>
        <v>9329</v>
      </c>
      <c r="N531" s="357">
        <f>IFERROR(K531/E531,"-")</f>
        <v>0.37387385938732803</v>
      </c>
      <c r="O531" s="358">
        <f t="shared" si="651"/>
        <v>1.337446937233611E-2</v>
      </c>
    </row>
    <row r="532" spans="1:15" ht="24" x14ac:dyDescent="0.25">
      <c r="A532" s="274" t="s">
        <v>101</v>
      </c>
      <c r="B532" s="956" t="s">
        <v>30</v>
      </c>
      <c r="C532" s="303" t="s">
        <v>446</v>
      </c>
      <c r="D532" s="299" t="s">
        <v>334</v>
      </c>
      <c r="E532" s="270">
        <v>225000</v>
      </c>
      <c r="F532" s="271"/>
      <c r="G532" s="332">
        <f t="shared" ref="G532:G534" si="652">+H532+I532</f>
        <v>0</v>
      </c>
      <c r="H532" s="272"/>
      <c r="I532" s="272"/>
      <c r="J532" s="351" t="str">
        <f>IFERROR(G532/#REF!,"-")</f>
        <v>-</v>
      </c>
      <c r="K532" s="332">
        <f t="shared" ref="K532:K534" si="653">+L532+M532</f>
        <v>0</v>
      </c>
      <c r="L532" s="272">
        <f t="shared" ref="L532:L534" si="654">+H532+L419</f>
        <v>0</v>
      </c>
      <c r="M532" s="273">
        <f t="shared" ref="M532:M534" si="655">+I532+M419</f>
        <v>0</v>
      </c>
      <c r="N532" s="336">
        <f t="shared" ref="N532:N545" si="656">IFERROR(K532/E532,"-")</f>
        <v>0</v>
      </c>
      <c r="O532" s="346" t="str">
        <f t="shared" si="651"/>
        <v>-</v>
      </c>
    </row>
    <row r="533" spans="1:15" ht="24" x14ac:dyDescent="0.25">
      <c r="A533" s="274" t="s">
        <v>101</v>
      </c>
      <c r="B533" s="956"/>
      <c r="C533" s="300" t="s">
        <v>429</v>
      </c>
      <c r="D533" s="303" t="s">
        <v>366</v>
      </c>
      <c r="E533" s="276"/>
      <c r="F533" s="277"/>
      <c r="G533" s="333">
        <f t="shared" si="652"/>
        <v>0</v>
      </c>
      <c r="H533" s="278"/>
      <c r="I533" s="278"/>
      <c r="J533" s="352" t="str">
        <f>IFERROR(G533/#REF!,"-")</f>
        <v>-</v>
      </c>
      <c r="K533" s="333">
        <f t="shared" si="653"/>
        <v>0</v>
      </c>
      <c r="L533" s="272">
        <f t="shared" si="654"/>
        <v>0</v>
      </c>
      <c r="M533" s="273">
        <f t="shared" si="655"/>
        <v>0</v>
      </c>
      <c r="N533" s="337" t="str">
        <f t="shared" si="656"/>
        <v>-</v>
      </c>
      <c r="O533" s="263" t="str">
        <f t="shared" si="651"/>
        <v>-</v>
      </c>
    </row>
    <row r="534" spans="1:15" ht="24.75" thickBot="1" x14ac:dyDescent="0.3">
      <c r="A534" s="274" t="s">
        <v>101</v>
      </c>
      <c r="B534" s="956"/>
      <c r="C534" s="300" t="s">
        <v>291</v>
      </c>
      <c r="D534" s="300" t="s">
        <v>366</v>
      </c>
      <c r="E534" s="280"/>
      <c r="F534" s="281"/>
      <c r="G534" s="334">
        <f t="shared" si="652"/>
        <v>0</v>
      </c>
      <c r="H534" s="282"/>
      <c r="I534" s="282"/>
      <c r="J534" s="353" t="str">
        <f>IFERROR(G534/#REF!,"-")</f>
        <v>-</v>
      </c>
      <c r="K534" s="334">
        <f t="shared" si="653"/>
        <v>0</v>
      </c>
      <c r="L534" s="272">
        <f t="shared" si="654"/>
        <v>0</v>
      </c>
      <c r="M534" s="273">
        <f t="shared" si="655"/>
        <v>0</v>
      </c>
      <c r="N534" s="338" t="str">
        <f t="shared" si="656"/>
        <v>-</v>
      </c>
      <c r="O534" s="347" t="str">
        <f t="shared" si="651"/>
        <v>-</v>
      </c>
    </row>
    <row r="535" spans="1:15" ht="23.25" thickBot="1" x14ac:dyDescent="0.3">
      <c r="A535" s="274" t="s">
        <v>101</v>
      </c>
      <c r="B535" s="956"/>
      <c r="C535" s="301"/>
      <c r="D535" s="302" t="s">
        <v>50</v>
      </c>
      <c r="E535" s="284">
        <f>SUM(E532:E534)</f>
        <v>225000</v>
      </c>
      <c r="F535" s="285">
        <v>50000</v>
      </c>
      <c r="G535" s="320">
        <f>SUM(G532:G534)</f>
        <v>0</v>
      </c>
      <c r="H535" s="321">
        <f>SUM(H532:H534)</f>
        <v>0</v>
      </c>
      <c r="I535" s="321">
        <f>SUM(I532:I534)</f>
        <v>0</v>
      </c>
      <c r="J535" s="345" t="e">
        <f>+H535/G535</f>
        <v>#DIV/0!</v>
      </c>
      <c r="K535" s="320">
        <f>SUM(K532:K534)</f>
        <v>0</v>
      </c>
      <c r="L535" s="321">
        <f>SUM(L532:L534)</f>
        <v>0</v>
      </c>
      <c r="M535" s="322">
        <f>SUM(M532:M534)</f>
        <v>0</v>
      </c>
      <c r="N535" s="339">
        <f t="shared" si="656"/>
        <v>0</v>
      </c>
      <c r="O535" s="345" t="str">
        <f t="shared" si="651"/>
        <v>-</v>
      </c>
    </row>
    <row r="536" spans="1:15" ht="24" x14ac:dyDescent="0.25">
      <c r="A536" s="274" t="s">
        <v>101</v>
      </c>
      <c r="B536" s="956"/>
      <c r="C536" s="297" t="s">
        <v>434</v>
      </c>
      <c r="D536" s="297" t="s">
        <v>92</v>
      </c>
      <c r="E536" s="270"/>
      <c r="F536" s="271"/>
      <c r="G536" s="332">
        <f t="shared" ref="G536:G537" si="657">+H536+I536</f>
        <v>0</v>
      </c>
      <c r="H536" s="272"/>
      <c r="I536" s="272"/>
      <c r="J536" s="351" t="str">
        <f>IFERROR(G536/#REF!,"-")</f>
        <v>-</v>
      </c>
      <c r="K536" s="332">
        <f t="shared" ref="K536:K541" si="658">+L536+M536</f>
        <v>0</v>
      </c>
      <c r="L536" s="272">
        <f t="shared" ref="L536:L541" si="659">+H536+L423</f>
        <v>0</v>
      </c>
      <c r="M536" s="273">
        <f t="shared" ref="M536:M541" si="660">+I536+M423</f>
        <v>0</v>
      </c>
      <c r="N536" s="336" t="str">
        <f t="shared" si="656"/>
        <v>-</v>
      </c>
      <c r="O536" s="346" t="str">
        <f t="shared" si="651"/>
        <v>-</v>
      </c>
    </row>
    <row r="537" spans="1:15" ht="24" x14ac:dyDescent="0.25">
      <c r="A537" s="274"/>
      <c r="B537" s="956"/>
      <c r="C537" s="303" t="s">
        <v>449</v>
      </c>
      <c r="D537" s="299" t="s">
        <v>334</v>
      </c>
      <c r="E537" s="270"/>
      <c r="F537" s="271"/>
      <c r="G537" s="332">
        <f t="shared" si="657"/>
        <v>0</v>
      </c>
      <c r="H537" s="272"/>
      <c r="I537" s="272"/>
      <c r="J537" s="351" t="str">
        <f>IFERROR(G537/#REF!,"-")</f>
        <v>-</v>
      </c>
      <c r="K537" s="332">
        <f t="shared" si="658"/>
        <v>0</v>
      </c>
      <c r="L537" s="272">
        <f t="shared" si="659"/>
        <v>0</v>
      </c>
      <c r="M537" s="273">
        <f t="shared" si="660"/>
        <v>0</v>
      </c>
      <c r="N537" s="337" t="str">
        <f t="shared" si="656"/>
        <v>-</v>
      </c>
      <c r="O537" s="346" t="str">
        <f t="shared" si="651"/>
        <v>-</v>
      </c>
    </row>
    <row r="538" spans="1:15" ht="24" x14ac:dyDescent="0.25">
      <c r="A538" s="274"/>
      <c r="B538" s="956"/>
      <c r="C538" s="303" t="s">
        <v>452</v>
      </c>
      <c r="D538" s="299" t="s">
        <v>334</v>
      </c>
      <c r="E538" s="270"/>
      <c r="F538" s="271"/>
      <c r="G538" s="332"/>
      <c r="H538" s="272"/>
      <c r="I538" s="272"/>
      <c r="J538" s="351" t="str">
        <f>IFERROR(G538/#REF!,"-")</f>
        <v>-</v>
      </c>
      <c r="K538" s="332">
        <f t="shared" si="658"/>
        <v>0</v>
      </c>
      <c r="L538" s="272">
        <f t="shared" si="659"/>
        <v>0</v>
      </c>
      <c r="M538" s="273">
        <f t="shared" si="660"/>
        <v>0</v>
      </c>
      <c r="N538" s="337" t="str">
        <f t="shared" si="656"/>
        <v>-</v>
      </c>
      <c r="O538" s="346" t="str">
        <f t="shared" si="651"/>
        <v>-</v>
      </c>
    </row>
    <row r="539" spans="1:15" ht="24" x14ac:dyDescent="0.25">
      <c r="A539" s="274" t="s">
        <v>101</v>
      </c>
      <c r="B539" s="956"/>
      <c r="C539" s="303" t="s">
        <v>501</v>
      </c>
      <c r="D539" s="300" t="s">
        <v>423</v>
      </c>
      <c r="E539" s="276">
        <v>125000</v>
      </c>
      <c r="F539" s="277"/>
      <c r="G539" s="333">
        <f t="shared" ref="G539" si="661">+H539+I539</f>
        <v>0</v>
      </c>
      <c r="H539" s="278"/>
      <c r="I539" s="278"/>
      <c r="J539" s="351" t="str">
        <f>IFERROR(G539/#REF!,"-")</f>
        <v>-</v>
      </c>
      <c r="K539" s="333">
        <f t="shared" si="658"/>
        <v>8116</v>
      </c>
      <c r="L539" s="272">
        <f t="shared" si="659"/>
        <v>7488</v>
      </c>
      <c r="M539" s="273">
        <f t="shared" si="660"/>
        <v>628</v>
      </c>
      <c r="N539" s="337">
        <f t="shared" si="656"/>
        <v>6.4928E-2</v>
      </c>
      <c r="O539" s="263">
        <f t="shared" si="651"/>
        <v>7.737801872843765E-2</v>
      </c>
    </row>
    <row r="540" spans="1:15" ht="24" x14ac:dyDescent="0.25">
      <c r="A540" s="274"/>
      <c r="B540" s="956"/>
      <c r="C540" s="300" t="s">
        <v>459</v>
      </c>
      <c r="D540" s="300" t="s">
        <v>366</v>
      </c>
      <c r="E540" s="280"/>
      <c r="F540" s="281"/>
      <c r="G540" s="334"/>
      <c r="H540" s="282"/>
      <c r="I540" s="282"/>
      <c r="J540" s="351" t="str">
        <f>IFERROR(G540/#REF!,"-")</f>
        <v>-</v>
      </c>
      <c r="K540" s="333">
        <f t="shared" si="658"/>
        <v>0</v>
      </c>
      <c r="L540" s="272">
        <f t="shared" si="659"/>
        <v>0</v>
      </c>
      <c r="M540" s="272">
        <f t="shared" si="660"/>
        <v>0</v>
      </c>
      <c r="N540" s="337" t="str">
        <f t="shared" si="656"/>
        <v>-</v>
      </c>
      <c r="O540" s="263" t="str">
        <f t="shared" si="651"/>
        <v>-</v>
      </c>
    </row>
    <row r="541" spans="1:15" ht="24.75" thickBot="1" x14ac:dyDescent="0.3">
      <c r="A541" s="274" t="s">
        <v>101</v>
      </c>
      <c r="B541" s="956"/>
      <c r="C541" s="300" t="s">
        <v>435</v>
      </c>
      <c r="D541" s="300" t="s">
        <v>423</v>
      </c>
      <c r="E541" s="280"/>
      <c r="F541" s="281"/>
      <c r="G541" s="334">
        <f t="shared" ref="G541" si="662">+H541+I541</f>
        <v>0</v>
      </c>
      <c r="H541" s="282"/>
      <c r="I541" s="282"/>
      <c r="J541" s="353" t="str">
        <f>IFERROR(G541/#REF!,"-")</f>
        <v>-</v>
      </c>
      <c r="K541" s="334">
        <f t="shared" si="658"/>
        <v>0</v>
      </c>
      <c r="L541" s="272">
        <f t="shared" si="659"/>
        <v>0</v>
      </c>
      <c r="M541" s="273">
        <f t="shared" si="660"/>
        <v>0</v>
      </c>
      <c r="N541" s="338" t="str">
        <f t="shared" si="656"/>
        <v>-</v>
      </c>
      <c r="O541" s="347" t="str">
        <f t="shared" si="651"/>
        <v>-</v>
      </c>
    </row>
    <row r="542" spans="1:15" ht="23.25" thickBot="1" x14ac:dyDescent="0.3">
      <c r="A542" s="274" t="s">
        <v>101</v>
      </c>
      <c r="B542" s="956"/>
      <c r="C542" s="304"/>
      <c r="D542" s="305" t="s">
        <v>51</v>
      </c>
      <c r="E542" s="306">
        <f>SUM(E536:E541)</f>
        <v>125000</v>
      </c>
      <c r="F542" s="307">
        <v>50000</v>
      </c>
      <c r="G542" s="366">
        <f>SUM(G536:G541)</f>
        <v>0</v>
      </c>
      <c r="H542" s="365">
        <f t="shared" ref="H542:I542" si="663">SUM(H536:H541)</f>
        <v>0</v>
      </c>
      <c r="I542" s="365">
        <f t="shared" si="663"/>
        <v>0</v>
      </c>
      <c r="J542" s="356">
        <f>+G542/F542</f>
        <v>0</v>
      </c>
      <c r="K542" s="366">
        <f t="shared" ref="K542:M542" si="664">SUM(K536:K541)</f>
        <v>8116</v>
      </c>
      <c r="L542" s="365">
        <f t="shared" si="664"/>
        <v>7488</v>
      </c>
      <c r="M542" s="367">
        <f t="shared" si="664"/>
        <v>628</v>
      </c>
      <c r="N542" s="355">
        <f t="shared" si="656"/>
        <v>6.4928E-2</v>
      </c>
      <c r="O542" s="356">
        <f t="shared" si="651"/>
        <v>7.737801872843765E-2</v>
      </c>
    </row>
    <row r="543" spans="1:15" ht="23.25" thickBot="1" x14ac:dyDescent="0.3">
      <c r="A543" s="274" t="s">
        <v>101</v>
      </c>
      <c r="B543" s="957" t="s">
        <v>163</v>
      </c>
      <c r="C543" s="958"/>
      <c r="D543" s="959"/>
      <c r="E543" s="308">
        <f>+E542+E535</f>
        <v>350000</v>
      </c>
      <c r="F543" s="309">
        <v>50000</v>
      </c>
      <c r="G543" s="369">
        <f>+G535+G542</f>
        <v>0</v>
      </c>
      <c r="H543" s="368">
        <f t="shared" ref="H543:I543" si="665">+H535+H542</f>
        <v>0</v>
      </c>
      <c r="I543" s="368">
        <f t="shared" si="665"/>
        <v>0</v>
      </c>
      <c r="J543" s="358">
        <f>+G543/F543</f>
        <v>0</v>
      </c>
      <c r="K543" s="369">
        <f t="shared" ref="K543:M543" si="666">+K535+K542</f>
        <v>8116</v>
      </c>
      <c r="L543" s="368">
        <f t="shared" si="666"/>
        <v>7488</v>
      </c>
      <c r="M543" s="370">
        <f t="shared" si="666"/>
        <v>628</v>
      </c>
      <c r="N543" s="357">
        <f t="shared" si="656"/>
        <v>2.318857142857143E-2</v>
      </c>
      <c r="O543" s="358">
        <f t="shared" si="651"/>
        <v>7.737801872843765E-2</v>
      </c>
    </row>
    <row r="544" spans="1:15" ht="24.75" thickBot="1" x14ac:dyDescent="0.3">
      <c r="A544" s="274" t="s">
        <v>101</v>
      </c>
      <c r="B544" s="598" t="s">
        <v>32</v>
      </c>
      <c r="C544" s="790"/>
      <c r="D544" s="310" t="s">
        <v>32</v>
      </c>
      <c r="E544" s="287">
        <v>0</v>
      </c>
      <c r="F544" s="288">
        <v>110000</v>
      </c>
      <c r="G544" s="335">
        <f t="shared" ref="G544" si="667">+H544+I544</f>
        <v>0</v>
      </c>
      <c r="H544" s="289"/>
      <c r="I544" s="289"/>
      <c r="J544" s="354" t="str">
        <f>IFERROR(G544/#REF!,"-")</f>
        <v>-</v>
      </c>
      <c r="K544" s="335">
        <f>+L544+M544</f>
        <v>0</v>
      </c>
      <c r="L544" s="289">
        <f>+H544+L431</f>
        <v>0</v>
      </c>
      <c r="M544" s="290">
        <f>+I544+M431</f>
        <v>0</v>
      </c>
      <c r="N544" s="340" t="str">
        <f t="shared" si="656"/>
        <v>-</v>
      </c>
      <c r="O544" s="348" t="str">
        <f t="shared" si="651"/>
        <v>-</v>
      </c>
    </row>
    <row r="545" spans="1:15" ht="23.25" thickBot="1" x14ac:dyDescent="0.3">
      <c r="A545" s="274" t="s">
        <v>101</v>
      </c>
      <c r="B545" s="960" t="s">
        <v>21</v>
      </c>
      <c r="C545" s="961"/>
      <c r="D545" s="962"/>
      <c r="E545" s="326">
        <f>+E531+E543+E544</f>
        <v>2215664</v>
      </c>
      <c r="F545" s="327">
        <f>+F531+F543+F544</f>
        <v>560000</v>
      </c>
      <c r="G545" s="326">
        <f>+G531+G543+G544</f>
        <v>206020</v>
      </c>
      <c r="H545" s="324">
        <f>+H531+H543+H544</f>
        <v>202878</v>
      </c>
      <c r="I545" s="324">
        <f>+I531+I543+I544</f>
        <v>3142</v>
      </c>
      <c r="J545" s="349">
        <f>+G545/F545</f>
        <v>0.36789285714285713</v>
      </c>
      <c r="K545" s="326">
        <f>+K531+K543+K544</f>
        <v>705639</v>
      </c>
      <c r="L545" s="324">
        <f>+L531+L543+L544</f>
        <v>695682</v>
      </c>
      <c r="M545" s="325">
        <f>+M531+M543+M544</f>
        <v>9957</v>
      </c>
      <c r="N545" s="341">
        <f t="shared" si="656"/>
        <v>0.31847744062276589</v>
      </c>
      <c r="O545" s="349">
        <f t="shared" si="651"/>
        <v>1.4110614634395207E-2</v>
      </c>
    </row>
    <row r="546" spans="1:15" ht="23.25" thickBot="1" x14ac:dyDescent="0.3">
      <c r="A546" s="274" t="s">
        <v>101</v>
      </c>
      <c r="B546" s="963" t="s">
        <v>171</v>
      </c>
      <c r="C546" s="941"/>
      <c r="D546" s="942"/>
      <c r="E546" s="330">
        <f>+E545</f>
        <v>2215664</v>
      </c>
      <c r="F546" s="331">
        <f t="shared" ref="F546:I546" si="668">+F545</f>
        <v>560000</v>
      </c>
      <c r="G546" s="330">
        <f t="shared" si="668"/>
        <v>206020</v>
      </c>
      <c r="H546" s="328">
        <f t="shared" si="668"/>
        <v>202878</v>
      </c>
      <c r="I546" s="328">
        <f t="shared" si="668"/>
        <v>3142</v>
      </c>
      <c r="J546" s="350">
        <f>+J545</f>
        <v>0.36789285714285713</v>
      </c>
      <c r="K546" s="330">
        <f>+K545</f>
        <v>705639</v>
      </c>
      <c r="L546" s="328">
        <f t="shared" ref="L546" si="669">+L545</f>
        <v>695682</v>
      </c>
      <c r="M546" s="329">
        <f>+M545</f>
        <v>9957</v>
      </c>
      <c r="N546" s="342">
        <f t="shared" ref="N546:O546" si="670">+N545</f>
        <v>0.31847744062276589</v>
      </c>
      <c r="O546" s="350">
        <f t="shared" si="670"/>
        <v>1.4110614634395207E-2</v>
      </c>
    </row>
    <row r="547" spans="1:15" ht="24" x14ac:dyDescent="0.25">
      <c r="A547" s="268" t="s">
        <v>102</v>
      </c>
      <c r="B547" s="949" t="s">
        <v>401</v>
      </c>
      <c r="C547" s="311" t="s">
        <v>113</v>
      </c>
      <c r="D547" s="311"/>
      <c r="E547" s="270"/>
      <c r="F547" s="271"/>
      <c r="G547" s="332">
        <f t="shared" ref="G547:G549" si="671">+H547+I547</f>
        <v>0</v>
      </c>
      <c r="H547" s="272"/>
      <c r="I547" s="272"/>
      <c r="J547" s="351" t="str">
        <f>IFERROR(G547/#REF!,"-")</f>
        <v>-</v>
      </c>
      <c r="K547" s="332">
        <f t="shared" ref="K547:K549" si="672">+L547+M547</f>
        <v>0</v>
      </c>
      <c r="L547" s="272">
        <f t="shared" ref="L547:L549" si="673">+H547+L434</f>
        <v>0</v>
      </c>
      <c r="M547" s="273">
        <f t="shared" ref="M547:M549" si="674">+I547+M434</f>
        <v>0</v>
      </c>
      <c r="N547" s="336" t="str">
        <f t="shared" ref="N547:N554" si="675">IFERROR(K547/E547,"-")</f>
        <v>-</v>
      </c>
      <c r="O547" s="346" t="str">
        <f t="shared" ref="O547:O572" si="676">IFERROR(M547/K547,"-")</f>
        <v>-</v>
      </c>
    </row>
    <row r="548" spans="1:15" ht="24" x14ac:dyDescent="0.25">
      <c r="A548" s="274" t="s">
        <v>102</v>
      </c>
      <c r="B548" s="951"/>
      <c r="C548" s="312" t="s">
        <v>247</v>
      </c>
      <c r="D548" s="312"/>
      <c r="E548" s="276">
        <v>2000</v>
      </c>
      <c r="F548" s="277"/>
      <c r="G548" s="333">
        <f t="shared" si="671"/>
        <v>2700</v>
      </c>
      <c r="H548" s="278">
        <f>1600+1000</f>
        <v>2600</v>
      </c>
      <c r="I548" s="278">
        <f>50+50</f>
        <v>100</v>
      </c>
      <c r="J548" s="352" t="str">
        <f>IFERROR(G548/#REF!,"-")</f>
        <v>-</v>
      </c>
      <c r="K548" s="333">
        <f t="shared" si="672"/>
        <v>6137</v>
      </c>
      <c r="L548" s="272">
        <f t="shared" si="673"/>
        <v>5800</v>
      </c>
      <c r="M548" s="273">
        <f t="shared" si="674"/>
        <v>337</v>
      </c>
      <c r="N548" s="337">
        <f t="shared" si="675"/>
        <v>3.0684999999999998</v>
      </c>
      <c r="O548" s="263">
        <f t="shared" si="676"/>
        <v>5.4912823855303897E-2</v>
      </c>
    </row>
    <row r="549" spans="1:15" ht="24.75" thickBot="1" x14ac:dyDescent="0.3">
      <c r="A549" s="274" t="s">
        <v>102</v>
      </c>
      <c r="B549" s="950"/>
      <c r="C549" s="313" t="s">
        <v>33</v>
      </c>
      <c r="D549" s="313"/>
      <c r="E549" s="280"/>
      <c r="F549" s="281"/>
      <c r="G549" s="334">
        <f t="shared" si="671"/>
        <v>0</v>
      </c>
      <c r="H549" s="282"/>
      <c r="I549" s="282"/>
      <c r="J549" s="353" t="str">
        <f>IFERROR(G549/#REF!,"-")</f>
        <v>-</v>
      </c>
      <c r="K549" s="334">
        <f t="shared" si="672"/>
        <v>0</v>
      </c>
      <c r="L549" s="272">
        <f t="shared" si="673"/>
        <v>0</v>
      </c>
      <c r="M549" s="273">
        <f t="shared" si="674"/>
        <v>0</v>
      </c>
      <c r="N549" s="338" t="str">
        <f t="shared" si="675"/>
        <v>-</v>
      </c>
      <c r="O549" s="347" t="str">
        <f t="shared" si="676"/>
        <v>-</v>
      </c>
    </row>
    <row r="550" spans="1:15" ht="23.25" thickBot="1" x14ac:dyDescent="0.3">
      <c r="A550" s="274" t="s">
        <v>102</v>
      </c>
      <c r="B550" s="946" t="s">
        <v>34</v>
      </c>
      <c r="C550" s="947"/>
      <c r="D550" s="948"/>
      <c r="E550" s="284">
        <f>SUM(E547:E549)</f>
        <v>2000</v>
      </c>
      <c r="F550" s="285">
        <v>6500</v>
      </c>
      <c r="G550" s="320">
        <f>SUM(G547:G549)</f>
        <v>2700</v>
      </c>
      <c r="H550" s="321">
        <f t="shared" ref="H550:I550" si="677">SUM(H547:H549)</f>
        <v>2600</v>
      </c>
      <c r="I550" s="321">
        <f t="shared" si="677"/>
        <v>100</v>
      </c>
      <c r="J550" s="345" t="str">
        <f>IFERROR(G550/#REF!,"-")</f>
        <v>-</v>
      </c>
      <c r="K550" s="320">
        <f t="shared" ref="K550:M550" si="678">SUM(K547:K549)</f>
        <v>6137</v>
      </c>
      <c r="L550" s="321">
        <f t="shared" si="678"/>
        <v>5800</v>
      </c>
      <c r="M550" s="322">
        <f t="shared" si="678"/>
        <v>337</v>
      </c>
      <c r="N550" s="339">
        <f t="shared" si="675"/>
        <v>3.0684999999999998</v>
      </c>
      <c r="O550" s="345">
        <f t="shared" si="676"/>
        <v>5.4912823855303897E-2</v>
      </c>
    </row>
    <row r="551" spans="1:15" ht="24" x14ac:dyDescent="0.25">
      <c r="A551" s="274" t="s">
        <v>102</v>
      </c>
      <c r="B551" s="949" t="s">
        <v>35</v>
      </c>
      <c r="C551" s="311" t="s">
        <v>113</v>
      </c>
      <c r="D551" s="311"/>
      <c r="E551" s="270"/>
      <c r="F551" s="271"/>
      <c r="G551" s="332">
        <f t="shared" ref="G551:G554" si="679">+H551+I551</f>
        <v>0</v>
      </c>
      <c r="H551" s="272"/>
      <c r="I551" s="272"/>
      <c r="J551" s="351" t="str">
        <f>IFERROR(G551/#REF!,"-")</f>
        <v>-</v>
      </c>
      <c r="K551" s="332">
        <f t="shared" ref="K551:K554" si="680">+L551+M551</f>
        <v>0</v>
      </c>
      <c r="L551" s="272">
        <f t="shared" ref="L551:L554" si="681">+H551+L438</f>
        <v>0</v>
      </c>
      <c r="M551" s="273">
        <f t="shared" ref="M551:M554" si="682">+I551+M438</f>
        <v>0</v>
      </c>
      <c r="N551" s="336" t="str">
        <f t="shared" si="675"/>
        <v>-</v>
      </c>
      <c r="O551" s="346" t="str">
        <f t="shared" si="676"/>
        <v>-</v>
      </c>
    </row>
    <row r="552" spans="1:15" ht="24" x14ac:dyDescent="0.25">
      <c r="A552" s="274" t="s">
        <v>102</v>
      </c>
      <c r="B552" s="951"/>
      <c r="C552" s="312" t="s">
        <v>247</v>
      </c>
      <c r="D552" s="312"/>
      <c r="E552" s="276"/>
      <c r="F552" s="277"/>
      <c r="G552" s="333">
        <f t="shared" si="679"/>
        <v>0</v>
      </c>
      <c r="H552" s="278"/>
      <c r="I552" s="278"/>
      <c r="J552" s="352" t="str">
        <f>IFERROR(G552/#REF!,"-")</f>
        <v>-</v>
      </c>
      <c r="K552" s="333">
        <f t="shared" si="680"/>
        <v>0</v>
      </c>
      <c r="L552" s="272">
        <f t="shared" si="681"/>
        <v>0</v>
      </c>
      <c r="M552" s="273">
        <f t="shared" si="682"/>
        <v>0</v>
      </c>
      <c r="N552" s="337" t="str">
        <f t="shared" si="675"/>
        <v>-</v>
      </c>
      <c r="O552" s="263" t="str">
        <f t="shared" si="676"/>
        <v>-</v>
      </c>
    </row>
    <row r="553" spans="1:15" ht="24" x14ac:dyDescent="0.25">
      <c r="A553" s="274" t="s">
        <v>102</v>
      </c>
      <c r="B553" s="951"/>
      <c r="C553" s="312" t="s">
        <v>496</v>
      </c>
      <c r="D553" s="312"/>
      <c r="E553" s="276">
        <v>20000</v>
      </c>
      <c r="F553" s="277"/>
      <c r="G553" s="333">
        <f t="shared" si="679"/>
        <v>0</v>
      </c>
      <c r="H553" s="278"/>
      <c r="I553" s="278"/>
      <c r="J553" s="352" t="str">
        <f>IFERROR(G553/#REF!,"-")</f>
        <v>-</v>
      </c>
      <c r="K553" s="333">
        <f t="shared" si="680"/>
        <v>0</v>
      </c>
      <c r="L553" s="272">
        <f t="shared" si="681"/>
        <v>0</v>
      </c>
      <c r="M553" s="273">
        <f t="shared" si="682"/>
        <v>0</v>
      </c>
      <c r="N553" s="337">
        <f t="shared" si="675"/>
        <v>0</v>
      </c>
      <c r="O553" s="263" t="str">
        <f t="shared" si="676"/>
        <v>-</v>
      </c>
    </row>
    <row r="554" spans="1:15" ht="24.75" thickBot="1" x14ac:dyDescent="0.3">
      <c r="A554" s="274" t="s">
        <v>102</v>
      </c>
      <c r="B554" s="950"/>
      <c r="C554" s="313" t="s">
        <v>36</v>
      </c>
      <c r="D554" s="313"/>
      <c r="E554" s="280"/>
      <c r="F554" s="281"/>
      <c r="G554" s="334">
        <f t="shared" si="679"/>
        <v>0</v>
      </c>
      <c r="H554" s="282"/>
      <c r="I554" s="282"/>
      <c r="J554" s="353" t="str">
        <f>IFERROR(G554/#REF!,"-")</f>
        <v>-</v>
      </c>
      <c r="K554" s="334">
        <f t="shared" si="680"/>
        <v>0</v>
      </c>
      <c r="L554" s="272">
        <f t="shared" si="681"/>
        <v>0</v>
      </c>
      <c r="M554" s="273">
        <f t="shared" si="682"/>
        <v>0</v>
      </c>
      <c r="N554" s="338" t="str">
        <f t="shared" si="675"/>
        <v>-</v>
      </c>
      <c r="O554" s="347" t="str">
        <f t="shared" si="676"/>
        <v>-</v>
      </c>
    </row>
    <row r="555" spans="1:15" ht="23.25" thickBot="1" x14ac:dyDescent="0.3">
      <c r="A555" s="274" t="s">
        <v>102</v>
      </c>
      <c r="B555" s="946" t="s">
        <v>37</v>
      </c>
      <c r="C555" s="947"/>
      <c r="D555" s="948"/>
      <c r="E555" s="284">
        <f>SUM(E551:E554)</f>
        <v>20000</v>
      </c>
      <c r="F555" s="285">
        <v>6500</v>
      </c>
      <c r="G555" s="320">
        <f>SUM(G551:G554)</f>
        <v>0</v>
      </c>
      <c r="H555" s="321">
        <f t="shared" ref="H555:I555" si="683">SUM(H551:H554)</f>
        <v>0</v>
      </c>
      <c r="I555" s="321">
        <f t="shared" si="683"/>
        <v>0</v>
      </c>
      <c r="J555" s="345" t="str">
        <f>IFERROR(G555/#REF!,"-")</f>
        <v>-</v>
      </c>
      <c r="K555" s="320">
        <f t="shared" ref="K555:M555" si="684">SUM(K551:K554)</f>
        <v>0</v>
      </c>
      <c r="L555" s="321">
        <f t="shared" si="684"/>
        <v>0</v>
      </c>
      <c r="M555" s="322">
        <f t="shared" si="684"/>
        <v>0</v>
      </c>
      <c r="N555" s="339">
        <f>IFERROR(K555/E555,"-")</f>
        <v>0</v>
      </c>
      <c r="O555" s="345" t="str">
        <f t="shared" si="676"/>
        <v>-</v>
      </c>
    </row>
    <row r="556" spans="1:15" ht="24" x14ac:dyDescent="0.25">
      <c r="A556" s="274" t="s">
        <v>102</v>
      </c>
      <c r="B556" s="949" t="s">
        <v>402</v>
      </c>
      <c r="C556" s="314" t="s">
        <v>116</v>
      </c>
      <c r="D556" s="314"/>
      <c r="E556" s="270">
        <v>14000</v>
      </c>
      <c r="F556" s="271"/>
      <c r="G556" s="332">
        <f t="shared" ref="G556:G557" si="685">+H556+I556</f>
        <v>0</v>
      </c>
      <c r="H556" s="272"/>
      <c r="I556" s="272"/>
      <c r="J556" s="351" t="str">
        <f>IFERROR(G556/#REF!,"-")</f>
        <v>-</v>
      </c>
      <c r="K556" s="332">
        <f t="shared" ref="K556:K557" si="686">+L556+M556</f>
        <v>0</v>
      </c>
      <c r="L556" s="272">
        <f t="shared" ref="L556:L557" si="687">+H556+L443</f>
        <v>0</v>
      </c>
      <c r="M556" s="273">
        <f t="shared" ref="M556:M557" si="688">+I556+M443</f>
        <v>0</v>
      </c>
      <c r="N556" s="336">
        <f t="shared" ref="N556:N572" si="689">IFERROR(K556/E556,"-")</f>
        <v>0</v>
      </c>
      <c r="O556" s="346" t="str">
        <f t="shared" si="676"/>
        <v>-</v>
      </c>
    </row>
    <row r="557" spans="1:15" ht="24.75" thickBot="1" x14ac:dyDescent="0.3">
      <c r="A557" s="274" t="s">
        <v>102</v>
      </c>
      <c r="B557" s="950"/>
      <c r="C557" s="286" t="s">
        <v>132</v>
      </c>
      <c r="D557" s="286"/>
      <c r="E557" s="280"/>
      <c r="F557" s="281"/>
      <c r="G557" s="334">
        <f t="shared" si="685"/>
        <v>5467</v>
      </c>
      <c r="H557" s="282">
        <f>3200+2000</f>
        <v>5200</v>
      </c>
      <c r="I557" s="282">
        <f>167+100</f>
        <v>267</v>
      </c>
      <c r="J557" s="353" t="str">
        <f>IFERROR(G557/#REF!,"-")</f>
        <v>-</v>
      </c>
      <c r="K557" s="334">
        <f t="shared" si="686"/>
        <v>8127</v>
      </c>
      <c r="L557" s="272">
        <f t="shared" si="687"/>
        <v>7690</v>
      </c>
      <c r="M557" s="273">
        <f t="shared" si="688"/>
        <v>437</v>
      </c>
      <c r="N557" s="338" t="str">
        <f t="shared" si="689"/>
        <v>-</v>
      </c>
      <c r="O557" s="347">
        <f t="shared" si="676"/>
        <v>5.3771379352774699E-2</v>
      </c>
    </row>
    <row r="558" spans="1:15" ht="23.25" thickBot="1" x14ac:dyDescent="0.3">
      <c r="A558" s="794" t="s">
        <v>102</v>
      </c>
      <c r="B558" s="946" t="s">
        <v>38</v>
      </c>
      <c r="C558" s="947"/>
      <c r="D558" s="948"/>
      <c r="E558" s="284">
        <f>SUM(E556:E557)</f>
        <v>14000</v>
      </c>
      <c r="F558" s="285">
        <v>2800</v>
      </c>
      <c r="G558" s="320">
        <f>SUM(G556:G557)</f>
        <v>5467</v>
      </c>
      <c r="H558" s="321">
        <f t="shared" ref="H558:I558" si="690">SUM(H556:H557)</f>
        <v>5200</v>
      </c>
      <c r="I558" s="321">
        <f t="shared" si="690"/>
        <v>267</v>
      </c>
      <c r="J558" s="345" t="str">
        <f>IFERROR(G558/#REF!,"-")</f>
        <v>-</v>
      </c>
      <c r="K558" s="320">
        <f t="shared" ref="K558:M558" si="691">SUM(K556:K557)</f>
        <v>8127</v>
      </c>
      <c r="L558" s="321">
        <f t="shared" si="691"/>
        <v>7690</v>
      </c>
      <c r="M558" s="322">
        <f t="shared" si="691"/>
        <v>437</v>
      </c>
      <c r="N558" s="339">
        <f t="shared" si="689"/>
        <v>0.58050000000000002</v>
      </c>
      <c r="O558" s="345">
        <f t="shared" si="676"/>
        <v>5.3771379352774699E-2</v>
      </c>
    </row>
    <row r="559" spans="1:15" ht="24" x14ac:dyDescent="0.25">
      <c r="A559" s="274" t="s">
        <v>102</v>
      </c>
      <c r="B559" s="949" t="s">
        <v>403</v>
      </c>
      <c r="C559" s="269" t="s">
        <v>306</v>
      </c>
      <c r="D559" s="269"/>
      <c r="E559" s="270">
        <f>176000+39000+35000+36000+19000</f>
        <v>305000</v>
      </c>
      <c r="F559" s="315"/>
      <c r="G559" s="332">
        <f t="shared" ref="G559:G563" si="692">+H559+I559</f>
        <v>0</v>
      </c>
      <c r="H559" s="272"/>
      <c r="I559" s="272"/>
      <c r="J559" s="371" t="str">
        <f>IFERROR(G559/#REF!,"-")</f>
        <v>-</v>
      </c>
      <c r="K559" s="332">
        <f t="shared" ref="K559:K563" si="693">+L559+M559</f>
        <v>78714</v>
      </c>
      <c r="L559" s="272">
        <f t="shared" ref="L559:L563" si="694">+H559+L446</f>
        <v>78156</v>
      </c>
      <c r="M559" s="272">
        <f t="shared" ref="M559:M563" si="695">+I559+M446</f>
        <v>558</v>
      </c>
      <c r="N559" s="359">
        <f t="shared" si="689"/>
        <v>0.25807868852459015</v>
      </c>
      <c r="O559" s="360">
        <f t="shared" si="676"/>
        <v>7.0889549508346677E-3</v>
      </c>
    </row>
    <row r="560" spans="1:15" ht="24" x14ac:dyDescent="0.25">
      <c r="A560" s="274" t="s">
        <v>102</v>
      </c>
      <c r="B560" s="951"/>
      <c r="C560" s="269" t="s">
        <v>307</v>
      </c>
      <c r="D560" s="275"/>
      <c r="E560" s="276"/>
      <c r="F560" s="316"/>
      <c r="G560" s="333">
        <f t="shared" si="692"/>
        <v>0</v>
      </c>
      <c r="H560" s="278"/>
      <c r="I560" s="278"/>
      <c r="J560" s="372" t="str">
        <f>IFERROR(G560/#REF!,"-")</f>
        <v>-</v>
      </c>
      <c r="K560" s="333">
        <f t="shared" si="693"/>
        <v>0</v>
      </c>
      <c r="L560" s="272">
        <f t="shared" si="694"/>
        <v>0</v>
      </c>
      <c r="M560" s="273">
        <f t="shared" si="695"/>
        <v>0</v>
      </c>
      <c r="N560" s="361" t="str">
        <f t="shared" si="689"/>
        <v>-</v>
      </c>
      <c r="O560" s="362" t="str">
        <f t="shared" si="676"/>
        <v>-</v>
      </c>
    </row>
    <row r="561" spans="1:15" ht="24" x14ac:dyDescent="0.25">
      <c r="A561" s="274" t="s">
        <v>102</v>
      </c>
      <c r="B561" s="951"/>
      <c r="C561" s="275" t="s">
        <v>499</v>
      </c>
      <c r="D561" s="275"/>
      <c r="E561" s="276">
        <f>70000+15000</f>
        <v>85000</v>
      </c>
      <c r="F561" s="316"/>
      <c r="G561" s="333">
        <f t="shared" si="692"/>
        <v>21770</v>
      </c>
      <c r="H561" s="278">
        <v>21600</v>
      </c>
      <c r="I561" s="278">
        <v>170</v>
      </c>
      <c r="J561" s="372" t="str">
        <f>IFERROR(G561/#REF!,"-")</f>
        <v>-</v>
      </c>
      <c r="K561" s="333">
        <f t="shared" si="693"/>
        <v>29130</v>
      </c>
      <c r="L561" s="272">
        <f t="shared" si="694"/>
        <v>28800</v>
      </c>
      <c r="M561" s="273">
        <f t="shared" si="695"/>
        <v>330</v>
      </c>
      <c r="N561" s="361">
        <f t="shared" si="689"/>
        <v>0.34270588235294119</v>
      </c>
      <c r="O561" s="362">
        <f t="shared" si="676"/>
        <v>1.132852729145211E-2</v>
      </c>
    </row>
    <row r="562" spans="1:15" ht="24" x14ac:dyDescent="0.25">
      <c r="A562" s="274" t="s">
        <v>102</v>
      </c>
      <c r="B562" s="951"/>
      <c r="C562" s="275" t="s">
        <v>157</v>
      </c>
      <c r="D562" s="275"/>
      <c r="E562" s="276"/>
      <c r="F562" s="316"/>
      <c r="G562" s="333">
        <f t="shared" si="692"/>
        <v>0</v>
      </c>
      <c r="H562" s="278"/>
      <c r="I562" s="278"/>
      <c r="J562" s="372" t="str">
        <f>IFERROR(G562/#REF!,"-")</f>
        <v>-</v>
      </c>
      <c r="K562" s="333">
        <f t="shared" si="693"/>
        <v>0</v>
      </c>
      <c r="L562" s="272">
        <f t="shared" si="694"/>
        <v>0</v>
      </c>
      <c r="M562" s="273">
        <f t="shared" si="695"/>
        <v>0</v>
      </c>
      <c r="N562" s="361" t="str">
        <f t="shared" si="689"/>
        <v>-</v>
      </c>
      <c r="O562" s="362" t="str">
        <f t="shared" si="676"/>
        <v>-</v>
      </c>
    </row>
    <row r="563" spans="1:15" ht="24.75" thickBot="1" x14ac:dyDescent="0.3">
      <c r="A563" s="274" t="s">
        <v>102</v>
      </c>
      <c r="B563" s="950"/>
      <c r="C563" s="279" t="s">
        <v>158</v>
      </c>
      <c r="D563" s="279"/>
      <c r="E563" s="280"/>
      <c r="F563" s="317"/>
      <c r="G563" s="334">
        <f t="shared" si="692"/>
        <v>0</v>
      </c>
      <c r="H563" s="282"/>
      <c r="I563" s="282"/>
      <c r="J563" s="373" t="str">
        <f>IFERROR(G563/#REF!,"-")</f>
        <v>-</v>
      </c>
      <c r="K563" s="334">
        <f t="shared" si="693"/>
        <v>0</v>
      </c>
      <c r="L563" s="272">
        <f t="shared" si="694"/>
        <v>0</v>
      </c>
      <c r="M563" s="273">
        <f t="shared" si="695"/>
        <v>0</v>
      </c>
      <c r="N563" s="363" t="str">
        <f t="shared" si="689"/>
        <v>-</v>
      </c>
      <c r="O563" s="364" t="str">
        <f t="shared" si="676"/>
        <v>-</v>
      </c>
    </row>
    <row r="564" spans="1:15" ht="23.25" thickBot="1" x14ac:dyDescent="0.3">
      <c r="A564" s="274" t="s">
        <v>102</v>
      </c>
      <c r="B564" s="946" t="s">
        <v>39</v>
      </c>
      <c r="C564" s="947"/>
      <c r="D564" s="948"/>
      <c r="E564" s="320">
        <f>SUM(E559:E563)</f>
        <v>390000</v>
      </c>
      <c r="F564" s="285">
        <v>25000</v>
      </c>
      <c r="G564" s="320">
        <f>SUM(G559:G563)</f>
        <v>21770</v>
      </c>
      <c r="H564" s="321">
        <f>SUM(H559:H563)</f>
        <v>21600</v>
      </c>
      <c r="I564" s="321">
        <f>SUM(I559:I563)</f>
        <v>170</v>
      </c>
      <c r="J564" s="345" t="str">
        <f>IFERROR(G564/#REF!,"-")</f>
        <v>-</v>
      </c>
      <c r="K564" s="320">
        <f>SUM(K559:K563)</f>
        <v>107844</v>
      </c>
      <c r="L564" s="321">
        <f>SUM(L559:L563)</f>
        <v>106956</v>
      </c>
      <c r="M564" s="322">
        <f>SUM(M559:M563)</f>
        <v>888</v>
      </c>
      <c r="N564" s="339">
        <f t="shared" si="689"/>
        <v>0.27652307692307693</v>
      </c>
      <c r="O564" s="345">
        <f t="shared" si="676"/>
        <v>8.234115945254257E-3</v>
      </c>
    </row>
    <row r="565" spans="1:15" ht="24" x14ac:dyDescent="0.25">
      <c r="A565" s="274" t="s">
        <v>102</v>
      </c>
      <c r="B565" s="949" t="s">
        <v>404</v>
      </c>
      <c r="C565" s="269" t="s">
        <v>186</v>
      </c>
      <c r="D565" s="269"/>
      <c r="E565" s="270"/>
      <c r="F565" s="271"/>
      <c r="G565" s="332">
        <f t="shared" ref="G565:G567" si="696">+H565+I565</f>
        <v>0</v>
      </c>
      <c r="H565" s="272"/>
      <c r="I565" s="272"/>
      <c r="J565" s="351" t="str">
        <f>IFERROR(G565/#REF!,"-")</f>
        <v>-</v>
      </c>
      <c r="K565" s="332">
        <f t="shared" ref="K565:K567" si="697">+L565+M565</f>
        <v>0</v>
      </c>
      <c r="L565" s="272">
        <f t="shared" ref="L565:L567" si="698">+H565+L452</f>
        <v>0</v>
      </c>
      <c r="M565" s="273">
        <f t="shared" ref="M565:M567" si="699">+I565+M452</f>
        <v>0</v>
      </c>
      <c r="N565" s="336" t="str">
        <f t="shared" si="689"/>
        <v>-</v>
      </c>
      <c r="O565" s="346" t="str">
        <f t="shared" si="676"/>
        <v>-</v>
      </c>
    </row>
    <row r="566" spans="1:15" ht="24" x14ac:dyDescent="0.25">
      <c r="A566" s="274" t="s">
        <v>102</v>
      </c>
      <c r="B566" s="951"/>
      <c r="C566" s="275" t="s">
        <v>497</v>
      </c>
      <c r="D566" s="275"/>
      <c r="E566" s="276">
        <f>33000+15000</f>
        <v>48000</v>
      </c>
      <c r="F566" s="277"/>
      <c r="G566" s="333">
        <f t="shared" si="696"/>
        <v>0</v>
      </c>
      <c r="H566" s="278"/>
      <c r="I566" s="278"/>
      <c r="J566" s="372" t="str">
        <f>IFERROR(G566/#REF!,"-")</f>
        <v>-</v>
      </c>
      <c r="K566" s="333">
        <f t="shared" si="697"/>
        <v>11826</v>
      </c>
      <c r="L566" s="714">
        <f t="shared" si="698"/>
        <v>11400</v>
      </c>
      <c r="M566" s="273">
        <f t="shared" si="699"/>
        <v>426</v>
      </c>
      <c r="N566" s="361">
        <f t="shared" si="689"/>
        <v>0.24637500000000001</v>
      </c>
      <c r="O566" s="362">
        <f t="shared" si="676"/>
        <v>3.6022323693556568E-2</v>
      </c>
    </row>
    <row r="567" spans="1:15" ht="24.75" thickBot="1" x14ac:dyDescent="0.3">
      <c r="A567" s="274" t="s">
        <v>102</v>
      </c>
      <c r="B567" s="950"/>
      <c r="C567" s="279" t="s">
        <v>498</v>
      </c>
      <c r="D567" s="279"/>
      <c r="E567" s="280">
        <f>50000+10000</f>
        <v>60000</v>
      </c>
      <c r="F567" s="281"/>
      <c r="G567" s="334">
        <f t="shared" si="696"/>
        <v>0</v>
      </c>
      <c r="H567" s="282"/>
      <c r="I567" s="282"/>
      <c r="J567" s="373" t="str">
        <f>IFERROR(G567/#REF!,"-")</f>
        <v>-</v>
      </c>
      <c r="K567" s="334">
        <f t="shared" si="697"/>
        <v>0</v>
      </c>
      <c r="L567" s="272">
        <f t="shared" si="698"/>
        <v>0</v>
      </c>
      <c r="M567" s="273">
        <f t="shared" si="699"/>
        <v>0</v>
      </c>
      <c r="N567" s="363">
        <f t="shared" si="689"/>
        <v>0</v>
      </c>
      <c r="O567" s="364" t="str">
        <f t="shared" si="676"/>
        <v>-</v>
      </c>
    </row>
    <row r="568" spans="1:15" ht="23.25" thickBot="1" x14ac:dyDescent="0.3">
      <c r="A568" s="274" t="s">
        <v>102</v>
      </c>
      <c r="B568" s="952" t="s">
        <v>41</v>
      </c>
      <c r="C568" s="953"/>
      <c r="D568" s="954"/>
      <c r="E568" s="320">
        <f>SUM(E565:E567)</f>
        <v>108000</v>
      </c>
      <c r="F568" s="285"/>
      <c r="G568" s="320">
        <f>SUM(G565:G567)</f>
        <v>0</v>
      </c>
      <c r="H568" s="321">
        <f t="shared" ref="H568:I568" si="700">SUM(H565:H567)</f>
        <v>0</v>
      </c>
      <c r="I568" s="321">
        <f t="shared" si="700"/>
        <v>0</v>
      </c>
      <c r="J568" s="345" t="str">
        <f>IFERROR(G568/#REF!,"-")</f>
        <v>-</v>
      </c>
      <c r="K568" s="320">
        <f t="shared" ref="K568:M568" si="701">SUM(K565:K567)</f>
        <v>11826</v>
      </c>
      <c r="L568" s="365">
        <f t="shared" si="701"/>
        <v>11400</v>
      </c>
      <c r="M568" s="367">
        <f t="shared" si="701"/>
        <v>426</v>
      </c>
      <c r="N568" s="339">
        <f t="shared" si="689"/>
        <v>0.1095</v>
      </c>
      <c r="O568" s="345">
        <f t="shared" si="676"/>
        <v>3.6022323693556568E-2</v>
      </c>
    </row>
    <row r="569" spans="1:15" ht="24.75" thickBot="1" x14ac:dyDescent="0.3">
      <c r="A569" s="274" t="s">
        <v>102</v>
      </c>
      <c r="B569" s="949" t="s">
        <v>42</v>
      </c>
      <c r="C569" s="269" t="s">
        <v>160</v>
      </c>
      <c r="D569" s="269"/>
      <c r="E569" s="270">
        <v>11076</v>
      </c>
      <c r="F569" s="271"/>
      <c r="G569" s="332">
        <f t="shared" ref="G569:G570" si="702">+H569+I569</f>
        <v>0</v>
      </c>
      <c r="H569" s="272"/>
      <c r="I569" s="272"/>
      <c r="J569" s="371" t="str">
        <f>IFERROR(G569/#REF!,"-")</f>
        <v>-</v>
      </c>
      <c r="K569" s="695">
        <f t="shared" ref="K569:K570" si="703">+L569+M569</f>
        <v>0</v>
      </c>
      <c r="L569" s="688">
        <f t="shared" ref="L569:L570" si="704">+H569+L456</f>
        <v>0</v>
      </c>
      <c r="M569" s="688">
        <f t="shared" ref="M569:M570" si="705">+I569+M456</f>
        <v>0</v>
      </c>
      <c r="N569" s="359">
        <f t="shared" si="689"/>
        <v>0</v>
      </c>
      <c r="O569" s="360" t="str">
        <f t="shared" si="676"/>
        <v>-</v>
      </c>
    </row>
    <row r="570" spans="1:15" ht="24.75" thickBot="1" x14ac:dyDescent="0.3">
      <c r="A570" s="274" t="s">
        <v>102</v>
      </c>
      <c r="B570" s="950"/>
      <c r="C570" s="279" t="s">
        <v>161</v>
      </c>
      <c r="D570" s="279"/>
      <c r="E570" s="280">
        <v>0</v>
      </c>
      <c r="F570" s="281"/>
      <c r="G570" s="334">
        <f t="shared" si="702"/>
        <v>0</v>
      </c>
      <c r="H570" s="282"/>
      <c r="I570" s="282"/>
      <c r="J570" s="373" t="str">
        <f>IFERROR(G570/#REF!,"-")</f>
        <v>-</v>
      </c>
      <c r="K570" s="696">
        <f t="shared" si="703"/>
        <v>0</v>
      </c>
      <c r="L570" s="688">
        <f t="shared" si="704"/>
        <v>0</v>
      </c>
      <c r="M570" s="688">
        <f t="shared" si="705"/>
        <v>0</v>
      </c>
      <c r="N570" s="363" t="str">
        <f t="shared" si="689"/>
        <v>-</v>
      </c>
      <c r="O570" s="364" t="str">
        <f t="shared" si="676"/>
        <v>-</v>
      </c>
    </row>
    <row r="571" spans="1:15" ht="23.25" thickBot="1" x14ac:dyDescent="0.3">
      <c r="A571" s="274" t="s">
        <v>102</v>
      </c>
      <c r="B571" s="952" t="s">
        <v>43</v>
      </c>
      <c r="C571" s="953"/>
      <c r="D571" s="954"/>
      <c r="E571" s="284">
        <f>SUM(E569:E570)</f>
        <v>11076</v>
      </c>
      <c r="F571" s="285">
        <v>25000</v>
      </c>
      <c r="G571" s="320">
        <f>SUM(G569:G570)</f>
        <v>0</v>
      </c>
      <c r="H571" s="321">
        <f t="shared" ref="H571:I571" si="706">SUM(H569:H570)</f>
        <v>0</v>
      </c>
      <c r="I571" s="321">
        <f t="shared" si="706"/>
        <v>0</v>
      </c>
      <c r="J571" s="345" t="str">
        <f>IFERROR(G571/#REF!,"-")</f>
        <v>-</v>
      </c>
      <c r="K571" s="760">
        <f t="shared" ref="K571:M571" si="707">SUM(K569:K570)</f>
        <v>0</v>
      </c>
      <c r="L571" s="761">
        <f t="shared" si="707"/>
        <v>0</v>
      </c>
      <c r="M571" s="761">
        <f t="shared" si="707"/>
        <v>0</v>
      </c>
      <c r="N571" s="339">
        <f t="shared" si="689"/>
        <v>0</v>
      </c>
      <c r="O571" s="345" t="str">
        <f t="shared" si="676"/>
        <v>-</v>
      </c>
    </row>
    <row r="572" spans="1:15" ht="23.25" thickBot="1" x14ac:dyDescent="0.3">
      <c r="A572" s="274" t="s">
        <v>102</v>
      </c>
      <c r="B572" s="938" t="s">
        <v>25</v>
      </c>
      <c r="C572" s="939"/>
      <c r="D572" s="940"/>
      <c r="E572" s="326">
        <f t="shared" ref="E572:F572" si="708">+E550+E555+E558+E564+E568+E571</f>
        <v>545076</v>
      </c>
      <c r="F572" s="327">
        <f t="shared" si="708"/>
        <v>65800</v>
      </c>
      <c r="G572" s="326">
        <f>+G550+G555+G558+G564+G568+G571</f>
        <v>29937</v>
      </c>
      <c r="H572" s="324">
        <f>+H550+H555+H558+H564+H568+H571</f>
        <v>29400</v>
      </c>
      <c r="I572" s="324">
        <f t="shared" ref="I572" si="709">+I550+I555+I558+I564+I568+I571</f>
        <v>537</v>
      </c>
      <c r="J572" s="349" t="str">
        <f>IFERROR(G572/#REF!,"-")</f>
        <v>-</v>
      </c>
      <c r="K572" s="326">
        <f>+K550+K555+K558+K564+K568+K571</f>
        <v>133934</v>
      </c>
      <c r="L572" s="759">
        <f t="shared" ref="L572:M572" si="710">+L550+L555+L558+L564+L568+L571</f>
        <v>131846</v>
      </c>
      <c r="M572" s="325">
        <f t="shared" si="710"/>
        <v>2088</v>
      </c>
      <c r="N572" s="341">
        <f t="shared" si="689"/>
        <v>0.24571619370509801</v>
      </c>
      <c r="O572" s="349">
        <f t="shared" si="676"/>
        <v>1.5589768094733227E-2</v>
      </c>
    </row>
    <row r="573" spans="1:15" ht="23.25" thickBot="1" x14ac:dyDescent="0.3">
      <c r="A573" s="318" t="s">
        <v>102</v>
      </c>
      <c r="B573" s="941" t="s">
        <v>173</v>
      </c>
      <c r="C573" s="941"/>
      <c r="D573" s="942"/>
      <c r="E573" s="330">
        <f>+E572</f>
        <v>545076</v>
      </c>
      <c r="F573" s="331">
        <f t="shared" ref="F573:O573" si="711">+F572</f>
        <v>65800</v>
      </c>
      <c r="G573" s="330">
        <f t="shared" si="711"/>
        <v>29937</v>
      </c>
      <c r="H573" s="328">
        <f t="shared" si="711"/>
        <v>29400</v>
      </c>
      <c r="I573" s="328">
        <f t="shared" si="711"/>
        <v>537</v>
      </c>
      <c r="J573" s="350" t="str">
        <f t="shared" si="711"/>
        <v>-</v>
      </c>
      <c r="K573" s="330">
        <f t="shared" si="711"/>
        <v>133934</v>
      </c>
      <c r="L573" s="328">
        <f t="shared" si="711"/>
        <v>131846</v>
      </c>
      <c r="M573" s="329">
        <f t="shared" si="711"/>
        <v>2088</v>
      </c>
      <c r="N573" s="342">
        <f t="shared" si="711"/>
        <v>0.24571619370509801</v>
      </c>
      <c r="O573" s="350">
        <f t="shared" si="711"/>
        <v>1.5589768094733227E-2</v>
      </c>
    </row>
    <row r="574" spans="1:15" ht="26.25" thickBot="1" x14ac:dyDescent="0.3">
      <c r="A574" s="319"/>
      <c r="B574" s="943" t="s">
        <v>174</v>
      </c>
      <c r="C574" s="944"/>
      <c r="D574" s="945"/>
      <c r="E574" s="374">
        <f>+E511+E546+E573</f>
        <v>6540740</v>
      </c>
      <c r="F574" s="374">
        <f>+F511+F546+F573</f>
        <v>1184800</v>
      </c>
      <c r="G574" s="374">
        <f>+G511+G546+G573</f>
        <v>334247</v>
      </c>
      <c r="H574" s="374">
        <f>+H511+H546+H573</f>
        <v>330198</v>
      </c>
      <c r="I574" s="374">
        <f>+I511+I546+I573</f>
        <v>4049</v>
      </c>
      <c r="J574" s="375" t="str">
        <f>IFERROR(G574/#REF!,"-")</f>
        <v>-</v>
      </c>
      <c r="K574" s="374">
        <f>+K511+K546+K573</f>
        <v>1775713</v>
      </c>
      <c r="L574" s="374">
        <f>+L511+L546+L573</f>
        <v>1760332</v>
      </c>
      <c r="M574" s="374">
        <f>+M511+M546+M573</f>
        <v>15381</v>
      </c>
      <c r="N574" s="375">
        <f>IFERROR(K574/E574,"-")</f>
        <v>0.27148503074575658</v>
      </c>
      <c r="O574" s="375">
        <f>IFERROR(M574/K574,"-")</f>
        <v>8.6618727238016498E-3</v>
      </c>
    </row>
    <row r="575" spans="1:15" ht="22.5" x14ac:dyDescent="0.25">
      <c r="A575" s="978" t="s">
        <v>1</v>
      </c>
      <c r="B575" s="981" t="s">
        <v>2</v>
      </c>
      <c r="C575" s="984" t="s">
        <v>396</v>
      </c>
      <c r="D575" s="984" t="s">
        <v>397</v>
      </c>
      <c r="E575" s="987" t="s">
        <v>4</v>
      </c>
      <c r="F575" s="988"/>
      <c r="G575" s="988"/>
      <c r="H575" s="988"/>
      <c r="I575" s="988"/>
      <c r="J575" s="988"/>
      <c r="K575" s="988"/>
      <c r="L575" s="988"/>
      <c r="M575" s="988"/>
      <c r="N575" s="988"/>
      <c r="O575" s="989"/>
    </row>
    <row r="576" spans="1:15" ht="22.5" x14ac:dyDescent="0.25">
      <c r="A576" s="979"/>
      <c r="B576" s="982"/>
      <c r="C576" s="985"/>
      <c r="D576" s="985"/>
      <c r="E576" s="990" t="s">
        <v>7</v>
      </c>
      <c r="F576" s="992" t="s">
        <v>108</v>
      </c>
      <c r="G576" s="994" t="s">
        <v>510</v>
      </c>
      <c r="H576" s="995"/>
      <c r="I576" s="995"/>
      <c r="J576" s="996"/>
      <c r="K576" s="997" t="s">
        <v>398</v>
      </c>
      <c r="L576" s="998"/>
      <c r="M576" s="999"/>
      <c r="N576" s="1000" t="s">
        <v>399</v>
      </c>
      <c r="O576" s="1002" t="s">
        <v>164</v>
      </c>
    </row>
    <row r="577" spans="1:15" ht="41.25" thickBot="1" x14ac:dyDescent="0.3">
      <c r="A577" s="980"/>
      <c r="B577" s="983"/>
      <c r="C577" s="986"/>
      <c r="D577" s="986"/>
      <c r="E577" s="991"/>
      <c r="F577" s="993"/>
      <c r="G577" s="452" t="s">
        <v>13</v>
      </c>
      <c r="H577" s="453" t="s">
        <v>14</v>
      </c>
      <c r="I577" s="453" t="s">
        <v>15</v>
      </c>
      <c r="J577" s="454" t="s">
        <v>166</v>
      </c>
      <c r="K577" s="680" t="s">
        <v>13</v>
      </c>
      <c r="L577" s="678" t="s">
        <v>14</v>
      </c>
      <c r="M577" s="679" t="s">
        <v>15</v>
      </c>
      <c r="N577" s="1001"/>
      <c r="O577" s="1003"/>
    </row>
    <row r="578" spans="1:15" ht="24.75" thickBot="1" x14ac:dyDescent="0.3">
      <c r="A578" s="268" t="s">
        <v>103</v>
      </c>
      <c r="B578" s="965" t="s">
        <v>16</v>
      </c>
      <c r="C578" s="269" t="s">
        <v>368</v>
      </c>
      <c r="D578" s="269" t="s">
        <v>369</v>
      </c>
      <c r="E578" s="270">
        <v>20000</v>
      </c>
      <c r="F578" s="271"/>
      <c r="G578" s="332">
        <f>+H578+I578</f>
        <v>0</v>
      </c>
      <c r="H578" s="272"/>
      <c r="I578" s="272"/>
      <c r="J578" s="351"/>
      <c r="K578" s="457">
        <f>+L578+M578</f>
        <v>0</v>
      </c>
      <c r="L578" s="688">
        <f>+H578+L465</f>
        <v>0</v>
      </c>
      <c r="M578" s="688">
        <f>+I578+M465</f>
        <v>0</v>
      </c>
      <c r="N578" s="336">
        <f>IFERROR(K578/E578,"-")</f>
        <v>0</v>
      </c>
      <c r="O578" s="343" t="str">
        <f t="shared" ref="O578:O579" si="712">IFERROR(M578/K578,"-")</f>
        <v>-</v>
      </c>
    </row>
    <row r="579" spans="1:15" ht="24" x14ac:dyDescent="0.25">
      <c r="A579" s="274" t="s">
        <v>103</v>
      </c>
      <c r="B579" s="966"/>
      <c r="C579" s="275" t="s">
        <v>376</v>
      </c>
      <c r="D579" s="275" t="s">
        <v>375</v>
      </c>
      <c r="E579" s="276"/>
      <c r="F579" s="277"/>
      <c r="G579" s="333">
        <f t="shared" ref="G579:G581" si="713">+H579+I579</f>
        <v>0</v>
      </c>
      <c r="H579" s="278"/>
      <c r="I579" s="278"/>
      <c r="J579" s="352" t="str">
        <f>IFERROR(G579/#REF!,"-")</f>
        <v>-</v>
      </c>
      <c r="K579" s="690">
        <f t="shared" ref="K579:K581" si="714">+L579+M579</f>
        <v>0</v>
      </c>
      <c r="L579" s="527">
        <f t="shared" ref="L579:L581" si="715">+H579+L466</f>
        <v>0</v>
      </c>
      <c r="M579" s="459">
        <f t="shared" ref="M579:M581" si="716">+I579+M466</f>
        <v>0</v>
      </c>
      <c r="N579" s="337" t="str">
        <f t="shared" ref="N579:N581" si="717">IFERROR(K579/E579,"-")</f>
        <v>-</v>
      </c>
      <c r="O579" s="265" t="str">
        <f t="shared" si="712"/>
        <v>-</v>
      </c>
    </row>
    <row r="580" spans="1:15" s="723" customFormat="1" ht="22.5" x14ac:dyDescent="0.25">
      <c r="A580" s="274" t="s">
        <v>103</v>
      </c>
      <c r="B580" s="966"/>
      <c r="C580" s="573" t="s">
        <v>431</v>
      </c>
      <c r="D580" s="573" t="s">
        <v>366</v>
      </c>
      <c r="E580" s="720"/>
      <c r="F580" s="721"/>
      <c r="G580" s="333">
        <f t="shared" si="713"/>
        <v>2240</v>
      </c>
      <c r="H580" s="722">
        <v>2240</v>
      </c>
      <c r="I580" s="722"/>
      <c r="J580" s="352" t="str">
        <f>IFERROR(G580/#REF!,"-")</f>
        <v>-</v>
      </c>
      <c r="K580" s="690">
        <f t="shared" si="714"/>
        <v>5760</v>
      </c>
      <c r="L580" s="720">
        <f t="shared" si="715"/>
        <v>5760</v>
      </c>
      <c r="M580" s="529">
        <f t="shared" si="716"/>
        <v>0</v>
      </c>
      <c r="N580" s="337" t="str">
        <f t="shared" si="717"/>
        <v>-</v>
      </c>
      <c r="O580" s="265">
        <f>IFERROR(M580/K580,"-")</f>
        <v>0</v>
      </c>
    </row>
    <row r="581" spans="1:15" ht="24.75" thickBot="1" x14ac:dyDescent="0.3">
      <c r="A581" s="274" t="s">
        <v>103</v>
      </c>
      <c r="B581" s="967"/>
      <c r="C581" s="279" t="s">
        <v>428</v>
      </c>
      <c r="D581" s="279" t="s">
        <v>374</v>
      </c>
      <c r="E581" s="280"/>
      <c r="F581" s="281"/>
      <c r="G581" s="334">
        <f t="shared" si="713"/>
        <v>0</v>
      </c>
      <c r="H581" s="272"/>
      <c r="I581" s="272"/>
      <c r="J581" s="353" t="str">
        <f>IFERROR(G581/#REF!,"-")</f>
        <v>-</v>
      </c>
      <c r="K581" s="691">
        <f t="shared" si="714"/>
        <v>0</v>
      </c>
      <c r="L581" s="530">
        <f t="shared" si="715"/>
        <v>0</v>
      </c>
      <c r="M581" s="462">
        <f t="shared" si="716"/>
        <v>0</v>
      </c>
      <c r="N581" s="338" t="str">
        <f t="shared" si="717"/>
        <v>-</v>
      </c>
      <c r="O581" s="344" t="str">
        <f t="shared" ref="O581:O599" si="718">IFERROR(M581/K581,"-")</f>
        <v>-</v>
      </c>
    </row>
    <row r="582" spans="1:15" ht="23.25" thickBot="1" x14ac:dyDescent="0.3">
      <c r="A582" s="274" t="s">
        <v>103</v>
      </c>
      <c r="B582" s="946" t="s">
        <v>44</v>
      </c>
      <c r="C582" s="947"/>
      <c r="D582" s="948"/>
      <c r="E582" s="320">
        <f>SUM(E578:E581)</f>
        <v>20000</v>
      </c>
      <c r="F582" s="285">
        <v>15000</v>
      </c>
      <c r="G582" s="320">
        <f>SUM(G578:G581)</f>
        <v>2240</v>
      </c>
      <c r="H582" s="321">
        <f t="shared" ref="H582:I582" si="719">SUM(H578:H581)</f>
        <v>2240</v>
      </c>
      <c r="I582" s="321">
        <f t="shared" si="719"/>
        <v>0</v>
      </c>
      <c r="J582" s="345">
        <f>+G582/F582</f>
        <v>0.14933333333333335</v>
      </c>
      <c r="K582" s="320">
        <f t="shared" ref="K582" si="720">SUM(K578:K581)</f>
        <v>5760</v>
      </c>
      <c r="L582" s="692">
        <f>SUM(L578:L581)</f>
        <v>5760</v>
      </c>
      <c r="M582" s="693">
        <f>SUM(M578:M581)</f>
        <v>0</v>
      </c>
      <c r="N582" s="339">
        <f>IFERROR(K582/E582,"-")</f>
        <v>0.28799999999999998</v>
      </c>
      <c r="O582" s="345">
        <f t="shared" si="718"/>
        <v>0</v>
      </c>
    </row>
    <row r="583" spans="1:15" ht="24" x14ac:dyDescent="0.25">
      <c r="A583" s="274" t="s">
        <v>103</v>
      </c>
      <c r="B583" s="965" t="s">
        <v>17</v>
      </c>
      <c r="C583" s="269" t="s">
        <v>294</v>
      </c>
      <c r="D583" s="269"/>
      <c r="E583" s="270"/>
      <c r="F583" s="271"/>
      <c r="G583" s="332">
        <f t="shared" ref="G583:G589" si="721">+H583+I583</f>
        <v>0</v>
      </c>
      <c r="H583" s="272"/>
      <c r="I583" s="272"/>
      <c r="J583" s="351" t="str">
        <f>IFERROR(G583/#REF!,"-")</f>
        <v>-</v>
      </c>
      <c r="K583" s="694">
        <f t="shared" ref="K583:K589" si="722">+L583+M583</f>
        <v>0</v>
      </c>
      <c r="L583" s="527">
        <f t="shared" ref="L583:L589" si="723">+H583+L470</f>
        <v>0</v>
      </c>
      <c r="M583" s="459">
        <f t="shared" ref="M583:M589" si="724">+I583+M470</f>
        <v>0</v>
      </c>
      <c r="N583" s="336" t="str">
        <f t="shared" ref="N583:N589" si="725">IFERROR(K583/E583,"-")</f>
        <v>-</v>
      </c>
      <c r="O583" s="346" t="str">
        <f t="shared" si="718"/>
        <v>-</v>
      </c>
    </row>
    <row r="584" spans="1:15" ht="24" x14ac:dyDescent="0.25">
      <c r="A584" s="274" t="s">
        <v>103</v>
      </c>
      <c r="B584" s="966"/>
      <c r="C584" s="275" t="s">
        <v>344</v>
      </c>
      <c r="D584" s="275" t="s">
        <v>232</v>
      </c>
      <c r="E584" s="276">
        <v>1600000</v>
      </c>
      <c r="F584" s="277"/>
      <c r="G584" s="333">
        <f t="shared" si="721"/>
        <v>0</v>
      </c>
      <c r="H584" s="278"/>
      <c r="I584" s="278"/>
      <c r="J584" s="352" t="str">
        <f>IFERROR(G584/#REF!,"-")</f>
        <v>-</v>
      </c>
      <c r="K584" s="690">
        <f t="shared" si="722"/>
        <v>6120</v>
      </c>
      <c r="L584" s="276">
        <f t="shared" si="723"/>
        <v>5980</v>
      </c>
      <c r="M584" s="436">
        <f t="shared" si="724"/>
        <v>140</v>
      </c>
      <c r="N584" s="337">
        <f t="shared" si="725"/>
        <v>3.8249999999999998E-3</v>
      </c>
      <c r="O584" s="263">
        <f t="shared" si="718"/>
        <v>2.2875816993464051E-2</v>
      </c>
    </row>
    <row r="585" spans="1:15" ht="24" x14ac:dyDescent="0.25">
      <c r="A585" s="274" t="s">
        <v>103</v>
      </c>
      <c r="B585" s="966"/>
      <c r="C585" s="275" t="s">
        <v>367</v>
      </c>
      <c r="D585" s="275" t="s">
        <v>187</v>
      </c>
      <c r="E585" s="276">
        <v>1000000</v>
      </c>
      <c r="F585" s="277"/>
      <c r="G585" s="333">
        <f t="shared" si="721"/>
        <v>98458</v>
      </c>
      <c r="H585" s="278">
        <v>97920</v>
      </c>
      <c r="I585" s="278">
        <v>538</v>
      </c>
      <c r="J585" s="352" t="str">
        <f>IFERROR(G585/#REF!,"-")</f>
        <v>-</v>
      </c>
      <c r="K585" s="690">
        <f t="shared" si="722"/>
        <v>448770</v>
      </c>
      <c r="L585" s="276">
        <f t="shared" si="723"/>
        <v>446760</v>
      </c>
      <c r="M585" s="436">
        <f t="shared" si="724"/>
        <v>2010</v>
      </c>
      <c r="N585" s="337">
        <f t="shared" si="725"/>
        <v>0.44877</v>
      </c>
      <c r="O585" s="263">
        <f t="shared" si="718"/>
        <v>4.4789090179824858E-3</v>
      </c>
    </row>
    <row r="586" spans="1:15" ht="24" x14ac:dyDescent="0.25">
      <c r="A586" s="274" t="s">
        <v>103</v>
      </c>
      <c r="B586" s="966"/>
      <c r="C586" s="275" t="s">
        <v>293</v>
      </c>
      <c r="D586" s="275" t="s">
        <v>188</v>
      </c>
      <c r="E586" s="276"/>
      <c r="F586" s="277"/>
      <c r="G586" s="333">
        <f t="shared" si="721"/>
        <v>0</v>
      </c>
      <c r="H586" s="278"/>
      <c r="I586" s="278"/>
      <c r="J586" s="352" t="str">
        <f>IFERROR(G586/#REF!,"-")</f>
        <v>-</v>
      </c>
      <c r="K586" s="690">
        <f t="shared" si="722"/>
        <v>0</v>
      </c>
      <c r="L586" s="276">
        <f t="shared" si="723"/>
        <v>0</v>
      </c>
      <c r="M586" s="436">
        <f t="shared" si="724"/>
        <v>0</v>
      </c>
      <c r="N586" s="337" t="str">
        <f t="shared" si="725"/>
        <v>-</v>
      </c>
      <c r="O586" s="263" t="str">
        <f t="shared" si="718"/>
        <v>-</v>
      </c>
    </row>
    <row r="587" spans="1:15" ht="24" x14ac:dyDescent="0.25">
      <c r="A587" s="274" t="s">
        <v>103</v>
      </c>
      <c r="B587" s="966"/>
      <c r="C587" s="275" t="s">
        <v>323</v>
      </c>
      <c r="D587" s="275" t="s">
        <v>318</v>
      </c>
      <c r="E587" s="276"/>
      <c r="F587" s="277"/>
      <c r="G587" s="333">
        <f t="shared" si="721"/>
        <v>0</v>
      </c>
      <c r="H587" s="278"/>
      <c r="I587" s="278"/>
      <c r="J587" s="352" t="str">
        <f>IFERROR(G587/#REF!,"-")</f>
        <v>-</v>
      </c>
      <c r="K587" s="690">
        <f t="shared" si="722"/>
        <v>0</v>
      </c>
      <c r="L587" s="276">
        <f t="shared" si="723"/>
        <v>0</v>
      </c>
      <c r="M587" s="436">
        <f t="shared" si="724"/>
        <v>0</v>
      </c>
      <c r="N587" s="337" t="str">
        <f t="shared" si="725"/>
        <v>-</v>
      </c>
      <c r="O587" s="263" t="str">
        <f t="shared" si="718"/>
        <v>-</v>
      </c>
    </row>
    <row r="588" spans="1:15" ht="24" x14ac:dyDescent="0.25">
      <c r="A588" s="274" t="s">
        <v>103</v>
      </c>
      <c r="B588" s="966"/>
      <c r="C588" s="275" t="s">
        <v>352</v>
      </c>
      <c r="D588" s="275" t="s">
        <v>189</v>
      </c>
      <c r="E588" s="276"/>
      <c r="F588" s="277"/>
      <c r="G588" s="333">
        <f t="shared" si="721"/>
        <v>0</v>
      </c>
      <c r="H588" s="278"/>
      <c r="I588" s="278"/>
      <c r="J588" s="352" t="str">
        <f>IFERROR(G588/#REF!,"-")</f>
        <v>-</v>
      </c>
      <c r="K588" s="690">
        <f t="shared" si="722"/>
        <v>0</v>
      </c>
      <c r="L588" s="276">
        <f t="shared" si="723"/>
        <v>0</v>
      </c>
      <c r="M588" s="436">
        <f t="shared" si="724"/>
        <v>0</v>
      </c>
      <c r="N588" s="337" t="str">
        <f t="shared" si="725"/>
        <v>-</v>
      </c>
      <c r="O588" s="263" t="str">
        <f t="shared" si="718"/>
        <v>-</v>
      </c>
    </row>
    <row r="589" spans="1:15" ht="24.75" thickBot="1" x14ac:dyDescent="0.3">
      <c r="A589" s="274" t="s">
        <v>103</v>
      </c>
      <c r="B589" s="967"/>
      <c r="C589" s="279" t="s">
        <v>341</v>
      </c>
      <c r="D589" s="279" t="s">
        <v>232</v>
      </c>
      <c r="E589" s="280"/>
      <c r="F589" s="281"/>
      <c r="G589" s="334">
        <f t="shared" si="721"/>
        <v>0</v>
      </c>
      <c r="H589" s="282"/>
      <c r="I589" s="282"/>
      <c r="J589" s="353" t="str">
        <f>IFERROR(G589/#REF!,"-")</f>
        <v>-</v>
      </c>
      <c r="K589" s="691">
        <f t="shared" si="722"/>
        <v>0</v>
      </c>
      <c r="L589" s="530">
        <f t="shared" si="723"/>
        <v>0</v>
      </c>
      <c r="M589" s="462">
        <f t="shared" si="724"/>
        <v>0</v>
      </c>
      <c r="N589" s="338" t="str">
        <f t="shared" si="725"/>
        <v>-</v>
      </c>
      <c r="O589" s="347" t="str">
        <f t="shared" si="718"/>
        <v>-</v>
      </c>
    </row>
    <row r="590" spans="1:15" ht="23.25" thickBot="1" x14ac:dyDescent="0.3">
      <c r="A590" s="274" t="s">
        <v>103</v>
      </c>
      <c r="B590" s="946" t="s">
        <v>45</v>
      </c>
      <c r="C590" s="947"/>
      <c r="D590" s="948"/>
      <c r="E590" s="320">
        <f>SUM(E583:E589)</f>
        <v>2600000</v>
      </c>
      <c r="F590" s="285">
        <v>100000</v>
      </c>
      <c r="G590" s="320">
        <f>SUM(G583:G589)</f>
        <v>98458</v>
      </c>
      <c r="H590" s="321">
        <f t="shared" ref="H590:I590" si="726">SUM(H583:H589)</f>
        <v>97920</v>
      </c>
      <c r="I590" s="321">
        <f t="shared" si="726"/>
        <v>538</v>
      </c>
      <c r="J590" s="345">
        <f>+G590/F590</f>
        <v>0.98458000000000001</v>
      </c>
      <c r="K590" s="320">
        <f>SUM(K583:K589)</f>
        <v>454890</v>
      </c>
      <c r="L590" s="519">
        <f>SUM(L583:L589)</f>
        <v>452740</v>
      </c>
      <c r="M590" s="689">
        <f t="shared" ref="M590" si="727">SUM(M583:M589)</f>
        <v>2150</v>
      </c>
      <c r="N590" s="339">
        <f>IFERROR(K590/E590,"-")</f>
        <v>0.17495769230769231</v>
      </c>
      <c r="O590" s="345">
        <f t="shared" si="718"/>
        <v>4.7264173756292726E-3</v>
      </c>
    </row>
    <row r="591" spans="1:15" ht="24" x14ac:dyDescent="0.25">
      <c r="A591" s="274" t="s">
        <v>103</v>
      </c>
      <c r="B591" s="965" t="s">
        <v>18</v>
      </c>
      <c r="C591" s="269" t="s">
        <v>312</v>
      </c>
      <c r="D591" s="269" t="s">
        <v>92</v>
      </c>
      <c r="E591" s="270"/>
      <c r="F591" s="271"/>
      <c r="G591" s="332">
        <f t="shared" ref="G591:G597" si="728">+H591+I591</f>
        <v>0</v>
      </c>
      <c r="H591" s="272"/>
      <c r="I591" s="272"/>
      <c r="J591" s="351" t="str">
        <f>IFERROR(G591/#REF!,"-")</f>
        <v>-</v>
      </c>
      <c r="K591" s="332">
        <f t="shared" ref="K591:K597" si="729">+L591+M591</f>
        <v>0</v>
      </c>
      <c r="L591" s="272">
        <f t="shared" ref="L591:L597" si="730">+H591+L478</f>
        <v>0</v>
      </c>
      <c r="M591" s="273">
        <f t="shared" ref="M591:M597" si="731">+I591+M478</f>
        <v>0</v>
      </c>
      <c r="N591" s="336" t="str">
        <f t="shared" ref="N591:N598" si="732">IFERROR(K591/E591,"-")</f>
        <v>-</v>
      </c>
      <c r="O591" s="346" t="str">
        <f t="shared" si="718"/>
        <v>-</v>
      </c>
    </row>
    <row r="592" spans="1:15" ht="24" x14ac:dyDescent="0.25">
      <c r="A592" s="274" t="s">
        <v>103</v>
      </c>
      <c r="B592" s="966"/>
      <c r="C592" s="275" t="s">
        <v>233</v>
      </c>
      <c r="D592" s="275" t="s">
        <v>234</v>
      </c>
      <c r="E592" s="276"/>
      <c r="F592" s="277"/>
      <c r="G592" s="333">
        <f t="shared" si="728"/>
        <v>0</v>
      </c>
      <c r="H592" s="278"/>
      <c r="I592" s="278"/>
      <c r="J592" s="352" t="str">
        <f>IFERROR(G592/#REF!,"-")</f>
        <v>-</v>
      </c>
      <c r="K592" s="333">
        <f t="shared" si="729"/>
        <v>0</v>
      </c>
      <c r="L592" s="272">
        <f t="shared" si="730"/>
        <v>0</v>
      </c>
      <c r="M592" s="273">
        <f t="shared" si="731"/>
        <v>0</v>
      </c>
      <c r="N592" s="337" t="str">
        <f t="shared" si="732"/>
        <v>-</v>
      </c>
      <c r="O592" s="263" t="str">
        <f t="shared" si="718"/>
        <v>-</v>
      </c>
    </row>
    <row r="593" spans="1:15" ht="24" x14ac:dyDescent="0.25">
      <c r="A593" s="274" t="s">
        <v>103</v>
      </c>
      <c r="B593" s="966"/>
      <c r="C593" s="275" t="s">
        <v>115</v>
      </c>
      <c r="D593" s="275"/>
      <c r="E593" s="276"/>
      <c r="F593" s="277"/>
      <c r="G593" s="333">
        <f t="shared" si="728"/>
        <v>0</v>
      </c>
      <c r="H593" s="278"/>
      <c r="I593" s="278"/>
      <c r="J593" s="352" t="str">
        <f>IFERROR(G593/#REF!,"-")</f>
        <v>-</v>
      </c>
      <c r="K593" s="333">
        <f t="shared" si="729"/>
        <v>0</v>
      </c>
      <c r="L593" s="272">
        <f t="shared" si="730"/>
        <v>0</v>
      </c>
      <c r="M593" s="273">
        <f t="shared" si="731"/>
        <v>0</v>
      </c>
      <c r="N593" s="337" t="str">
        <f t="shared" si="732"/>
        <v>-</v>
      </c>
      <c r="O593" s="263" t="str">
        <f t="shared" si="718"/>
        <v>-</v>
      </c>
    </row>
    <row r="594" spans="1:15" ht="24" x14ac:dyDescent="0.25">
      <c r="A594" s="274" t="s">
        <v>103</v>
      </c>
      <c r="B594" s="966"/>
      <c r="C594" s="275" t="s">
        <v>122</v>
      </c>
      <c r="D594" s="275"/>
      <c r="E594" s="276"/>
      <c r="F594" s="277"/>
      <c r="G594" s="333">
        <f t="shared" si="728"/>
        <v>0</v>
      </c>
      <c r="H594" s="278"/>
      <c r="I594" s="278"/>
      <c r="J594" s="352" t="str">
        <f>IFERROR(G594/#REF!,"-")</f>
        <v>-</v>
      </c>
      <c r="K594" s="333">
        <f t="shared" si="729"/>
        <v>0</v>
      </c>
      <c r="L594" s="272">
        <f t="shared" si="730"/>
        <v>0</v>
      </c>
      <c r="M594" s="273">
        <f t="shared" si="731"/>
        <v>0</v>
      </c>
      <c r="N594" s="337" t="str">
        <f t="shared" si="732"/>
        <v>-</v>
      </c>
      <c r="O594" s="263" t="str">
        <f t="shared" si="718"/>
        <v>-</v>
      </c>
    </row>
    <row r="595" spans="1:15" ht="24" x14ac:dyDescent="0.25">
      <c r="A595" s="274" t="s">
        <v>103</v>
      </c>
      <c r="B595" s="966"/>
      <c r="C595" s="275" t="s">
        <v>176</v>
      </c>
      <c r="D595" s="275" t="s">
        <v>177</v>
      </c>
      <c r="E595" s="276"/>
      <c r="F595" s="277"/>
      <c r="G595" s="333">
        <f t="shared" si="728"/>
        <v>0</v>
      </c>
      <c r="H595" s="278"/>
      <c r="I595" s="278"/>
      <c r="J595" s="352" t="str">
        <f>IFERROR(G595/#REF!,"-")</f>
        <v>-</v>
      </c>
      <c r="K595" s="333">
        <f t="shared" si="729"/>
        <v>0</v>
      </c>
      <c r="L595" s="272">
        <f t="shared" si="730"/>
        <v>0</v>
      </c>
      <c r="M595" s="273">
        <f t="shared" si="731"/>
        <v>0</v>
      </c>
      <c r="N595" s="337" t="str">
        <f t="shared" si="732"/>
        <v>-</v>
      </c>
      <c r="O595" s="263" t="str">
        <f t="shared" si="718"/>
        <v>-</v>
      </c>
    </row>
    <row r="596" spans="1:15" ht="24" x14ac:dyDescent="0.25">
      <c r="A596" s="274" t="s">
        <v>103</v>
      </c>
      <c r="B596" s="966"/>
      <c r="C596" s="275" t="s">
        <v>179</v>
      </c>
      <c r="D596" s="275" t="s">
        <v>178</v>
      </c>
      <c r="E596" s="276"/>
      <c r="F596" s="277"/>
      <c r="G596" s="333">
        <f t="shared" si="728"/>
        <v>0</v>
      </c>
      <c r="H596" s="278"/>
      <c r="I596" s="278"/>
      <c r="J596" s="352" t="str">
        <f>IFERROR(G596/#REF!,"-")</f>
        <v>-</v>
      </c>
      <c r="K596" s="333">
        <f t="shared" si="729"/>
        <v>0</v>
      </c>
      <c r="L596" s="272">
        <f t="shared" si="730"/>
        <v>0</v>
      </c>
      <c r="M596" s="273">
        <f t="shared" si="731"/>
        <v>0</v>
      </c>
      <c r="N596" s="337" t="str">
        <f t="shared" si="732"/>
        <v>-</v>
      </c>
      <c r="O596" s="263" t="str">
        <f t="shared" si="718"/>
        <v>-</v>
      </c>
    </row>
    <row r="597" spans="1:15" ht="24.75" thickBot="1" x14ac:dyDescent="0.3">
      <c r="A597" s="274" t="s">
        <v>103</v>
      </c>
      <c r="B597" s="967"/>
      <c r="C597" s="286" t="s">
        <v>180</v>
      </c>
      <c r="D597" s="286" t="s">
        <v>107</v>
      </c>
      <c r="E597" s="280"/>
      <c r="F597" s="281"/>
      <c r="G597" s="334">
        <f t="shared" si="728"/>
        <v>0</v>
      </c>
      <c r="H597" s="282"/>
      <c r="I597" s="282"/>
      <c r="J597" s="353" t="str">
        <f>IFERROR(G597/#REF!,"-")</f>
        <v>-</v>
      </c>
      <c r="K597" s="334">
        <f t="shared" si="729"/>
        <v>0</v>
      </c>
      <c r="L597" s="272">
        <f t="shared" si="730"/>
        <v>0</v>
      </c>
      <c r="M597" s="273">
        <f t="shared" si="731"/>
        <v>0</v>
      </c>
      <c r="N597" s="338" t="str">
        <f t="shared" si="732"/>
        <v>-</v>
      </c>
      <c r="O597" s="347" t="str">
        <f t="shared" si="718"/>
        <v>-</v>
      </c>
    </row>
    <row r="598" spans="1:15" ht="23.25" thickBot="1" x14ac:dyDescent="0.3">
      <c r="A598" s="274" t="s">
        <v>103</v>
      </c>
      <c r="B598" s="946" t="s">
        <v>29</v>
      </c>
      <c r="C598" s="947"/>
      <c r="D598" s="948"/>
      <c r="E598" s="320">
        <f t="shared" ref="E598" si="733">SUM(E591:E597)</f>
        <v>0</v>
      </c>
      <c r="F598" s="285">
        <v>80000</v>
      </c>
      <c r="G598" s="366">
        <f>SUM(G591:G597)</f>
        <v>0</v>
      </c>
      <c r="H598" s="321">
        <f t="shared" ref="H598:I598" si="734">SUM(H591:H597)</f>
        <v>0</v>
      </c>
      <c r="I598" s="321">
        <f t="shared" si="734"/>
        <v>0</v>
      </c>
      <c r="J598" s="345">
        <f>+G598/F598</f>
        <v>0</v>
      </c>
      <c r="K598" s="366">
        <f t="shared" ref="K598" si="735">SUM(K591:K597)</f>
        <v>0</v>
      </c>
      <c r="L598" s="365">
        <f>SUM(L591:L597)</f>
        <v>0</v>
      </c>
      <c r="M598" s="367">
        <f t="shared" ref="M598" si="736">SUM(M591:M597)</f>
        <v>0</v>
      </c>
      <c r="N598" s="355" t="str">
        <f t="shared" si="732"/>
        <v>-</v>
      </c>
      <c r="O598" s="356" t="str">
        <f t="shared" si="718"/>
        <v>-</v>
      </c>
    </row>
    <row r="599" spans="1:15" ht="24" x14ac:dyDescent="0.25">
      <c r="A599" s="252" t="s">
        <v>103</v>
      </c>
      <c r="B599" s="1004" t="s">
        <v>19</v>
      </c>
      <c r="C599" s="641" t="s">
        <v>235</v>
      </c>
      <c r="D599" s="669" t="s">
        <v>177</v>
      </c>
      <c r="E599" s="674"/>
      <c r="F599" s="827">
        <v>220000</v>
      </c>
      <c r="G599" s="916">
        <f t="shared" ref="G599:G603" si="737">+H599+I599</f>
        <v>0</v>
      </c>
      <c r="H599" s="912"/>
      <c r="I599" s="458"/>
      <c r="J599" s="831" t="str">
        <f>IFERROR(G599/#REF!,"-")</f>
        <v>-</v>
      </c>
      <c r="K599" s="457">
        <f>+L599+M599</f>
        <v>0</v>
      </c>
      <c r="L599" s="458">
        <f t="shared" ref="L599:L601" si="738">+H599+L486</f>
        <v>0</v>
      </c>
      <c r="M599" s="838">
        <f t="shared" ref="M599:M601" si="739">+I599+M486</f>
        <v>0</v>
      </c>
      <c r="N599" s="646" t="str">
        <f>IFERROR(K599/E599,"-")</f>
        <v>-</v>
      </c>
      <c r="O599" s="647" t="str">
        <f t="shared" si="718"/>
        <v>-</v>
      </c>
    </row>
    <row r="600" spans="1:15" ht="24.75" thickBot="1" x14ac:dyDescent="0.3">
      <c r="A600" s="252"/>
      <c r="B600" s="1005"/>
      <c r="C600" s="296" t="s">
        <v>377</v>
      </c>
      <c r="D600" s="824" t="s">
        <v>423</v>
      </c>
      <c r="E600" s="825">
        <v>1000000</v>
      </c>
      <c r="F600" s="828"/>
      <c r="G600" s="917">
        <f t="shared" si="737"/>
        <v>0</v>
      </c>
      <c r="H600" s="915"/>
      <c r="I600" s="289"/>
      <c r="J600" s="832" t="str">
        <f>IFERROR(G600/#REF!,"-")</f>
        <v>-</v>
      </c>
      <c r="K600" s="333">
        <f>+L600+M600</f>
        <v>576188</v>
      </c>
      <c r="L600" s="278">
        <f t="shared" si="738"/>
        <v>574464</v>
      </c>
      <c r="M600" s="277">
        <f t="shared" si="739"/>
        <v>1724</v>
      </c>
      <c r="N600" s="836">
        <f t="shared" ref="N600:N603" si="740">IFERROR(K600/E600,"-")</f>
        <v>0.57618800000000003</v>
      </c>
      <c r="O600" s="263">
        <f>IFERROR(M600/K600,"-")</f>
        <v>2.9920789742236909E-3</v>
      </c>
    </row>
    <row r="601" spans="1:15" ht="24" x14ac:dyDescent="0.25">
      <c r="A601" s="252"/>
      <c r="B601" s="1005"/>
      <c r="C601" s="826" t="s">
        <v>235</v>
      </c>
      <c r="D601" s="651" t="s">
        <v>522</v>
      </c>
      <c r="E601" s="701"/>
      <c r="F601" s="829"/>
      <c r="G601" s="917">
        <f t="shared" si="737"/>
        <v>175193</v>
      </c>
      <c r="H601" s="511">
        <f>107184+(67584)</f>
        <v>174768</v>
      </c>
      <c r="I601" s="278">
        <f>290+(135)</f>
        <v>425</v>
      </c>
      <c r="J601" s="833"/>
      <c r="K601" s="333">
        <f t="shared" ref="K601:K602" si="741">+L601+M601</f>
        <v>175193</v>
      </c>
      <c r="L601" s="278">
        <f t="shared" si="738"/>
        <v>174768</v>
      </c>
      <c r="M601" s="277">
        <f t="shared" si="739"/>
        <v>425</v>
      </c>
      <c r="N601" s="836" t="str">
        <f t="shared" si="740"/>
        <v>-</v>
      </c>
      <c r="O601" s="263">
        <f t="shared" ref="O601:O602" si="742">IFERROR(M601/K601,"-")</f>
        <v>2.4258960118269564E-3</v>
      </c>
    </row>
    <row r="602" spans="1:15" ht="24" x14ac:dyDescent="0.25">
      <c r="A602" s="252"/>
      <c r="B602" s="1005"/>
      <c r="C602" s="296" t="s">
        <v>377</v>
      </c>
      <c r="D602" s="824" t="s">
        <v>522</v>
      </c>
      <c r="E602" s="825"/>
      <c r="F602" s="828"/>
      <c r="G602" s="917">
        <f t="shared" si="737"/>
        <v>25474</v>
      </c>
      <c r="H602" s="915">
        <v>25344</v>
      </c>
      <c r="I602" s="289">
        <v>130</v>
      </c>
      <c r="J602" s="832"/>
      <c r="K602" s="333">
        <f t="shared" si="741"/>
        <v>25474</v>
      </c>
      <c r="L602" s="278">
        <f>+H602</f>
        <v>25344</v>
      </c>
      <c r="M602" s="277">
        <f>+I602</f>
        <v>130</v>
      </c>
      <c r="N602" s="836" t="str">
        <f t="shared" si="740"/>
        <v>-</v>
      </c>
      <c r="O602" s="263">
        <f t="shared" si="742"/>
        <v>5.1032425217869201E-3</v>
      </c>
    </row>
    <row r="603" spans="1:15" ht="24.75" thickBot="1" x14ac:dyDescent="0.3">
      <c r="A603" s="252"/>
      <c r="B603" s="1006"/>
      <c r="C603" s="635" t="s">
        <v>342</v>
      </c>
      <c r="D603" s="670"/>
      <c r="E603" s="676">
        <v>150000</v>
      </c>
      <c r="F603" s="830"/>
      <c r="G603" s="918">
        <f t="shared" si="737"/>
        <v>0</v>
      </c>
      <c r="H603" s="913"/>
      <c r="I603" s="461"/>
      <c r="J603" s="834"/>
      <c r="K603" s="460">
        <f>+L603+M603</f>
        <v>0</v>
      </c>
      <c r="L603" s="461">
        <f>+H603+L488</f>
        <v>0</v>
      </c>
      <c r="M603" s="839">
        <f>+I603+M488</f>
        <v>0</v>
      </c>
      <c r="N603" s="837">
        <f t="shared" si="740"/>
        <v>0</v>
      </c>
      <c r="O603" s="264" t="str">
        <f t="shared" ref="O603:O621" si="743">IFERROR(M603/K603,"-")</f>
        <v>-</v>
      </c>
    </row>
    <row r="604" spans="1:15" ht="23.25" thickBot="1" x14ac:dyDescent="0.3">
      <c r="A604" s="274" t="s">
        <v>103</v>
      </c>
      <c r="B604" s="975" t="s">
        <v>46</v>
      </c>
      <c r="C604" s="947"/>
      <c r="D604" s="948"/>
      <c r="E604" s="320">
        <f>SUM(E599:E603)</f>
        <v>1150000</v>
      </c>
      <c r="F604" s="323">
        <f>SUM(F599)</f>
        <v>220000</v>
      </c>
      <c r="G604" s="513">
        <f>SUM(G599:G603)</f>
        <v>200667</v>
      </c>
      <c r="H604" s="321">
        <f>SUM(H599:H603)</f>
        <v>200112</v>
      </c>
      <c r="I604" s="321">
        <f>SUM(I599:I603)</f>
        <v>555</v>
      </c>
      <c r="J604" s="345">
        <f>+G604/F604</f>
        <v>0.91212272727272725</v>
      </c>
      <c r="K604" s="835">
        <f>SUM(K599:K603)</f>
        <v>776855</v>
      </c>
      <c r="L604" s="835">
        <f t="shared" ref="L604:M604" si="744">SUM(L599:L603)</f>
        <v>774576</v>
      </c>
      <c r="M604" s="835">
        <f t="shared" si="744"/>
        <v>2279</v>
      </c>
      <c r="N604" s="521">
        <f>IFERROR(K604/E604,"-")</f>
        <v>0.67552608695652172</v>
      </c>
      <c r="O604" s="520">
        <f t="shared" si="743"/>
        <v>2.9336233917526436E-3</v>
      </c>
    </row>
    <row r="605" spans="1:15" ht="24" x14ac:dyDescent="0.25">
      <c r="A605" s="274" t="s">
        <v>103</v>
      </c>
      <c r="B605" s="965" t="s">
        <v>20</v>
      </c>
      <c r="C605" s="291" t="s">
        <v>317</v>
      </c>
      <c r="D605" s="291" t="s">
        <v>289</v>
      </c>
      <c r="E605" s="270"/>
      <c r="F605" s="271"/>
      <c r="G605" s="332">
        <f t="shared" ref="G605:G607" si="745">+H605+I605</f>
        <v>0</v>
      </c>
      <c r="H605" s="272"/>
      <c r="I605" s="272"/>
      <c r="J605" s="351" t="str">
        <f>IFERROR(G605/#REF!,"-")</f>
        <v>-</v>
      </c>
      <c r="K605" s="332">
        <f t="shared" ref="K605:K607" si="746">+L605+M605</f>
        <v>0</v>
      </c>
      <c r="L605" s="272">
        <f t="shared" ref="L605:M607" si="747">+H605+L490</f>
        <v>0</v>
      </c>
      <c r="M605" s="273">
        <f t="shared" si="747"/>
        <v>0</v>
      </c>
      <c r="N605" s="336" t="str">
        <f t="shared" ref="N605:N608" si="748">IFERROR(K605/E605,"-")</f>
        <v>-</v>
      </c>
      <c r="O605" s="346" t="str">
        <f t="shared" si="743"/>
        <v>-</v>
      </c>
    </row>
    <row r="606" spans="1:15" ht="24" x14ac:dyDescent="0.25">
      <c r="A606" s="274" t="s">
        <v>103</v>
      </c>
      <c r="B606" s="966"/>
      <c r="C606" s="292" t="s">
        <v>114</v>
      </c>
      <c r="D606" s="292"/>
      <c r="E606" s="276"/>
      <c r="F606" s="277"/>
      <c r="G606" s="333">
        <f t="shared" si="745"/>
        <v>0</v>
      </c>
      <c r="H606" s="278"/>
      <c r="I606" s="278"/>
      <c r="J606" s="352" t="str">
        <f>IFERROR(G606/#REF!,"-")</f>
        <v>-</v>
      </c>
      <c r="K606" s="333">
        <f t="shared" si="746"/>
        <v>0</v>
      </c>
      <c r="L606" s="272">
        <f t="shared" si="747"/>
        <v>0</v>
      </c>
      <c r="M606" s="273">
        <f t="shared" si="747"/>
        <v>0</v>
      </c>
      <c r="N606" s="337" t="str">
        <f t="shared" si="748"/>
        <v>-</v>
      </c>
      <c r="O606" s="263" t="str">
        <f t="shared" si="743"/>
        <v>-</v>
      </c>
    </row>
    <row r="607" spans="1:15" ht="24.75" thickBot="1" x14ac:dyDescent="0.3">
      <c r="A607" s="274" t="s">
        <v>103</v>
      </c>
      <c r="B607" s="967"/>
      <c r="C607" s="293" t="s">
        <v>120</v>
      </c>
      <c r="D607" s="293"/>
      <c r="E607" s="280"/>
      <c r="F607" s="281"/>
      <c r="G607" s="334">
        <f t="shared" si="745"/>
        <v>0</v>
      </c>
      <c r="H607" s="282"/>
      <c r="I607" s="282"/>
      <c r="J607" s="353" t="str">
        <f>IFERROR(G607/#REF!,"-")</f>
        <v>-</v>
      </c>
      <c r="K607" s="334">
        <f t="shared" si="746"/>
        <v>0</v>
      </c>
      <c r="L607" s="272">
        <f t="shared" si="747"/>
        <v>0</v>
      </c>
      <c r="M607" s="273">
        <f t="shared" si="747"/>
        <v>0</v>
      </c>
      <c r="N607" s="338" t="str">
        <f t="shared" si="748"/>
        <v>-</v>
      </c>
      <c r="O607" s="347" t="str">
        <f t="shared" si="743"/>
        <v>-</v>
      </c>
    </row>
    <row r="608" spans="1:15" ht="23.25" thickBot="1" x14ac:dyDescent="0.3">
      <c r="A608" s="274" t="s">
        <v>103</v>
      </c>
      <c r="B608" s="947" t="s">
        <v>47</v>
      </c>
      <c r="C608" s="947"/>
      <c r="D608" s="964"/>
      <c r="E608" s="320">
        <f t="shared" ref="E608" si="749">SUM(E605:E607)</f>
        <v>0</v>
      </c>
      <c r="F608" s="285">
        <v>50000</v>
      </c>
      <c r="G608" s="320">
        <f>SUM(G605:G607)</f>
        <v>0</v>
      </c>
      <c r="H608" s="321">
        <f t="shared" ref="H608:I608" si="750">SUM(H605:H607)</f>
        <v>0</v>
      </c>
      <c r="I608" s="321">
        <f t="shared" si="750"/>
        <v>0</v>
      </c>
      <c r="J608" s="345">
        <f>+G608/F608</f>
        <v>0</v>
      </c>
      <c r="K608" s="320">
        <f t="shared" ref="K608:M608" si="751">SUM(K605:K607)</f>
        <v>0</v>
      </c>
      <c r="L608" s="321">
        <f t="shared" si="751"/>
        <v>0</v>
      </c>
      <c r="M608" s="322">
        <f t="shared" si="751"/>
        <v>0</v>
      </c>
      <c r="N608" s="339" t="str">
        <f t="shared" si="748"/>
        <v>-</v>
      </c>
      <c r="O608" s="345" t="str">
        <f t="shared" si="743"/>
        <v>-</v>
      </c>
    </row>
    <row r="609" spans="1:15" ht="23.25" thickBot="1" x14ac:dyDescent="0.3">
      <c r="A609" s="274" t="s">
        <v>103</v>
      </c>
      <c r="B609" s="960" t="s">
        <v>21</v>
      </c>
      <c r="C609" s="961"/>
      <c r="D609" s="962"/>
      <c r="E609" s="326">
        <f>+E582+E590+E598+E604+E608</f>
        <v>3770000</v>
      </c>
      <c r="F609" s="327">
        <f>+F582+F590+F598+F604+F608</f>
        <v>465000</v>
      </c>
      <c r="G609" s="326">
        <f>+G582+G590+G598+G604+G608</f>
        <v>301365</v>
      </c>
      <c r="H609" s="324">
        <f>+H582+H590+H598+H604+H608</f>
        <v>300272</v>
      </c>
      <c r="I609" s="324">
        <f>+I582+I590+I598+I604+I608</f>
        <v>1093</v>
      </c>
      <c r="J609" s="349">
        <f>+G609/F609</f>
        <v>0.64809677419354839</v>
      </c>
      <c r="K609" s="326">
        <f>+K582+K590+K598+K604+K608</f>
        <v>1237505</v>
      </c>
      <c r="L609" s="324">
        <f>+L582+L590+L598+L604+L608</f>
        <v>1233076</v>
      </c>
      <c r="M609" s="325">
        <f>+M582+M590+M598+M604+M608</f>
        <v>4429</v>
      </c>
      <c r="N609" s="341">
        <f>IFERROR(K609/E609,"-")</f>
        <v>0.32825066312997347</v>
      </c>
      <c r="O609" s="349">
        <f t="shared" si="743"/>
        <v>3.578975438483077E-3</v>
      </c>
    </row>
    <row r="610" spans="1:15" ht="24" x14ac:dyDescent="0.25">
      <c r="A610" s="274" t="s">
        <v>103</v>
      </c>
      <c r="B610" s="965" t="s">
        <v>400</v>
      </c>
      <c r="C610" s="269" t="s">
        <v>125</v>
      </c>
      <c r="D610" s="269"/>
      <c r="E610" s="270"/>
      <c r="F610" s="271"/>
      <c r="G610" s="332">
        <f t="shared" ref="G610:G613" si="752">+H610+I610</f>
        <v>0</v>
      </c>
      <c r="H610" s="272"/>
      <c r="I610" s="272"/>
      <c r="J610" s="351" t="str">
        <f>IFERROR(G610/#REF!,"-")</f>
        <v>-</v>
      </c>
      <c r="K610" s="332">
        <f t="shared" ref="K610:K613" si="753">+L610+M610</f>
        <v>0</v>
      </c>
      <c r="L610" s="272">
        <f t="shared" ref="L610:M613" si="754">+H610+L495</f>
        <v>0</v>
      </c>
      <c r="M610" s="273">
        <f t="shared" si="754"/>
        <v>0</v>
      </c>
      <c r="N610" s="336" t="str">
        <f t="shared" ref="N610:N621" si="755">IFERROR(K610/E610,"-")</f>
        <v>-</v>
      </c>
      <c r="O610" s="346" t="str">
        <f t="shared" si="743"/>
        <v>-</v>
      </c>
    </row>
    <row r="611" spans="1:15" ht="24" x14ac:dyDescent="0.25">
      <c r="A611" s="274" t="s">
        <v>103</v>
      </c>
      <c r="B611" s="966"/>
      <c r="C611" s="295" t="s">
        <v>263</v>
      </c>
      <c r="D611" s="295" t="s">
        <v>181</v>
      </c>
      <c r="E611" s="276"/>
      <c r="F611" s="277"/>
      <c r="G611" s="333">
        <f t="shared" si="752"/>
        <v>0</v>
      </c>
      <c r="H611" s="278"/>
      <c r="I611" s="278"/>
      <c r="J611" s="352" t="str">
        <f>IFERROR(G611/#REF!,"-")</f>
        <v>-</v>
      </c>
      <c r="K611" s="333">
        <f t="shared" si="753"/>
        <v>0</v>
      </c>
      <c r="L611" s="272">
        <f t="shared" si="754"/>
        <v>0</v>
      </c>
      <c r="M611" s="273">
        <f t="shared" si="754"/>
        <v>0</v>
      </c>
      <c r="N611" s="337" t="str">
        <f t="shared" si="755"/>
        <v>-</v>
      </c>
      <c r="O611" s="263" t="str">
        <f t="shared" si="743"/>
        <v>-</v>
      </c>
    </row>
    <row r="612" spans="1:15" ht="24" x14ac:dyDescent="0.25">
      <c r="A612" s="274" t="s">
        <v>103</v>
      </c>
      <c r="B612" s="966"/>
      <c r="C612" s="295" t="s">
        <v>362</v>
      </c>
      <c r="D612" s="295" t="s">
        <v>181</v>
      </c>
      <c r="E612" s="276"/>
      <c r="F612" s="277"/>
      <c r="G612" s="333">
        <f t="shared" si="752"/>
        <v>0</v>
      </c>
      <c r="H612" s="278"/>
      <c r="I612" s="278"/>
      <c r="J612" s="352" t="str">
        <f>IFERROR(G612/#REF!,"-")</f>
        <v>-</v>
      </c>
      <c r="K612" s="333">
        <f t="shared" si="753"/>
        <v>0</v>
      </c>
      <c r="L612" s="272">
        <f t="shared" si="754"/>
        <v>0</v>
      </c>
      <c r="M612" s="273">
        <f t="shared" si="754"/>
        <v>0</v>
      </c>
      <c r="N612" s="337" t="str">
        <f t="shared" si="755"/>
        <v>-</v>
      </c>
      <c r="O612" s="263" t="str">
        <f t="shared" si="743"/>
        <v>-</v>
      </c>
    </row>
    <row r="613" spans="1:15" ht="24.75" thickBot="1" x14ac:dyDescent="0.3">
      <c r="A613" s="274" t="s">
        <v>103</v>
      </c>
      <c r="B613" s="967"/>
      <c r="C613" s="279" t="s">
        <v>182</v>
      </c>
      <c r="D613" s="279" t="s">
        <v>93</v>
      </c>
      <c r="E613" s="280"/>
      <c r="F613" s="281"/>
      <c r="G613" s="334">
        <f t="shared" si="752"/>
        <v>0</v>
      </c>
      <c r="H613" s="282"/>
      <c r="I613" s="282"/>
      <c r="J613" s="353" t="str">
        <f>IFERROR(G613/#REF!,"-")</f>
        <v>-</v>
      </c>
      <c r="K613" s="334">
        <f t="shared" si="753"/>
        <v>0</v>
      </c>
      <c r="L613" s="272">
        <f t="shared" si="754"/>
        <v>0</v>
      </c>
      <c r="M613" s="273">
        <f t="shared" si="754"/>
        <v>0</v>
      </c>
      <c r="N613" s="338" t="str">
        <f t="shared" si="755"/>
        <v>-</v>
      </c>
      <c r="O613" s="347" t="str">
        <f t="shared" si="743"/>
        <v>-</v>
      </c>
    </row>
    <row r="614" spans="1:15" ht="23.25" thickBot="1" x14ac:dyDescent="0.3">
      <c r="A614" s="274" t="s">
        <v>103</v>
      </c>
      <c r="B614" s="946" t="s">
        <v>48</v>
      </c>
      <c r="C614" s="947"/>
      <c r="D614" s="948"/>
      <c r="E614" s="284">
        <f>SUM(E610:E613)</f>
        <v>0</v>
      </c>
      <c r="F614" s="285">
        <v>80000</v>
      </c>
      <c r="G614" s="320">
        <f>SUM(G610:G613)</f>
        <v>0</v>
      </c>
      <c r="H614" s="321">
        <f t="shared" ref="H614:I614" si="756">SUM(H610:H613)</f>
        <v>0</v>
      </c>
      <c r="I614" s="321">
        <f t="shared" si="756"/>
        <v>0</v>
      </c>
      <c r="J614" s="345">
        <f>+G614/F614</f>
        <v>0</v>
      </c>
      <c r="K614" s="320">
        <f t="shared" ref="K614" si="757">SUM(K610:K613)</f>
        <v>0</v>
      </c>
      <c r="L614" s="321">
        <f>SUM(L610:L613)</f>
        <v>0</v>
      </c>
      <c r="M614" s="322">
        <f t="shared" ref="M614" si="758">SUM(M610:M613)</f>
        <v>0</v>
      </c>
      <c r="N614" s="339" t="str">
        <f t="shared" si="755"/>
        <v>-</v>
      </c>
      <c r="O614" s="345" t="str">
        <f t="shared" si="743"/>
        <v>-</v>
      </c>
    </row>
    <row r="615" spans="1:15" ht="24" x14ac:dyDescent="0.25">
      <c r="A615" s="274" t="s">
        <v>103</v>
      </c>
      <c r="B615" s="965" t="s">
        <v>23</v>
      </c>
      <c r="C615" s="275" t="s">
        <v>500</v>
      </c>
      <c r="D615" s="296" t="s">
        <v>238</v>
      </c>
      <c r="E615" s="270">
        <v>10000</v>
      </c>
      <c r="F615" s="271"/>
      <c r="G615" s="332">
        <f t="shared" ref="G615:G623" si="759">+H615+I615</f>
        <v>0</v>
      </c>
      <c r="H615" s="272"/>
      <c r="I615" s="272"/>
      <c r="J615" s="351" t="str">
        <f>IFERROR(G615/#REF!,"-")</f>
        <v>-</v>
      </c>
      <c r="K615" s="332">
        <f t="shared" ref="K615:K623" si="760">+L615+M615</f>
        <v>0</v>
      </c>
      <c r="L615" s="272">
        <f t="shared" ref="L615:L623" si="761">+H615+L500</f>
        <v>0</v>
      </c>
      <c r="M615" s="273">
        <f t="shared" ref="M615:M623" si="762">+I615+M500</f>
        <v>0</v>
      </c>
      <c r="N615" s="336">
        <f t="shared" si="755"/>
        <v>0</v>
      </c>
      <c r="O615" s="346" t="str">
        <f t="shared" si="743"/>
        <v>-</v>
      </c>
    </row>
    <row r="616" spans="1:15" ht="24" x14ac:dyDescent="0.25">
      <c r="A616" s="274" t="s">
        <v>103</v>
      </c>
      <c r="B616" s="966"/>
      <c r="C616" s="275" t="s">
        <v>24</v>
      </c>
      <c r="D616" s="275" t="s">
        <v>238</v>
      </c>
      <c r="E616" s="276"/>
      <c r="F616" s="277"/>
      <c r="G616" s="333">
        <f t="shared" si="759"/>
        <v>0</v>
      </c>
      <c r="H616" s="278"/>
      <c r="I616" s="278"/>
      <c r="J616" s="352" t="str">
        <f>IFERROR(G616/#REF!,"-")</f>
        <v>-</v>
      </c>
      <c r="K616" s="333">
        <f t="shared" si="760"/>
        <v>0</v>
      </c>
      <c r="L616" s="272">
        <f t="shared" si="761"/>
        <v>0</v>
      </c>
      <c r="M616" s="273">
        <f t="shared" si="762"/>
        <v>0</v>
      </c>
      <c r="N616" s="337" t="str">
        <f t="shared" si="755"/>
        <v>-</v>
      </c>
      <c r="O616" s="263" t="str">
        <f t="shared" si="743"/>
        <v>-</v>
      </c>
    </row>
    <row r="617" spans="1:15" ht="24" x14ac:dyDescent="0.25">
      <c r="A617" s="274" t="s">
        <v>103</v>
      </c>
      <c r="B617" s="966"/>
      <c r="C617" s="275" t="s">
        <v>236</v>
      </c>
      <c r="D617" s="275" t="s">
        <v>238</v>
      </c>
      <c r="E617" s="276"/>
      <c r="F617" s="277"/>
      <c r="G617" s="333">
        <f t="shared" si="759"/>
        <v>0</v>
      </c>
      <c r="H617" s="278"/>
      <c r="I617" s="278"/>
      <c r="J617" s="352" t="str">
        <f>IFERROR(G617/#REF!,"-")</f>
        <v>-</v>
      </c>
      <c r="K617" s="333">
        <f t="shared" si="760"/>
        <v>0</v>
      </c>
      <c r="L617" s="272">
        <f t="shared" si="761"/>
        <v>0</v>
      </c>
      <c r="M617" s="273">
        <f t="shared" si="762"/>
        <v>0</v>
      </c>
      <c r="N617" s="337" t="str">
        <f t="shared" si="755"/>
        <v>-</v>
      </c>
      <c r="O617" s="263" t="str">
        <f t="shared" si="743"/>
        <v>-</v>
      </c>
    </row>
    <row r="618" spans="1:15" ht="24" x14ac:dyDescent="0.25">
      <c r="A618" s="274" t="s">
        <v>103</v>
      </c>
      <c r="B618" s="966"/>
      <c r="C618" s="275" t="s">
        <v>237</v>
      </c>
      <c r="D618" s="275" t="s">
        <v>238</v>
      </c>
      <c r="E618" s="276"/>
      <c r="F618" s="277"/>
      <c r="G618" s="333">
        <f t="shared" si="759"/>
        <v>0</v>
      </c>
      <c r="H618" s="278"/>
      <c r="I618" s="278"/>
      <c r="J618" s="352" t="str">
        <f>IFERROR(G618/#REF!,"-")</f>
        <v>-</v>
      </c>
      <c r="K618" s="333">
        <f t="shared" si="760"/>
        <v>0</v>
      </c>
      <c r="L618" s="272">
        <f t="shared" si="761"/>
        <v>0</v>
      </c>
      <c r="M618" s="273">
        <f t="shared" si="762"/>
        <v>0</v>
      </c>
      <c r="N618" s="337" t="str">
        <f t="shared" si="755"/>
        <v>-</v>
      </c>
      <c r="O618" s="263" t="str">
        <f t="shared" si="743"/>
        <v>-</v>
      </c>
    </row>
    <row r="619" spans="1:15" ht="24" x14ac:dyDescent="0.25">
      <c r="A619" s="274" t="s">
        <v>103</v>
      </c>
      <c r="B619" s="966"/>
      <c r="C619" s="295" t="s">
        <v>394</v>
      </c>
      <c r="D619" s="275" t="s">
        <v>238</v>
      </c>
      <c r="E619" s="276"/>
      <c r="F619" s="277"/>
      <c r="G619" s="333">
        <f t="shared" si="759"/>
        <v>0</v>
      </c>
      <c r="H619" s="278"/>
      <c r="I619" s="278"/>
      <c r="J619" s="352" t="str">
        <f>IFERROR(G619/#REF!,"-")</f>
        <v>-</v>
      </c>
      <c r="K619" s="333">
        <f t="shared" si="760"/>
        <v>0</v>
      </c>
      <c r="L619" s="272">
        <f t="shared" si="761"/>
        <v>0</v>
      </c>
      <c r="M619" s="273">
        <f t="shared" si="762"/>
        <v>0</v>
      </c>
      <c r="N619" s="337" t="str">
        <f t="shared" si="755"/>
        <v>-</v>
      </c>
      <c r="O619" s="263" t="str">
        <f t="shared" si="743"/>
        <v>-</v>
      </c>
    </row>
    <row r="620" spans="1:15" ht="24" x14ac:dyDescent="0.25">
      <c r="A620" s="274" t="s">
        <v>103</v>
      </c>
      <c r="B620" s="966"/>
      <c r="C620" s="295" t="s">
        <v>422</v>
      </c>
      <c r="D620" s="275" t="s">
        <v>238</v>
      </c>
      <c r="E620" s="276"/>
      <c r="F620" s="277"/>
      <c r="G620" s="333">
        <f t="shared" si="759"/>
        <v>0</v>
      </c>
      <c r="H620" s="278"/>
      <c r="I620" s="278"/>
      <c r="J620" s="352" t="str">
        <f>IFERROR(G620/#REF!,"-")</f>
        <v>-</v>
      </c>
      <c r="K620" s="333">
        <f t="shared" si="760"/>
        <v>0</v>
      </c>
      <c r="L620" s="272">
        <f t="shared" si="761"/>
        <v>0</v>
      </c>
      <c r="M620" s="273">
        <f t="shared" si="762"/>
        <v>0</v>
      </c>
      <c r="N620" s="337" t="str">
        <f t="shared" si="755"/>
        <v>-</v>
      </c>
      <c r="O620" s="263" t="str">
        <f t="shared" si="743"/>
        <v>-</v>
      </c>
    </row>
    <row r="621" spans="1:15" ht="24" x14ac:dyDescent="0.25">
      <c r="A621" s="274" t="s">
        <v>103</v>
      </c>
      <c r="B621" s="966"/>
      <c r="C621" s="295" t="s">
        <v>241</v>
      </c>
      <c r="D621" s="275" t="s">
        <v>243</v>
      </c>
      <c r="E621" s="276"/>
      <c r="F621" s="277"/>
      <c r="G621" s="333">
        <f t="shared" si="759"/>
        <v>0</v>
      </c>
      <c r="H621" s="278"/>
      <c r="I621" s="278"/>
      <c r="J621" s="352" t="str">
        <f>IFERROR(G621/#REF!,"-")</f>
        <v>-</v>
      </c>
      <c r="K621" s="333">
        <f t="shared" si="760"/>
        <v>0</v>
      </c>
      <c r="L621" s="272">
        <f t="shared" si="761"/>
        <v>0</v>
      </c>
      <c r="M621" s="273">
        <f t="shared" si="762"/>
        <v>0</v>
      </c>
      <c r="N621" s="337" t="str">
        <f t="shared" si="755"/>
        <v>-</v>
      </c>
      <c r="O621" s="263" t="str">
        <f t="shared" si="743"/>
        <v>-</v>
      </c>
    </row>
    <row r="622" spans="1:15" ht="24" x14ac:dyDescent="0.25">
      <c r="A622" s="274"/>
      <c r="B622" s="967"/>
      <c r="C622" s="295" t="s">
        <v>456</v>
      </c>
      <c r="D622" s="275" t="s">
        <v>238</v>
      </c>
      <c r="E622" s="280"/>
      <c r="F622" s="281"/>
      <c r="G622" s="333">
        <f t="shared" si="759"/>
        <v>0</v>
      </c>
      <c r="H622" s="282"/>
      <c r="I622" s="282"/>
      <c r="J622" s="352" t="str">
        <f>IFERROR(G622/#REF!,"-")</f>
        <v>-</v>
      </c>
      <c r="K622" s="333">
        <f t="shared" si="760"/>
        <v>0</v>
      </c>
      <c r="L622" s="272">
        <f t="shared" si="761"/>
        <v>0</v>
      </c>
      <c r="M622" s="273">
        <f t="shared" si="762"/>
        <v>0</v>
      </c>
      <c r="N622" s="338"/>
      <c r="O622" s="347"/>
    </row>
    <row r="623" spans="1:15" ht="24.75" thickBot="1" x14ac:dyDescent="0.3">
      <c r="A623" s="274" t="s">
        <v>103</v>
      </c>
      <c r="B623" s="967"/>
      <c r="C623" s="295" t="s">
        <v>242</v>
      </c>
      <c r="D623" s="275" t="s">
        <v>238</v>
      </c>
      <c r="E623" s="280"/>
      <c r="F623" s="281"/>
      <c r="G623" s="334">
        <f t="shared" si="759"/>
        <v>0</v>
      </c>
      <c r="H623" s="282"/>
      <c r="I623" s="282"/>
      <c r="J623" s="353" t="str">
        <f>IFERROR(G623/#REF!,"-")</f>
        <v>-</v>
      </c>
      <c r="K623" s="334">
        <f t="shared" si="760"/>
        <v>0</v>
      </c>
      <c r="L623" s="272">
        <f t="shared" si="761"/>
        <v>0</v>
      </c>
      <c r="M623" s="273">
        <f t="shared" si="762"/>
        <v>0</v>
      </c>
      <c r="N623" s="338" t="str">
        <f t="shared" ref="N623:N625" si="763">IFERROR(K623/E623,"-")</f>
        <v>-</v>
      </c>
      <c r="O623" s="347" t="str">
        <f t="shared" ref="O623:O640" si="764">IFERROR(M623/K623,"-")</f>
        <v>-</v>
      </c>
    </row>
    <row r="624" spans="1:15" ht="23.25" thickBot="1" x14ac:dyDescent="0.3">
      <c r="A624" s="274" t="s">
        <v>103</v>
      </c>
      <c r="B624" s="946" t="s">
        <v>49</v>
      </c>
      <c r="C624" s="947"/>
      <c r="D624" s="948"/>
      <c r="E624" s="284">
        <f>SUM(E615:E623)</f>
        <v>10000</v>
      </c>
      <c r="F624" s="285">
        <v>14000</v>
      </c>
      <c r="G624" s="320">
        <f>SUM(G615:G623)</f>
        <v>0</v>
      </c>
      <c r="H624" s="321">
        <f t="shared" ref="H624:I624" si="765">SUM(H615:H623)</f>
        <v>0</v>
      </c>
      <c r="I624" s="321">
        <f t="shared" si="765"/>
        <v>0</v>
      </c>
      <c r="J624" s="345">
        <f>+G625/F625</f>
        <v>0</v>
      </c>
      <c r="K624" s="320">
        <f>SUM(K615:K623)</f>
        <v>0</v>
      </c>
      <c r="L624" s="321">
        <f>+H624</f>
        <v>0</v>
      </c>
      <c r="M624" s="322">
        <f>+I624</f>
        <v>0</v>
      </c>
      <c r="N624" s="339">
        <f t="shared" si="763"/>
        <v>0</v>
      </c>
      <c r="O624" s="345" t="str">
        <f t="shared" si="764"/>
        <v>-</v>
      </c>
    </row>
    <row r="625" spans="1:15" ht="23.25" thickBot="1" x14ac:dyDescent="0.3">
      <c r="A625" s="274" t="s">
        <v>103</v>
      </c>
      <c r="B625" s="960" t="s">
        <v>25</v>
      </c>
      <c r="C625" s="961"/>
      <c r="D625" s="962"/>
      <c r="E625" s="326">
        <f t="shared" ref="E625:F625" si="766">+E614+E624</f>
        <v>10000</v>
      </c>
      <c r="F625" s="327">
        <f t="shared" si="766"/>
        <v>94000</v>
      </c>
      <c r="G625" s="326">
        <f>+G614+G624</f>
        <v>0</v>
      </c>
      <c r="H625" s="324">
        <f t="shared" ref="H625:I625" si="767">+H614+H624</f>
        <v>0</v>
      </c>
      <c r="I625" s="324">
        <f t="shared" si="767"/>
        <v>0</v>
      </c>
      <c r="J625" s="349" t="str">
        <f>IFERROR(G625/#REF!,"-")</f>
        <v>-</v>
      </c>
      <c r="K625" s="326">
        <f t="shared" ref="K625" si="768">+K614+K624</f>
        <v>0</v>
      </c>
      <c r="L625" s="324">
        <f>+L614+L624</f>
        <v>0</v>
      </c>
      <c r="M625" s="325">
        <f t="shared" ref="M625" si="769">+M614+M624</f>
        <v>0</v>
      </c>
      <c r="N625" s="341">
        <f t="shared" si="763"/>
        <v>0</v>
      </c>
      <c r="O625" s="349" t="str">
        <f t="shared" si="764"/>
        <v>-</v>
      </c>
    </row>
    <row r="626" spans="1:15" ht="23.25" thickBot="1" x14ac:dyDescent="0.3">
      <c r="A626" s="274" t="s">
        <v>103</v>
      </c>
      <c r="B626" s="963" t="s">
        <v>172</v>
      </c>
      <c r="C626" s="941"/>
      <c r="D626" s="942"/>
      <c r="E626" s="330">
        <f>+E609+E625</f>
        <v>3780000</v>
      </c>
      <c r="F626" s="331">
        <f t="shared" ref="F626:I626" si="770">+F609+F625</f>
        <v>559000</v>
      </c>
      <c r="G626" s="330">
        <f t="shared" si="770"/>
        <v>301365</v>
      </c>
      <c r="H626" s="328">
        <f t="shared" si="770"/>
        <v>300272</v>
      </c>
      <c r="I626" s="328">
        <f t="shared" si="770"/>
        <v>1093</v>
      </c>
      <c r="J626" s="350">
        <f>+G626/F626</f>
        <v>0.53911449016100177</v>
      </c>
      <c r="K626" s="330">
        <f>+K609+K625</f>
        <v>1237505</v>
      </c>
      <c r="L626" s="328">
        <f t="shared" ref="L626:M626" si="771">+L609+L625</f>
        <v>1233076</v>
      </c>
      <c r="M626" s="329">
        <f t="shared" si="771"/>
        <v>4429</v>
      </c>
      <c r="N626" s="342">
        <f>IFERROR(K626/E626,"-")</f>
        <v>0.32738227513227514</v>
      </c>
      <c r="O626" s="350">
        <f t="shared" si="764"/>
        <v>3.578975438483077E-3</v>
      </c>
    </row>
    <row r="627" spans="1:15" ht="24" x14ac:dyDescent="0.25">
      <c r="A627" s="268" t="s">
        <v>101</v>
      </c>
      <c r="B627" s="956" t="s">
        <v>26</v>
      </c>
      <c r="C627" s="297" t="s">
        <v>297</v>
      </c>
      <c r="D627" s="297" t="s">
        <v>177</v>
      </c>
      <c r="E627" s="270"/>
      <c r="F627" s="271"/>
      <c r="G627" s="332">
        <f t="shared" ref="G627:G636" si="772">+H627+I627</f>
        <v>0</v>
      </c>
      <c r="H627" s="272"/>
      <c r="I627" s="272"/>
      <c r="J627" s="351" t="str">
        <f>IFERROR(G627/#REF!,"-")</f>
        <v>-</v>
      </c>
      <c r="K627" s="332">
        <f t="shared" ref="K627:K636" si="773">+L627+M627</f>
        <v>0</v>
      </c>
      <c r="L627" s="272">
        <f t="shared" ref="L627:L636" si="774">+H627+L512</f>
        <v>0</v>
      </c>
      <c r="M627" s="273">
        <f t="shared" ref="M627:M636" si="775">+I627+M512</f>
        <v>0</v>
      </c>
      <c r="N627" s="336" t="str">
        <f t="shared" ref="N627:N640" si="776">IFERROR(K627/E627,"-")</f>
        <v>-</v>
      </c>
      <c r="O627" s="346" t="str">
        <f t="shared" si="764"/>
        <v>-</v>
      </c>
    </row>
    <row r="628" spans="1:15" ht="24" x14ac:dyDescent="0.25">
      <c r="A628" s="274" t="s">
        <v>101</v>
      </c>
      <c r="B628" s="956"/>
      <c r="C628" s="298" t="s">
        <v>424</v>
      </c>
      <c r="D628" s="298" t="s">
        <v>423</v>
      </c>
      <c r="E628" s="276">
        <v>564432</v>
      </c>
      <c r="F628" s="277"/>
      <c r="G628" s="333">
        <f t="shared" si="772"/>
        <v>12394</v>
      </c>
      <c r="H628" s="278">
        <v>11934</v>
      </c>
      <c r="I628" s="278">
        <v>460</v>
      </c>
      <c r="J628" s="352" t="str">
        <f>IFERROR(G628/#REF!,"-")</f>
        <v>-</v>
      </c>
      <c r="K628" s="333">
        <f t="shared" si="773"/>
        <v>265434</v>
      </c>
      <c r="L628" s="272">
        <f t="shared" si="774"/>
        <v>262548</v>
      </c>
      <c r="M628" s="273">
        <f t="shared" si="775"/>
        <v>2886</v>
      </c>
      <c r="N628" s="337">
        <f t="shared" si="776"/>
        <v>0.47026745471553705</v>
      </c>
      <c r="O628" s="263">
        <f t="shared" si="764"/>
        <v>1.0872759330002939E-2</v>
      </c>
    </row>
    <row r="629" spans="1:15" ht="24" x14ac:dyDescent="0.25">
      <c r="A629" s="274" t="s">
        <v>101</v>
      </c>
      <c r="B629" s="956"/>
      <c r="C629" s="299" t="s">
        <v>27</v>
      </c>
      <c r="D629" s="299" t="s">
        <v>334</v>
      </c>
      <c r="E629" s="280">
        <v>1301232</v>
      </c>
      <c r="F629" s="281"/>
      <c r="G629" s="333">
        <f t="shared" si="772"/>
        <v>8567</v>
      </c>
      <c r="H629" s="282">
        <v>7956</v>
      </c>
      <c r="I629" s="282">
        <v>611</v>
      </c>
      <c r="J629" s="353" t="str">
        <f>IFERROR(G629/#REF!,"-")</f>
        <v>-</v>
      </c>
      <c r="K629" s="333">
        <f t="shared" si="773"/>
        <v>8567</v>
      </c>
      <c r="L629" s="272">
        <f t="shared" si="774"/>
        <v>7956</v>
      </c>
      <c r="M629" s="273">
        <f t="shared" si="775"/>
        <v>611</v>
      </c>
      <c r="N629" s="337">
        <f t="shared" si="776"/>
        <v>6.5837606207040716E-3</v>
      </c>
      <c r="O629" s="263">
        <f t="shared" si="764"/>
        <v>7.1320182094081946E-2</v>
      </c>
    </row>
    <row r="630" spans="1:15" ht="24" x14ac:dyDescent="0.25">
      <c r="A630" s="274" t="s">
        <v>101</v>
      </c>
      <c r="B630" s="956"/>
      <c r="C630" s="299" t="s">
        <v>27</v>
      </c>
      <c r="D630" s="297" t="s">
        <v>492</v>
      </c>
      <c r="E630" s="280"/>
      <c r="F630" s="281"/>
      <c r="G630" s="333">
        <f t="shared" si="772"/>
        <v>0</v>
      </c>
      <c r="H630" s="282"/>
      <c r="I630" s="282"/>
      <c r="J630" s="353" t="str">
        <f>IFERROR(G630/#REF!,"-")</f>
        <v>-</v>
      </c>
      <c r="K630" s="333">
        <f t="shared" si="773"/>
        <v>270630</v>
      </c>
      <c r="L630" s="272">
        <f t="shared" si="774"/>
        <v>266526</v>
      </c>
      <c r="M630" s="273">
        <f t="shared" si="775"/>
        <v>4104</v>
      </c>
      <c r="N630" s="337" t="str">
        <f t="shared" si="776"/>
        <v>-</v>
      </c>
      <c r="O630" s="263">
        <f t="shared" si="764"/>
        <v>1.5164615896242102E-2</v>
      </c>
    </row>
    <row r="631" spans="1:15" ht="24" x14ac:dyDescent="0.25">
      <c r="A631" s="274" t="s">
        <v>101</v>
      </c>
      <c r="B631" s="956"/>
      <c r="C631" s="299" t="s">
        <v>27</v>
      </c>
      <c r="D631" s="299" t="s">
        <v>279</v>
      </c>
      <c r="E631" s="280"/>
      <c r="F631" s="281"/>
      <c r="G631" s="333">
        <f t="shared" si="772"/>
        <v>0</v>
      </c>
      <c r="H631" s="282"/>
      <c r="I631" s="282"/>
      <c r="J631" s="353" t="str">
        <f>IFERROR(G631/#REF!,"-")</f>
        <v>-</v>
      </c>
      <c r="K631" s="333">
        <f t="shared" si="773"/>
        <v>0</v>
      </c>
      <c r="L631" s="272">
        <f t="shared" si="774"/>
        <v>0</v>
      </c>
      <c r="M631" s="273">
        <f t="shared" si="775"/>
        <v>0</v>
      </c>
      <c r="N631" s="337" t="str">
        <f t="shared" si="776"/>
        <v>-</v>
      </c>
      <c r="O631" s="263" t="str">
        <f t="shared" si="764"/>
        <v>-</v>
      </c>
    </row>
    <row r="632" spans="1:15" ht="22.5" customHeight="1" x14ac:dyDescent="0.25">
      <c r="A632" s="274"/>
      <c r="B632" s="956"/>
      <c r="C632" s="299" t="s">
        <v>432</v>
      </c>
      <c r="D632" s="299" t="s">
        <v>178</v>
      </c>
      <c r="E632" s="280"/>
      <c r="F632" s="281"/>
      <c r="G632" s="334">
        <f t="shared" si="772"/>
        <v>0</v>
      </c>
      <c r="H632" s="282"/>
      <c r="I632" s="282"/>
      <c r="J632" s="353" t="str">
        <f>IFERROR(G632/#REF!,"-")</f>
        <v>-</v>
      </c>
      <c r="K632" s="334">
        <f t="shared" si="773"/>
        <v>0</v>
      </c>
      <c r="L632" s="272">
        <f t="shared" si="774"/>
        <v>0</v>
      </c>
      <c r="M632" s="273">
        <f t="shared" si="775"/>
        <v>0</v>
      </c>
      <c r="N632" s="337" t="str">
        <f t="shared" si="776"/>
        <v>-</v>
      </c>
      <c r="O632" s="263" t="str">
        <f t="shared" si="764"/>
        <v>-</v>
      </c>
    </row>
    <row r="633" spans="1:15" ht="24" x14ac:dyDescent="0.25">
      <c r="A633" s="274"/>
      <c r="B633" s="956"/>
      <c r="C633" s="299" t="s">
        <v>333</v>
      </c>
      <c r="D633" s="299" t="s">
        <v>94</v>
      </c>
      <c r="E633" s="280"/>
      <c r="F633" s="281"/>
      <c r="G633" s="334">
        <f t="shared" si="772"/>
        <v>0</v>
      </c>
      <c r="H633" s="282"/>
      <c r="I633" s="282"/>
      <c r="J633" s="353" t="str">
        <f>IFERROR(G633/#REF!,"-")</f>
        <v>-</v>
      </c>
      <c r="K633" s="334">
        <f t="shared" si="773"/>
        <v>0</v>
      </c>
      <c r="L633" s="272">
        <f t="shared" si="774"/>
        <v>0</v>
      </c>
      <c r="M633" s="273">
        <f t="shared" si="775"/>
        <v>0</v>
      </c>
      <c r="N633" s="337" t="str">
        <f t="shared" si="776"/>
        <v>-</v>
      </c>
      <c r="O633" s="263" t="str">
        <f t="shared" si="764"/>
        <v>-</v>
      </c>
    </row>
    <row r="634" spans="1:15" ht="24" x14ac:dyDescent="0.25">
      <c r="A634" s="274"/>
      <c r="B634" s="956"/>
      <c r="C634" s="299" t="s">
        <v>433</v>
      </c>
      <c r="D634" s="299" t="s">
        <v>178</v>
      </c>
      <c r="E634" s="280"/>
      <c r="F634" s="281"/>
      <c r="G634" s="334">
        <f t="shared" si="772"/>
        <v>0</v>
      </c>
      <c r="H634" s="282"/>
      <c r="I634" s="282"/>
      <c r="J634" s="353" t="str">
        <f>IFERROR(G634/#REF!,"-")</f>
        <v>-</v>
      </c>
      <c r="K634" s="334">
        <f t="shared" si="773"/>
        <v>0</v>
      </c>
      <c r="L634" s="272">
        <f t="shared" si="774"/>
        <v>0</v>
      </c>
      <c r="M634" s="272">
        <f t="shared" si="775"/>
        <v>0</v>
      </c>
      <c r="N634" s="337" t="str">
        <f t="shared" si="776"/>
        <v>-</v>
      </c>
      <c r="O634" s="263" t="str">
        <f t="shared" si="764"/>
        <v>-</v>
      </c>
    </row>
    <row r="635" spans="1:15" ht="24" x14ac:dyDescent="0.25">
      <c r="A635" s="274"/>
      <c r="B635" s="956"/>
      <c r="C635" s="299" t="s">
        <v>382</v>
      </c>
      <c r="D635" s="299" t="s">
        <v>366</v>
      </c>
      <c r="E635" s="280"/>
      <c r="F635" s="281"/>
      <c r="G635" s="334">
        <f t="shared" si="772"/>
        <v>0</v>
      </c>
      <c r="H635" s="282"/>
      <c r="I635" s="282"/>
      <c r="J635" s="353" t="str">
        <f>IFERROR(G635/#REF!,"-")</f>
        <v>-</v>
      </c>
      <c r="K635" s="334">
        <f t="shared" si="773"/>
        <v>0</v>
      </c>
      <c r="L635" s="272">
        <f t="shared" si="774"/>
        <v>0</v>
      </c>
      <c r="M635" s="273">
        <f t="shared" si="775"/>
        <v>0</v>
      </c>
      <c r="N635" s="337" t="str">
        <f t="shared" si="776"/>
        <v>-</v>
      </c>
      <c r="O635" s="263" t="str">
        <f t="shared" si="764"/>
        <v>-</v>
      </c>
    </row>
    <row r="636" spans="1:15" ht="24.75" thickBot="1" x14ac:dyDescent="0.3">
      <c r="A636" s="274" t="s">
        <v>101</v>
      </c>
      <c r="B636" s="956"/>
      <c r="C636" s="300" t="s">
        <v>290</v>
      </c>
      <c r="D636" s="299" t="s">
        <v>289</v>
      </c>
      <c r="E636" s="280"/>
      <c r="F636" s="281"/>
      <c r="G636" s="334">
        <f t="shared" si="772"/>
        <v>0</v>
      </c>
      <c r="H636" s="282"/>
      <c r="I636" s="282"/>
      <c r="J636" s="353" t="str">
        <f>IFERROR(G636/#REF!,"-")</f>
        <v>-</v>
      </c>
      <c r="K636" s="334">
        <f t="shared" si="773"/>
        <v>0</v>
      </c>
      <c r="L636" s="272">
        <f t="shared" si="774"/>
        <v>0</v>
      </c>
      <c r="M636" s="273">
        <f t="shared" si="775"/>
        <v>0</v>
      </c>
      <c r="N636" s="337" t="str">
        <f t="shared" si="776"/>
        <v>-</v>
      </c>
      <c r="O636" s="347" t="str">
        <f t="shared" si="764"/>
        <v>-</v>
      </c>
    </row>
    <row r="637" spans="1:15" ht="23.25" thickBot="1" x14ac:dyDescent="0.3">
      <c r="A637" s="274" t="s">
        <v>101</v>
      </c>
      <c r="B637" s="969"/>
      <c r="C637" s="301"/>
      <c r="D637" s="302" t="s">
        <v>52</v>
      </c>
      <c r="E637" s="284">
        <f>SUM(E627:E636)</f>
        <v>1865664</v>
      </c>
      <c r="F637" s="285">
        <v>80000</v>
      </c>
      <c r="G637" s="320">
        <f>SUM(G627:G636)</f>
        <v>20961</v>
      </c>
      <c r="H637" s="321">
        <f>SUM(H627:H636)</f>
        <v>19890</v>
      </c>
      <c r="I637" s="321">
        <f>SUM(I627:I636)</f>
        <v>1071</v>
      </c>
      <c r="J637" s="345">
        <f>+G637/F637</f>
        <v>0.26201249999999998</v>
      </c>
      <c r="K637" s="320">
        <f>SUM(K627:K636)</f>
        <v>544631</v>
      </c>
      <c r="L637" s="321">
        <f>SUM(L627:L636)</f>
        <v>537030</v>
      </c>
      <c r="M637" s="322">
        <f>SUM(M627:M636)</f>
        <v>7601</v>
      </c>
      <c r="N637" s="339">
        <f t="shared" si="776"/>
        <v>0.29192341171829439</v>
      </c>
      <c r="O637" s="345">
        <f t="shared" si="764"/>
        <v>1.3956238260400161E-2</v>
      </c>
    </row>
    <row r="638" spans="1:15" ht="24" x14ac:dyDescent="0.25">
      <c r="A638" s="274" t="s">
        <v>101</v>
      </c>
      <c r="B638" s="955" t="s">
        <v>28</v>
      </c>
      <c r="C638" s="299" t="s">
        <v>27</v>
      </c>
      <c r="D638" s="297" t="s">
        <v>492</v>
      </c>
      <c r="E638" s="270"/>
      <c r="F638" s="271"/>
      <c r="G638" s="332">
        <f t="shared" ref="G638:G642" si="777">+H638+I638</f>
        <v>52247</v>
      </c>
      <c r="H638" s="272">
        <v>51714</v>
      </c>
      <c r="I638" s="272">
        <v>533</v>
      </c>
      <c r="J638" s="351" t="str">
        <f>IFERROR(G638/#REF!,"-")</f>
        <v>-</v>
      </c>
      <c r="K638" s="332">
        <f t="shared" ref="K638:K644" si="778">+L638+M638</f>
        <v>129125</v>
      </c>
      <c r="L638" s="272">
        <f t="shared" ref="L638:M644" si="779">+H638+L523</f>
        <v>127296</v>
      </c>
      <c r="M638" s="273">
        <f t="shared" si="779"/>
        <v>1829</v>
      </c>
      <c r="N638" s="336" t="str">
        <f t="shared" si="776"/>
        <v>-</v>
      </c>
      <c r="O638" s="346">
        <f t="shared" si="764"/>
        <v>1.416456921587609E-2</v>
      </c>
    </row>
    <row r="639" spans="1:15" ht="24" x14ac:dyDescent="0.25">
      <c r="A639" s="274" t="s">
        <v>101</v>
      </c>
      <c r="B639" s="956"/>
      <c r="C639" s="299" t="s">
        <v>385</v>
      </c>
      <c r="D639" s="299" t="s">
        <v>334</v>
      </c>
      <c r="E639" s="276"/>
      <c r="F639" s="277"/>
      <c r="G639" s="333">
        <f t="shared" si="777"/>
        <v>0</v>
      </c>
      <c r="H639" s="278"/>
      <c r="I639" s="278"/>
      <c r="J639" s="352" t="str">
        <f>IFERROR(G639/#REF!,"-")</f>
        <v>-</v>
      </c>
      <c r="K639" s="333">
        <f t="shared" si="778"/>
        <v>96975</v>
      </c>
      <c r="L639" s="272">
        <f t="shared" si="779"/>
        <v>95472</v>
      </c>
      <c r="M639" s="273">
        <f t="shared" si="779"/>
        <v>1503</v>
      </c>
      <c r="N639" s="337" t="str">
        <f t="shared" si="776"/>
        <v>-</v>
      </c>
      <c r="O639" s="263">
        <f t="shared" si="764"/>
        <v>1.5498839907192575E-2</v>
      </c>
    </row>
    <row r="640" spans="1:15" ht="24" x14ac:dyDescent="0.25">
      <c r="A640" s="274" t="s">
        <v>101</v>
      </c>
      <c r="B640" s="956"/>
      <c r="C640" s="299" t="s">
        <v>27</v>
      </c>
      <c r="D640" s="299" t="s">
        <v>334</v>
      </c>
      <c r="E640" s="276"/>
      <c r="F640" s="277"/>
      <c r="G640" s="333">
        <f t="shared" si="777"/>
        <v>0</v>
      </c>
      <c r="H640" s="278"/>
      <c r="I640" s="278"/>
      <c r="J640" s="352" t="str">
        <f>IFERROR(G640/#REF!,"-")</f>
        <v>-</v>
      </c>
      <c r="K640" s="333">
        <f t="shared" si="778"/>
        <v>0</v>
      </c>
      <c r="L640" s="272">
        <f t="shared" si="779"/>
        <v>0</v>
      </c>
      <c r="M640" s="273">
        <f t="shared" si="779"/>
        <v>0</v>
      </c>
      <c r="N640" s="337" t="str">
        <f t="shared" si="776"/>
        <v>-</v>
      </c>
      <c r="O640" s="263" t="str">
        <f t="shared" si="764"/>
        <v>-</v>
      </c>
    </row>
    <row r="641" spans="1:15" ht="24" x14ac:dyDescent="0.25">
      <c r="A641" s="274"/>
      <c r="B641" s="956"/>
      <c r="C641" s="299" t="s">
        <v>460</v>
      </c>
      <c r="D641" s="299" t="s">
        <v>334</v>
      </c>
      <c r="E641" s="280"/>
      <c r="F641" s="281"/>
      <c r="G641" s="333">
        <f t="shared" si="777"/>
        <v>0</v>
      </c>
      <c r="H641" s="282"/>
      <c r="I641" s="282"/>
      <c r="J641" s="352" t="str">
        <f>IFERROR(G641/#REF!,"-")</f>
        <v>-</v>
      </c>
      <c r="K641" s="333">
        <f t="shared" si="778"/>
        <v>0</v>
      </c>
      <c r="L641" s="272">
        <f t="shared" si="779"/>
        <v>0</v>
      </c>
      <c r="M641" s="273">
        <f t="shared" si="779"/>
        <v>0</v>
      </c>
      <c r="N641" s="338"/>
      <c r="O641" s="347"/>
    </row>
    <row r="642" spans="1:15" ht="24" x14ac:dyDescent="0.25">
      <c r="A642" s="274" t="s">
        <v>101</v>
      </c>
      <c r="B642" s="956"/>
      <c r="C642" s="299" t="s">
        <v>382</v>
      </c>
      <c r="D642" s="300" t="s">
        <v>366</v>
      </c>
      <c r="E642" s="280"/>
      <c r="F642" s="281"/>
      <c r="G642" s="334">
        <f t="shared" si="777"/>
        <v>0</v>
      </c>
      <c r="H642" s="282"/>
      <c r="I642" s="282"/>
      <c r="J642" s="352" t="str">
        <f>IFERROR(G642/#REF!,"-")</f>
        <v>-</v>
      </c>
      <c r="K642" s="334">
        <f t="shared" si="778"/>
        <v>0</v>
      </c>
      <c r="L642" s="272">
        <f t="shared" si="779"/>
        <v>0</v>
      </c>
      <c r="M642" s="702">
        <f t="shared" si="779"/>
        <v>0</v>
      </c>
      <c r="N642" s="338" t="str">
        <f t="shared" ref="N642" si="780">IFERROR(K642/E642,"-")</f>
        <v>-</v>
      </c>
      <c r="O642" s="347" t="str">
        <f t="shared" ref="O642" si="781">IFERROR(M642/K642,"-")</f>
        <v>-</v>
      </c>
    </row>
    <row r="643" spans="1:15" ht="24" x14ac:dyDescent="0.25">
      <c r="A643" s="274"/>
      <c r="B643" s="956"/>
      <c r="C643" s="299" t="s">
        <v>458</v>
      </c>
      <c r="D643" s="300" t="s">
        <v>280</v>
      </c>
      <c r="E643" s="280"/>
      <c r="F643" s="281"/>
      <c r="G643" s="334"/>
      <c r="H643" s="282"/>
      <c r="I643" s="282"/>
      <c r="J643" s="352" t="str">
        <f>IFERROR(G643/#REF!,"-")</f>
        <v>-</v>
      </c>
      <c r="K643" s="334">
        <f t="shared" si="778"/>
        <v>0</v>
      </c>
      <c r="L643" s="272">
        <f t="shared" si="779"/>
        <v>0</v>
      </c>
      <c r="M643" s="272">
        <f t="shared" si="779"/>
        <v>0</v>
      </c>
      <c r="N643" s="338"/>
      <c r="O643" s="347"/>
    </row>
    <row r="644" spans="1:15" ht="24.75" thickBot="1" x14ac:dyDescent="0.3">
      <c r="A644" s="274" t="s">
        <v>101</v>
      </c>
      <c r="B644" s="956"/>
      <c r="C644" s="299" t="s">
        <v>27</v>
      </c>
      <c r="D644" s="300" t="s">
        <v>234</v>
      </c>
      <c r="E644" s="280"/>
      <c r="F644" s="281"/>
      <c r="G644" s="334">
        <f t="shared" ref="G644" si="782">+H644+I644</f>
        <v>0</v>
      </c>
      <c r="H644" s="282"/>
      <c r="I644" s="282"/>
      <c r="J644" s="353" t="str">
        <f>IFERROR(G644/#REF!,"-")</f>
        <v>-</v>
      </c>
      <c r="K644" s="334">
        <f t="shared" si="778"/>
        <v>0</v>
      </c>
      <c r="L644" s="272">
        <f t="shared" si="779"/>
        <v>0</v>
      </c>
      <c r="M644" s="702">
        <f t="shared" si="779"/>
        <v>0</v>
      </c>
      <c r="N644" s="338" t="str">
        <f t="shared" ref="N644:N645" si="783">IFERROR(K644/E644,"-")</f>
        <v>-</v>
      </c>
      <c r="O644" s="347" t="str">
        <f t="shared" ref="O644:O660" si="784">IFERROR(M644/K644,"-")</f>
        <v>-</v>
      </c>
    </row>
    <row r="645" spans="1:15" ht="23.25" thickBot="1" x14ac:dyDescent="0.3">
      <c r="A645" s="274" t="s">
        <v>101</v>
      </c>
      <c r="B645" s="956"/>
      <c r="C645" s="304"/>
      <c r="D645" s="305" t="s">
        <v>52</v>
      </c>
      <c r="E645" s="306">
        <f>SUM(E638:E644)</f>
        <v>0</v>
      </c>
      <c r="F645" s="307">
        <v>80000</v>
      </c>
      <c r="G645" s="366">
        <f>SUM(G638:G644)</f>
        <v>52247</v>
      </c>
      <c r="H645" s="365">
        <f>SUM(H638:H644)</f>
        <v>51714</v>
      </c>
      <c r="I645" s="365">
        <f>SUM(I638:I644)</f>
        <v>533</v>
      </c>
      <c r="J645" s="356">
        <f>+G645/F645</f>
        <v>0.65308750000000004</v>
      </c>
      <c r="K645" s="366">
        <f>SUM(K638:K644)</f>
        <v>226100</v>
      </c>
      <c r="L645" s="365">
        <f>SUM(L638:L644)</f>
        <v>222768</v>
      </c>
      <c r="M645" s="367">
        <f>SUM(M638:M644)</f>
        <v>3332</v>
      </c>
      <c r="N645" s="355" t="str">
        <f t="shared" si="783"/>
        <v>-</v>
      </c>
      <c r="O645" s="356">
        <f t="shared" si="784"/>
        <v>1.4736842105263158E-2</v>
      </c>
    </row>
    <row r="646" spans="1:15" ht="23.25" thickBot="1" x14ac:dyDescent="0.3">
      <c r="A646" s="802" t="s">
        <v>101</v>
      </c>
      <c r="B646" s="957" t="s">
        <v>162</v>
      </c>
      <c r="C646" s="958"/>
      <c r="D646" s="959"/>
      <c r="E646" s="308">
        <f>+E645+E637</f>
        <v>1865664</v>
      </c>
      <c r="F646" s="309">
        <f>+F645+F637</f>
        <v>160000</v>
      </c>
      <c r="G646" s="369">
        <f>+G637+G645</f>
        <v>73208</v>
      </c>
      <c r="H646" s="368">
        <f>+H637+H645</f>
        <v>71604</v>
      </c>
      <c r="I646" s="368">
        <f>+I637+I645</f>
        <v>1604</v>
      </c>
      <c r="J646" s="358">
        <f>+G646/F646</f>
        <v>0.45755000000000001</v>
      </c>
      <c r="K646" s="369">
        <f>+K637+K645</f>
        <v>770731</v>
      </c>
      <c r="L646" s="368">
        <f>+L637+L645</f>
        <v>759798</v>
      </c>
      <c r="M646" s="370">
        <f>+M637+M645</f>
        <v>10933</v>
      </c>
      <c r="N646" s="357">
        <f>IFERROR(K646/E646,"-")</f>
        <v>0.41311350811292924</v>
      </c>
      <c r="O646" s="358">
        <f t="shared" si="784"/>
        <v>1.4185234537082328E-2</v>
      </c>
    </row>
    <row r="647" spans="1:15" ht="24" x14ac:dyDescent="0.25">
      <c r="A647" s="274" t="s">
        <v>101</v>
      </c>
      <c r="B647" s="956" t="s">
        <v>30</v>
      </c>
      <c r="C647" s="303" t="s">
        <v>446</v>
      </c>
      <c r="D647" s="299" t="s">
        <v>334</v>
      </c>
      <c r="E647" s="270">
        <v>225000</v>
      </c>
      <c r="F647" s="271"/>
      <c r="G647" s="332">
        <f t="shared" ref="G647:G649" si="785">+H647+I647</f>
        <v>0</v>
      </c>
      <c r="H647" s="272"/>
      <c r="I647" s="272"/>
      <c r="J647" s="351" t="str">
        <f>IFERROR(G647/#REF!,"-")</f>
        <v>-</v>
      </c>
      <c r="K647" s="332">
        <f t="shared" ref="K647:K649" si="786">+L647+M647</f>
        <v>0</v>
      </c>
      <c r="L647" s="272">
        <f t="shared" ref="L647:M649" si="787">+H647+L532</f>
        <v>0</v>
      </c>
      <c r="M647" s="273">
        <f t="shared" si="787"/>
        <v>0</v>
      </c>
      <c r="N647" s="336">
        <f t="shared" ref="N647:N660" si="788">IFERROR(K647/E647,"-")</f>
        <v>0</v>
      </c>
      <c r="O647" s="346" t="str">
        <f t="shared" si="784"/>
        <v>-</v>
      </c>
    </row>
    <row r="648" spans="1:15" ht="24" x14ac:dyDescent="0.25">
      <c r="A648" s="274" t="s">
        <v>101</v>
      </c>
      <c r="B648" s="956"/>
      <c r="C648" s="300" t="s">
        <v>429</v>
      </c>
      <c r="D648" s="303" t="s">
        <v>366</v>
      </c>
      <c r="E648" s="276"/>
      <c r="F648" s="277"/>
      <c r="G648" s="333">
        <f t="shared" si="785"/>
        <v>0</v>
      </c>
      <c r="H648" s="278"/>
      <c r="I648" s="278"/>
      <c r="J648" s="352" t="str">
        <f>IFERROR(G648/#REF!,"-")</f>
        <v>-</v>
      </c>
      <c r="K648" s="333">
        <f t="shared" si="786"/>
        <v>0</v>
      </c>
      <c r="L648" s="272">
        <f t="shared" si="787"/>
        <v>0</v>
      </c>
      <c r="M648" s="273">
        <f t="shared" si="787"/>
        <v>0</v>
      </c>
      <c r="N648" s="337" t="str">
        <f t="shared" si="788"/>
        <v>-</v>
      </c>
      <c r="O648" s="263" t="str">
        <f t="shared" si="784"/>
        <v>-</v>
      </c>
    </row>
    <row r="649" spans="1:15" ht="24.75" thickBot="1" x14ac:dyDescent="0.3">
      <c r="A649" s="274" t="s">
        <v>101</v>
      </c>
      <c r="B649" s="956"/>
      <c r="C649" s="300" t="s">
        <v>291</v>
      </c>
      <c r="D649" s="300" t="s">
        <v>366</v>
      </c>
      <c r="E649" s="280"/>
      <c r="F649" s="281"/>
      <c r="G649" s="334">
        <f t="shared" si="785"/>
        <v>0</v>
      </c>
      <c r="H649" s="282"/>
      <c r="I649" s="282"/>
      <c r="J649" s="353" t="str">
        <f>IFERROR(G649/#REF!,"-")</f>
        <v>-</v>
      </c>
      <c r="K649" s="334">
        <f t="shared" si="786"/>
        <v>0</v>
      </c>
      <c r="L649" s="272">
        <f t="shared" si="787"/>
        <v>0</v>
      </c>
      <c r="M649" s="273">
        <f t="shared" si="787"/>
        <v>0</v>
      </c>
      <c r="N649" s="338" t="str">
        <f t="shared" si="788"/>
        <v>-</v>
      </c>
      <c r="O649" s="347" t="str">
        <f t="shared" si="784"/>
        <v>-</v>
      </c>
    </row>
    <row r="650" spans="1:15" ht="23.25" thickBot="1" x14ac:dyDescent="0.3">
      <c r="A650" s="274" t="s">
        <v>101</v>
      </c>
      <c r="B650" s="956"/>
      <c r="C650" s="301"/>
      <c r="D650" s="302" t="s">
        <v>50</v>
      </c>
      <c r="E650" s="284">
        <f>SUM(E647:E649)</f>
        <v>225000</v>
      </c>
      <c r="F650" s="285">
        <v>50000</v>
      </c>
      <c r="G650" s="320">
        <f>SUM(G647:G649)</f>
        <v>0</v>
      </c>
      <c r="H650" s="321">
        <f>SUM(H647:H649)</f>
        <v>0</v>
      </c>
      <c r="I650" s="321">
        <f>SUM(I647:I649)</f>
        <v>0</v>
      </c>
      <c r="J650" s="345" t="e">
        <f>+H650/G650</f>
        <v>#DIV/0!</v>
      </c>
      <c r="K650" s="320">
        <f>SUM(K647:K649)</f>
        <v>0</v>
      </c>
      <c r="L650" s="321">
        <f>SUM(L647:L649)</f>
        <v>0</v>
      </c>
      <c r="M650" s="322">
        <f>SUM(M647:M649)</f>
        <v>0</v>
      </c>
      <c r="N650" s="339">
        <f t="shared" si="788"/>
        <v>0</v>
      </c>
      <c r="O650" s="345" t="str">
        <f t="shared" si="784"/>
        <v>-</v>
      </c>
    </row>
    <row r="651" spans="1:15" ht="24" x14ac:dyDescent="0.25">
      <c r="A651" s="274" t="s">
        <v>101</v>
      </c>
      <c r="B651" s="956"/>
      <c r="C651" s="297" t="s">
        <v>434</v>
      </c>
      <c r="D651" s="297" t="s">
        <v>92</v>
      </c>
      <c r="E651" s="270"/>
      <c r="F651" s="271"/>
      <c r="G651" s="332">
        <f t="shared" ref="G651:G652" si="789">+H651+I651</f>
        <v>0</v>
      </c>
      <c r="H651" s="272"/>
      <c r="I651" s="272"/>
      <c r="J651" s="351" t="str">
        <f>IFERROR(G651/#REF!,"-")</f>
        <v>-</v>
      </c>
      <c r="K651" s="332">
        <f t="shared" ref="K651:K656" si="790">+L651+M651</f>
        <v>0</v>
      </c>
      <c r="L651" s="272">
        <f t="shared" ref="L651:M656" si="791">+H651+L536</f>
        <v>0</v>
      </c>
      <c r="M651" s="273">
        <f t="shared" si="791"/>
        <v>0</v>
      </c>
      <c r="N651" s="336" t="str">
        <f t="shared" si="788"/>
        <v>-</v>
      </c>
      <c r="O651" s="346" t="str">
        <f t="shared" si="784"/>
        <v>-</v>
      </c>
    </row>
    <row r="652" spans="1:15" ht="24" x14ac:dyDescent="0.25">
      <c r="A652" s="274"/>
      <c r="B652" s="956"/>
      <c r="C652" s="303" t="s">
        <v>449</v>
      </c>
      <c r="D652" s="299" t="s">
        <v>334</v>
      </c>
      <c r="E652" s="270"/>
      <c r="F652" s="271"/>
      <c r="G652" s="332">
        <f t="shared" si="789"/>
        <v>0</v>
      </c>
      <c r="H652" s="272"/>
      <c r="I652" s="272"/>
      <c r="J652" s="351" t="str">
        <f>IFERROR(G652/#REF!,"-")</f>
        <v>-</v>
      </c>
      <c r="K652" s="332">
        <f t="shared" si="790"/>
        <v>0</v>
      </c>
      <c r="L652" s="272">
        <f t="shared" si="791"/>
        <v>0</v>
      </c>
      <c r="M652" s="273">
        <f t="shared" si="791"/>
        <v>0</v>
      </c>
      <c r="N652" s="337" t="str">
        <f t="shared" si="788"/>
        <v>-</v>
      </c>
      <c r="O652" s="346" t="str">
        <f t="shared" si="784"/>
        <v>-</v>
      </c>
    </row>
    <row r="653" spans="1:15" ht="24" x14ac:dyDescent="0.25">
      <c r="A653" s="274"/>
      <c r="B653" s="956"/>
      <c r="C653" s="303" t="s">
        <v>452</v>
      </c>
      <c r="D653" s="299" t="s">
        <v>334</v>
      </c>
      <c r="E653" s="270"/>
      <c r="F653" s="271"/>
      <c r="G653" s="332"/>
      <c r="H653" s="272"/>
      <c r="I653" s="272"/>
      <c r="J653" s="351" t="str">
        <f>IFERROR(G653/#REF!,"-")</f>
        <v>-</v>
      </c>
      <c r="K653" s="332">
        <f t="shared" si="790"/>
        <v>0</v>
      </c>
      <c r="L653" s="272">
        <f t="shared" si="791"/>
        <v>0</v>
      </c>
      <c r="M653" s="273">
        <f t="shared" si="791"/>
        <v>0</v>
      </c>
      <c r="N653" s="337" t="str">
        <f t="shared" si="788"/>
        <v>-</v>
      </c>
      <c r="O653" s="346" t="str">
        <f t="shared" si="784"/>
        <v>-</v>
      </c>
    </row>
    <row r="654" spans="1:15" ht="24" x14ac:dyDescent="0.25">
      <c r="A654" s="274" t="s">
        <v>101</v>
      </c>
      <c r="B654" s="956"/>
      <c r="C654" s="303" t="s">
        <v>501</v>
      </c>
      <c r="D654" s="300" t="s">
        <v>423</v>
      </c>
      <c r="E654" s="276">
        <v>125000</v>
      </c>
      <c r="F654" s="277"/>
      <c r="G654" s="333">
        <f t="shared" ref="G654" si="792">+H654+I654</f>
        <v>0</v>
      </c>
      <c r="H654" s="278"/>
      <c r="I654" s="278"/>
      <c r="J654" s="351" t="str">
        <f>IFERROR(G654/#REF!,"-")</f>
        <v>-</v>
      </c>
      <c r="K654" s="333">
        <f t="shared" si="790"/>
        <v>8116</v>
      </c>
      <c r="L654" s="272">
        <f t="shared" si="791"/>
        <v>7488</v>
      </c>
      <c r="M654" s="273">
        <f t="shared" si="791"/>
        <v>628</v>
      </c>
      <c r="N654" s="337">
        <f t="shared" si="788"/>
        <v>6.4928E-2</v>
      </c>
      <c r="O654" s="263">
        <f t="shared" si="784"/>
        <v>7.737801872843765E-2</v>
      </c>
    </row>
    <row r="655" spans="1:15" ht="24" x14ac:dyDescent="0.25">
      <c r="A655" s="274"/>
      <c r="B655" s="956"/>
      <c r="C655" s="300" t="s">
        <v>459</v>
      </c>
      <c r="D655" s="300" t="s">
        <v>366</v>
      </c>
      <c r="E655" s="280"/>
      <c r="F655" s="281"/>
      <c r="G655" s="334"/>
      <c r="H655" s="282"/>
      <c r="I655" s="282"/>
      <c r="J655" s="351" t="str">
        <f>IFERROR(G655/#REF!,"-")</f>
        <v>-</v>
      </c>
      <c r="K655" s="333">
        <f t="shared" si="790"/>
        <v>0</v>
      </c>
      <c r="L655" s="272">
        <f t="shared" si="791"/>
        <v>0</v>
      </c>
      <c r="M655" s="272">
        <f t="shared" si="791"/>
        <v>0</v>
      </c>
      <c r="N655" s="337" t="str">
        <f t="shared" si="788"/>
        <v>-</v>
      </c>
      <c r="O655" s="263" t="str">
        <f t="shared" si="784"/>
        <v>-</v>
      </c>
    </row>
    <row r="656" spans="1:15" ht="24.75" thickBot="1" x14ac:dyDescent="0.3">
      <c r="A656" s="274" t="s">
        <v>101</v>
      </c>
      <c r="B656" s="956"/>
      <c r="C656" s="300" t="s">
        <v>435</v>
      </c>
      <c r="D656" s="300" t="s">
        <v>423</v>
      </c>
      <c r="E656" s="280"/>
      <c r="F656" s="281"/>
      <c r="G656" s="334">
        <f t="shared" ref="G656" si="793">+H656+I656</f>
        <v>0</v>
      </c>
      <c r="H656" s="282"/>
      <c r="I656" s="282"/>
      <c r="J656" s="353" t="str">
        <f>IFERROR(G656/#REF!,"-")</f>
        <v>-</v>
      </c>
      <c r="K656" s="334">
        <f t="shared" si="790"/>
        <v>0</v>
      </c>
      <c r="L656" s="272">
        <f t="shared" si="791"/>
        <v>0</v>
      </c>
      <c r="M656" s="273">
        <f t="shared" si="791"/>
        <v>0</v>
      </c>
      <c r="N656" s="338" t="str">
        <f t="shared" si="788"/>
        <v>-</v>
      </c>
      <c r="O656" s="347" t="str">
        <f t="shared" si="784"/>
        <v>-</v>
      </c>
    </row>
    <row r="657" spans="1:15" ht="23.25" thickBot="1" x14ac:dyDescent="0.3">
      <c r="A657" s="274" t="s">
        <v>101</v>
      </c>
      <c r="B657" s="956"/>
      <c r="C657" s="304"/>
      <c r="D657" s="305" t="s">
        <v>51</v>
      </c>
      <c r="E657" s="306">
        <f>SUM(E651:E656)</f>
        <v>125000</v>
      </c>
      <c r="F657" s="307">
        <v>50000</v>
      </c>
      <c r="G657" s="366">
        <f>SUM(G651:G656)</f>
        <v>0</v>
      </c>
      <c r="H657" s="365">
        <f t="shared" ref="H657:I657" si="794">SUM(H651:H656)</f>
        <v>0</v>
      </c>
      <c r="I657" s="365">
        <f t="shared" si="794"/>
        <v>0</v>
      </c>
      <c r="J657" s="356">
        <f>+G657/F657</f>
        <v>0</v>
      </c>
      <c r="K657" s="366">
        <f t="shared" ref="K657:M657" si="795">SUM(K651:K656)</f>
        <v>8116</v>
      </c>
      <c r="L657" s="365">
        <f t="shared" si="795"/>
        <v>7488</v>
      </c>
      <c r="M657" s="367">
        <f t="shared" si="795"/>
        <v>628</v>
      </c>
      <c r="N657" s="355">
        <f t="shared" si="788"/>
        <v>6.4928E-2</v>
      </c>
      <c r="O657" s="356">
        <f t="shared" si="784"/>
        <v>7.737801872843765E-2</v>
      </c>
    </row>
    <row r="658" spans="1:15" ht="23.25" thickBot="1" x14ac:dyDescent="0.3">
      <c r="A658" s="274" t="s">
        <v>101</v>
      </c>
      <c r="B658" s="957" t="s">
        <v>163</v>
      </c>
      <c r="C658" s="958"/>
      <c r="D658" s="959"/>
      <c r="E658" s="308">
        <f>+E657+E650</f>
        <v>350000</v>
      </c>
      <c r="F658" s="309">
        <v>50000</v>
      </c>
      <c r="G658" s="369">
        <f>+G650+G657</f>
        <v>0</v>
      </c>
      <c r="H658" s="368">
        <f t="shared" ref="H658:I658" si="796">+H650+H657</f>
        <v>0</v>
      </c>
      <c r="I658" s="368">
        <f t="shared" si="796"/>
        <v>0</v>
      </c>
      <c r="J658" s="358">
        <f>+G658/F658</f>
        <v>0</v>
      </c>
      <c r="K658" s="369">
        <f t="shared" ref="K658:M658" si="797">+K650+K657</f>
        <v>8116</v>
      </c>
      <c r="L658" s="368">
        <f t="shared" si="797"/>
        <v>7488</v>
      </c>
      <c r="M658" s="370">
        <f t="shared" si="797"/>
        <v>628</v>
      </c>
      <c r="N658" s="357">
        <f t="shared" si="788"/>
        <v>2.318857142857143E-2</v>
      </c>
      <c r="O658" s="358">
        <f t="shared" si="784"/>
        <v>7.737801872843765E-2</v>
      </c>
    </row>
    <row r="659" spans="1:15" ht="24.75" thickBot="1" x14ac:dyDescent="0.3">
      <c r="A659" s="274" t="s">
        <v>101</v>
      </c>
      <c r="B659" s="598" t="s">
        <v>32</v>
      </c>
      <c r="C659" s="798"/>
      <c r="D659" s="310" t="s">
        <v>32</v>
      </c>
      <c r="E659" s="287">
        <v>0</v>
      </c>
      <c r="F659" s="288">
        <v>110000</v>
      </c>
      <c r="G659" s="335">
        <f t="shared" ref="G659" si="798">+H659+I659</f>
        <v>0</v>
      </c>
      <c r="H659" s="289"/>
      <c r="I659" s="289"/>
      <c r="J659" s="354" t="str">
        <f>IFERROR(G659/#REF!,"-")</f>
        <v>-</v>
      </c>
      <c r="K659" s="335">
        <f>+L659+M659</f>
        <v>0</v>
      </c>
      <c r="L659" s="289">
        <f>+H659+L544</f>
        <v>0</v>
      </c>
      <c r="M659" s="290">
        <f>+I659+M544</f>
        <v>0</v>
      </c>
      <c r="N659" s="340" t="str">
        <f t="shared" si="788"/>
        <v>-</v>
      </c>
      <c r="O659" s="348" t="str">
        <f t="shared" si="784"/>
        <v>-</v>
      </c>
    </row>
    <row r="660" spans="1:15" ht="23.25" thickBot="1" x14ac:dyDescent="0.3">
      <c r="A660" s="274" t="s">
        <v>101</v>
      </c>
      <c r="B660" s="960" t="s">
        <v>21</v>
      </c>
      <c r="C660" s="961"/>
      <c r="D660" s="962"/>
      <c r="E660" s="326">
        <f>+E646+E658+E659</f>
        <v>2215664</v>
      </c>
      <c r="F660" s="327">
        <f>+F646+F658+F659</f>
        <v>320000</v>
      </c>
      <c r="G660" s="326">
        <f>+G646+G658+G659</f>
        <v>73208</v>
      </c>
      <c r="H660" s="324">
        <f>+H646+H658+H659</f>
        <v>71604</v>
      </c>
      <c r="I660" s="324">
        <f>+I646+I658+I659</f>
        <v>1604</v>
      </c>
      <c r="J660" s="349">
        <f>+G660/F660</f>
        <v>0.22877500000000001</v>
      </c>
      <c r="K660" s="326">
        <f>+K646+K658+K659</f>
        <v>778847</v>
      </c>
      <c r="L660" s="324">
        <f>+L646+L658+L659</f>
        <v>767286</v>
      </c>
      <c r="M660" s="325">
        <f>+M646+M658+M659</f>
        <v>11561</v>
      </c>
      <c r="N660" s="341">
        <f t="shared" si="788"/>
        <v>0.35151855154933237</v>
      </c>
      <c r="O660" s="349">
        <f t="shared" si="784"/>
        <v>1.484373695989071E-2</v>
      </c>
    </row>
    <row r="661" spans="1:15" ht="23.25" thickBot="1" x14ac:dyDescent="0.3">
      <c r="A661" s="274" t="s">
        <v>101</v>
      </c>
      <c r="B661" s="963" t="s">
        <v>171</v>
      </c>
      <c r="C661" s="941"/>
      <c r="D661" s="942"/>
      <c r="E661" s="330">
        <f>+E660</f>
        <v>2215664</v>
      </c>
      <c r="F661" s="331">
        <f t="shared" ref="F661:I661" si="799">+F660</f>
        <v>320000</v>
      </c>
      <c r="G661" s="330">
        <f t="shared" si="799"/>
        <v>73208</v>
      </c>
      <c r="H661" s="328">
        <f t="shared" si="799"/>
        <v>71604</v>
      </c>
      <c r="I661" s="328">
        <f t="shared" si="799"/>
        <v>1604</v>
      </c>
      <c r="J661" s="350">
        <f>+J660</f>
        <v>0.22877500000000001</v>
      </c>
      <c r="K661" s="330">
        <f>+K660</f>
        <v>778847</v>
      </c>
      <c r="L661" s="328">
        <f t="shared" ref="L661" si="800">+L660</f>
        <v>767286</v>
      </c>
      <c r="M661" s="329">
        <f>+M660</f>
        <v>11561</v>
      </c>
      <c r="N661" s="342">
        <f t="shared" ref="N661:O661" si="801">+N660</f>
        <v>0.35151855154933237</v>
      </c>
      <c r="O661" s="350">
        <f t="shared" si="801"/>
        <v>1.484373695989071E-2</v>
      </c>
    </row>
    <row r="662" spans="1:15" ht="24" x14ac:dyDescent="0.25">
      <c r="A662" s="268" t="s">
        <v>102</v>
      </c>
      <c r="B662" s="949" t="s">
        <v>401</v>
      </c>
      <c r="C662" s="311" t="s">
        <v>113</v>
      </c>
      <c r="D662" s="311"/>
      <c r="E662" s="270"/>
      <c r="F662" s="271"/>
      <c r="G662" s="332">
        <f t="shared" ref="G662:G664" si="802">+H662+I662</f>
        <v>0</v>
      </c>
      <c r="H662" s="272"/>
      <c r="I662" s="272"/>
      <c r="J662" s="351" t="str">
        <f>IFERROR(G662/#REF!,"-")</f>
        <v>-</v>
      </c>
      <c r="K662" s="332">
        <f t="shared" ref="K662:K664" si="803">+L662+M662</f>
        <v>0</v>
      </c>
      <c r="L662" s="272">
        <f t="shared" ref="L662:M664" si="804">+H662+L547</f>
        <v>0</v>
      </c>
      <c r="M662" s="273">
        <f t="shared" si="804"/>
        <v>0</v>
      </c>
      <c r="N662" s="336" t="str">
        <f t="shared" ref="N662:N669" si="805">IFERROR(K662/E662,"-")</f>
        <v>-</v>
      </c>
      <c r="O662" s="346" t="str">
        <f t="shared" ref="O662:O687" si="806">IFERROR(M662/K662,"-")</f>
        <v>-</v>
      </c>
    </row>
    <row r="663" spans="1:15" ht="24" x14ac:dyDescent="0.25">
      <c r="A663" s="274" t="s">
        <v>102</v>
      </c>
      <c r="B663" s="951"/>
      <c r="C663" s="312" t="s">
        <v>247</v>
      </c>
      <c r="D663" s="312"/>
      <c r="E663" s="276">
        <v>2000</v>
      </c>
      <c r="F663" s="277"/>
      <c r="G663" s="333">
        <f t="shared" si="802"/>
        <v>1950</v>
      </c>
      <c r="H663" s="278">
        <v>1900</v>
      </c>
      <c r="I663" s="278">
        <v>50</v>
      </c>
      <c r="J663" s="352" t="str">
        <f>IFERROR(G663/#REF!,"-")</f>
        <v>-</v>
      </c>
      <c r="K663" s="333">
        <f t="shared" si="803"/>
        <v>8087</v>
      </c>
      <c r="L663" s="272">
        <f t="shared" si="804"/>
        <v>7700</v>
      </c>
      <c r="M663" s="273">
        <f t="shared" si="804"/>
        <v>387</v>
      </c>
      <c r="N663" s="337">
        <f t="shared" si="805"/>
        <v>4.0434999999999999</v>
      </c>
      <c r="O663" s="263">
        <f t="shared" si="806"/>
        <v>4.7854581426981575E-2</v>
      </c>
    </row>
    <row r="664" spans="1:15" ht="24.75" thickBot="1" x14ac:dyDescent="0.3">
      <c r="A664" s="274" t="s">
        <v>102</v>
      </c>
      <c r="B664" s="950"/>
      <c r="C664" s="313" t="s">
        <v>33</v>
      </c>
      <c r="D664" s="313"/>
      <c r="E664" s="280"/>
      <c r="F664" s="281"/>
      <c r="G664" s="334">
        <f t="shared" si="802"/>
        <v>0</v>
      </c>
      <c r="H664" s="282"/>
      <c r="I664" s="282"/>
      <c r="J664" s="353" t="str">
        <f>IFERROR(G664/#REF!,"-")</f>
        <v>-</v>
      </c>
      <c r="K664" s="334">
        <f t="shared" si="803"/>
        <v>0</v>
      </c>
      <c r="L664" s="272">
        <f t="shared" si="804"/>
        <v>0</v>
      </c>
      <c r="M664" s="273">
        <f t="shared" si="804"/>
        <v>0</v>
      </c>
      <c r="N664" s="338" t="str">
        <f t="shared" si="805"/>
        <v>-</v>
      </c>
      <c r="O664" s="347" t="str">
        <f t="shared" si="806"/>
        <v>-</v>
      </c>
    </row>
    <row r="665" spans="1:15" ht="23.25" thickBot="1" x14ac:dyDescent="0.3">
      <c r="A665" s="274" t="s">
        <v>102</v>
      </c>
      <c r="B665" s="946" t="s">
        <v>34</v>
      </c>
      <c r="C665" s="947"/>
      <c r="D665" s="948"/>
      <c r="E665" s="284">
        <f>SUM(E662:E664)</f>
        <v>2000</v>
      </c>
      <c r="F665" s="285">
        <v>6500</v>
      </c>
      <c r="G665" s="320">
        <f>SUM(G662:G664)</f>
        <v>1950</v>
      </c>
      <c r="H665" s="321">
        <f t="shared" ref="H665:I665" si="807">SUM(H662:H664)</f>
        <v>1900</v>
      </c>
      <c r="I665" s="321">
        <f t="shared" si="807"/>
        <v>50</v>
      </c>
      <c r="J665" s="345" t="str">
        <f>IFERROR(G665/#REF!,"-")</f>
        <v>-</v>
      </c>
      <c r="K665" s="320">
        <f t="shared" ref="K665:M665" si="808">SUM(K662:K664)</f>
        <v>8087</v>
      </c>
      <c r="L665" s="321">
        <f t="shared" si="808"/>
        <v>7700</v>
      </c>
      <c r="M665" s="322">
        <f t="shared" si="808"/>
        <v>387</v>
      </c>
      <c r="N665" s="339">
        <f t="shared" si="805"/>
        <v>4.0434999999999999</v>
      </c>
      <c r="O665" s="345">
        <f t="shared" si="806"/>
        <v>4.7854581426981575E-2</v>
      </c>
    </row>
    <row r="666" spans="1:15" ht="24" x14ac:dyDescent="0.25">
      <c r="A666" s="274" t="s">
        <v>102</v>
      </c>
      <c r="B666" s="949" t="s">
        <v>35</v>
      </c>
      <c r="C666" s="311" t="s">
        <v>113</v>
      </c>
      <c r="D666" s="311"/>
      <c r="E666" s="270"/>
      <c r="F666" s="271"/>
      <c r="G666" s="332">
        <f t="shared" ref="G666:G669" si="809">+H666+I666</f>
        <v>0</v>
      </c>
      <c r="H666" s="272"/>
      <c r="I666" s="272"/>
      <c r="J666" s="351" t="str">
        <f>IFERROR(G666/#REF!,"-")</f>
        <v>-</v>
      </c>
      <c r="K666" s="332">
        <f t="shared" ref="K666:K669" si="810">+L666+M666</f>
        <v>0</v>
      </c>
      <c r="L666" s="272">
        <f t="shared" ref="L666:M669" si="811">+H666+L551</f>
        <v>0</v>
      </c>
      <c r="M666" s="273">
        <f t="shared" si="811"/>
        <v>0</v>
      </c>
      <c r="N666" s="336" t="str">
        <f t="shared" si="805"/>
        <v>-</v>
      </c>
      <c r="O666" s="346" t="str">
        <f t="shared" si="806"/>
        <v>-</v>
      </c>
    </row>
    <row r="667" spans="1:15" ht="24" x14ac:dyDescent="0.25">
      <c r="A667" s="274" t="s">
        <v>102</v>
      </c>
      <c r="B667" s="951"/>
      <c r="C667" s="312" t="s">
        <v>247</v>
      </c>
      <c r="D667" s="312"/>
      <c r="E667" s="276"/>
      <c r="F667" s="277"/>
      <c r="G667" s="333">
        <f t="shared" si="809"/>
        <v>0</v>
      </c>
      <c r="H667" s="278"/>
      <c r="I667" s="278"/>
      <c r="J667" s="352" t="str">
        <f>IFERROR(G667/#REF!,"-")</f>
        <v>-</v>
      </c>
      <c r="K667" s="333">
        <f t="shared" si="810"/>
        <v>0</v>
      </c>
      <c r="L667" s="272">
        <f t="shared" si="811"/>
        <v>0</v>
      </c>
      <c r="M667" s="273">
        <f t="shared" si="811"/>
        <v>0</v>
      </c>
      <c r="N667" s="337" t="str">
        <f t="shared" si="805"/>
        <v>-</v>
      </c>
      <c r="O667" s="263" t="str">
        <f t="shared" si="806"/>
        <v>-</v>
      </c>
    </row>
    <row r="668" spans="1:15" ht="24" x14ac:dyDescent="0.25">
      <c r="A668" s="274" t="s">
        <v>102</v>
      </c>
      <c r="B668" s="951"/>
      <c r="C668" s="312" t="s">
        <v>496</v>
      </c>
      <c r="D668" s="312"/>
      <c r="E668" s="276">
        <v>20000</v>
      </c>
      <c r="F668" s="277"/>
      <c r="G668" s="333">
        <f t="shared" si="809"/>
        <v>0</v>
      </c>
      <c r="H668" s="278"/>
      <c r="I668" s="278"/>
      <c r="J668" s="352" t="str">
        <f>IFERROR(G668/#REF!,"-")</f>
        <v>-</v>
      </c>
      <c r="K668" s="333">
        <f t="shared" si="810"/>
        <v>0</v>
      </c>
      <c r="L668" s="272">
        <f t="shared" si="811"/>
        <v>0</v>
      </c>
      <c r="M668" s="273">
        <f t="shared" si="811"/>
        <v>0</v>
      </c>
      <c r="N668" s="337">
        <f t="shared" si="805"/>
        <v>0</v>
      </c>
      <c r="O668" s="263" t="str">
        <f t="shared" si="806"/>
        <v>-</v>
      </c>
    </row>
    <row r="669" spans="1:15" ht="24.75" thickBot="1" x14ac:dyDescent="0.3">
      <c r="A669" s="274" t="s">
        <v>102</v>
      </c>
      <c r="B669" s="950"/>
      <c r="C669" s="313" t="s">
        <v>36</v>
      </c>
      <c r="D669" s="313"/>
      <c r="E669" s="280"/>
      <c r="F669" s="281"/>
      <c r="G669" s="334">
        <f t="shared" si="809"/>
        <v>0</v>
      </c>
      <c r="H669" s="282"/>
      <c r="I669" s="282"/>
      <c r="J669" s="353" t="str">
        <f>IFERROR(G669/#REF!,"-")</f>
        <v>-</v>
      </c>
      <c r="K669" s="334">
        <f t="shared" si="810"/>
        <v>0</v>
      </c>
      <c r="L669" s="272">
        <f t="shared" si="811"/>
        <v>0</v>
      </c>
      <c r="M669" s="273">
        <f t="shared" si="811"/>
        <v>0</v>
      </c>
      <c r="N669" s="338" t="str">
        <f t="shared" si="805"/>
        <v>-</v>
      </c>
      <c r="O669" s="347" t="str">
        <f t="shared" si="806"/>
        <v>-</v>
      </c>
    </row>
    <row r="670" spans="1:15" ht="23.25" thickBot="1" x14ac:dyDescent="0.3">
      <c r="A670" s="274" t="s">
        <v>102</v>
      </c>
      <c r="B670" s="946" t="s">
        <v>37</v>
      </c>
      <c r="C670" s="947"/>
      <c r="D670" s="948"/>
      <c r="E670" s="284">
        <f>SUM(E666:E669)</f>
        <v>20000</v>
      </c>
      <c r="F670" s="285">
        <v>6500</v>
      </c>
      <c r="G670" s="320">
        <f>SUM(G666:G669)</f>
        <v>0</v>
      </c>
      <c r="H670" s="321">
        <f t="shared" ref="H670:I670" si="812">SUM(H666:H669)</f>
        <v>0</v>
      </c>
      <c r="I670" s="321">
        <f t="shared" si="812"/>
        <v>0</v>
      </c>
      <c r="J670" s="345" t="str">
        <f>IFERROR(G670/#REF!,"-")</f>
        <v>-</v>
      </c>
      <c r="K670" s="320">
        <f t="shared" ref="K670:M670" si="813">SUM(K666:K669)</f>
        <v>0</v>
      </c>
      <c r="L670" s="321">
        <f t="shared" si="813"/>
        <v>0</v>
      </c>
      <c r="M670" s="322">
        <f t="shared" si="813"/>
        <v>0</v>
      </c>
      <c r="N670" s="339">
        <f>IFERROR(K670/E670,"-")</f>
        <v>0</v>
      </c>
      <c r="O670" s="345" t="str">
        <f t="shared" si="806"/>
        <v>-</v>
      </c>
    </row>
    <row r="671" spans="1:15" ht="24" x14ac:dyDescent="0.25">
      <c r="A671" s="274" t="s">
        <v>102</v>
      </c>
      <c r="B671" s="949" t="s">
        <v>402</v>
      </c>
      <c r="C671" s="314" t="s">
        <v>116</v>
      </c>
      <c r="D671" s="314"/>
      <c r="E671" s="270">
        <v>14000</v>
      </c>
      <c r="F671" s="271"/>
      <c r="G671" s="332">
        <f t="shared" ref="G671:G672" si="814">+H671+I671</f>
        <v>0</v>
      </c>
      <c r="H671" s="272"/>
      <c r="I671" s="272"/>
      <c r="J671" s="351" t="str">
        <f>IFERROR(G671/#REF!,"-")</f>
        <v>-</v>
      </c>
      <c r="K671" s="332">
        <f t="shared" ref="K671:K672" si="815">+L671+M671</f>
        <v>0</v>
      </c>
      <c r="L671" s="272">
        <f>+H671+L556</f>
        <v>0</v>
      </c>
      <c r="M671" s="273">
        <f>+I671+M556</f>
        <v>0</v>
      </c>
      <c r="N671" s="336">
        <f t="shared" ref="N671:N687" si="816">IFERROR(K671/E671,"-")</f>
        <v>0</v>
      </c>
      <c r="O671" s="346" t="str">
        <f t="shared" si="806"/>
        <v>-</v>
      </c>
    </row>
    <row r="672" spans="1:15" ht="24.75" thickBot="1" x14ac:dyDescent="0.3">
      <c r="A672" s="274" t="s">
        <v>102</v>
      </c>
      <c r="B672" s="950"/>
      <c r="C672" s="286" t="s">
        <v>132</v>
      </c>
      <c r="D672" s="286"/>
      <c r="E672" s="280"/>
      <c r="F672" s="281"/>
      <c r="G672" s="334">
        <f t="shared" si="814"/>
        <v>805</v>
      </c>
      <c r="H672" s="282">
        <v>800</v>
      </c>
      <c r="I672" s="282">
        <v>5</v>
      </c>
      <c r="J672" s="353" t="str">
        <f>IFERROR(G672/#REF!,"-")</f>
        <v>-</v>
      </c>
      <c r="K672" s="334">
        <f t="shared" si="815"/>
        <v>8932</v>
      </c>
      <c r="L672" s="272">
        <f>+H672+L557</f>
        <v>8490</v>
      </c>
      <c r="M672" s="273">
        <f>+I672+M557</f>
        <v>442</v>
      </c>
      <c r="N672" s="338" t="str">
        <f t="shared" si="816"/>
        <v>-</v>
      </c>
      <c r="O672" s="347">
        <f t="shared" si="806"/>
        <v>4.9484997760859829E-2</v>
      </c>
    </row>
    <row r="673" spans="1:15" ht="23.25" thickBot="1" x14ac:dyDescent="0.3">
      <c r="A673" s="802" t="s">
        <v>102</v>
      </c>
      <c r="B673" s="946" t="s">
        <v>38</v>
      </c>
      <c r="C673" s="947"/>
      <c r="D673" s="948"/>
      <c r="E673" s="284">
        <f>SUM(E671:E672)</f>
        <v>14000</v>
      </c>
      <c r="F673" s="285">
        <v>2800</v>
      </c>
      <c r="G673" s="320">
        <f>SUM(G671:G672)</f>
        <v>805</v>
      </c>
      <c r="H673" s="321">
        <f t="shared" ref="H673:I673" si="817">SUM(H671:H672)</f>
        <v>800</v>
      </c>
      <c r="I673" s="321">
        <f t="shared" si="817"/>
        <v>5</v>
      </c>
      <c r="J673" s="345" t="str">
        <f>IFERROR(G673/#REF!,"-")</f>
        <v>-</v>
      </c>
      <c r="K673" s="320">
        <f t="shared" ref="K673:M673" si="818">SUM(K671:K672)</f>
        <v>8932</v>
      </c>
      <c r="L673" s="321">
        <f t="shared" si="818"/>
        <v>8490</v>
      </c>
      <c r="M673" s="322">
        <f t="shared" si="818"/>
        <v>442</v>
      </c>
      <c r="N673" s="339">
        <f t="shared" si="816"/>
        <v>0.63800000000000001</v>
      </c>
      <c r="O673" s="345">
        <f t="shared" si="806"/>
        <v>4.9484997760859829E-2</v>
      </c>
    </row>
    <row r="674" spans="1:15" ht="24" x14ac:dyDescent="0.25">
      <c r="A674" s="274" t="s">
        <v>102</v>
      </c>
      <c r="B674" s="949" t="s">
        <v>403</v>
      </c>
      <c r="C674" s="269" t="s">
        <v>306</v>
      </c>
      <c r="D674" s="269"/>
      <c r="E674" s="270">
        <f>176000+39000+35000+36000+19000</f>
        <v>305000</v>
      </c>
      <c r="F674" s="315"/>
      <c r="G674" s="332">
        <f t="shared" ref="G674:G678" si="819">+H674+I674</f>
        <v>21870</v>
      </c>
      <c r="H674" s="272">
        <v>21840</v>
      </c>
      <c r="I674" s="272">
        <v>30</v>
      </c>
      <c r="J674" s="371" t="str">
        <f>IFERROR(G674/#REF!,"-")</f>
        <v>-</v>
      </c>
      <c r="K674" s="332">
        <f t="shared" ref="K674:K678" si="820">+L674+M674</f>
        <v>100584</v>
      </c>
      <c r="L674" s="272">
        <f t="shared" ref="L674:M678" si="821">+H674+L559</f>
        <v>99996</v>
      </c>
      <c r="M674" s="272">
        <f t="shared" si="821"/>
        <v>588</v>
      </c>
      <c r="N674" s="359">
        <f t="shared" si="816"/>
        <v>0.32978360655737704</v>
      </c>
      <c r="O674" s="360">
        <f t="shared" si="806"/>
        <v>5.8458601765688381E-3</v>
      </c>
    </row>
    <row r="675" spans="1:15" ht="24" x14ac:dyDescent="0.25">
      <c r="A675" s="274" t="s">
        <v>102</v>
      </c>
      <c r="B675" s="951"/>
      <c r="C675" s="269" t="s">
        <v>307</v>
      </c>
      <c r="D675" s="275"/>
      <c r="E675" s="276"/>
      <c r="F675" s="316"/>
      <c r="G675" s="333">
        <f t="shared" si="819"/>
        <v>0</v>
      </c>
      <c r="H675" s="278"/>
      <c r="I675" s="278"/>
      <c r="J675" s="372" t="str">
        <f>IFERROR(G675/#REF!,"-")</f>
        <v>-</v>
      </c>
      <c r="K675" s="333">
        <f t="shared" si="820"/>
        <v>0</v>
      </c>
      <c r="L675" s="272">
        <f t="shared" si="821"/>
        <v>0</v>
      </c>
      <c r="M675" s="273">
        <f t="shared" si="821"/>
        <v>0</v>
      </c>
      <c r="N675" s="361" t="str">
        <f t="shared" si="816"/>
        <v>-</v>
      </c>
      <c r="O675" s="362" t="str">
        <f t="shared" si="806"/>
        <v>-</v>
      </c>
    </row>
    <row r="676" spans="1:15" ht="24" x14ac:dyDescent="0.25">
      <c r="A676" s="274" t="s">
        <v>102</v>
      </c>
      <c r="B676" s="951"/>
      <c r="C676" s="275" t="s">
        <v>499</v>
      </c>
      <c r="D676" s="275"/>
      <c r="E676" s="276">
        <f>70000+15000</f>
        <v>85000</v>
      </c>
      <c r="F676" s="316"/>
      <c r="G676" s="333">
        <f t="shared" si="819"/>
        <v>3870</v>
      </c>
      <c r="H676" s="278">
        <v>3660</v>
      </c>
      <c r="I676" s="278">
        <v>210</v>
      </c>
      <c r="J676" s="372" t="str">
        <f>IFERROR(G676/#REF!,"-")</f>
        <v>-</v>
      </c>
      <c r="K676" s="333">
        <f t="shared" si="820"/>
        <v>33000</v>
      </c>
      <c r="L676" s="272">
        <f t="shared" si="821"/>
        <v>32460</v>
      </c>
      <c r="M676" s="273">
        <f t="shared" si="821"/>
        <v>540</v>
      </c>
      <c r="N676" s="361">
        <f t="shared" si="816"/>
        <v>0.38823529411764707</v>
      </c>
      <c r="O676" s="362">
        <f t="shared" si="806"/>
        <v>1.6363636363636365E-2</v>
      </c>
    </row>
    <row r="677" spans="1:15" ht="24" x14ac:dyDescent="0.25">
      <c r="A677" s="274" t="s">
        <v>102</v>
      </c>
      <c r="B677" s="951"/>
      <c r="C677" s="275" t="s">
        <v>157</v>
      </c>
      <c r="D677" s="275"/>
      <c r="E677" s="276"/>
      <c r="F677" s="316"/>
      <c r="G677" s="333">
        <f t="shared" si="819"/>
        <v>0</v>
      </c>
      <c r="H677" s="278"/>
      <c r="I677" s="278"/>
      <c r="J677" s="372" t="str">
        <f>IFERROR(G677/#REF!,"-")</f>
        <v>-</v>
      </c>
      <c r="K677" s="333">
        <f t="shared" si="820"/>
        <v>0</v>
      </c>
      <c r="L677" s="272">
        <f t="shared" si="821"/>
        <v>0</v>
      </c>
      <c r="M677" s="273">
        <f t="shared" si="821"/>
        <v>0</v>
      </c>
      <c r="N677" s="361" t="str">
        <f t="shared" si="816"/>
        <v>-</v>
      </c>
      <c r="O677" s="362" t="str">
        <f t="shared" si="806"/>
        <v>-</v>
      </c>
    </row>
    <row r="678" spans="1:15" ht="24.75" thickBot="1" x14ac:dyDescent="0.3">
      <c r="A678" s="274" t="s">
        <v>102</v>
      </c>
      <c r="B678" s="950"/>
      <c r="C678" s="279" t="s">
        <v>158</v>
      </c>
      <c r="D678" s="279"/>
      <c r="E678" s="280"/>
      <c r="F678" s="317"/>
      <c r="G678" s="334">
        <f t="shared" si="819"/>
        <v>0</v>
      </c>
      <c r="H678" s="282"/>
      <c r="I678" s="282"/>
      <c r="J678" s="373" t="str">
        <f>IFERROR(G678/#REF!,"-")</f>
        <v>-</v>
      </c>
      <c r="K678" s="334">
        <f t="shared" si="820"/>
        <v>0</v>
      </c>
      <c r="L678" s="272">
        <f t="shared" si="821"/>
        <v>0</v>
      </c>
      <c r="M678" s="273">
        <f t="shared" si="821"/>
        <v>0</v>
      </c>
      <c r="N678" s="363" t="str">
        <f t="shared" si="816"/>
        <v>-</v>
      </c>
      <c r="O678" s="364" t="str">
        <f t="shared" si="806"/>
        <v>-</v>
      </c>
    </row>
    <row r="679" spans="1:15" ht="23.25" thickBot="1" x14ac:dyDescent="0.3">
      <c r="A679" s="274" t="s">
        <v>102</v>
      </c>
      <c r="B679" s="946" t="s">
        <v>39</v>
      </c>
      <c r="C679" s="947"/>
      <c r="D679" s="948"/>
      <c r="E679" s="320">
        <f>SUM(E674:E678)</f>
        <v>390000</v>
      </c>
      <c r="F679" s="285">
        <v>25000</v>
      </c>
      <c r="G679" s="320">
        <f>SUM(G674:G678)</f>
        <v>25740</v>
      </c>
      <c r="H679" s="321">
        <f>SUM(H674:H678)</f>
        <v>25500</v>
      </c>
      <c r="I679" s="321">
        <f>SUM(I674:I678)</f>
        <v>240</v>
      </c>
      <c r="J679" s="345" t="str">
        <f>IFERROR(G679/#REF!,"-")</f>
        <v>-</v>
      </c>
      <c r="K679" s="320">
        <f>SUM(K674:K678)</f>
        <v>133584</v>
      </c>
      <c r="L679" s="321">
        <f>SUM(L674:L678)</f>
        <v>132456</v>
      </c>
      <c r="M679" s="322">
        <f>SUM(M674:M678)</f>
        <v>1128</v>
      </c>
      <c r="N679" s="339">
        <f t="shared" si="816"/>
        <v>0.34252307692307693</v>
      </c>
      <c r="O679" s="345">
        <f t="shared" si="806"/>
        <v>8.4441250449155594E-3</v>
      </c>
    </row>
    <row r="680" spans="1:15" ht="24" x14ac:dyDescent="0.25">
      <c r="A680" s="274" t="s">
        <v>102</v>
      </c>
      <c r="B680" s="949" t="s">
        <v>404</v>
      </c>
      <c r="C680" s="269" t="s">
        <v>186</v>
      </c>
      <c r="D680" s="269"/>
      <c r="E680" s="270"/>
      <c r="F680" s="271"/>
      <c r="G680" s="332">
        <f t="shared" ref="G680:G682" si="822">+H680+I680</f>
        <v>0</v>
      </c>
      <c r="H680" s="272"/>
      <c r="I680" s="272"/>
      <c r="J680" s="351" t="str">
        <f>IFERROR(G680/#REF!,"-")</f>
        <v>-</v>
      </c>
      <c r="K680" s="332">
        <f t="shared" ref="K680:K682" si="823">+L680+M680</f>
        <v>0</v>
      </c>
      <c r="L680" s="272">
        <f t="shared" ref="L680:M682" si="824">+H680+L565</f>
        <v>0</v>
      </c>
      <c r="M680" s="273">
        <f t="shared" si="824"/>
        <v>0</v>
      </c>
      <c r="N680" s="336" t="str">
        <f t="shared" si="816"/>
        <v>-</v>
      </c>
      <c r="O680" s="346" t="str">
        <f t="shared" si="806"/>
        <v>-</v>
      </c>
    </row>
    <row r="681" spans="1:15" ht="24" x14ac:dyDescent="0.25">
      <c r="A681" s="274" t="s">
        <v>102</v>
      </c>
      <c r="B681" s="951"/>
      <c r="C681" s="275" t="s">
        <v>497</v>
      </c>
      <c r="D681" s="275"/>
      <c r="E681" s="276">
        <f>33000+15000</f>
        <v>48000</v>
      </c>
      <c r="F681" s="277"/>
      <c r="G681" s="333">
        <f t="shared" si="822"/>
        <v>0</v>
      </c>
      <c r="H681" s="278"/>
      <c r="I681" s="278"/>
      <c r="J681" s="372" t="str">
        <f>IFERROR(G681/#REF!,"-")</f>
        <v>-</v>
      </c>
      <c r="K681" s="333">
        <f t="shared" si="823"/>
        <v>11826</v>
      </c>
      <c r="L681" s="714">
        <f t="shared" si="824"/>
        <v>11400</v>
      </c>
      <c r="M681" s="273">
        <f t="shared" si="824"/>
        <v>426</v>
      </c>
      <c r="N681" s="361">
        <f t="shared" si="816"/>
        <v>0.24637500000000001</v>
      </c>
      <c r="O681" s="362">
        <f t="shared" si="806"/>
        <v>3.6022323693556568E-2</v>
      </c>
    </row>
    <row r="682" spans="1:15" ht="24.75" thickBot="1" x14ac:dyDescent="0.3">
      <c r="A682" s="274" t="s">
        <v>102</v>
      </c>
      <c r="B682" s="950"/>
      <c r="C682" s="279" t="s">
        <v>498</v>
      </c>
      <c r="D682" s="279"/>
      <c r="E682" s="280">
        <f>50000+10000</f>
        <v>60000</v>
      </c>
      <c r="F682" s="281"/>
      <c r="G682" s="334">
        <f t="shared" si="822"/>
        <v>0</v>
      </c>
      <c r="H682" s="282"/>
      <c r="I682" s="282"/>
      <c r="J682" s="373" t="str">
        <f>IFERROR(G682/#REF!,"-")</f>
        <v>-</v>
      </c>
      <c r="K682" s="334">
        <f t="shared" si="823"/>
        <v>0</v>
      </c>
      <c r="L682" s="272">
        <f t="shared" si="824"/>
        <v>0</v>
      </c>
      <c r="M682" s="273">
        <f t="shared" si="824"/>
        <v>0</v>
      </c>
      <c r="N682" s="363">
        <f t="shared" si="816"/>
        <v>0</v>
      </c>
      <c r="O682" s="364" t="str">
        <f t="shared" si="806"/>
        <v>-</v>
      </c>
    </row>
    <row r="683" spans="1:15" ht="23.25" thickBot="1" x14ac:dyDescent="0.3">
      <c r="A683" s="274" t="s">
        <v>102</v>
      </c>
      <c r="B683" s="952" t="s">
        <v>41</v>
      </c>
      <c r="C683" s="953"/>
      <c r="D683" s="954"/>
      <c r="E683" s="320">
        <f>SUM(E680:E682)</f>
        <v>108000</v>
      </c>
      <c r="F683" s="285"/>
      <c r="G683" s="320">
        <f>SUM(G680:G682)</f>
        <v>0</v>
      </c>
      <c r="H683" s="321">
        <f t="shared" ref="H683:I683" si="825">SUM(H680:H682)</f>
        <v>0</v>
      </c>
      <c r="I683" s="321">
        <f t="shared" si="825"/>
        <v>0</v>
      </c>
      <c r="J683" s="345" t="str">
        <f>IFERROR(G683/#REF!,"-")</f>
        <v>-</v>
      </c>
      <c r="K683" s="320">
        <f t="shared" ref="K683:M683" si="826">SUM(K680:K682)</f>
        <v>11826</v>
      </c>
      <c r="L683" s="365">
        <f t="shared" si="826"/>
        <v>11400</v>
      </c>
      <c r="M683" s="367">
        <f t="shared" si="826"/>
        <v>426</v>
      </c>
      <c r="N683" s="339">
        <f t="shared" si="816"/>
        <v>0.1095</v>
      </c>
      <c r="O683" s="345">
        <f t="shared" si="806"/>
        <v>3.6022323693556568E-2</v>
      </c>
    </row>
    <row r="684" spans="1:15" ht="24.75" thickBot="1" x14ac:dyDescent="0.3">
      <c r="A684" s="274" t="s">
        <v>102</v>
      </c>
      <c r="B684" s="949" t="s">
        <v>42</v>
      </c>
      <c r="C684" s="269" t="s">
        <v>160</v>
      </c>
      <c r="D684" s="269"/>
      <c r="E684" s="270">
        <v>11076</v>
      </c>
      <c r="F684" s="271"/>
      <c r="G684" s="332">
        <f t="shared" ref="G684:G685" si="827">+H684+I684</f>
        <v>0</v>
      </c>
      <c r="H684" s="272"/>
      <c r="I684" s="272"/>
      <c r="J684" s="371" t="str">
        <f>IFERROR(G684/#REF!,"-")</f>
        <v>-</v>
      </c>
      <c r="K684" s="695">
        <f t="shared" ref="K684:K685" si="828">+L684+M684</f>
        <v>0</v>
      </c>
      <c r="L684" s="688">
        <f>+H684+L569</f>
        <v>0</v>
      </c>
      <c r="M684" s="688">
        <f>+I684+M569</f>
        <v>0</v>
      </c>
      <c r="N684" s="359">
        <f t="shared" si="816"/>
        <v>0</v>
      </c>
      <c r="O684" s="360" t="str">
        <f t="shared" si="806"/>
        <v>-</v>
      </c>
    </row>
    <row r="685" spans="1:15" ht="24.75" thickBot="1" x14ac:dyDescent="0.3">
      <c r="A685" s="274" t="s">
        <v>102</v>
      </c>
      <c r="B685" s="950"/>
      <c r="C685" s="279" t="s">
        <v>161</v>
      </c>
      <c r="D685" s="279"/>
      <c r="E685" s="280">
        <v>0</v>
      </c>
      <c r="F685" s="281"/>
      <c r="G685" s="334">
        <f t="shared" si="827"/>
        <v>0</v>
      </c>
      <c r="H685" s="282"/>
      <c r="I685" s="282"/>
      <c r="J685" s="373" t="str">
        <f>IFERROR(G685/#REF!,"-")</f>
        <v>-</v>
      </c>
      <c r="K685" s="696">
        <f t="shared" si="828"/>
        <v>0</v>
      </c>
      <c r="L685" s="688">
        <f>+H685+L570</f>
        <v>0</v>
      </c>
      <c r="M685" s="688">
        <f>+I685+M570</f>
        <v>0</v>
      </c>
      <c r="N685" s="363" t="str">
        <f t="shared" si="816"/>
        <v>-</v>
      </c>
      <c r="O685" s="364" t="str">
        <f t="shared" si="806"/>
        <v>-</v>
      </c>
    </row>
    <row r="686" spans="1:15" ht="23.25" thickBot="1" x14ac:dyDescent="0.3">
      <c r="A686" s="274" t="s">
        <v>102</v>
      </c>
      <c r="B686" s="952" t="s">
        <v>43</v>
      </c>
      <c r="C686" s="953"/>
      <c r="D686" s="954"/>
      <c r="E686" s="284">
        <f>SUM(E684:E685)</f>
        <v>11076</v>
      </c>
      <c r="F686" s="285">
        <v>25000</v>
      </c>
      <c r="G686" s="320">
        <f>SUM(G684:G685)</f>
        <v>0</v>
      </c>
      <c r="H686" s="321">
        <f t="shared" ref="H686:I686" si="829">SUM(H684:H685)</f>
        <v>0</v>
      </c>
      <c r="I686" s="321">
        <f t="shared" si="829"/>
        <v>0</v>
      </c>
      <c r="J686" s="345" t="str">
        <f>IFERROR(G686/#REF!,"-")</f>
        <v>-</v>
      </c>
      <c r="K686" s="760">
        <f t="shared" ref="K686:M686" si="830">SUM(K684:K685)</f>
        <v>0</v>
      </c>
      <c r="L686" s="761">
        <f t="shared" si="830"/>
        <v>0</v>
      </c>
      <c r="M686" s="761">
        <f t="shared" si="830"/>
        <v>0</v>
      </c>
      <c r="N686" s="339">
        <f t="shared" si="816"/>
        <v>0</v>
      </c>
      <c r="O686" s="345" t="str">
        <f t="shared" si="806"/>
        <v>-</v>
      </c>
    </row>
    <row r="687" spans="1:15" ht="23.25" thickBot="1" x14ac:dyDescent="0.3">
      <c r="A687" s="274" t="s">
        <v>102</v>
      </c>
      <c r="B687" s="938" t="s">
        <v>25</v>
      </c>
      <c r="C687" s="939"/>
      <c r="D687" s="940"/>
      <c r="E687" s="326">
        <f t="shared" ref="E687:F687" si="831">+E665+E670+E673+E679+E683+E686</f>
        <v>545076</v>
      </c>
      <c r="F687" s="327">
        <f t="shared" si="831"/>
        <v>65800</v>
      </c>
      <c r="G687" s="326">
        <f>+G665+G670+G673+G679+G683+G686</f>
        <v>28495</v>
      </c>
      <c r="H687" s="324">
        <f>+H665+H670+H673+H679+H683+H686</f>
        <v>28200</v>
      </c>
      <c r="I687" s="324">
        <f t="shared" ref="I687" si="832">+I665+I670+I673+I679+I683+I686</f>
        <v>295</v>
      </c>
      <c r="J687" s="349" t="str">
        <f>IFERROR(G687/#REF!,"-")</f>
        <v>-</v>
      </c>
      <c r="K687" s="326">
        <f>+K665+K670+K673+K679+K683+K686</f>
        <v>162429</v>
      </c>
      <c r="L687" s="759">
        <f t="shared" ref="L687:M687" si="833">+L665+L670+L673+L679+L683+L686</f>
        <v>160046</v>
      </c>
      <c r="M687" s="325">
        <f t="shared" si="833"/>
        <v>2383</v>
      </c>
      <c r="N687" s="341">
        <f t="shared" si="816"/>
        <v>0.2979933073553046</v>
      </c>
      <c r="O687" s="349">
        <f t="shared" si="806"/>
        <v>1.4671025494215935E-2</v>
      </c>
    </row>
    <row r="688" spans="1:15" ht="23.25" thickBot="1" x14ac:dyDescent="0.3">
      <c r="A688" s="318" t="s">
        <v>102</v>
      </c>
      <c r="B688" s="941" t="s">
        <v>173</v>
      </c>
      <c r="C688" s="941"/>
      <c r="D688" s="942"/>
      <c r="E688" s="330">
        <f>+E687</f>
        <v>545076</v>
      </c>
      <c r="F688" s="331">
        <f t="shared" ref="F688:O688" si="834">+F687</f>
        <v>65800</v>
      </c>
      <c r="G688" s="330">
        <f t="shared" si="834"/>
        <v>28495</v>
      </c>
      <c r="H688" s="328">
        <f t="shared" si="834"/>
        <v>28200</v>
      </c>
      <c r="I688" s="328">
        <f t="shared" si="834"/>
        <v>295</v>
      </c>
      <c r="J688" s="350" t="str">
        <f t="shared" si="834"/>
        <v>-</v>
      </c>
      <c r="K688" s="330">
        <f t="shared" si="834"/>
        <v>162429</v>
      </c>
      <c r="L688" s="328">
        <f t="shared" si="834"/>
        <v>160046</v>
      </c>
      <c r="M688" s="329">
        <f t="shared" si="834"/>
        <v>2383</v>
      </c>
      <c r="N688" s="342">
        <f t="shared" si="834"/>
        <v>0.2979933073553046</v>
      </c>
      <c r="O688" s="350">
        <f t="shared" si="834"/>
        <v>1.4671025494215935E-2</v>
      </c>
    </row>
    <row r="689" spans="1:15" ht="26.25" thickBot="1" x14ac:dyDescent="0.3">
      <c r="A689" s="319"/>
      <c r="B689" s="943" t="s">
        <v>174</v>
      </c>
      <c r="C689" s="944"/>
      <c r="D689" s="945"/>
      <c r="E689" s="374">
        <f>+E626+E661+E688</f>
        <v>6540740</v>
      </c>
      <c r="F689" s="374">
        <f>+F626+F661+F688</f>
        <v>944800</v>
      </c>
      <c r="G689" s="374">
        <f>+G626+G661+G688</f>
        <v>403068</v>
      </c>
      <c r="H689" s="374">
        <f>+H626+H661+H688</f>
        <v>400076</v>
      </c>
      <c r="I689" s="374">
        <f>+I626+I661+I688</f>
        <v>2992</v>
      </c>
      <c r="J689" s="375" t="str">
        <f>IFERROR(G689/#REF!,"-")</f>
        <v>-</v>
      </c>
      <c r="K689" s="374">
        <f>+K626+K661+K688</f>
        <v>2178781</v>
      </c>
      <c r="L689" s="374">
        <f>+L626+L661+L688</f>
        <v>2160408</v>
      </c>
      <c r="M689" s="374">
        <f>+M626+M661+M688</f>
        <v>18373</v>
      </c>
      <c r="N689" s="375">
        <f>IFERROR(K689/E689,"-")</f>
        <v>0.33310925063524921</v>
      </c>
      <c r="O689" s="375">
        <f>IFERROR(M689/K689,"-")</f>
        <v>8.4326969989182016E-3</v>
      </c>
    </row>
    <row r="690" spans="1:15" ht="22.5" x14ac:dyDescent="0.25">
      <c r="A690" s="978" t="s">
        <v>1</v>
      </c>
      <c r="B690" s="981" t="s">
        <v>2</v>
      </c>
      <c r="C690" s="984" t="s">
        <v>396</v>
      </c>
      <c r="D690" s="984" t="s">
        <v>397</v>
      </c>
      <c r="E690" s="987" t="s">
        <v>4</v>
      </c>
      <c r="F690" s="988"/>
      <c r="G690" s="988"/>
      <c r="H690" s="988"/>
      <c r="I690" s="988"/>
      <c r="J690" s="988"/>
      <c r="K690" s="988"/>
      <c r="L690" s="988"/>
      <c r="M690" s="988"/>
      <c r="N690" s="988"/>
      <c r="O690" s="989"/>
    </row>
    <row r="691" spans="1:15" ht="22.5" x14ac:dyDescent="0.25">
      <c r="A691" s="979"/>
      <c r="B691" s="982"/>
      <c r="C691" s="985"/>
      <c r="D691" s="985"/>
      <c r="E691" s="990" t="s">
        <v>7</v>
      </c>
      <c r="F691" s="992" t="s">
        <v>108</v>
      </c>
      <c r="G691" s="994" t="s">
        <v>515</v>
      </c>
      <c r="H691" s="995"/>
      <c r="I691" s="995"/>
      <c r="J691" s="996"/>
      <c r="K691" s="997" t="s">
        <v>398</v>
      </c>
      <c r="L691" s="998"/>
      <c r="M691" s="999"/>
      <c r="N691" s="1000" t="s">
        <v>399</v>
      </c>
      <c r="O691" s="1002" t="s">
        <v>164</v>
      </c>
    </row>
    <row r="692" spans="1:15" ht="41.25" thickBot="1" x14ac:dyDescent="0.3">
      <c r="A692" s="980"/>
      <c r="B692" s="983"/>
      <c r="C692" s="986"/>
      <c r="D692" s="986"/>
      <c r="E692" s="991"/>
      <c r="F692" s="993"/>
      <c r="G692" s="452" t="s">
        <v>13</v>
      </c>
      <c r="H692" s="453" t="s">
        <v>14</v>
      </c>
      <c r="I692" s="453" t="s">
        <v>15</v>
      </c>
      <c r="J692" s="454" t="s">
        <v>166</v>
      </c>
      <c r="K692" s="680" t="s">
        <v>13</v>
      </c>
      <c r="L692" s="678" t="s">
        <v>14</v>
      </c>
      <c r="M692" s="679" t="s">
        <v>15</v>
      </c>
      <c r="N692" s="1001"/>
      <c r="O692" s="1003"/>
    </row>
    <row r="693" spans="1:15" ht="24.75" thickBot="1" x14ac:dyDescent="0.3">
      <c r="A693" s="268" t="s">
        <v>103</v>
      </c>
      <c r="B693" s="965" t="s">
        <v>16</v>
      </c>
      <c r="C693" s="269" t="s">
        <v>368</v>
      </c>
      <c r="D693" s="269" t="s">
        <v>369</v>
      </c>
      <c r="E693" s="270">
        <v>20000</v>
      </c>
      <c r="F693" s="271"/>
      <c r="G693" s="332">
        <f>+H693+I693</f>
        <v>270</v>
      </c>
      <c r="H693" s="272"/>
      <c r="I693" s="272">
        <v>270</v>
      </c>
      <c r="J693" s="351"/>
      <c r="K693" s="457">
        <f>+L693+M693</f>
        <v>270</v>
      </c>
      <c r="L693" s="688">
        <f t="shared" ref="L693:M696" si="835">+H693+L578</f>
        <v>0</v>
      </c>
      <c r="M693" s="688">
        <f t="shared" si="835"/>
        <v>270</v>
      </c>
      <c r="N693" s="336">
        <f>IFERROR(K693/E693,"-")</f>
        <v>1.35E-2</v>
      </c>
      <c r="O693" s="343">
        <f t="shared" ref="O693:O694" si="836">IFERROR(M693/K693,"-")</f>
        <v>1</v>
      </c>
    </row>
    <row r="694" spans="1:15" ht="24" x14ac:dyDescent="0.25">
      <c r="A694" s="274" t="s">
        <v>103</v>
      </c>
      <c r="B694" s="966"/>
      <c r="C694" s="275" t="s">
        <v>376</v>
      </c>
      <c r="D694" s="275" t="s">
        <v>375</v>
      </c>
      <c r="E694" s="276"/>
      <c r="F694" s="277"/>
      <c r="G694" s="333">
        <f t="shared" ref="G694:G696" si="837">+H694+I694</f>
        <v>0</v>
      </c>
      <c r="H694" s="278"/>
      <c r="I694" s="278"/>
      <c r="J694" s="352" t="str">
        <f>IFERROR(G694/#REF!,"-")</f>
        <v>-</v>
      </c>
      <c r="K694" s="690">
        <f t="shared" ref="K694:K696" si="838">+L694+M694</f>
        <v>0</v>
      </c>
      <c r="L694" s="527">
        <f t="shared" si="835"/>
        <v>0</v>
      </c>
      <c r="M694" s="459">
        <f t="shared" si="835"/>
        <v>0</v>
      </c>
      <c r="N694" s="337" t="str">
        <f t="shared" ref="N694:N696" si="839">IFERROR(K694/E694,"-")</f>
        <v>-</v>
      </c>
      <c r="O694" s="265" t="str">
        <f t="shared" si="836"/>
        <v>-</v>
      </c>
    </row>
    <row r="695" spans="1:15" s="723" customFormat="1" ht="22.5" x14ac:dyDescent="0.25">
      <c r="A695" s="274" t="s">
        <v>103</v>
      </c>
      <c r="B695" s="966"/>
      <c r="C695" s="573" t="s">
        <v>431</v>
      </c>
      <c r="D695" s="573" t="s">
        <v>366</v>
      </c>
      <c r="E695" s="720"/>
      <c r="F695" s="721"/>
      <c r="G695" s="333">
        <f t="shared" si="837"/>
        <v>2240</v>
      </c>
      <c r="H695" s="722">
        <v>2240</v>
      </c>
      <c r="I695" s="722"/>
      <c r="J695" s="352" t="str">
        <f>IFERROR(G695/#REF!,"-")</f>
        <v>-</v>
      </c>
      <c r="K695" s="690">
        <f t="shared" si="838"/>
        <v>8000</v>
      </c>
      <c r="L695" s="720">
        <f t="shared" si="835"/>
        <v>8000</v>
      </c>
      <c r="M695" s="529">
        <f t="shared" si="835"/>
        <v>0</v>
      </c>
      <c r="N695" s="337" t="str">
        <f t="shared" si="839"/>
        <v>-</v>
      </c>
      <c r="O695" s="265">
        <f>IFERROR(M695/K695,"-")</f>
        <v>0</v>
      </c>
    </row>
    <row r="696" spans="1:15" ht="24.75" thickBot="1" x14ac:dyDescent="0.3">
      <c r="A696" s="274" t="s">
        <v>103</v>
      </c>
      <c r="B696" s="967"/>
      <c r="C696" s="279" t="s">
        <v>428</v>
      </c>
      <c r="D696" s="279" t="s">
        <v>374</v>
      </c>
      <c r="E696" s="280"/>
      <c r="F696" s="281"/>
      <c r="G696" s="334">
        <f t="shared" si="837"/>
        <v>0</v>
      </c>
      <c r="H696" s="272"/>
      <c r="I696" s="272"/>
      <c r="J696" s="353" t="str">
        <f>IFERROR(G696/#REF!,"-")</f>
        <v>-</v>
      </c>
      <c r="K696" s="691">
        <f t="shared" si="838"/>
        <v>0</v>
      </c>
      <c r="L696" s="530">
        <f t="shared" si="835"/>
        <v>0</v>
      </c>
      <c r="M696" s="462">
        <f t="shared" si="835"/>
        <v>0</v>
      </c>
      <c r="N696" s="338" t="str">
        <f t="shared" si="839"/>
        <v>-</v>
      </c>
      <c r="O696" s="344" t="str">
        <f t="shared" ref="O696:O714" si="840">IFERROR(M696/K696,"-")</f>
        <v>-</v>
      </c>
    </row>
    <row r="697" spans="1:15" ht="23.25" thickBot="1" x14ac:dyDescent="0.3">
      <c r="A697" s="274" t="s">
        <v>103</v>
      </c>
      <c r="B697" s="946" t="s">
        <v>44</v>
      </c>
      <c r="C697" s="947"/>
      <c r="D697" s="948"/>
      <c r="E697" s="320">
        <f>SUM(E693:E696)</f>
        <v>20000</v>
      </c>
      <c r="F697" s="285">
        <v>15000</v>
      </c>
      <c r="G697" s="320">
        <f>SUM(G693:G696)</f>
        <v>2510</v>
      </c>
      <c r="H697" s="321">
        <f t="shared" ref="H697:I697" si="841">SUM(H693:H696)</f>
        <v>2240</v>
      </c>
      <c r="I697" s="321">
        <f t="shared" si="841"/>
        <v>270</v>
      </c>
      <c r="J697" s="345">
        <f>+G697/F697</f>
        <v>0.16733333333333333</v>
      </c>
      <c r="K697" s="320">
        <f t="shared" ref="K697" si="842">SUM(K693:K696)</f>
        <v>8270</v>
      </c>
      <c r="L697" s="692">
        <f>SUM(L693:L696)</f>
        <v>8000</v>
      </c>
      <c r="M697" s="693">
        <f>SUM(M693:M696)</f>
        <v>270</v>
      </c>
      <c r="N697" s="339">
        <f>IFERROR(K697/E697,"-")</f>
        <v>0.41349999999999998</v>
      </c>
      <c r="O697" s="345">
        <f t="shared" si="840"/>
        <v>3.2648125755743655E-2</v>
      </c>
    </row>
    <row r="698" spans="1:15" ht="24" x14ac:dyDescent="0.25">
      <c r="A698" s="274" t="s">
        <v>103</v>
      </c>
      <c r="B698" s="965" t="s">
        <v>17</v>
      </c>
      <c r="C698" s="269" t="s">
        <v>294</v>
      </c>
      <c r="D698" s="269"/>
      <c r="E698" s="270"/>
      <c r="F698" s="271"/>
      <c r="G698" s="332">
        <f t="shared" ref="G698:G704" si="843">+H698+I698</f>
        <v>0</v>
      </c>
      <c r="H698" s="272"/>
      <c r="I698" s="272"/>
      <c r="J698" s="351" t="str">
        <f>IFERROR(G698/#REF!,"-")</f>
        <v>-</v>
      </c>
      <c r="K698" s="694">
        <f t="shared" ref="K698:K704" si="844">+L698+M698</f>
        <v>0</v>
      </c>
      <c r="L698" s="527">
        <f t="shared" ref="L698:M704" si="845">+H698+L583</f>
        <v>0</v>
      </c>
      <c r="M698" s="459">
        <f t="shared" si="845"/>
        <v>0</v>
      </c>
      <c r="N698" s="336" t="str">
        <f t="shared" ref="N698:N704" si="846">IFERROR(K698/E698,"-")</f>
        <v>-</v>
      </c>
      <c r="O698" s="346" t="str">
        <f t="shared" si="840"/>
        <v>-</v>
      </c>
    </row>
    <row r="699" spans="1:15" ht="24" x14ac:dyDescent="0.25">
      <c r="A699" s="274" t="s">
        <v>103</v>
      </c>
      <c r="B699" s="966"/>
      <c r="C699" s="275" t="s">
        <v>344</v>
      </c>
      <c r="D699" s="275" t="s">
        <v>232</v>
      </c>
      <c r="E699" s="276">
        <v>1600000</v>
      </c>
      <c r="F699" s="277"/>
      <c r="G699" s="333">
        <f t="shared" si="843"/>
        <v>0</v>
      </c>
      <c r="H699" s="278"/>
      <c r="I699" s="278"/>
      <c r="J699" s="352" t="str">
        <f>IFERROR(G699/#REF!,"-")</f>
        <v>-</v>
      </c>
      <c r="K699" s="690">
        <f t="shared" si="844"/>
        <v>6120</v>
      </c>
      <c r="L699" s="276">
        <f t="shared" si="845"/>
        <v>5980</v>
      </c>
      <c r="M699" s="436">
        <f t="shared" si="845"/>
        <v>140</v>
      </c>
      <c r="N699" s="337">
        <f t="shared" si="846"/>
        <v>3.8249999999999998E-3</v>
      </c>
      <c r="O699" s="263">
        <f t="shared" si="840"/>
        <v>2.2875816993464051E-2</v>
      </c>
    </row>
    <row r="700" spans="1:15" ht="24" x14ac:dyDescent="0.25">
      <c r="A700" s="274" t="s">
        <v>103</v>
      </c>
      <c r="B700" s="966"/>
      <c r="C700" s="275" t="s">
        <v>367</v>
      </c>
      <c r="D700" s="275" t="s">
        <v>187</v>
      </c>
      <c r="E700" s="276">
        <v>1000000</v>
      </c>
      <c r="F700" s="277"/>
      <c r="G700" s="333">
        <f t="shared" si="843"/>
        <v>91926</v>
      </c>
      <c r="H700" s="278">
        <v>91800</v>
      </c>
      <c r="I700" s="278">
        <v>126</v>
      </c>
      <c r="J700" s="352" t="str">
        <f>IFERROR(G700/#REF!,"-")</f>
        <v>-</v>
      </c>
      <c r="K700" s="690">
        <f t="shared" si="844"/>
        <v>540696</v>
      </c>
      <c r="L700" s="276">
        <f t="shared" si="845"/>
        <v>538560</v>
      </c>
      <c r="M700" s="436">
        <f t="shared" si="845"/>
        <v>2136</v>
      </c>
      <c r="N700" s="337">
        <f t="shared" si="846"/>
        <v>0.54069599999999995</v>
      </c>
      <c r="O700" s="263">
        <f t="shared" si="840"/>
        <v>3.9504638465977186E-3</v>
      </c>
    </row>
    <row r="701" spans="1:15" ht="24" x14ac:dyDescent="0.25">
      <c r="A701" s="274" t="s">
        <v>103</v>
      </c>
      <c r="B701" s="966"/>
      <c r="C701" s="275" t="s">
        <v>293</v>
      </c>
      <c r="D701" s="275" t="s">
        <v>188</v>
      </c>
      <c r="E701" s="276"/>
      <c r="F701" s="277"/>
      <c r="G701" s="333">
        <f t="shared" si="843"/>
        <v>0</v>
      </c>
      <c r="H701" s="278"/>
      <c r="I701" s="278"/>
      <c r="J701" s="352" t="str">
        <f>IFERROR(G701/#REF!,"-")</f>
        <v>-</v>
      </c>
      <c r="K701" s="690">
        <f t="shared" si="844"/>
        <v>0</v>
      </c>
      <c r="L701" s="276">
        <f t="shared" si="845"/>
        <v>0</v>
      </c>
      <c r="M701" s="436">
        <f t="shared" si="845"/>
        <v>0</v>
      </c>
      <c r="N701" s="337" t="str">
        <f t="shared" si="846"/>
        <v>-</v>
      </c>
      <c r="O701" s="263" t="str">
        <f t="shared" si="840"/>
        <v>-</v>
      </c>
    </row>
    <row r="702" spans="1:15" ht="24" x14ac:dyDescent="0.25">
      <c r="A702" s="274" t="s">
        <v>103</v>
      </c>
      <c r="B702" s="966"/>
      <c r="C702" s="275" t="s">
        <v>323</v>
      </c>
      <c r="D702" s="275" t="s">
        <v>318</v>
      </c>
      <c r="E702" s="276"/>
      <c r="F702" s="277"/>
      <c r="G702" s="333">
        <f t="shared" si="843"/>
        <v>0</v>
      </c>
      <c r="H702" s="278"/>
      <c r="I702" s="278"/>
      <c r="J702" s="352" t="str">
        <f>IFERROR(G702/#REF!,"-")</f>
        <v>-</v>
      </c>
      <c r="K702" s="690">
        <f t="shared" si="844"/>
        <v>0</v>
      </c>
      <c r="L702" s="276">
        <f t="shared" si="845"/>
        <v>0</v>
      </c>
      <c r="M702" s="436">
        <f t="shared" si="845"/>
        <v>0</v>
      </c>
      <c r="N702" s="337" t="str">
        <f t="shared" si="846"/>
        <v>-</v>
      </c>
      <c r="O702" s="263" t="str">
        <f t="shared" si="840"/>
        <v>-</v>
      </c>
    </row>
    <row r="703" spans="1:15" ht="24" x14ac:dyDescent="0.25">
      <c r="A703" s="274" t="s">
        <v>103</v>
      </c>
      <c r="B703" s="966"/>
      <c r="C703" s="275" t="s">
        <v>352</v>
      </c>
      <c r="D703" s="275" t="s">
        <v>189</v>
      </c>
      <c r="E703" s="276"/>
      <c r="F703" s="277"/>
      <c r="G703" s="333">
        <f t="shared" si="843"/>
        <v>0</v>
      </c>
      <c r="H703" s="278"/>
      <c r="I703" s="278"/>
      <c r="J703" s="352" t="str">
        <f>IFERROR(G703/#REF!,"-")</f>
        <v>-</v>
      </c>
      <c r="K703" s="690">
        <f t="shared" si="844"/>
        <v>0</v>
      </c>
      <c r="L703" s="276">
        <f t="shared" si="845"/>
        <v>0</v>
      </c>
      <c r="M703" s="436">
        <f t="shared" si="845"/>
        <v>0</v>
      </c>
      <c r="N703" s="337" t="str">
        <f t="shared" si="846"/>
        <v>-</v>
      </c>
      <c r="O703" s="263" t="str">
        <f t="shared" si="840"/>
        <v>-</v>
      </c>
    </row>
    <row r="704" spans="1:15" ht="24.75" thickBot="1" x14ac:dyDescent="0.3">
      <c r="A704" s="274" t="s">
        <v>103</v>
      </c>
      <c r="B704" s="967"/>
      <c r="C704" s="279" t="s">
        <v>341</v>
      </c>
      <c r="D704" s="279" t="s">
        <v>232</v>
      </c>
      <c r="E704" s="280"/>
      <c r="F704" s="281"/>
      <c r="G704" s="334">
        <f t="shared" si="843"/>
        <v>0</v>
      </c>
      <c r="H704" s="282"/>
      <c r="I704" s="282"/>
      <c r="J704" s="353" t="str">
        <f>IFERROR(G704/#REF!,"-")</f>
        <v>-</v>
      </c>
      <c r="K704" s="691">
        <f t="shared" si="844"/>
        <v>0</v>
      </c>
      <c r="L704" s="530">
        <f t="shared" si="845"/>
        <v>0</v>
      </c>
      <c r="M704" s="462">
        <f t="shared" si="845"/>
        <v>0</v>
      </c>
      <c r="N704" s="338" t="str">
        <f t="shared" si="846"/>
        <v>-</v>
      </c>
      <c r="O704" s="347" t="str">
        <f t="shared" si="840"/>
        <v>-</v>
      </c>
    </row>
    <row r="705" spans="1:15" ht="23.25" thickBot="1" x14ac:dyDescent="0.3">
      <c r="A705" s="274" t="s">
        <v>103</v>
      </c>
      <c r="B705" s="946" t="s">
        <v>45</v>
      </c>
      <c r="C705" s="947"/>
      <c r="D705" s="948"/>
      <c r="E705" s="320">
        <f>SUM(E698:E704)</f>
        <v>2600000</v>
      </c>
      <c r="F705" s="285">
        <v>100000</v>
      </c>
      <c r="G705" s="320">
        <f>SUM(G698:G704)</f>
        <v>91926</v>
      </c>
      <c r="H705" s="321">
        <f t="shared" ref="H705:I705" si="847">SUM(H698:H704)</f>
        <v>91800</v>
      </c>
      <c r="I705" s="321">
        <f t="shared" si="847"/>
        <v>126</v>
      </c>
      <c r="J705" s="345">
        <f>+G705/F705</f>
        <v>0.91925999999999997</v>
      </c>
      <c r="K705" s="320">
        <f>SUM(K698:K704)</f>
        <v>546816</v>
      </c>
      <c r="L705" s="519">
        <f>SUM(L698:L704)</f>
        <v>544540</v>
      </c>
      <c r="M705" s="689">
        <f t="shared" ref="M705" si="848">SUM(M698:M704)</f>
        <v>2276</v>
      </c>
      <c r="N705" s="339">
        <f>IFERROR(K705/E705,"-")</f>
        <v>0.21031384615384616</v>
      </c>
      <c r="O705" s="345">
        <f t="shared" si="840"/>
        <v>4.1622776217228466E-3</v>
      </c>
    </row>
    <row r="706" spans="1:15" ht="24" x14ac:dyDescent="0.25">
      <c r="A706" s="274" t="s">
        <v>103</v>
      </c>
      <c r="B706" s="965" t="s">
        <v>18</v>
      </c>
      <c r="C706" s="269" t="s">
        <v>312</v>
      </c>
      <c r="D706" s="269" t="s">
        <v>92</v>
      </c>
      <c r="E706" s="270"/>
      <c r="F706" s="271"/>
      <c r="G706" s="332">
        <f t="shared" ref="G706:G712" si="849">+H706+I706</f>
        <v>0</v>
      </c>
      <c r="H706" s="272"/>
      <c r="I706" s="272"/>
      <c r="J706" s="351" t="str">
        <f>IFERROR(G706/#REF!,"-")</f>
        <v>-</v>
      </c>
      <c r="K706" s="332">
        <f t="shared" ref="K706:K712" si="850">+L706+M706</f>
        <v>0</v>
      </c>
      <c r="L706" s="272">
        <f t="shared" ref="L706:M712" si="851">+H706+L591</f>
        <v>0</v>
      </c>
      <c r="M706" s="273">
        <f t="shared" si="851"/>
        <v>0</v>
      </c>
      <c r="N706" s="336" t="str">
        <f t="shared" ref="N706:N713" si="852">IFERROR(K706/E706,"-")</f>
        <v>-</v>
      </c>
      <c r="O706" s="346" t="str">
        <f t="shared" si="840"/>
        <v>-</v>
      </c>
    </row>
    <row r="707" spans="1:15" ht="24" x14ac:dyDescent="0.25">
      <c r="A707" s="274" t="s">
        <v>103</v>
      </c>
      <c r="B707" s="966"/>
      <c r="C707" s="275" t="s">
        <v>233</v>
      </c>
      <c r="D707" s="275" t="s">
        <v>234</v>
      </c>
      <c r="E707" s="276"/>
      <c r="F707" s="277"/>
      <c r="G707" s="333">
        <f t="shared" si="849"/>
        <v>0</v>
      </c>
      <c r="H707" s="278"/>
      <c r="I707" s="278"/>
      <c r="J707" s="352" t="str">
        <f>IFERROR(G707/#REF!,"-")</f>
        <v>-</v>
      </c>
      <c r="K707" s="333">
        <f t="shared" si="850"/>
        <v>0</v>
      </c>
      <c r="L707" s="272">
        <f t="shared" si="851"/>
        <v>0</v>
      </c>
      <c r="M707" s="273">
        <f t="shared" si="851"/>
        <v>0</v>
      </c>
      <c r="N707" s="337" t="str">
        <f t="shared" si="852"/>
        <v>-</v>
      </c>
      <c r="O707" s="263" t="str">
        <f t="shared" si="840"/>
        <v>-</v>
      </c>
    </row>
    <row r="708" spans="1:15" ht="24" x14ac:dyDescent="0.25">
      <c r="A708" s="274" t="s">
        <v>103</v>
      </c>
      <c r="B708" s="966"/>
      <c r="C708" s="275" t="s">
        <v>115</v>
      </c>
      <c r="D708" s="275"/>
      <c r="E708" s="276"/>
      <c r="F708" s="277"/>
      <c r="G708" s="333">
        <f t="shared" si="849"/>
        <v>0</v>
      </c>
      <c r="H708" s="278"/>
      <c r="I708" s="278"/>
      <c r="J708" s="352" t="str">
        <f>IFERROR(G708/#REF!,"-")</f>
        <v>-</v>
      </c>
      <c r="K708" s="333">
        <f t="shared" si="850"/>
        <v>0</v>
      </c>
      <c r="L708" s="272">
        <f t="shared" si="851"/>
        <v>0</v>
      </c>
      <c r="M708" s="273">
        <f t="shared" si="851"/>
        <v>0</v>
      </c>
      <c r="N708" s="337" t="str">
        <f t="shared" si="852"/>
        <v>-</v>
      </c>
      <c r="O708" s="263" t="str">
        <f t="shared" si="840"/>
        <v>-</v>
      </c>
    </row>
    <row r="709" spans="1:15" ht="24" x14ac:dyDescent="0.25">
      <c r="A709" s="274" t="s">
        <v>103</v>
      </c>
      <c r="B709" s="966"/>
      <c r="C709" s="275" t="s">
        <v>122</v>
      </c>
      <c r="D709" s="275"/>
      <c r="E709" s="276"/>
      <c r="F709" s="277"/>
      <c r="G709" s="333">
        <f t="shared" si="849"/>
        <v>0</v>
      </c>
      <c r="H709" s="278"/>
      <c r="I709" s="278"/>
      <c r="J709" s="352" t="str">
        <f>IFERROR(G709/#REF!,"-")</f>
        <v>-</v>
      </c>
      <c r="K709" s="333">
        <f t="shared" si="850"/>
        <v>0</v>
      </c>
      <c r="L709" s="272">
        <f t="shared" si="851"/>
        <v>0</v>
      </c>
      <c r="M709" s="273">
        <f t="shared" si="851"/>
        <v>0</v>
      </c>
      <c r="N709" s="337" t="str">
        <f t="shared" si="852"/>
        <v>-</v>
      </c>
      <c r="O709" s="263" t="str">
        <f t="shared" si="840"/>
        <v>-</v>
      </c>
    </row>
    <row r="710" spans="1:15" ht="24" x14ac:dyDescent="0.25">
      <c r="A710" s="274" t="s">
        <v>103</v>
      </c>
      <c r="B710" s="966"/>
      <c r="C710" s="275" t="s">
        <v>176</v>
      </c>
      <c r="D710" s="275" t="s">
        <v>177</v>
      </c>
      <c r="E710" s="276"/>
      <c r="F710" s="277"/>
      <c r="G710" s="333">
        <f t="shared" si="849"/>
        <v>0</v>
      </c>
      <c r="H710" s="278"/>
      <c r="I710" s="278"/>
      <c r="J710" s="352" t="str">
        <f>IFERROR(G710/#REF!,"-")</f>
        <v>-</v>
      </c>
      <c r="K710" s="333">
        <f t="shared" si="850"/>
        <v>0</v>
      </c>
      <c r="L710" s="272">
        <f t="shared" si="851"/>
        <v>0</v>
      </c>
      <c r="M710" s="273">
        <f t="shared" si="851"/>
        <v>0</v>
      </c>
      <c r="N710" s="337" t="str">
        <f t="shared" si="852"/>
        <v>-</v>
      </c>
      <c r="O710" s="263" t="str">
        <f t="shared" si="840"/>
        <v>-</v>
      </c>
    </row>
    <row r="711" spans="1:15" ht="24" x14ac:dyDescent="0.25">
      <c r="A711" s="274" t="s">
        <v>103</v>
      </c>
      <c r="B711" s="966"/>
      <c r="C711" s="275" t="s">
        <v>179</v>
      </c>
      <c r="D711" s="275" t="s">
        <v>178</v>
      </c>
      <c r="E711" s="276"/>
      <c r="F711" s="277"/>
      <c r="G711" s="333">
        <f t="shared" si="849"/>
        <v>0</v>
      </c>
      <c r="H711" s="278"/>
      <c r="I711" s="278"/>
      <c r="J711" s="352" t="str">
        <f>IFERROR(G711/#REF!,"-")</f>
        <v>-</v>
      </c>
      <c r="K711" s="333">
        <f t="shared" si="850"/>
        <v>0</v>
      </c>
      <c r="L711" s="272">
        <f t="shared" si="851"/>
        <v>0</v>
      </c>
      <c r="M711" s="273">
        <f t="shared" si="851"/>
        <v>0</v>
      </c>
      <c r="N711" s="337" t="str">
        <f t="shared" si="852"/>
        <v>-</v>
      </c>
      <c r="O711" s="263" t="str">
        <f t="shared" si="840"/>
        <v>-</v>
      </c>
    </row>
    <row r="712" spans="1:15" ht="24.75" thickBot="1" x14ac:dyDescent="0.3">
      <c r="A712" s="274" t="s">
        <v>103</v>
      </c>
      <c r="B712" s="967"/>
      <c r="C712" s="286" t="s">
        <v>180</v>
      </c>
      <c r="D712" s="286" t="s">
        <v>107</v>
      </c>
      <c r="E712" s="280"/>
      <c r="F712" s="281"/>
      <c r="G712" s="334">
        <f t="shared" si="849"/>
        <v>0</v>
      </c>
      <c r="H712" s="282"/>
      <c r="I712" s="282"/>
      <c r="J712" s="353" t="str">
        <f>IFERROR(G712/#REF!,"-")</f>
        <v>-</v>
      </c>
      <c r="K712" s="334">
        <f t="shared" si="850"/>
        <v>0</v>
      </c>
      <c r="L712" s="272">
        <f t="shared" si="851"/>
        <v>0</v>
      </c>
      <c r="M712" s="273">
        <f t="shared" si="851"/>
        <v>0</v>
      </c>
      <c r="N712" s="338" t="str">
        <f t="shared" si="852"/>
        <v>-</v>
      </c>
      <c r="O712" s="347" t="str">
        <f t="shared" si="840"/>
        <v>-</v>
      </c>
    </row>
    <row r="713" spans="1:15" ht="23.25" thickBot="1" x14ac:dyDescent="0.3">
      <c r="A713" s="274" t="s">
        <v>103</v>
      </c>
      <c r="B713" s="946" t="s">
        <v>29</v>
      </c>
      <c r="C713" s="947"/>
      <c r="D713" s="948"/>
      <c r="E713" s="366">
        <f t="shared" ref="E713" si="853">SUM(E706:E712)</f>
        <v>0</v>
      </c>
      <c r="F713" s="307">
        <v>80000</v>
      </c>
      <c r="G713" s="366">
        <f>SUM(G706:G712)</f>
        <v>0</v>
      </c>
      <c r="H713" s="365">
        <f t="shared" ref="H713:I713" si="854">SUM(H706:H712)</f>
        <v>0</v>
      </c>
      <c r="I713" s="365">
        <f t="shared" si="854"/>
        <v>0</v>
      </c>
      <c r="J713" s="356">
        <f>+G713/F713</f>
        <v>0</v>
      </c>
      <c r="K713" s="366">
        <f t="shared" ref="K713" si="855">SUM(K706:K712)</f>
        <v>0</v>
      </c>
      <c r="L713" s="365">
        <f>SUM(L706:L712)</f>
        <v>0</v>
      </c>
      <c r="M713" s="367">
        <f t="shared" ref="M713" si="856">SUM(M706:M712)</f>
        <v>0</v>
      </c>
      <c r="N713" s="355" t="str">
        <f t="shared" si="852"/>
        <v>-</v>
      </c>
      <c r="O713" s="356" t="str">
        <f t="shared" si="840"/>
        <v>-</v>
      </c>
    </row>
    <row r="714" spans="1:15" ht="24" x14ac:dyDescent="0.25">
      <c r="A714" s="252" t="s">
        <v>103</v>
      </c>
      <c r="B714" s="1004" t="s">
        <v>19</v>
      </c>
      <c r="C714" s="641" t="s">
        <v>235</v>
      </c>
      <c r="D714" s="669" t="s">
        <v>177</v>
      </c>
      <c r="E714" s="527"/>
      <c r="F714" s="838">
        <v>220000</v>
      </c>
      <c r="G714" s="457">
        <f t="shared" ref="G714:G718" si="857">+H714+I714</f>
        <v>0</v>
      </c>
      <c r="H714" s="458"/>
      <c r="I714" s="458"/>
      <c r="J714" s="831" t="str">
        <f>IFERROR(G714/#REF!,"-")</f>
        <v>-</v>
      </c>
      <c r="K714" s="694">
        <f>+L714+M714</f>
        <v>0</v>
      </c>
      <c r="L714" s="527">
        <f>+H714+L599</f>
        <v>0</v>
      </c>
      <c r="M714" s="838">
        <f>+I714+M599</f>
        <v>0</v>
      </c>
      <c r="N714" s="646" t="str">
        <f>IFERROR(K714/E714,"-")</f>
        <v>-</v>
      </c>
      <c r="O714" s="647" t="str">
        <f t="shared" si="840"/>
        <v>-</v>
      </c>
    </row>
    <row r="715" spans="1:15" ht="24.75" thickBot="1" x14ac:dyDescent="0.3">
      <c r="A715" s="252"/>
      <c r="B715" s="1005"/>
      <c r="C715" s="296" t="s">
        <v>377</v>
      </c>
      <c r="D715" s="645" t="s">
        <v>423</v>
      </c>
      <c r="E715" s="276">
        <v>1000000</v>
      </c>
      <c r="F715" s="277"/>
      <c r="G715" s="333">
        <f t="shared" si="857"/>
        <v>0</v>
      </c>
      <c r="H715" s="278"/>
      <c r="I715" s="278"/>
      <c r="J715" s="833" t="str">
        <f>IFERROR(G715/#REF!,"-")</f>
        <v>-</v>
      </c>
      <c r="K715" s="690">
        <f>+L715+M715</f>
        <v>576188</v>
      </c>
      <c r="L715" s="276">
        <f>+H715+L600</f>
        <v>574464</v>
      </c>
      <c r="M715" s="277">
        <f>+I715+M600</f>
        <v>1724</v>
      </c>
      <c r="N715" s="836">
        <f t="shared" ref="N715:N718" si="858">IFERROR(K715/E715,"-")</f>
        <v>0.57618800000000003</v>
      </c>
      <c r="O715" s="263">
        <f>IFERROR(M715/K715,"-")</f>
        <v>2.9920789742236909E-3</v>
      </c>
    </row>
    <row r="716" spans="1:15" ht="24" x14ac:dyDescent="0.25">
      <c r="A716" s="252"/>
      <c r="B716" s="1005"/>
      <c r="C716" s="826" t="s">
        <v>235</v>
      </c>
      <c r="D716" s="651" t="s">
        <v>522</v>
      </c>
      <c r="E716" s="276"/>
      <c r="F716" s="277"/>
      <c r="G716" s="333">
        <f t="shared" si="857"/>
        <v>0</v>
      </c>
      <c r="H716" s="278"/>
      <c r="I716" s="278"/>
      <c r="J716" s="833" t="str">
        <f>IFERROR(G716/#REF!,"-")</f>
        <v>-</v>
      </c>
      <c r="K716" s="690">
        <f t="shared" ref="K716:K717" si="859">+L716+M716</f>
        <v>175193</v>
      </c>
      <c r="L716" s="276">
        <f t="shared" ref="L716:L717" si="860">+H716+L601</f>
        <v>174768</v>
      </c>
      <c r="M716" s="277">
        <f t="shared" ref="M716:M717" si="861">+I716+M601</f>
        <v>425</v>
      </c>
      <c r="N716" s="836" t="str">
        <f t="shared" si="858"/>
        <v>-</v>
      </c>
      <c r="O716" s="263">
        <f t="shared" ref="O716:O717" si="862">IFERROR(M716/K716,"-")</f>
        <v>2.4258960118269564E-3</v>
      </c>
    </row>
    <row r="717" spans="1:15" ht="24" x14ac:dyDescent="0.25">
      <c r="A717" s="252"/>
      <c r="B717" s="1005"/>
      <c r="C717" s="296" t="s">
        <v>377</v>
      </c>
      <c r="D717" s="824" t="s">
        <v>522</v>
      </c>
      <c r="E717" s="276"/>
      <c r="F717" s="277"/>
      <c r="G717" s="333">
        <f t="shared" si="857"/>
        <v>76187</v>
      </c>
      <c r="H717" s="278">
        <v>76032</v>
      </c>
      <c r="I717" s="278">
        <v>155</v>
      </c>
      <c r="J717" s="833" t="str">
        <f>IFERROR(G717/#REF!,"-")</f>
        <v>-</v>
      </c>
      <c r="K717" s="690">
        <f t="shared" si="859"/>
        <v>101661</v>
      </c>
      <c r="L717" s="276">
        <f t="shared" si="860"/>
        <v>101376</v>
      </c>
      <c r="M717" s="277">
        <f t="shared" si="861"/>
        <v>285</v>
      </c>
      <c r="N717" s="836" t="str">
        <f t="shared" si="858"/>
        <v>-</v>
      </c>
      <c r="O717" s="263">
        <f t="shared" si="862"/>
        <v>2.8034349455543423E-3</v>
      </c>
    </row>
    <row r="718" spans="1:15" ht="24.75" thickBot="1" x14ac:dyDescent="0.3">
      <c r="A718" s="252"/>
      <c r="B718" s="1006"/>
      <c r="C718" s="635" t="s">
        <v>342</v>
      </c>
      <c r="D718" s="670"/>
      <c r="E718" s="530">
        <v>150000</v>
      </c>
      <c r="F718" s="839"/>
      <c r="G718" s="460">
        <f t="shared" si="857"/>
        <v>0</v>
      </c>
      <c r="H718" s="461"/>
      <c r="I718" s="461"/>
      <c r="J718" s="834" t="str">
        <f>IFERROR(G718/#REF!,"-")</f>
        <v>-</v>
      </c>
      <c r="K718" s="691">
        <f>+L718+M718</f>
        <v>0</v>
      </c>
      <c r="L718" s="530">
        <f t="shared" ref="L718" si="863">+H718+L603</f>
        <v>0</v>
      </c>
      <c r="M718" s="839">
        <f t="shared" ref="M718" si="864">+I718+M603</f>
        <v>0</v>
      </c>
      <c r="N718" s="837">
        <f t="shared" si="858"/>
        <v>0</v>
      </c>
      <c r="O718" s="264" t="str">
        <f t="shared" ref="O718:O736" si="865">IFERROR(M718/K718,"-")</f>
        <v>-</v>
      </c>
    </row>
    <row r="719" spans="1:15" ht="23.25" thickBot="1" x14ac:dyDescent="0.3">
      <c r="A719" s="274" t="s">
        <v>103</v>
      </c>
      <c r="B719" s="975" t="s">
        <v>46</v>
      </c>
      <c r="C719" s="947"/>
      <c r="D719" s="948"/>
      <c r="E719" s="513">
        <f>SUM(E714:E718)</f>
        <v>1150000</v>
      </c>
      <c r="F719" s="859">
        <f t="shared" ref="F719" si="866">SUM(F714)</f>
        <v>220000</v>
      </c>
      <c r="G719" s="513">
        <f>SUM(G714:G718)</f>
        <v>76187</v>
      </c>
      <c r="H719" s="519">
        <f>SUM(H714:H718)</f>
        <v>76032</v>
      </c>
      <c r="I719" s="519">
        <f>SUM(I714:I718)</f>
        <v>155</v>
      </c>
      <c r="J719" s="520">
        <f>+G719/F719</f>
        <v>0.34630454545454548</v>
      </c>
      <c r="K719" s="835">
        <f>SUM(K714:K718)</f>
        <v>853042</v>
      </c>
      <c r="L719" s="519">
        <f>SUM(L714:L718)</f>
        <v>850608</v>
      </c>
      <c r="M719" s="689">
        <f>SUM(M714:M718)</f>
        <v>2434</v>
      </c>
      <c r="N719" s="521">
        <f>IFERROR(K719/E719,"-")</f>
        <v>0.74177565217391306</v>
      </c>
      <c r="O719" s="520">
        <f t="shared" si="865"/>
        <v>2.8533178905610743E-3</v>
      </c>
    </row>
    <row r="720" spans="1:15" ht="24" x14ac:dyDescent="0.25">
      <c r="A720" s="274" t="s">
        <v>103</v>
      </c>
      <c r="B720" s="965" t="s">
        <v>20</v>
      </c>
      <c r="C720" s="291" t="s">
        <v>317</v>
      </c>
      <c r="D720" s="291" t="s">
        <v>289</v>
      </c>
      <c r="E720" s="270"/>
      <c r="F720" s="271"/>
      <c r="G720" s="332">
        <f t="shared" ref="G720:G722" si="867">+H720+I720</f>
        <v>0</v>
      </c>
      <c r="H720" s="272"/>
      <c r="I720" s="272"/>
      <c r="J720" s="351" t="str">
        <f>IFERROR(G720/#REF!,"-")</f>
        <v>-</v>
      </c>
      <c r="K720" s="332">
        <f t="shared" ref="K720:K722" si="868">+L720+M720</f>
        <v>0</v>
      </c>
      <c r="L720" s="272">
        <f t="shared" ref="L720:M722" si="869">+H720+L605</f>
        <v>0</v>
      </c>
      <c r="M720" s="273">
        <f t="shared" si="869"/>
        <v>0</v>
      </c>
      <c r="N720" s="336" t="str">
        <f t="shared" ref="N720:N723" si="870">IFERROR(K720/E720,"-")</f>
        <v>-</v>
      </c>
      <c r="O720" s="346" t="str">
        <f t="shared" si="865"/>
        <v>-</v>
      </c>
    </row>
    <row r="721" spans="1:15" ht="24" x14ac:dyDescent="0.25">
      <c r="A721" s="274" t="s">
        <v>103</v>
      </c>
      <c r="B721" s="966"/>
      <c r="C721" s="292" t="s">
        <v>114</v>
      </c>
      <c r="D721" s="292"/>
      <c r="E721" s="276"/>
      <c r="F721" s="277"/>
      <c r="G721" s="333">
        <f t="shared" si="867"/>
        <v>0</v>
      </c>
      <c r="H721" s="278"/>
      <c r="I721" s="278"/>
      <c r="J721" s="352" t="str">
        <f>IFERROR(G721/#REF!,"-")</f>
        <v>-</v>
      </c>
      <c r="K721" s="333">
        <f t="shared" si="868"/>
        <v>0</v>
      </c>
      <c r="L721" s="272">
        <f t="shared" si="869"/>
        <v>0</v>
      </c>
      <c r="M721" s="273">
        <f t="shared" si="869"/>
        <v>0</v>
      </c>
      <c r="N721" s="337" t="str">
        <f t="shared" si="870"/>
        <v>-</v>
      </c>
      <c r="O721" s="263" t="str">
        <f t="shared" si="865"/>
        <v>-</v>
      </c>
    </row>
    <row r="722" spans="1:15" ht="24.75" thickBot="1" x14ac:dyDescent="0.3">
      <c r="A722" s="274" t="s">
        <v>103</v>
      </c>
      <c r="B722" s="967"/>
      <c r="C722" s="293" t="s">
        <v>120</v>
      </c>
      <c r="D722" s="293"/>
      <c r="E722" s="280"/>
      <c r="F722" s="281"/>
      <c r="G722" s="334">
        <f t="shared" si="867"/>
        <v>0</v>
      </c>
      <c r="H722" s="282"/>
      <c r="I722" s="282"/>
      <c r="J722" s="353" t="str">
        <f>IFERROR(G722/#REF!,"-")</f>
        <v>-</v>
      </c>
      <c r="K722" s="334">
        <f t="shared" si="868"/>
        <v>0</v>
      </c>
      <c r="L722" s="272">
        <f t="shared" si="869"/>
        <v>0</v>
      </c>
      <c r="M722" s="273">
        <f t="shared" si="869"/>
        <v>0</v>
      </c>
      <c r="N722" s="338" t="str">
        <f t="shared" si="870"/>
        <v>-</v>
      </c>
      <c r="O722" s="347" t="str">
        <f t="shared" si="865"/>
        <v>-</v>
      </c>
    </row>
    <row r="723" spans="1:15" ht="23.25" thickBot="1" x14ac:dyDescent="0.3">
      <c r="A723" s="274" t="s">
        <v>103</v>
      </c>
      <c r="B723" s="947" t="s">
        <v>47</v>
      </c>
      <c r="C723" s="947"/>
      <c r="D723" s="964"/>
      <c r="E723" s="320">
        <f t="shared" ref="E723" si="871">SUM(E720:E722)</f>
        <v>0</v>
      </c>
      <c r="F723" s="285">
        <v>50000</v>
      </c>
      <c r="G723" s="320">
        <f>SUM(G720:G722)</f>
        <v>0</v>
      </c>
      <c r="H723" s="321">
        <f t="shared" ref="H723:I723" si="872">SUM(H720:H722)</f>
        <v>0</v>
      </c>
      <c r="I723" s="321">
        <f t="shared" si="872"/>
        <v>0</v>
      </c>
      <c r="J723" s="345">
        <f>+G723/F723</f>
        <v>0</v>
      </c>
      <c r="K723" s="320">
        <f t="shared" ref="K723:M723" si="873">SUM(K720:K722)</f>
        <v>0</v>
      </c>
      <c r="L723" s="321">
        <f t="shared" si="873"/>
        <v>0</v>
      </c>
      <c r="M723" s="322">
        <f t="shared" si="873"/>
        <v>0</v>
      </c>
      <c r="N723" s="339" t="str">
        <f t="shared" si="870"/>
        <v>-</v>
      </c>
      <c r="O723" s="345" t="str">
        <f t="shared" si="865"/>
        <v>-</v>
      </c>
    </row>
    <row r="724" spans="1:15" ht="23.25" thickBot="1" x14ac:dyDescent="0.3">
      <c r="A724" s="274" t="s">
        <v>103</v>
      </c>
      <c r="B724" s="960" t="s">
        <v>21</v>
      </c>
      <c r="C724" s="961"/>
      <c r="D724" s="962"/>
      <c r="E724" s="326">
        <f>+E697+E705+E713+E719+E723</f>
        <v>3770000</v>
      </c>
      <c r="F724" s="327">
        <f>+F697+F705+F713+F719+F723</f>
        <v>465000</v>
      </c>
      <c r="G724" s="326">
        <f>+G697+G705+G713+G719+G723</f>
        <v>170623</v>
      </c>
      <c r="H724" s="324">
        <f>+H697+H705+H713+H719+H723</f>
        <v>170072</v>
      </c>
      <c r="I724" s="324">
        <f>+I697+I705+I713+I719+I723</f>
        <v>551</v>
      </c>
      <c r="J724" s="349">
        <f>+G724/F724</f>
        <v>0.36693118279569892</v>
      </c>
      <c r="K724" s="326">
        <f>+K697+K705+K713+K719+K723</f>
        <v>1408128</v>
      </c>
      <c r="L724" s="324">
        <f>+L697+L705+L713+L719+L723</f>
        <v>1403148</v>
      </c>
      <c r="M724" s="325">
        <f>+M697+M705+M713+M719+M723</f>
        <v>4980</v>
      </c>
      <c r="N724" s="341">
        <f>IFERROR(K724/E724,"-")</f>
        <v>0.37350875331564987</v>
      </c>
      <c r="O724" s="349">
        <f t="shared" si="865"/>
        <v>3.5366103081538041E-3</v>
      </c>
    </row>
    <row r="725" spans="1:15" ht="24" x14ac:dyDescent="0.25">
      <c r="A725" s="274" t="s">
        <v>103</v>
      </c>
      <c r="B725" s="965" t="s">
        <v>400</v>
      </c>
      <c r="C725" s="269" t="s">
        <v>125</v>
      </c>
      <c r="D725" s="269"/>
      <c r="E725" s="270"/>
      <c r="F725" s="271"/>
      <c r="G725" s="332">
        <f t="shared" ref="G725:G728" si="874">+H725+I725</f>
        <v>0</v>
      </c>
      <c r="H725" s="272"/>
      <c r="I725" s="272"/>
      <c r="J725" s="351" t="str">
        <f>IFERROR(G725/#REF!,"-")</f>
        <v>-</v>
      </c>
      <c r="K725" s="332">
        <f t="shared" ref="K725:K728" si="875">+L725+M725</f>
        <v>0</v>
      </c>
      <c r="L725" s="272">
        <f t="shared" ref="L725:M728" si="876">+H725+L610</f>
        <v>0</v>
      </c>
      <c r="M725" s="273">
        <f t="shared" si="876"/>
        <v>0</v>
      </c>
      <c r="N725" s="336" t="str">
        <f t="shared" ref="N725:N736" si="877">IFERROR(K725/E725,"-")</f>
        <v>-</v>
      </c>
      <c r="O725" s="346" t="str">
        <f t="shared" si="865"/>
        <v>-</v>
      </c>
    </row>
    <row r="726" spans="1:15" ht="24" x14ac:dyDescent="0.25">
      <c r="A726" s="274" t="s">
        <v>103</v>
      </c>
      <c r="B726" s="966"/>
      <c r="C726" s="295" t="s">
        <v>263</v>
      </c>
      <c r="D726" s="295" t="s">
        <v>181</v>
      </c>
      <c r="E726" s="276"/>
      <c r="F726" s="277"/>
      <c r="G726" s="333">
        <f t="shared" si="874"/>
        <v>0</v>
      </c>
      <c r="H726" s="278"/>
      <c r="I726" s="278"/>
      <c r="J726" s="352" t="str">
        <f>IFERROR(G726/#REF!,"-")</f>
        <v>-</v>
      </c>
      <c r="K726" s="333">
        <f t="shared" si="875"/>
        <v>0</v>
      </c>
      <c r="L726" s="272">
        <f t="shared" si="876"/>
        <v>0</v>
      </c>
      <c r="M726" s="273">
        <f t="shared" si="876"/>
        <v>0</v>
      </c>
      <c r="N726" s="337" t="str">
        <f t="shared" si="877"/>
        <v>-</v>
      </c>
      <c r="O726" s="263" t="str">
        <f t="shared" si="865"/>
        <v>-</v>
      </c>
    </row>
    <row r="727" spans="1:15" ht="24" x14ac:dyDescent="0.25">
      <c r="A727" s="274" t="s">
        <v>103</v>
      </c>
      <c r="B727" s="966"/>
      <c r="C727" s="295" t="s">
        <v>362</v>
      </c>
      <c r="D727" s="295" t="s">
        <v>181</v>
      </c>
      <c r="E727" s="276"/>
      <c r="F727" s="277"/>
      <c r="G727" s="333">
        <f t="shared" si="874"/>
        <v>0</v>
      </c>
      <c r="H727" s="278"/>
      <c r="I727" s="278"/>
      <c r="J727" s="352" t="str">
        <f>IFERROR(G727/#REF!,"-")</f>
        <v>-</v>
      </c>
      <c r="K727" s="333">
        <f t="shared" si="875"/>
        <v>0</v>
      </c>
      <c r="L727" s="272">
        <f t="shared" si="876"/>
        <v>0</v>
      </c>
      <c r="M727" s="273">
        <f t="shared" si="876"/>
        <v>0</v>
      </c>
      <c r="N727" s="337" t="str">
        <f t="shared" si="877"/>
        <v>-</v>
      </c>
      <c r="O727" s="263" t="str">
        <f t="shared" si="865"/>
        <v>-</v>
      </c>
    </row>
    <row r="728" spans="1:15" ht="24.75" thickBot="1" x14ac:dyDescent="0.3">
      <c r="A728" s="274" t="s">
        <v>103</v>
      </c>
      <c r="B728" s="967"/>
      <c r="C728" s="279" t="s">
        <v>182</v>
      </c>
      <c r="D728" s="279" t="s">
        <v>93</v>
      </c>
      <c r="E728" s="280"/>
      <c r="F728" s="281"/>
      <c r="G728" s="334">
        <f t="shared" si="874"/>
        <v>0</v>
      </c>
      <c r="H728" s="282"/>
      <c r="I728" s="282"/>
      <c r="J728" s="353" t="str">
        <f>IFERROR(G728/#REF!,"-")</f>
        <v>-</v>
      </c>
      <c r="K728" s="334">
        <f t="shared" si="875"/>
        <v>0</v>
      </c>
      <c r="L728" s="272">
        <f t="shared" si="876"/>
        <v>0</v>
      </c>
      <c r="M728" s="273">
        <f t="shared" si="876"/>
        <v>0</v>
      </c>
      <c r="N728" s="338" t="str">
        <f t="shared" si="877"/>
        <v>-</v>
      </c>
      <c r="O728" s="347" t="str">
        <f t="shared" si="865"/>
        <v>-</v>
      </c>
    </row>
    <row r="729" spans="1:15" ht="23.25" thickBot="1" x14ac:dyDescent="0.3">
      <c r="A729" s="274" t="s">
        <v>103</v>
      </c>
      <c r="B729" s="946" t="s">
        <v>48</v>
      </c>
      <c r="C729" s="947"/>
      <c r="D729" s="948"/>
      <c r="E729" s="284">
        <f>SUM(E725:E728)</f>
        <v>0</v>
      </c>
      <c r="F729" s="285">
        <v>80000</v>
      </c>
      <c r="G729" s="320">
        <f>SUM(G725:G728)</f>
        <v>0</v>
      </c>
      <c r="H729" s="321">
        <f t="shared" ref="H729:I729" si="878">SUM(H725:H728)</f>
        <v>0</v>
      </c>
      <c r="I729" s="321">
        <f t="shared" si="878"/>
        <v>0</v>
      </c>
      <c r="J729" s="345">
        <f>+G729/F729</f>
        <v>0</v>
      </c>
      <c r="K729" s="320">
        <f t="shared" ref="K729" si="879">SUM(K725:K728)</f>
        <v>0</v>
      </c>
      <c r="L729" s="321">
        <f>SUM(L725:L728)</f>
        <v>0</v>
      </c>
      <c r="M729" s="322">
        <f t="shared" ref="M729" si="880">SUM(M725:M728)</f>
        <v>0</v>
      </c>
      <c r="N729" s="339" t="str">
        <f t="shared" si="877"/>
        <v>-</v>
      </c>
      <c r="O729" s="345" t="str">
        <f t="shared" si="865"/>
        <v>-</v>
      </c>
    </row>
    <row r="730" spans="1:15" ht="24" x14ac:dyDescent="0.25">
      <c r="A730" s="274" t="s">
        <v>103</v>
      </c>
      <c r="B730" s="965" t="s">
        <v>23</v>
      </c>
      <c r="C730" s="275" t="s">
        <v>500</v>
      </c>
      <c r="D730" s="296" t="s">
        <v>238</v>
      </c>
      <c r="E730" s="270">
        <v>10000</v>
      </c>
      <c r="F730" s="271"/>
      <c r="G730" s="332">
        <f t="shared" ref="G730:G738" si="881">+H730+I730</f>
        <v>0</v>
      </c>
      <c r="H730" s="272"/>
      <c r="I730" s="272"/>
      <c r="J730" s="351" t="str">
        <f>IFERROR(G730/#REF!,"-")</f>
        <v>-</v>
      </c>
      <c r="K730" s="332">
        <f t="shared" ref="K730:K738" si="882">+L730+M730</f>
        <v>0</v>
      </c>
      <c r="L730" s="272">
        <f t="shared" ref="L730:L738" si="883">+H730+L615</f>
        <v>0</v>
      </c>
      <c r="M730" s="273">
        <f t="shared" ref="M730:M738" si="884">+I730+M615</f>
        <v>0</v>
      </c>
      <c r="N730" s="336">
        <f t="shared" si="877"/>
        <v>0</v>
      </c>
      <c r="O730" s="346" t="str">
        <f t="shared" si="865"/>
        <v>-</v>
      </c>
    </row>
    <row r="731" spans="1:15" ht="24" x14ac:dyDescent="0.25">
      <c r="A731" s="274" t="s">
        <v>103</v>
      </c>
      <c r="B731" s="966"/>
      <c r="C731" s="275" t="s">
        <v>24</v>
      </c>
      <c r="D731" s="275" t="s">
        <v>238</v>
      </c>
      <c r="E731" s="276"/>
      <c r="F731" s="277"/>
      <c r="G731" s="333">
        <f t="shared" si="881"/>
        <v>0</v>
      </c>
      <c r="H731" s="278"/>
      <c r="I731" s="278"/>
      <c r="J731" s="352" t="str">
        <f>IFERROR(G731/#REF!,"-")</f>
        <v>-</v>
      </c>
      <c r="K731" s="333">
        <f t="shared" si="882"/>
        <v>0</v>
      </c>
      <c r="L731" s="272">
        <f t="shared" si="883"/>
        <v>0</v>
      </c>
      <c r="M731" s="273">
        <f t="shared" si="884"/>
        <v>0</v>
      </c>
      <c r="N731" s="337" t="str">
        <f t="shared" si="877"/>
        <v>-</v>
      </c>
      <c r="O731" s="263" t="str">
        <f t="shared" si="865"/>
        <v>-</v>
      </c>
    </row>
    <row r="732" spans="1:15" ht="24" x14ac:dyDescent="0.25">
      <c r="A732" s="274" t="s">
        <v>103</v>
      </c>
      <c r="B732" s="966"/>
      <c r="C732" s="275" t="s">
        <v>236</v>
      </c>
      <c r="D732" s="275" t="s">
        <v>238</v>
      </c>
      <c r="E732" s="276"/>
      <c r="F732" s="277"/>
      <c r="G732" s="333">
        <f t="shared" si="881"/>
        <v>0</v>
      </c>
      <c r="H732" s="278"/>
      <c r="I732" s="278"/>
      <c r="J732" s="352" t="str">
        <f>IFERROR(G732/#REF!,"-")</f>
        <v>-</v>
      </c>
      <c r="K732" s="333">
        <f t="shared" si="882"/>
        <v>0</v>
      </c>
      <c r="L732" s="272">
        <f t="shared" si="883"/>
        <v>0</v>
      </c>
      <c r="M732" s="273">
        <f t="shared" si="884"/>
        <v>0</v>
      </c>
      <c r="N732" s="337" t="str">
        <f t="shared" si="877"/>
        <v>-</v>
      </c>
      <c r="O732" s="263" t="str">
        <f t="shared" si="865"/>
        <v>-</v>
      </c>
    </row>
    <row r="733" spans="1:15" ht="24" x14ac:dyDescent="0.25">
      <c r="A733" s="274" t="s">
        <v>103</v>
      </c>
      <c r="B733" s="966"/>
      <c r="C733" s="275" t="s">
        <v>237</v>
      </c>
      <c r="D733" s="275" t="s">
        <v>238</v>
      </c>
      <c r="E733" s="276"/>
      <c r="F733" s="277"/>
      <c r="G733" s="333">
        <f t="shared" si="881"/>
        <v>0</v>
      </c>
      <c r="H733" s="278"/>
      <c r="I733" s="278"/>
      <c r="J733" s="352" t="str">
        <f>IFERROR(G733/#REF!,"-")</f>
        <v>-</v>
      </c>
      <c r="K733" s="333">
        <f t="shared" si="882"/>
        <v>0</v>
      </c>
      <c r="L733" s="272">
        <f t="shared" si="883"/>
        <v>0</v>
      </c>
      <c r="M733" s="273">
        <f t="shared" si="884"/>
        <v>0</v>
      </c>
      <c r="N733" s="337" t="str">
        <f t="shared" si="877"/>
        <v>-</v>
      </c>
      <c r="O733" s="263" t="str">
        <f t="shared" si="865"/>
        <v>-</v>
      </c>
    </row>
    <row r="734" spans="1:15" ht="24" x14ac:dyDescent="0.25">
      <c r="A734" s="274" t="s">
        <v>103</v>
      </c>
      <c r="B734" s="966"/>
      <c r="C734" s="295" t="s">
        <v>394</v>
      </c>
      <c r="D734" s="275" t="s">
        <v>238</v>
      </c>
      <c r="E734" s="276"/>
      <c r="F734" s="277"/>
      <c r="G734" s="333">
        <f t="shared" si="881"/>
        <v>0</v>
      </c>
      <c r="H734" s="278"/>
      <c r="I734" s="278"/>
      <c r="J734" s="352" t="str">
        <f>IFERROR(G734/#REF!,"-")</f>
        <v>-</v>
      </c>
      <c r="K734" s="333">
        <f t="shared" si="882"/>
        <v>0</v>
      </c>
      <c r="L734" s="272">
        <f t="shared" si="883"/>
        <v>0</v>
      </c>
      <c r="M734" s="273">
        <f t="shared" si="884"/>
        <v>0</v>
      </c>
      <c r="N734" s="337" t="str">
        <f t="shared" si="877"/>
        <v>-</v>
      </c>
      <c r="O734" s="263" t="str">
        <f t="shared" si="865"/>
        <v>-</v>
      </c>
    </row>
    <row r="735" spans="1:15" ht="24" x14ac:dyDescent="0.25">
      <c r="A735" s="274" t="s">
        <v>103</v>
      </c>
      <c r="B735" s="966"/>
      <c r="C735" s="295" t="s">
        <v>422</v>
      </c>
      <c r="D735" s="275" t="s">
        <v>238</v>
      </c>
      <c r="E735" s="276"/>
      <c r="F735" s="277"/>
      <c r="G735" s="333">
        <f t="shared" si="881"/>
        <v>0</v>
      </c>
      <c r="H735" s="278"/>
      <c r="I735" s="278"/>
      <c r="J735" s="352" t="str">
        <f>IFERROR(G735/#REF!,"-")</f>
        <v>-</v>
      </c>
      <c r="K735" s="333">
        <f t="shared" si="882"/>
        <v>0</v>
      </c>
      <c r="L735" s="272">
        <f t="shared" si="883"/>
        <v>0</v>
      </c>
      <c r="M735" s="273">
        <f t="shared" si="884"/>
        <v>0</v>
      </c>
      <c r="N735" s="337" t="str">
        <f t="shared" si="877"/>
        <v>-</v>
      </c>
      <c r="O735" s="263" t="str">
        <f t="shared" si="865"/>
        <v>-</v>
      </c>
    </row>
    <row r="736" spans="1:15" ht="24" x14ac:dyDescent="0.25">
      <c r="A736" s="274" t="s">
        <v>103</v>
      </c>
      <c r="B736" s="966"/>
      <c r="C736" s="295" t="s">
        <v>241</v>
      </c>
      <c r="D736" s="275" t="s">
        <v>243</v>
      </c>
      <c r="E736" s="276"/>
      <c r="F736" s="277"/>
      <c r="G736" s="333">
        <f t="shared" si="881"/>
        <v>0</v>
      </c>
      <c r="H736" s="278"/>
      <c r="I736" s="278"/>
      <c r="J736" s="352" t="str">
        <f>IFERROR(G736/#REF!,"-")</f>
        <v>-</v>
      </c>
      <c r="K736" s="333">
        <f t="shared" si="882"/>
        <v>0</v>
      </c>
      <c r="L736" s="272">
        <f t="shared" si="883"/>
        <v>0</v>
      </c>
      <c r="M736" s="273">
        <f t="shared" si="884"/>
        <v>0</v>
      </c>
      <c r="N736" s="337" t="str">
        <f t="shared" si="877"/>
        <v>-</v>
      </c>
      <c r="O736" s="263" t="str">
        <f t="shared" si="865"/>
        <v>-</v>
      </c>
    </row>
    <row r="737" spans="1:15" ht="24" x14ac:dyDescent="0.25">
      <c r="A737" s="274"/>
      <c r="B737" s="967"/>
      <c r="C737" s="295" t="s">
        <v>456</v>
      </c>
      <c r="D737" s="275" t="s">
        <v>238</v>
      </c>
      <c r="E737" s="280"/>
      <c r="F737" s="281"/>
      <c r="G737" s="333">
        <f t="shared" si="881"/>
        <v>0</v>
      </c>
      <c r="H737" s="282"/>
      <c r="I737" s="282"/>
      <c r="J737" s="352" t="str">
        <f>IFERROR(G737/#REF!,"-")</f>
        <v>-</v>
      </c>
      <c r="K737" s="333">
        <f t="shared" si="882"/>
        <v>0</v>
      </c>
      <c r="L737" s="272">
        <f t="shared" si="883"/>
        <v>0</v>
      </c>
      <c r="M737" s="273">
        <f t="shared" si="884"/>
        <v>0</v>
      </c>
      <c r="N737" s="338"/>
      <c r="O737" s="347"/>
    </row>
    <row r="738" spans="1:15" ht="24.75" thickBot="1" x14ac:dyDescent="0.3">
      <c r="A738" s="274" t="s">
        <v>103</v>
      </c>
      <c r="B738" s="967"/>
      <c r="C738" s="295" t="s">
        <v>242</v>
      </c>
      <c r="D738" s="275" t="s">
        <v>238</v>
      </c>
      <c r="E738" s="280"/>
      <c r="F738" s="281"/>
      <c r="G738" s="334">
        <f t="shared" si="881"/>
        <v>0</v>
      </c>
      <c r="H738" s="282"/>
      <c r="I738" s="282"/>
      <c r="J738" s="353" t="str">
        <f>IFERROR(G738/#REF!,"-")</f>
        <v>-</v>
      </c>
      <c r="K738" s="334">
        <f t="shared" si="882"/>
        <v>0</v>
      </c>
      <c r="L738" s="272">
        <f t="shared" si="883"/>
        <v>0</v>
      </c>
      <c r="M738" s="273">
        <f t="shared" si="884"/>
        <v>0</v>
      </c>
      <c r="N738" s="338" t="str">
        <f t="shared" ref="N738:N740" si="885">IFERROR(K738/E738,"-")</f>
        <v>-</v>
      </c>
      <c r="O738" s="347" t="str">
        <f t="shared" ref="O738:O755" si="886">IFERROR(M738/K738,"-")</f>
        <v>-</v>
      </c>
    </row>
    <row r="739" spans="1:15" ht="23.25" thickBot="1" x14ac:dyDescent="0.3">
      <c r="A739" s="274" t="s">
        <v>103</v>
      </c>
      <c r="B739" s="946" t="s">
        <v>49</v>
      </c>
      <c r="C739" s="947"/>
      <c r="D739" s="948"/>
      <c r="E739" s="284">
        <f>SUM(E730:E738)</f>
        <v>10000</v>
      </c>
      <c r="F739" s="285">
        <v>14000</v>
      </c>
      <c r="G739" s="320">
        <f>SUM(G730:G738)</f>
        <v>0</v>
      </c>
      <c r="H739" s="321">
        <f t="shared" ref="H739:I739" si="887">SUM(H730:H738)</f>
        <v>0</v>
      </c>
      <c r="I739" s="321">
        <f t="shared" si="887"/>
        <v>0</v>
      </c>
      <c r="J739" s="345">
        <f>+G740/F740</f>
        <v>0</v>
      </c>
      <c r="K739" s="320">
        <f>SUM(K730:K738)</f>
        <v>0</v>
      </c>
      <c r="L739" s="321">
        <f>+H739</f>
        <v>0</v>
      </c>
      <c r="M739" s="322">
        <f>+I739</f>
        <v>0</v>
      </c>
      <c r="N739" s="339">
        <f t="shared" si="885"/>
        <v>0</v>
      </c>
      <c r="O739" s="345" t="str">
        <f t="shared" si="886"/>
        <v>-</v>
      </c>
    </row>
    <row r="740" spans="1:15" ht="23.25" thickBot="1" x14ac:dyDescent="0.3">
      <c r="A740" s="274" t="s">
        <v>103</v>
      </c>
      <c r="B740" s="960" t="s">
        <v>25</v>
      </c>
      <c r="C740" s="961"/>
      <c r="D740" s="962"/>
      <c r="E740" s="326">
        <f t="shared" ref="E740:F740" si="888">+E729+E739</f>
        <v>10000</v>
      </c>
      <c r="F740" s="327">
        <f t="shared" si="888"/>
        <v>94000</v>
      </c>
      <c r="G740" s="326">
        <f>+G729+G739</f>
        <v>0</v>
      </c>
      <c r="H740" s="324">
        <f t="shared" ref="H740:I740" si="889">+H729+H739</f>
        <v>0</v>
      </c>
      <c r="I740" s="324">
        <f t="shared" si="889"/>
        <v>0</v>
      </c>
      <c r="J740" s="349" t="str">
        <f>IFERROR(G740/#REF!,"-")</f>
        <v>-</v>
      </c>
      <c r="K740" s="326">
        <f t="shared" ref="K740" si="890">+K729+K739</f>
        <v>0</v>
      </c>
      <c r="L740" s="324">
        <f>+L729+L739</f>
        <v>0</v>
      </c>
      <c r="M740" s="325">
        <f t="shared" ref="M740" si="891">+M729+M739</f>
        <v>0</v>
      </c>
      <c r="N740" s="341">
        <f t="shared" si="885"/>
        <v>0</v>
      </c>
      <c r="O740" s="349" t="str">
        <f t="shared" si="886"/>
        <v>-</v>
      </c>
    </row>
    <row r="741" spans="1:15" ht="23.25" thickBot="1" x14ac:dyDescent="0.3">
      <c r="A741" s="274" t="s">
        <v>103</v>
      </c>
      <c r="B741" s="963" t="s">
        <v>172</v>
      </c>
      <c r="C741" s="941"/>
      <c r="D741" s="942"/>
      <c r="E741" s="330">
        <f>+E724+E740</f>
        <v>3780000</v>
      </c>
      <c r="F741" s="331">
        <f t="shared" ref="F741:I741" si="892">+F724+F740</f>
        <v>559000</v>
      </c>
      <c r="G741" s="330">
        <f t="shared" si="892"/>
        <v>170623</v>
      </c>
      <c r="H741" s="328">
        <f t="shared" si="892"/>
        <v>170072</v>
      </c>
      <c r="I741" s="328">
        <f t="shared" si="892"/>
        <v>551</v>
      </c>
      <c r="J741" s="350">
        <f>+G741/F741</f>
        <v>0.30522898032200357</v>
      </c>
      <c r="K741" s="330">
        <f>+K724+K740</f>
        <v>1408128</v>
      </c>
      <c r="L741" s="328">
        <f t="shared" ref="L741:M741" si="893">+L724+L740</f>
        <v>1403148</v>
      </c>
      <c r="M741" s="329">
        <f t="shared" si="893"/>
        <v>4980</v>
      </c>
      <c r="N741" s="342">
        <f>IFERROR(K741/E741,"-")</f>
        <v>0.37252063492063492</v>
      </c>
      <c r="O741" s="350">
        <f t="shared" si="886"/>
        <v>3.5366103081538041E-3</v>
      </c>
    </row>
    <row r="742" spans="1:15" ht="24" x14ac:dyDescent="0.25">
      <c r="A742" s="268" t="s">
        <v>101</v>
      </c>
      <c r="B742" s="956" t="s">
        <v>26</v>
      </c>
      <c r="C742" s="297" t="s">
        <v>297</v>
      </c>
      <c r="D742" s="297" t="s">
        <v>177</v>
      </c>
      <c r="E742" s="270"/>
      <c r="F742" s="271"/>
      <c r="G742" s="332">
        <f t="shared" ref="G742:G751" si="894">+H742+I742</f>
        <v>0</v>
      </c>
      <c r="H742" s="272"/>
      <c r="I742" s="272"/>
      <c r="J742" s="351" t="str">
        <f>IFERROR(G742/#REF!,"-")</f>
        <v>-</v>
      </c>
      <c r="K742" s="332">
        <f t="shared" ref="K742:K751" si="895">+L742+M742</f>
        <v>0</v>
      </c>
      <c r="L742" s="272">
        <f t="shared" ref="L742:L751" si="896">+H742+L627</f>
        <v>0</v>
      </c>
      <c r="M742" s="273">
        <f t="shared" ref="M742:M751" si="897">+I742+M627</f>
        <v>0</v>
      </c>
      <c r="N742" s="336" t="str">
        <f t="shared" ref="N742:N755" si="898">IFERROR(K742/E742,"-")</f>
        <v>-</v>
      </c>
      <c r="O742" s="346" t="str">
        <f t="shared" si="886"/>
        <v>-</v>
      </c>
    </row>
    <row r="743" spans="1:15" ht="24" x14ac:dyDescent="0.25">
      <c r="A743" s="274" t="s">
        <v>101</v>
      </c>
      <c r="B743" s="956"/>
      <c r="C743" s="298" t="s">
        <v>424</v>
      </c>
      <c r="D743" s="298" t="s">
        <v>423</v>
      </c>
      <c r="E743" s="276">
        <v>564432</v>
      </c>
      <c r="F743" s="277"/>
      <c r="G743" s="333">
        <f t="shared" si="894"/>
        <v>0</v>
      </c>
      <c r="H743" s="278"/>
      <c r="I743" s="278"/>
      <c r="J743" s="352" t="str">
        <f>IFERROR(G743/#REF!,"-")</f>
        <v>-</v>
      </c>
      <c r="K743" s="333">
        <f t="shared" si="895"/>
        <v>265434</v>
      </c>
      <c r="L743" s="272">
        <f t="shared" si="896"/>
        <v>262548</v>
      </c>
      <c r="M743" s="273">
        <f t="shared" si="897"/>
        <v>2886</v>
      </c>
      <c r="N743" s="337">
        <f t="shared" si="898"/>
        <v>0.47026745471553705</v>
      </c>
      <c r="O743" s="263">
        <f t="shared" si="886"/>
        <v>1.0872759330002939E-2</v>
      </c>
    </row>
    <row r="744" spans="1:15" ht="24" x14ac:dyDescent="0.25">
      <c r="A744" s="274" t="s">
        <v>101</v>
      </c>
      <c r="B744" s="956"/>
      <c r="C744" s="299" t="s">
        <v>27</v>
      </c>
      <c r="D744" s="299" t="s">
        <v>334</v>
      </c>
      <c r="E744" s="280">
        <v>1301232</v>
      </c>
      <c r="F744" s="281"/>
      <c r="G744" s="333">
        <f t="shared" si="894"/>
        <v>20956</v>
      </c>
      <c r="H744" s="282">
        <v>19890</v>
      </c>
      <c r="I744" s="282">
        <v>1066</v>
      </c>
      <c r="J744" s="353" t="str">
        <f>IFERROR(G744/#REF!,"-")</f>
        <v>-</v>
      </c>
      <c r="K744" s="333">
        <f t="shared" si="895"/>
        <v>29523</v>
      </c>
      <c r="L744" s="272">
        <f t="shared" si="896"/>
        <v>27846</v>
      </c>
      <c r="M744" s="273">
        <f t="shared" si="897"/>
        <v>1677</v>
      </c>
      <c r="N744" s="337">
        <f t="shared" si="898"/>
        <v>2.2688498284702496E-2</v>
      </c>
      <c r="O744" s="263">
        <f t="shared" si="886"/>
        <v>5.6803170409511231E-2</v>
      </c>
    </row>
    <row r="745" spans="1:15" ht="24" x14ac:dyDescent="0.25">
      <c r="A745" s="274" t="s">
        <v>101</v>
      </c>
      <c r="B745" s="956"/>
      <c r="C745" s="299" t="s">
        <v>27</v>
      </c>
      <c r="D745" s="297" t="s">
        <v>492</v>
      </c>
      <c r="E745" s="280"/>
      <c r="F745" s="281"/>
      <c r="G745" s="333">
        <f t="shared" si="894"/>
        <v>4239</v>
      </c>
      <c r="H745" s="282">
        <v>3978</v>
      </c>
      <c r="I745" s="282">
        <v>261</v>
      </c>
      <c r="J745" s="353" t="str">
        <f>IFERROR(G745/#REF!,"-")</f>
        <v>-</v>
      </c>
      <c r="K745" s="333">
        <f t="shared" si="895"/>
        <v>274869</v>
      </c>
      <c r="L745" s="272">
        <f t="shared" si="896"/>
        <v>270504</v>
      </c>
      <c r="M745" s="273">
        <f t="shared" si="897"/>
        <v>4365</v>
      </c>
      <c r="N745" s="337" t="str">
        <f t="shared" si="898"/>
        <v>-</v>
      </c>
      <c r="O745" s="263">
        <f t="shared" si="886"/>
        <v>1.588029206640254E-2</v>
      </c>
    </row>
    <row r="746" spans="1:15" ht="24" x14ac:dyDescent="0.25">
      <c r="A746" s="274" t="s">
        <v>101</v>
      </c>
      <c r="B746" s="956"/>
      <c r="C746" s="297" t="s">
        <v>521</v>
      </c>
      <c r="D746" s="299" t="s">
        <v>234</v>
      </c>
      <c r="E746" s="280"/>
      <c r="F746" s="281"/>
      <c r="G746" s="333">
        <f t="shared" si="894"/>
        <v>20431</v>
      </c>
      <c r="H746" s="282">
        <v>19890</v>
      </c>
      <c r="I746" s="282">
        <v>541</v>
      </c>
      <c r="J746" s="353" t="str">
        <f>IFERROR(G746/#REF!,"-")</f>
        <v>-</v>
      </c>
      <c r="K746" s="333">
        <f t="shared" si="895"/>
        <v>20431</v>
      </c>
      <c r="L746" s="272">
        <f t="shared" si="896"/>
        <v>19890</v>
      </c>
      <c r="M746" s="273">
        <f t="shared" si="897"/>
        <v>541</v>
      </c>
      <c r="N746" s="337" t="str">
        <f t="shared" si="898"/>
        <v>-</v>
      </c>
      <c r="O746" s="263">
        <f t="shared" si="886"/>
        <v>2.6479369585433898E-2</v>
      </c>
    </row>
    <row r="747" spans="1:15" ht="22.5" customHeight="1" x14ac:dyDescent="0.25">
      <c r="A747" s="274"/>
      <c r="B747" s="956"/>
      <c r="C747" s="299" t="s">
        <v>432</v>
      </c>
      <c r="D747" s="299" t="s">
        <v>178</v>
      </c>
      <c r="E747" s="280"/>
      <c r="F747" s="281"/>
      <c r="G747" s="334">
        <f t="shared" si="894"/>
        <v>0</v>
      </c>
      <c r="H747" s="282"/>
      <c r="I747" s="282"/>
      <c r="J747" s="353" t="str">
        <f>IFERROR(G747/#REF!,"-")</f>
        <v>-</v>
      </c>
      <c r="K747" s="334">
        <f t="shared" si="895"/>
        <v>0</v>
      </c>
      <c r="L747" s="272">
        <f t="shared" si="896"/>
        <v>0</v>
      </c>
      <c r="M747" s="273">
        <f t="shared" si="897"/>
        <v>0</v>
      </c>
      <c r="N747" s="337" t="str">
        <f t="shared" si="898"/>
        <v>-</v>
      </c>
      <c r="O747" s="263" t="str">
        <f t="shared" si="886"/>
        <v>-</v>
      </c>
    </row>
    <row r="748" spans="1:15" ht="24" x14ac:dyDescent="0.25">
      <c r="A748" s="274"/>
      <c r="B748" s="956"/>
      <c r="C748" s="299" t="s">
        <v>333</v>
      </c>
      <c r="D748" s="299" t="s">
        <v>94</v>
      </c>
      <c r="E748" s="280"/>
      <c r="F748" s="281"/>
      <c r="G748" s="334">
        <f t="shared" si="894"/>
        <v>0</v>
      </c>
      <c r="H748" s="282"/>
      <c r="I748" s="282"/>
      <c r="J748" s="353" t="str">
        <f>IFERROR(G748/#REF!,"-")</f>
        <v>-</v>
      </c>
      <c r="K748" s="334">
        <f t="shared" si="895"/>
        <v>0</v>
      </c>
      <c r="L748" s="272">
        <f t="shared" si="896"/>
        <v>0</v>
      </c>
      <c r="M748" s="273">
        <f t="shared" si="897"/>
        <v>0</v>
      </c>
      <c r="N748" s="337" t="str">
        <f t="shared" si="898"/>
        <v>-</v>
      </c>
      <c r="O748" s="263" t="str">
        <f t="shared" si="886"/>
        <v>-</v>
      </c>
    </row>
    <row r="749" spans="1:15" ht="24" x14ac:dyDescent="0.25">
      <c r="A749" s="274"/>
      <c r="B749" s="956"/>
      <c r="C749" s="299" t="s">
        <v>433</v>
      </c>
      <c r="D749" s="299" t="s">
        <v>178</v>
      </c>
      <c r="E749" s="280"/>
      <c r="F749" s="281"/>
      <c r="G749" s="334">
        <f t="shared" si="894"/>
        <v>0</v>
      </c>
      <c r="H749" s="282"/>
      <c r="I749" s="282"/>
      <c r="J749" s="353" t="str">
        <f>IFERROR(G749/#REF!,"-")</f>
        <v>-</v>
      </c>
      <c r="K749" s="334">
        <f t="shared" si="895"/>
        <v>0</v>
      </c>
      <c r="L749" s="272">
        <f t="shared" si="896"/>
        <v>0</v>
      </c>
      <c r="M749" s="272">
        <f t="shared" si="897"/>
        <v>0</v>
      </c>
      <c r="N749" s="337" t="str">
        <f t="shared" si="898"/>
        <v>-</v>
      </c>
      <c r="O749" s="263" t="str">
        <f t="shared" si="886"/>
        <v>-</v>
      </c>
    </row>
    <row r="750" spans="1:15" ht="24" x14ac:dyDescent="0.25">
      <c r="A750" s="274"/>
      <c r="B750" s="956"/>
      <c r="C750" s="299" t="s">
        <v>382</v>
      </c>
      <c r="D750" s="299" t="s">
        <v>366</v>
      </c>
      <c r="E750" s="280"/>
      <c r="F750" s="281"/>
      <c r="G750" s="334">
        <f t="shared" si="894"/>
        <v>0</v>
      </c>
      <c r="H750" s="282"/>
      <c r="I750" s="282"/>
      <c r="J750" s="353" t="str">
        <f>IFERROR(G750/#REF!,"-")</f>
        <v>-</v>
      </c>
      <c r="K750" s="334">
        <f t="shared" si="895"/>
        <v>0</v>
      </c>
      <c r="L750" s="272">
        <f t="shared" si="896"/>
        <v>0</v>
      </c>
      <c r="M750" s="273">
        <f t="shared" si="897"/>
        <v>0</v>
      </c>
      <c r="N750" s="337" t="str">
        <f t="shared" si="898"/>
        <v>-</v>
      </c>
      <c r="O750" s="263" t="str">
        <f t="shared" si="886"/>
        <v>-</v>
      </c>
    </row>
    <row r="751" spans="1:15" ht="24.75" thickBot="1" x14ac:dyDescent="0.3">
      <c r="A751" s="274" t="s">
        <v>101</v>
      </c>
      <c r="B751" s="956"/>
      <c r="C751" s="300" t="s">
        <v>290</v>
      </c>
      <c r="D751" s="299" t="s">
        <v>289</v>
      </c>
      <c r="E751" s="280"/>
      <c r="F751" s="281"/>
      <c r="G751" s="334">
        <f t="shared" si="894"/>
        <v>0</v>
      </c>
      <c r="H751" s="282"/>
      <c r="I751" s="282"/>
      <c r="J751" s="353" t="str">
        <f>IFERROR(G751/#REF!,"-")</f>
        <v>-</v>
      </c>
      <c r="K751" s="334">
        <f t="shared" si="895"/>
        <v>0</v>
      </c>
      <c r="L751" s="272">
        <f t="shared" si="896"/>
        <v>0</v>
      </c>
      <c r="M751" s="273">
        <f t="shared" si="897"/>
        <v>0</v>
      </c>
      <c r="N751" s="337" t="str">
        <f t="shared" si="898"/>
        <v>-</v>
      </c>
      <c r="O751" s="347" t="str">
        <f t="shared" si="886"/>
        <v>-</v>
      </c>
    </row>
    <row r="752" spans="1:15" ht="23.25" thickBot="1" x14ac:dyDescent="0.3">
      <c r="A752" s="274" t="s">
        <v>101</v>
      </c>
      <c r="B752" s="969"/>
      <c r="C752" s="301"/>
      <c r="D752" s="302" t="s">
        <v>52</v>
      </c>
      <c r="E752" s="284">
        <f>SUM(E742:E751)</f>
        <v>1865664</v>
      </c>
      <c r="F752" s="285">
        <v>160000</v>
      </c>
      <c r="G752" s="320">
        <f>SUM(G742:G751)</f>
        <v>45626</v>
      </c>
      <c r="H752" s="321">
        <f>SUM(H742:H751)</f>
        <v>43758</v>
      </c>
      <c r="I752" s="321">
        <f>SUM(I742:I751)</f>
        <v>1868</v>
      </c>
      <c r="J752" s="345">
        <f>+G752/F752</f>
        <v>0.28516249999999999</v>
      </c>
      <c r="K752" s="320">
        <f>SUM(K742:K751)</f>
        <v>590257</v>
      </c>
      <c r="L752" s="321">
        <f>SUM(L742:L751)</f>
        <v>580788</v>
      </c>
      <c r="M752" s="322">
        <f>SUM(M742:M751)</f>
        <v>9469</v>
      </c>
      <c r="N752" s="339">
        <f t="shared" si="898"/>
        <v>0.31637904788858018</v>
      </c>
      <c r="O752" s="345">
        <f t="shared" si="886"/>
        <v>1.6042164684196884E-2</v>
      </c>
    </row>
    <row r="753" spans="1:15" ht="24" x14ac:dyDescent="0.25">
      <c r="A753" s="274" t="s">
        <v>101</v>
      </c>
      <c r="B753" s="955" t="s">
        <v>28</v>
      </c>
      <c r="C753" s="299" t="s">
        <v>27</v>
      </c>
      <c r="D753" s="297" t="s">
        <v>492</v>
      </c>
      <c r="E753" s="270"/>
      <c r="F753" s="271"/>
      <c r="G753" s="332">
        <f t="shared" ref="G753:G757" si="899">+H753+I753</f>
        <v>32374</v>
      </c>
      <c r="H753" s="272">
        <v>31824</v>
      </c>
      <c r="I753" s="272">
        <v>550</v>
      </c>
      <c r="J753" s="351" t="str">
        <f>IFERROR(G753/#REF!,"-")</f>
        <v>-</v>
      </c>
      <c r="K753" s="332">
        <f t="shared" ref="K753:K759" si="900">+L753+M753</f>
        <v>161499</v>
      </c>
      <c r="L753" s="272">
        <f t="shared" ref="L753:M759" si="901">+H753+L638</f>
        <v>159120</v>
      </c>
      <c r="M753" s="273">
        <f t="shared" si="901"/>
        <v>2379</v>
      </c>
      <c r="N753" s="336" t="str">
        <f t="shared" si="898"/>
        <v>-</v>
      </c>
      <c r="O753" s="346">
        <f t="shared" si="886"/>
        <v>1.4730741366819608E-2</v>
      </c>
    </row>
    <row r="754" spans="1:15" ht="24" x14ac:dyDescent="0.25">
      <c r="A754" s="274" t="s">
        <v>101</v>
      </c>
      <c r="B754" s="956"/>
      <c r="C754" s="299" t="s">
        <v>385</v>
      </c>
      <c r="D754" s="299" t="s">
        <v>334</v>
      </c>
      <c r="E754" s="276"/>
      <c r="F754" s="277"/>
      <c r="G754" s="333">
        <f t="shared" si="899"/>
        <v>0</v>
      </c>
      <c r="H754" s="278"/>
      <c r="I754" s="278"/>
      <c r="J754" s="352" t="str">
        <f>IFERROR(G754/#REF!,"-")</f>
        <v>-</v>
      </c>
      <c r="K754" s="333">
        <f t="shared" si="900"/>
        <v>96975</v>
      </c>
      <c r="L754" s="272">
        <f t="shared" si="901"/>
        <v>95472</v>
      </c>
      <c r="M754" s="273">
        <f t="shared" si="901"/>
        <v>1503</v>
      </c>
      <c r="N754" s="337" t="str">
        <f t="shared" si="898"/>
        <v>-</v>
      </c>
      <c r="O754" s="263">
        <f t="shared" si="886"/>
        <v>1.5498839907192575E-2</v>
      </c>
    </row>
    <row r="755" spans="1:15" ht="24" x14ac:dyDescent="0.25">
      <c r="A755" s="274" t="s">
        <v>101</v>
      </c>
      <c r="B755" s="956"/>
      <c r="C755" s="299" t="s">
        <v>27</v>
      </c>
      <c r="D755" s="299" t="s">
        <v>334</v>
      </c>
      <c r="E755" s="276"/>
      <c r="F755" s="277"/>
      <c r="G755" s="333">
        <f t="shared" si="899"/>
        <v>0</v>
      </c>
      <c r="H755" s="278"/>
      <c r="I755" s="278"/>
      <c r="J755" s="352" t="str">
        <f>IFERROR(G755/#REF!,"-")</f>
        <v>-</v>
      </c>
      <c r="K755" s="333">
        <f t="shared" si="900"/>
        <v>0</v>
      </c>
      <c r="L755" s="272">
        <f t="shared" si="901"/>
        <v>0</v>
      </c>
      <c r="M755" s="273">
        <f t="shared" si="901"/>
        <v>0</v>
      </c>
      <c r="N755" s="337" t="str">
        <f t="shared" si="898"/>
        <v>-</v>
      </c>
      <c r="O755" s="263" t="str">
        <f t="shared" si="886"/>
        <v>-</v>
      </c>
    </row>
    <row r="756" spans="1:15" ht="24" x14ac:dyDescent="0.25">
      <c r="A756" s="274"/>
      <c r="B756" s="956"/>
      <c r="C756" s="299" t="s">
        <v>460</v>
      </c>
      <c r="D756" s="299" t="s">
        <v>334</v>
      </c>
      <c r="E756" s="280"/>
      <c r="F756" s="281"/>
      <c r="G756" s="333">
        <f t="shared" si="899"/>
        <v>0</v>
      </c>
      <c r="H756" s="282"/>
      <c r="I756" s="282"/>
      <c r="J756" s="352" t="str">
        <f>IFERROR(G756/#REF!,"-")</f>
        <v>-</v>
      </c>
      <c r="K756" s="333">
        <f t="shared" si="900"/>
        <v>0</v>
      </c>
      <c r="L756" s="272">
        <f t="shared" si="901"/>
        <v>0</v>
      </c>
      <c r="M756" s="273">
        <f t="shared" si="901"/>
        <v>0</v>
      </c>
      <c r="N756" s="338"/>
      <c r="O756" s="347"/>
    </row>
    <row r="757" spans="1:15" ht="24" x14ac:dyDescent="0.25">
      <c r="A757" s="274" t="s">
        <v>101</v>
      </c>
      <c r="B757" s="956"/>
      <c r="C757" s="299" t="s">
        <v>382</v>
      </c>
      <c r="D757" s="300" t="s">
        <v>366</v>
      </c>
      <c r="E757" s="280"/>
      <c r="F757" s="281"/>
      <c r="G757" s="334">
        <f t="shared" si="899"/>
        <v>0</v>
      </c>
      <c r="H757" s="282"/>
      <c r="I757" s="282"/>
      <c r="J757" s="352" t="str">
        <f>IFERROR(G757/#REF!,"-")</f>
        <v>-</v>
      </c>
      <c r="K757" s="334">
        <f t="shared" si="900"/>
        <v>0</v>
      </c>
      <c r="L757" s="272">
        <f t="shared" si="901"/>
        <v>0</v>
      </c>
      <c r="M757" s="702">
        <f t="shared" si="901"/>
        <v>0</v>
      </c>
      <c r="N757" s="338" t="str">
        <f t="shared" ref="N757" si="902">IFERROR(K757/E757,"-")</f>
        <v>-</v>
      </c>
      <c r="O757" s="347" t="str">
        <f t="shared" ref="O757" si="903">IFERROR(M757/K757,"-")</f>
        <v>-</v>
      </c>
    </row>
    <row r="758" spans="1:15" ht="24" x14ac:dyDescent="0.25">
      <c r="A758" s="274"/>
      <c r="B758" s="956"/>
      <c r="C758" s="299" t="s">
        <v>458</v>
      </c>
      <c r="D758" s="300" t="s">
        <v>280</v>
      </c>
      <c r="E758" s="280"/>
      <c r="F758" s="281"/>
      <c r="G758" s="334"/>
      <c r="H758" s="282"/>
      <c r="I758" s="282"/>
      <c r="J758" s="352" t="str">
        <f>IFERROR(G758/#REF!,"-")</f>
        <v>-</v>
      </c>
      <c r="K758" s="334">
        <f t="shared" si="900"/>
        <v>0</v>
      </c>
      <c r="L758" s="272">
        <f t="shared" si="901"/>
        <v>0</v>
      </c>
      <c r="M758" s="272">
        <f t="shared" si="901"/>
        <v>0</v>
      </c>
      <c r="N758" s="338"/>
      <c r="O758" s="347"/>
    </row>
    <row r="759" spans="1:15" ht="24.75" thickBot="1" x14ac:dyDescent="0.3">
      <c r="A759" s="274" t="s">
        <v>101</v>
      </c>
      <c r="B759" s="956"/>
      <c r="C759" s="299" t="s">
        <v>27</v>
      </c>
      <c r="D759" s="300" t="s">
        <v>234</v>
      </c>
      <c r="E759" s="280"/>
      <c r="F759" s="281"/>
      <c r="G759" s="334">
        <f t="shared" ref="G759" si="904">+H759+I759</f>
        <v>0</v>
      </c>
      <c r="H759" s="282"/>
      <c r="I759" s="282"/>
      <c r="J759" s="353" t="str">
        <f>IFERROR(G759/#REF!,"-")</f>
        <v>-</v>
      </c>
      <c r="K759" s="334">
        <f t="shared" si="900"/>
        <v>0</v>
      </c>
      <c r="L759" s="272">
        <f t="shared" si="901"/>
        <v>0</v>
      </c>
      <c r="M759" s="702">
        <f t="shared" si="901"/>
        <v>0</v>
      </c>
      <c r="N759" s="338" t="str">
        <f t="shared" ref="N759:N760" si="905">IFERROR(K759/E759,"-")</f>
        <v>-</v>
      </c>
      <c r="O759" s="347" t="str">
        <f t="shared" ref="O759:O775" si="906">IFERROR(M759/K759,"-")</f>
        <v>-</v>
      </c>
    </row>
    <row r="760" spans="1:15" ht="23.25" thickBot="1" x14ac:dyDescent="0.3">
      <c r="A760" s="274" t="s">
        <v>101</v>
      </c>
      <c r="B760" s="956"/>
      <c r="C760" s="304"/>
      <c r="D760" s="305" t="s">
        <v>52</v>
      </c>
      <c r="E760" s="306">
        <f>SUM(E753:E759)</f>
        <v>0</v>
      </c>
      <c r="F760" s="307">
        <v>80000</v>
      </c>
      <c r="G760" s="366">
        <f>SUM(G753:G759)</f>
        <v>32374</v>
      </c>
      <c r="H760" s="365">
        <f>SUM(H753:H759)</f>
        <v>31824</v>
      </c>
      <c r="I760" s="365">
        <f>SUM(I753:I759)</f>
        <v>550</v>
      </c>
      <c r="J760" s="356">
        <f>+G760/F760</f>
        <v>0.40467500000000001</v>
      </c>
      <c r="K760" s="366">
        <f>SUM(K753:K759)</f>
        <v>258474</v>
      </c>
      <c r="L760" s="365">
        <f>SUM(L753:L759)</f>
        <v>254592</v>
      </c>
      <c r="M760" s="367">
        <f>SUM(M753:M759)</f>
        <v>3882</v>
      </c>
      <c r="N760" s="355" t="str">
        <f t="shared" si="905"/>
        <v>-</v>
      </c>
      <c r="O760" s="356">
        <f t="shared" si="906"/>
        <v>1.5018918730704055E-2</v>
      </c>
    </row>
    <row r="761" spans="1:15" ht="23.25" thickBot="1" x14ac:dyDescent="0.3">
      <c r="A761" s="812" t="s">
        <v>101</v>
      </c>
      <c r="B761" s="957" t="s">
        <v>162</v>
      </c>
      <c r="C761" s="958"/>
      <c r="D761" s="959"/>
      <c r="E761" s="308">
        <f>+E760+E752</f>
        <v>1865664</v>
      </c>
      <c r="F761" s="309">
        <v>240000</v>
      </c>
      <c r="G761" s="369">
        <f>+G752+G760</f>
        <v>78000</v>
      </c>
      <c r="H761" s="368">
        <f>+H752+H760</f>
        <v>75582</v>
      </c>
      <c r="I761" s="368">
        <f>+I752+I760</f>
        <v>2418</v>
      </c>
      <c r="J761" s="358">
        <f>+G761/F761</f>
        <v>0.32500000000000001</v>
      </c>
      <c r="K761" s="369">
        <f>+K752+K760</f>
        <v>848731</v>
      </c>
      <c r="L761" s="368">
        <f>+L752+L760</f>
        <v>835380</v>
      </c>
      <c r="M761" s="370">
        <f>+M752+M760</f>
        <v>13351</v>
      </c>
      <c r="N761" s="357">
        <f>IFERROR(K761/E761,"-")</f>
        <v>0.45492167935919864</v>
      </c>
      <c r="O761" s="358">
        <f t="shared" si="906"/>
        <v>1.5730543599797815E-2</v>
      </c>
    </row>
    <row r="762" spans="1:15" ht="24" x14ac:dyDescent="0.25">
      <c r="A762" s="274" t="s">
        <v>101</v>
      </c>
      <c r="B762" s="956" t="s">
        <v>30</v>
      </c>
      <c r="C762" s="303" t="s">
        <v>446</v>
      </c>
      <c r="D762" s="299" t="s">
        <v>334</v>
      </c>
      <c r="E762" s="270">
        <v>225000</v>
      </c>
      <c r="F762" s="271"/>
      <c r="G762" s="332">
        <f t="shared" ref="G762:G764" si="907">+H762+I762</f>
        <v>0</v>
      </c>
      <c r="H762" s="272"/>
      <c r="I762" s="272"/>
      <c r="J762" s="351" t="str">
        <f>IFERROR(G762/#REF!,"-")</f>
        <v>-</v>
      </c>
      <c r="K762" s="332">
        <f t="shared" ref="K762:K764" si="908">+L762+M762</f>
        <v>0</v>
      </c>
      <c r="L762" s="272">
        <f t="shared" ref="L762:M764" si="909">+H762+L647</f>
        <v>0</v>
      </c>
      <c r="M762" s="273">
        <f t="shared" si="909"/>
        <v>0</v>
      </c>
      <c r="N762" s="336">
        <f t="shared" ref="N762:N775" si="910">IFERROR(K762/E762,"-")</f>
        <v>0</v>
      </c>
      <c r="O762" s="346" t="str">
        <f t="shared" si="906"/>
        <v>-</v>
      </c>
    </row>
    <row r="763" spans="1:15" ht="24" x14ac:dyDescent="0.25">
      <c r="A763" s="274" t="s">
        <v>101</v>
      </c>
      <c r="B763" s="956"/>
      <c r="C763" s="300" t="s">
        <v>429</v>
      </c>
      <c r="D763" s="303" t="s">
        <v>366</v>
      </c>
      <c r="E763" s="276"/>
      <c r="F763" s="277"/>
      <c r="G763" s="333">
        <f t="shared" si="907"/>
        <v>0</v>
      </c>
      <c r="H763" s="278"/>
      <c r="I763" s="278"/>
      <c r="J763" s="352" t="str">
        <f>IFERROR(G763/#REF!,"-")</f>
        <v>-</v>
      </c>
      <c r="K763" s="333">
        <f t="shared" si="908"/>
        <v>0</v>
      </c>
      <c r="L763" s="272">
        <f t="shared" si="909"/>
        <v>0</v>
      </c>
      <c r="M763" s="273">
        <f t="shared" si="909"/>
        <v>0</v>
      </c>
      <c r="N763" s="337" t="str">
        <f t="shared" si="910"/>
        <v>-</v>
      </c>
      <c r="O763" s="263" t="str">
        <f t="shared" si="906"/>
        <v>-</v>
      </c>
    </row>
    <row r="764" spans="1:15" ht="24.75" thickBot="1" x14ac:dyDescent="0.3">
      <c r="A764" s="274" t="s">
        <v>101</v>
      </c>
      <c r="B764" s="956"/>
      <c r="C764" s="300" t="s">
        <v>291</v>
      </c>
      <c r="D764" s="300" t="s">
        <v>366</v>
      </c>
      <c r="E764" s="280"/>
      <c r="F764" s="281"/>
      <c r="G764" s="334">
        <f t="shared" si="907"/>
        <v>0</v>
      </c>
      <c r="H764" s="282"/>
      <c r="I764" s="282"/>
      <c r="J764" s="353" t="str">
        <f>IFERROR(G764/#REF!,"-")</f>
        <v>-</v>
      </c>
      <c r="K764" s="334">
        <f t="shared" si="908"/>
        <v>0</v>
      </c>
      <c r="L764" s="272">
        <f t="shared" si="909"/>
        <v>0</v>
      </c>
      <c r="M764" s="273">
        <f t="shared" si="909"/>
        <v>0</v>
      </c>
      <c r="N764" s="338" t="str">
        <f t="shared" si="910"/>
        <v>-</v>
      </c>
      <c r="O764" s="347" t="str">
        <f t="shared" si="906"/>
        <v>-</v>
      </c>
    </row>
    <row r="765" spans="1:15" ht="23.25" thickBot="1" x14ac:dyDescent="0.3">
      <c r="A765" s="274" t="s">
        <v>101</v>
      </c>
      <c r="B765" s="956"/>
      <c r="C765" s="301"/>
      <c r="D765" s="302" t="s">
        <v>50</v>
      </c>
      <c r="E765" s="284">
        <f>SUM(E762:E764)</f>
        <v>225000</v>
      </c>
      <c r="F765" s="285">
        <v>50000</v>
      </c>
      <c r="G765" s="320">
        <f>SUM(G762:G764)</f>
        <v>0</v>
      </c>
      <c r="H765" s="321">
        <f>SUM(H762:H764)</f>
        <v>0</v>
      </c>
      <c r="I765" s="321">
        <f>SUM(I762:I764)</f>
        <v>0</v>
      </c>
      <c r="J765" s="345" t="e">
        <f>+H765/G765</f>
        <v>#DIV/0!</v>
      </c>
      <c r="K765" s="320">
        <f>SUM(K762:K764)</f>
        <v>0</v>
      </c>
      <c r="L765" s="321">
        <f>SUM(L762:L764)</f>
        <v>0</v>
      </c>
      <c r="M765" s="322">
        <f>SUM(M762:M764)</f>
        <v>0</v>
      </c>
      <c r="N765" s="339">
        <f t="shared" si="910"/>
        <v>0</v>
      </c>
      <c r="O765" s="345" t="str">
        <f t="shared" si="906"/>
        <v>-</v>
      </c>
    </row>
    <row r="766" spans="1:15" ht="24" x14ac:dyDescent="0.25">
      <c r="A766" s="274" t="s">
        <v>101</v>
      </c>
      <c r="B766" s="956"/>
      <c r="C766" s="297" t="s">
        <v>434</v>
      </c>
      <c r="D766" s="297" t="s">
        <v>92</v>
      </c>
      <c r="E766" s="270"/>
      <c r="F766" s="271"/>
      <c r="G766" s="332">
        <f t="shared" ref="G766:G767" si="911">+H766+I766</f>
        <v>0</v>
      </c>
      <c r="H766" s="272"/>
      <c r="I766" s="272"/>
      <c r="J766" s="351" t="str">
        <f>IFERROR(G766/#REF!,"-")</f>
        <v>-</v>
      </c>
      <c r="K766" s="332">
        <f t="shared" ref="K766:K771" si="912">+L766+M766</f>
        <v>0</v>
      </c>
      <c r="L766" s="272">
        <f t="shared" ref="L766:M771" si="913">+H766+L651</f>
        <v>0</v>
      </c>
      <c r="M766" s="273">
        <f t="shared" si="913"/>
        <v>0</v>
      </c>
      <c r="N766" s="336" t="str">
        <f t="shared" si="910"/>
        <v>-</v>
      </c>
      <c r="O766" s="346" t="str">
        <f t="shared" si="906"/>
        <v>-</v>
      </c>
    </row>
    <row r="767" spans="1:15" ht="24" x14ac:dyDescent="0.25">
      <c r="A767" s="274"/>
      <c r="B767" s="956"/>
      <c r="C767" s="303" t="s">
        <v>449</v>
      </c>
      <c r="D767" s="299" t="s">
        <v>334</v>
      </c>
      <c r="E767" s="270"/>
      <c r="F767" s="271"/>
      <c r="G767" s="332">
        <f t="shared" si="911"/>
        <v>0</v>
      </c>
      <c r="H767" s="272"/>
      <c r="I767" s="272"/>
      <c r="J767" s="351" t="str">
        <f>IFERROR(G767/#REF!,"-")</f>
        <v>-</v>
      </c>
      <c r="K767" s="332">
        <f t="shared" si="912"/>
        <v>0</v>
      </c>
      <c r="L767" s="272">
        <f t="shared" si="913"/>
        <v>0</v>
      </c>
      <c r="M767" s="273">
        <f t="shared" si="913"/>
        <v>0</v>
      </c>
      <c r="N767" s="337" t="str">
        <f t="shared" si="910"/>
        <v>-</v>
      </c>
      <c r="O767" s="346" t="str">
        <f t="shared" si="906"/>
        <v>-</v>
      </c>
    </row>
    <row r="768" spans="1:15" ht="24" x14ac:dyDescent="0.25">
      <c r="A768" s="274"/>
      <c r="B768" s="956"/>
      <c r="C768" s="303" t="s">
        <v>452</v>
      </c>
      <c r="D768" s="299" t="s">
        <v>334</v>
      </c>
      <c r="E768" s="270"/>
      <c r="F768" s="271"/>
      <c r="G768" s="332"/>
      <c r="H768" s="272"/>
      <c r="I768" s="272"/>
      <c r="J768" s="351" t="str">
        <f>IFERROR(G768/#REF!,"-")</f>
        <v>-</v>
      </c>
      <c r="K768" s="332">
        <f t="shared" si="912"/>
        <v>0</v>
      </c>
      <c r="L768" s="272">
        <f t="shared" si="913"/>
        <v>0</v>
      </c>
      <c r="M768" s="273">
        <f t="shared" si="913"/>
        <v>0</v>
      </c>
      <c r="N768" s="337" t="str">
        <f t="shared" si="910"/>
        <v>-</v>
      </c>
      <c r="O768" s="346" t="str">
        <f t="shared" si="906"/>
        <v>-</v>
      </c>
    </row>
    <row r="769" spans="1:15" ht="24" x14ac:dyDescent="0.25">
      <c r="A769" s="274" t="s">
        <v>101</v>
      </c>
      <c r="B769" s="956"/>
      <c r="C769" s="303" t="s">
        <v>501</v>
      </c>
      <c r="D769" s="300" t="s">
        <v>423</v>
      </c>
      <c r="E769" s="276">
        <v>125000</v>
      </c>
      <c r="F769" s="277"/>
      <c r="G769" s="333">
        <f t="shared" ref="G769" si="914">+H769+I769</f>
        <v>0</v>
      </c>
      <c r="H769" s="278"/>
      <c r="I769" s="278"/>
      <c r="J769" s="351" t="str">
        <f>IFERROR(G769/#REF!,"-")</f>
        <v>-</v>
      </c>
      <c r="K769" s="333">
        <f t="shared" si="912"/>
        <v>8116</v>
      </c>
      <c r="L769" s="272">
        <f t="shared" si="913"/>
        <v>7488</v>
      </c>
      <c r="M769" s="273">
        <f t="shared" si="913"/>
        <v>628</v>
      </c>
      <c r="N769" s="337">
        <f t="shared" si="910"/>
        <v>6.4928E-2</v>
      </c>
      <c r="O769" s="263">
        <f t="shared" si="906"/>
        <v>7.737801872843765E-2</v>
      </c>
    </row>
    <row r="770" spans="1:15" ht="24" x14ac:dyDescent="0.25">
      <c r="A770" s="274"/>
      <c r="B770" s="956"/>
      <c r="C770" s="300" t="s">
        <v>459</v>
      </c>
      <c r="D770" s="300" t="s">
        <v>366</v>
      </c>
      <c r="E770" s="280"/>
      <c r="F770" s="281"/>
      <c r="G770" s="334"/>
      <c r="H770" s="282"/>
      <c r="I770" s="282"/>
      <c r="J770" s="351" t="str">
        <f>IFERROR(G770/#REF!,"-")</f>
        <v>-</v>
      </c>
      <c r="K770" s="333">
        <f t="shared" si="912"/>
        <v>0</v>
      </c>
      <c r="L770" s="272">
        <f t="shared" si="913"/>
        <v>0</v>
      </c>
      <c r="M770" s="272">
        <f t="shared" si="913"/>
        <v>0</v>
      </c>
      <c r="N770" s="337" t="str">
        <f t="shared" si="910"/>
        <v>-</v>
      </c>
      <c r="O770" s="263" t="str">
        <f t="shared" si="906"/>
        <v>-</v>
      </c>
    </row>
    <row r="771" spans="1:15" ht="24.75" thickBot="1" x14ac:dyDescent="0.3">
      <c r="A771" s="274" t="s">
        <v>101</v>
      </c>
      <c r="B771" s="956"/>
      <c r="C771" s="300" t="s">
        <v>435</v>
      </c>
      <c r="D771" s="300" t="s">
        <v>423</v>
      </c>
      <c r="E771" s="280"/>
      <c r="F771" s="281"/>
      <c r="G771" s="334">
        <f t="shared" ref="G771" si="915">+H771+I771</f>
        <v>0</v>
      </c>
      <c r="H771" s="282"/>
      <c r="I771" s="282"/>
      <c r="J771" s="353" t="str">
        <f>IFERROR(G771/#REF!,"-")</f>
        <v>-</v>
      </c>
      <c r="K771" s="334">
        <f t="shared" si="912"/>
        <v>0</v>
      </c>
      <c r="L771" s="272">
        <f t="shared" si="913"/>
        <v>0</v>
      </c>
      <c r="M771" s="273">
        <f t="shared" si="913"/>
        <v>0</v>
      </c>
      <c r="N771" s="338" t="str">
        <f t="shared" si="910"/>
        <v>-</v>
      </c>
      <c r="O771" s="347" t="str">
        <f t="shared" si="906"/>
        <v>-</v>
      </c>
    </row>
    <row r="772" spans="1:15" ht="23.25" thickBot="1" x14ac:dyDescent="0.3">
      <c r="A772" s="274" t="s">
        <v>101</v>
      </c>
      <c r="B772" s="956"/>
      <c r="C772" s="304"/>
      <c r="D772" s="305" t="s">
        <v>51</v>
      </c>
      <c r="E772" s="306">
        <f>SUM(E766:E771)</f>
        <v>125000</v>
      </c>
      <c r="F772" s="307">
        <v>50000</v>
      </c>
      <c r="G772" s="366">
        <f>SUM(G766:G771)</f>
        <v>0</v>
      </c>
      <c r="H772" s="365">
        <f t="shared" ref="H772:I772" si="916">SUM(H766:H771)</f>
        <v>0</v>
      </c>
      <c r="I772" s="365">
        <f t="shared" si="916"/>
        <v>0</v>
      </c>
      <c r="J772" s="356">
        <f>+G772/F772</f>
        <v>0</v>
      </c>
      <c r="K772" s="366">
        <f t="shared" ref="K772:M772" si="917">SUM(K766:K771)</f>
        <v>8116</v>
      </c>
      <c r="L772" s="365">
        <f t="shared" si="917"/>
        <v>7488</v>
      </c>
      <c r="M772" s="367">
        <f t="shared" si="917"/>
        <v>628</v>
      </c>
      <c r="N772" s="355">
        <f t="shared" si="910"/>
        <v>6.4928E-2</v>
      </c>
      <c r="O772" s="356">
        <f t="shared" si="906"/>
        <v>7.737801872843765E-2</v>
      </c>
    </row>
    <row r="773" spans="1:15" ht="23.25" thickBot="1" x14ac:dyDescent="0.3">
      <c r="A773" s="274" t="s">
        <v>101</v>
      </c>
      <c r="B773" s="957" t="s">
        <v>163</v>
      </c>
      <c r="C773" s="958"/>
      <c r="D773" s="959"/>
      <c r="E773" s="308">
        <f>+E772+E765</f>
        <v>350000</v>
      </c>
      <c r="F773" s="309">
        <v>50000</v>
      </c>
      <c r="G773" s="369">
        <f>+G765+G772</f>
        <v>0</v>
      </c>
      <c r="H773" s="368">
        <f t="shared" ref="H773:I773" si="918">+H765+H772</f>
        <v>0</v>
      </c>
      <c r="I773" s="368">
        <f t="shared" si="918"/>
        <v>0</v>
      </c>
      <c r="J773" s="358">
        <f>+G773/F773</f>
        <v>0</v>
      </c>
      <c r="K773" s="369">
        <f t="shared" ref="K773:M773" si="919">+K765+K772</f>
        <v>8116</v>
      </c>
      <c r="L773" s="368">
        <f t="shared" si="919"/>
        <v>7488</v>
      </c>
      <c r="M773" s="370">
        <f t="shared" si="919"/>
        <v>628</v>
      </c>
      <c r="N773" s="357">
        <f t="shared" si="910"/>
        <v>2.318857142857143E-2</v>
      </c>
      <c r="O773" s="358">
        <f t="shared" si="906"/>
        <v>7.737801872843765E-2</v>
      </c>
    </row>
    <row r="774" spans="1:15" ht="24.75" thickBot="1" x14ac:dyDescent="0.3">
      <c r="A774" s="274" t="s">
        <v>101</v>
      </c>
      <c r="B774" s="598" t="s">
        <v>32</v>
      </c>
      <c r="C774" s="808"/>
      <c r="D774" s="310" t="s">
        <v>32</v>
      </c>
      <c r="E774" s="287">
        <v>0</v>
      </c>
      <c r="F774" s="288">
        <v>110000</v>
      </c>
      <c r="G774" s="335">
        <f t="shared" ref="G774" si="920">+H774+I774</f>
        <v>0</v>
      </c>
      <c r="H774" s="289"/>
      <c r="I774" s="289"/>
      <c r="J774" s="354" t="str">
        <f>IFERROR(G774/#REF!,"-")</f>
        <v>-</v>
      </c>
      <c r="K774" s="335">
        <f>+L774+M774</f>
        <v>0</v>
      </c>
      <c r="L774" s="289">
        <f>+H774+L659</f>
        <v>0</v>
      </c>
      <c r="M774" s="290">
        <f>+I774+M659</f>
        <v>0</v>
      </c>
      <c r="N774" s="340" t="str">
        <f t="shared" si="910"/>
        <v>-</v>
      </c>
      <c r="O774" s="348" t="str">
        <f t="shared" si="906"/>
        <v>-</v>
      </c>
    </row>
    <row r="775" spans="1:15" ht="23.25" thickBot="1" x14ac:dyDescent="0.3">
      <c r="A775" s="274" t="s">
        <v>101</v>
      </c>
      <c r="B775" s="960" t="s">
        <v>21</v>
      </c>
      <c r="C775" s="961"/>
      <c r="D775" s="962"/>
      <c r="E775" s="326">
        <f>+E761+E773+E774</f>
        <v>2215664</v>
      </c>
      <c r="F775" s="327">
        <f>+F761+F773+F774</f>
        <v>400000</v>
      </c>
      <c r="G775" s="326">
        <f>+G761+G773+G774</f>
        <v>78000</v>
      </c>
      <c r="H775" s="324">
        <f>+H761+H773+H774</f>
        <v>75582</v>
      </c>
      <c r="I775" s="324">
        <f>+I761+I773+I774</f>
        <v>2418</v>
      </c>
      <c r="J775" s="349">
        <f>+G775/F775</f>
        <v>0.19500000000000001</v>
      </c>
      <c r="K775" s="326">
        <f>+K761+K773+K774</f>
        <v>856847</v>
      </c>
      <c r="L775" s="324">
        <f>+L761+L773+L774</f>
        <v>842868</v>
      </c>
      <c r="M775" s="325">
        <f>+M761+M773+M774</f>
        <v>13979</v>
      </c>
      <c r="N775" s="341">
        <f t="shared" si="910"/>
        <v>0.38672244528051186</v>
      </c>
      <c r="O775" s="349">
        <f t="shared" si="906"/>
        <v>1.631446454267798E-2</v>
      </c>
    </row>
    <row r="776" spans="1:15" ht="23.25" thickBot="1" x14ac:dyDescent="0.3">
      <c r="A776" s="274" t="s">
        <v>101</v>
      </c>
      <c r="B776" s="963" t="s">
        <v>171</v>
      </c>
      <c r="C776" s="941"/>
      <c r="D776" s="942"/>
      <c r="E776" s="330">
        <f>+E775</f>
        <v>2215664</v>
      </c>
      <c r="F776" s="331">
        <f t="shared" ref="F776:I776" si="921">+F775</f>
        <v>400000</v>
      </c>
      <c r="G776" s="330">
        <f t="shared" si="921"/>
        <v>78000</v>
      </c>
      <c r="H776" s="328">
        <f t="shared" si="921"/>
        <v>75582</v>
      </c>
      <c r="I776" s="328">
        <f t="shared" si="921"/>
        <v>2418</v>
      </c>
      <c r="J776" s="350">
        <f>+J775</f>
        <v>0.19500000000000001</v>
      </c>
      <c r="K776" s="330">
        <f>+K775</f>
        <v>856847</v>
      </c>
      <c r="L776" s="328">
        <f t="shared" ref="L776" si="922">+L775</f>
        <v>842868</v>
      </c>
      <c r="M776" s="329">
        <f>+M775</f>
        <v>13979</v>
      </c>
      <c r="N776" s="342">
        <f t="shared" ref="N776:O776" si="923">+N775</f>
        <v>0.38672244528051186</v>
      </c>
      <c r="O776" s="350">
        <f t="shared" si="923"/>
        <v>1.631446454267798E-2</v>
      </c>
    </row>
    <row r="777" spans="1:15" ht="24" x14ac:dyDescent="0.25">
      <c r="A777" s="268" t="s">
        <v>102</v>
      </c>
      <c r="B777" s="949" t="s">
        <v>401</v>
      </c>
      <c r="C777" s="311" t="s">
        <v>113</v>
      </c>
      <c r="D777" s="311"/>
      <c r="E777" s="270"/>
      <c r="F777" s="271"/>
      <c r="G777" s="332">
        <f t="shared" ref="G777:G779" si="924">+H777+I777</f>
        <v>0</v>
      </c>
      <c r="H777" s="272"/>
      <c r="I777" s="272"/>
      <c r="J777" s="351" t="str">
        <f>IFERROR(G777/#REF!,"-")</f>
        <v>-</v>
      </c>
      <c r="K777" s="332">
        <f t="shared" ref="K777:K779" si="925">+L777+M777</f>
        <v>0</v>
      </c>
      <c r="L777" s="272">
        <f t="shared" ref="L777:M779" si="926">+H777+L662</f>
        <v>0</v>
      </c>
      <c r="M777" s="273">
        <f t="shared" si="926"/>
        <v>0</v>
      </c>
      <c r="N777" s="336" t="str">
        <f t="shared" ref="N777:N784" si="927">IFERROR(K777/E777,"-")</f>
        <v>-</v>
      </c>
      <c r="O777" s="346" t="str">
        <f t="shared" ref="O777:O802" si="928">IFERROR(M777/K777,"-")</f>
        <v>-</v>
      </c>
    </row>
    <row r="778" spans="1:15" ht="24" x14ac:dyDescent="0.25">
      <c r="A778" s="274" t="s">
        <v>102</v>
      </c>
      <c r="B778" s="951"/>
      <c r="C778" s="312" t="s">
        <v>247</v>
      </c>
      <c r="D778" s="312"/>
      <c r="E778" s="276">
        <v>2000</v>
      </c>
      <c r="F778" s="277"/>
      <c r="G778" s="333">
        <f t="shared" si="924"/>
        <v>1151</v>
      </c>
      <c r="H778" s="278">
        <v>1100</v>
      </c>
      <c r="I778" s="278">
        <v>51</v>
      </c>
      <c r="J778" s="352" t="str">
        <f>IFERROR(G778/#REF!,"-")</f>
        <v>-</v>
      </c>
      <c r="K778" s="333">
        <f t="shared" si="925"/>
        <v>9238</v>
      </c>
      <c r="L778" s="272">
        <f t="shared" si="926"/>
        <v>8800</v>
      </c>
      <c r="M778" s="273">
        <f t="shared" si="926"/>
        <v>438</v>
      </c>
      <c r="N778" s="337">
        <f t="shared" si="927"/>
        <v>4.6189999999999998</v>
      </c>
      <c r="O778" s="263">
        <f t="shared" si="928"/>
        <v>4.7412859926390993E-2</v>
      </c>
    </row>
    <row r="779" spans="1:15" ht="24.75" thickBot="1" x14ac:dyDescent="0.3">
      <c r="A779" s="274" t="s">
        <v>102</v>
      </c>
      <c r="B779" s="950"/>
      <c r="C779" s="313" t="s">
        <v>33</v>
      </c>
      <c r="D779" s="313"/>
      <c r="E779" s="280"/>
      <c r="F779" s="281"/>
      <c r="G779" s="334">
        <f t="shared" si="924"/>
        <v>0</v>
      </c>
      <c r="H779" s="282"/>
      <c r="I779" s="282"/>
      <c r="J779" s="353" t="str">
        <f>IFERROR(G779/#REF!,"-")</f>
        <v>-</v>
      </c>
      <c r="K779" s="334">
        <f t="shared" si="925"/>
        <v>0</v>
      </c>
      <c r="L779" s="272">
        <f t="shared" si="926"/>
        <v>0</v>
      </c>
      <c r="M779" s="273">
        <f t="shared" si="926"/>
        <v>0</v>
      </c>
      <c r="N779" s="338" t="str">
        <f t="shared" si="927"/>
        <v>-</v>
      </c>
      <c r="O779" s="347" t="str">
        <f t="shared" si="928"/>
        <v>-</v>
      </c>
    </row>
    <row r="780" spans="1:15" ht="23.25" thickBot="1" x14ac:dyDescent="0.3">
      <c r="A780" s="274" t="s">
        <v>102</v>
      </c>
      <c r="B780" s="946" t="s">
        <v>34</v>
      </c>
      <c r="C780" s="947"/>
      <c r="D780" s="948"/>
      <c r="E780" s="284">
        <f>SUM(E777:E779)</f>
        <v>2000</v>
      </c>
      <c r="F780" s="285">
        <v>6500</v>
      </c>
      <c r="G780" s="320">
        <f>SUM(G777:G779)</f>
        <v>1151</v>
      </c>
      <c r="H780" s="321">
        <f t="shared" ref="H780:I780" si="929">SUM(H777:H779)</f>
        <v>1100</v>
      </c>
      <c r="I780" s="321">
        <f t="shared" si="929"/>
        <v>51</v>
      </c>
      <c r="J780" s="345" t="str">
        <f>IFERROR(G780/#REF!,"-")</f>
        <v>-</v>
      </c>
      <c r="K780" s="320">
        <f t="shared" ref="K780:M780" si="930">SUM(K777:K779)</f>
        <v>9238</v>
      </c>
      <c r="L780" s="321">
        <f t="shared" si="930"/>
        <v>8800</v>
      </c>
      <c r="M780" s="322">
        <f t="shared" si="930"/>
        <v>438</v>
      </c>
      <c r="N780" s="339">
        <f t="shared" si="927"/>
        <v>4.6189999999999998</v>
      </c>
      <c r="O780" s="345">
        <f t="shared" si="928"/>
        <v>4.7412859926390993E-2</v>
      </c>
    </row>
    <row r="781" spans="1:15" ht="24" x14ac:dyDescent="0.25">
      <c r="A781" s="274" t="s">
        <v>102</v>
      </c>
      <c r="B781" s="949" t="s">
        <v>35</v>
      </c>
      <c r="C781" s="311" t="s">
        <v>113</v>
      </c>
      <c r="D781" s="311"/>
      <c r="E781" s="270"/>
      <c r="F781" s="271"/>
      <c r="G781" s="332">
        <f t="shared" ref="G781:G784" si="931">+H781+I781</f>
        <v>0</v>
      </c>
      <c r="H781" s="272"/>
      <c r="I781" s="272"/>
      <c r="J781" s="351" t="str">
        <f>IFERROR(G781/#REF!,"-")</f>
        <v>-</v>
      </c>
      <c r="K781" s="332">
        <f t="shared" ref="K781:K784" si="932">+L781+M781</f>
        <v>0</v>
      </c>
      <c r="L781" s="272">
        <f t="shared" ref="L781:M784" si="933">+H781+L666</f>
        <v>0</v>
      </c>
      <c r="M781" s="273">
        <f t="shared" si="933"/>
        <v>0</v>
      </c>
      <c r="N781" s="336" t="str">
        <f t="shared" si="927"/>
        <v>-</v>
      </c>
      <c r="O781" s="346" t="str">
        <f t="shared" si="928"/>
        <v>-</v>
      </c>
    </row>
    <row r="782" spans="1:15" ht="24" x14ac:dyDescent="0.25">
      <c r="A782" s="274" t="s">
        <v>102</v>
      </c>
      <c r="B782" s="951"/>
      <c r="C782" s="312" t="s">
        <v>247</v>
      </c>
      <c r="D782" s="312"/>
      <c r="E782" s="276"/>
      <c r="F782" s="277"/>
      <c r="G782" s="333">
        <f t="shared" si="931"/>
        <v>0</v>
      </c>
      <c r="H782" s="278"/>
      <c r="I782" s="278"/>
      <c r="J782" s="352" t="str">
        <f>IFERROR(G782/#REF!,"-")</f>
        <v>-</v>
      </c>
      <c r="K782" s="333">
        <f t="shared" si="932"/>
        <v>0</v>
      </c>
      <c r="L782" s="272">
        <f t="shared" si="933"/>
        <v>0</v>
      </c>
      <c r="M782" s="273">
        <f t="shared" si="933"/>
        <v>0</v>
      </c>
      <c r="N782" s="337" t="str">
        <f t="shared" si="927"/>
        <v>-</v>
      </c>
      <c r="O782" s="263" t="str">
        <f t="shared" si="928"/>
        <v>-</v>
      </c>
    </row>
    <row r="783" spans="1:15" ht="24" x14ac:dyDescent="0.25">
      <c r="A783" s="274" t="s">
        <v>102</v>
      </c>
      <c r="B783" s="951"/>
      <c r="C783" s="312" t="s">
        <v>496</v>
      </c>
      <c r="D783" s="312"/>
      <c r="E783" s="276">
        <v>20000</v>
      </c>
      <c r="F783" s="277"/>
      <c r="G783" s="333">
        <f t="shared" si="931"/>
        <v>0</v>
      </c>
      <c r="H783" s="278"/>
      <c r="I783" s="278"/>
      <c r="J783" s="352" t="str">
        <f>IFERROR(G783/#REF!,"-")</f>
        <v>-</v>
      </c>
      <c r="K783" s="333">
        <f t="shared" si="932"/>
        <v>0</v>
      </c>
      <c r="L783" s="272">
        <f t="shared" si="933"/>
        <v>0</v>
      </c>
      <c r="M783" s="273">
        <f t="shared" si="933"/>
        <v>0</v>
      </c>
      <c r="N783" s="337">
        <f t="shared" si="927"/>
        <v>0</v>
      </c>
      <c r="O783" s="263" t="str">
        <f t="shared" si="928"/>
        <v>-</v>
      </c>
    </row>
    <row r="784" spans="1:15" ht="24.75" thickBot="1" x14ac:dyDescent="0.3">
      <c r="A784" s="274" t="s">
        <v>102</v>
      </c>
      <c r="B784" s="950"/>
      <c r="C784" s="313" t="s">
        <v>36</v>
      </c>
      <c r="D784" s="313"/>
      <c r="E784" s="280"/>
      <c r="F784" s="281"/>
      <c r="G784" s="334">
        <f t="shared" si="931"/>
        <v>0</v>
      </c>
      <c r="H784" s="282"/>
      <c r="I784" s="282"/>
      <c r="J784" s="353" t="str">
        <f>IFERROR(G784/#REF!,"-")</f>
        <v>-</v>
      </c>
      <c r="K784" s="334">
        <f t="shared" si="932"/>
        <v>0</v>
      </c>
      <c r="L784" s="272">
        <f t="shared" si="933"/>
        <v>0</v>
      </c>
      <c r="M784" s="273">
        <f t="shared" si="933"/>
        <v>0</v>
      </c>
      <c r="N784" s="338" t="str">
        <f t="shared" si="927"/>
        <v>-</v>
      </c>
      <c r="O784" s="347" t="str">
        <f t="shared" si="928"/>
        <v>-</v>
      </c>
    </row>
    <row r="785" spans="1:15" ht="23.25" thickBot="1" x14ac:dyDescent="0.3">
      <c r="A785" s="274" t="s">
        <v>102</v>
      </c>
      <c r="B785" s="946" t="s">
        <v>37</v>
      </c>
      <c r="C785" s="947"/>
      <c r="D785" s="948"/>
      <c r="E785" s="284">
        <f>SUM(E781:E784)</f>
        <v>20000</v>
      </c>
      <c r="F785" s="285">
        <v>6500</v>
      </c>
      <c r="G785" s="320">
        <f>SUM(G781:G784)</f>
        <v>0</v>
      </c>
      <c r="H785" s="321">
        <f t="shared" ref="H785:I785" si="934">SUM(H781:H784)</f>
        <v>0</v>
      </c>
      <c r="I785" s="321">
        <f t="shared" si="934"/>
        <v>0</v>
      </c>
      <c r="J785" s="345" t="str">
        <f>IFERROR(G785/#REF!,"-")</f>
        <v>-</v>
      </c>
      <c r="K785" s="320">
        <f t="shared" ref="K785:M785" si="935">SUM(K781:K784)</f>
        <v>0</v>
      </c>
      <c r="L785" s="321">
        <f t="shared" si="935"/>
        <v>0</v>
      </c>
      <c r="M785" s="322">
        <f t="shared" si="935"/>
        <v>0</v>
      </c>
      <c r="N785" s="339">
        <f>IFERROR(K785/E785,"-")</f>
        <v>0</v>
      </c>
      <c r="O785" s="345" t="str">
        <f t="shared" si="928"/>
        <v>-</v>
      </c>
    </row>
    <row r="786" spans="1:15" ht="24" x14ac:dyDescent="0.25">
      <c r="A786" s="274" t="s">
        <v>102</v>
      </c>
      <c r="B786" s="949" t="s">
        <v>402</v>
      </c>
      <c r="C786" s="314" t="s">
        <v>116</v>
      </c>
      <c r="D786" s="314"/>
      <c r="E786" s="270">
        <v>14000</v>
      </c>
      <c r="F786" s="271"/>
      <c r="G786" s="332">
        <f t="shared" ref="G786:G787" si="936">+H786+I786</f>
        <v>0</v>
      </c>
      <c r="H786" s="272"/>
      <c r="I786" s="272"/>
      <c r="J786" s="351" t="str">
        <f>IFERROR(G786/#REF!,"-")</f>
        <v>-</v>
      </c>
      <c r="K786" s="332">
        <f t="shared" ref="K786:K787" si="937">+L786+M786</f>
        <v>0</v>
      </c>
      <c r="L786" s="272">
        <f>+H786+L671</f>
        <v>0</v>
      </c>
      <c r="M786" s="273">
        <f>+I786+M671</f>
        <v>0</v>
      </c>
      <c r="N786" s="336">
        <f t="shared" ref="N786:N802" si="938">IFERROR(K786/E786,"-")</f>
        <v>0</v>
      </c>
      <c r="O786" s="346" t="str">
        <f t="shared" si="928"/>
        <v>-</v>
      </c>
    </row>
    <row r="787" spans="1:15" ht="24.75" thickBot="1" x14ac:dyDescent="0.3">
      <c r="A787" s="274" t="s">
        <v>102</v>
      </c>
      <c r="B787" s="950"/>
      <c r="C787" s="286" t="s">
        <v>132</v>
      </c>
      <c r="D787" s="286"/>
      <c r="E787" s="280"/>
      <c r="F787" s="281"/>
      <c r="G787" s="334">
        <f t="shared" si="936"/>
        <v>3425</v>
      </c>
      <c r="H787" s="282">
        <v>3200</v>
      </c>
      <c r="I787" s="282">
        <v>225</v>
      </c>
      <c r="J787" s="353" t="str">
        <f>IFERROR(G787/#REF!,"-")</f>
        <v>-</v>
      </c>
      <c r="K787" s="334">
        <f t="shared" si="937"/>
        <v>12357</v>
      </c>
      <c r="L787" s="272">
        <f>+H787+L672</f>
        <v>11690</v>
      </c>
      <c r="M787" s="273">
        <f>+I787+M672</f>
        <v>667</v>
      </c>
      <c r="N787" s="338" t="str">
        <f t="shared" si="938"/>
        <v>-</v>
      </c>
      <c r="O787" s="347">
        <f t="shared" si="928"/>
        <v>5.3977502630088207E-2</v>
      </c>
    </row>
    <row r="788" spans="1:15" ht="23.25" thickBot="1" x14ac:dyDescent="0.3">
      <c r="A788" s="812" t="s">
        <v>102</v>
      </c>
      <c r="B788" s="946" t="s">
        <v>38</v>
      </c>
      <c r="C788" s="947"/>
      <c r="D788" s="948"/>
      <c r="E788" s="284">
        <f>SUM(E786:E787)</f>
        <v>14000</v>
      </c>
      <c r="F788" s="285">
        <v>2800</v>
      </c>
      <c r="G788" s="320">
        <f>SUM(G786:G787)</f>
        <v>3425</v>
      </c>
      <c r="H788" s="321">
        <f t="shared" ref="H788:I788" si="939">SUM(H786:H787)</f>
        <v>3200</v>
      </c>
      <c r="I788" s="321">
        <f t="shared" si="939"/>
        <v>225</v>
      </c>
      <c r="J788" s="345" t="str">
        <f>IFERROR(G788/#REF!,"-")</f>
        <v>-</v>
      </c>
      <c r="K788" s="320">
        <f t="shared" ref="K788:M788" si="940">SUM(K786:K787)</f>
        <v>12357</v>
      </c>
      <c r="L788" s="321">
        <f t="shared" si="940"/>
        <v>11690</v>
      </c>
      <c r="M788" s="322">
        <f t="shared" si="940"/>
        <v>667</v>
      </c>
      <c r="N788" s="339">
        <f t="shared" si="938"/>
        <v>0.88264285714285717</v>
      </c>
      <c r="O788" s="345">
        <f t="shared" si="928"/>
        <v>5.3977502630088207E-2</v>
      </c>
    </row>
    <row r="789" spans="1:15" ht="24" x14ac:dyDescent="0.25">
      <c r="A789" s="274" t="s">
        <v>102</v>
      </c>
      <c r="B789" s="949" t="s">
        <v>403</v>
      </c>
      <c r="C789" s="269" t="s">
        <v>306</v>
      </c>
      <c r="D789" s="269"/>
      <c r="E789" s="270">
        <f>176000+39000+35000+36000+19000</f>
        <v>305000</v>
      </c>
      <c r="F789" s="315"/>
      <c r="G789" s="332">
        <f t="shared" ref="G789:G793" si="941">+H789+I789</f>
        <v>28020</v>
      </c>
      <c r="H789" s="272">
        <v>27888</v>
      </c>
      <c r="I789" s="272">
        <v>132</v>
      </c>
      <c r="J789" s="371" t="str">
        <f>IFERROR(G789/#REF!,"-")</f>
        <v>-</v>
      </c>
      <c r="K789" s="332">
        <f t="shared" ref="K789:K793" si="942">+L789+M789</f>
        <v>128604</v>
      </c>
      <c r="L789" s="272">
        <f t="shared" ref="L789:M793" si="943">+H789+L674</f>
        <v>127884</v>
      </c>
      <c r="M789" s="272">
        <f t="shared" si="943"/>
        <v>720</v>
      </c>
      <c r="N789" s="359">
        <f t="shared" si="938"/>
        <v>0.42165245901639342</v>
      </c>
      <c r="O789" s="360">
        <f t="shared" si="928"/>
        <v>5.5985816926378646E-3</v>
      </c>
    </row>
    <row r="790" spans="1:15" ht="24" x14ac:dyDescent="0.25">
      <c r="A790" s="274" t="s">
        <v>102</v>
      </c>
      <c r="B790" s="951"/>
      <c r="C790" s="269" t="s">
        <v>307</v>
      </c>
      <c r="D790" s="275"/>
      <c r="E790" s="276"/>
      <c r="F790" s="316"/>
      <c r="G790" s="333">
        <f t="shared" si="941"/>
        <v>0</v>
      </c>
      <c r="H790" s="278"/>
      <c r="I790" s="278"/>
      <c r="J790" s="372" t="str">
        <f>IFERROR(G790/#REF!,"-")</f>
        <v>-</v>
      </c>
      <c r="K790" s="333">
        <f t="shared" si="942"/>
        <v>0</v>
      </c>
      <c r="L790" s="272">
        <f t="shared" si="943"/>
        <v>0</v>
      </c>
      <c r="M790" s="273">
        <f t="shared" si="943"/>
        <v>0</v>
      </c>
      <c r="N790" s="361" t="str">
        <f t="shared" si="938"/>
        <v>-</v>
      </c>
      <c r="O790" s="362" t="str">
        <f t="shared" si="928"/>
        <v>-</v>
      </c>
    </row>
    <row r="791" spans="1:15" ht="24" x14ac:dyDescent="0.25">
      <c r="A791" s="274" t="s">
        <v>102</v>
      </c>
      <c r="B791" s="951"/>
      <c r="C791" s="275" t="s">
        <v>499</v>
      </c>
      <c r="D791" s="275"/>
      <c r="E791" s="276">
        <f>70000+15000</f>
        <v>85000</v>
      </c>
      <c r="F791" s="316"/>
      <c r="G791" s="333">
        <f t="shared" si="941"/>
        <v>10160</v>
      </c>
      <c r="H791" s="278">
        <v>10080</v>
      </c>
      <c r="I791" s="278">
        <v>80</v>
      </c>
      <c r="J791" s="372" t="str">
        <f>IFERROR(G791/#REF!,"-")</f>
        <v>-</v>
      </c>
      <c r="K791" s="333">
        <f t="shared" si="942"/>
        <v>43160</v>
      </c>
      <c r="L791" s="272">
        <f t="shared" si="943"/>
        <v>42540</v>
      </c>
      <c r="M791" s="273">
        <f t="shared" si="943"/>
        <v>620</v>
      </c>
      <c r="N791" s="361">
        <f t="shared" si="938"/>
        <v>0.5077647058823529</v>
      </c>
      <c r="O791" s="362">
        <f t="shared" si="928"/>
        <v>1.4365152919369786E-2</v>
      </c>
    </row>
    <row r="792" spans="1:15" ht="24" x14ac:dyDescent="0.25">
      <c r="A792" s="274" t="s">
        <v>102</v>
      </c>
      <c r="B792" s="951"/>
      <c r="C792" s="275" t="s">
        <v>157</v>
      </c>
      <c r="D792" s="275"/>
      <c r="E792" s="276"/>
      <c r="F792" s="316"/>
      <c r="G792" s="333">
        <f t="shared" si="941"/>
        <v>0</v>
      </c>
      <c r="H792" s="278"/>
      <c r="I792" s="278"/>
      <c r="J792" s="372" t="str">
        <f>IFERROR(G792/#REF!,"-")</f>
        <v>-</v>
      </c>
      <c r="K792" s="333">
        <f t="shared" si="942"/>
        <v>0</v>
      </c>
      <c r="L792" s="272">
        <f t="shared" si="943"/>
        <v>0</v>
      </c>
      <c r="M792" s="273">
        <f t="shared" si="943"/>
        <v>0</v>
      </c>
      <c r="N792" s="361" t="str">
        <f t="shared" si="938"/>
        <v>-</v>
      </c>
      <c r="O792" s="362" t="str">
        <f t="shared" si="928"/>
        <v>-</v>
      </c>
    </row>
    <row r="793" spans="1:15" ht="24.75" thickBot="1" x14ac:dyDescent="0.3">
      <c r="A793" s="274" t="s">
        <v>102</v>
      </c>
      <c r="B793" s="950"/>
      <c r="C793" s="279" t="s">
        <v>158</v>
      </c>
      <c r="D793" s="279"/>
      <c r="E793" s="280"/>
      <c r="F793" s="317"/>
      <c r="G793" s="334">
        <f t="shared" si="941"/>
        <v>0</v>
      </c>
      <c r="H793" s="282"/>
      <c r="I793" s="282"/>
      <c r="J793" s="373" t="str">
        <f>IFERROR(G793/#REF!,"-")</f>
        <v>-</v>
      </c>
      <c r="K793" s="334">
        <f t="shared" si="942"/>
        <v>0</v>
      </c>
      <c r="L793" s="272">
        <f t="shared" si="943"/>
        <v>0</v>
      </c>
      <c r="M793" s="273">
        <f t="shared" si="943"/>
        <v>0</v>
      </c>
      <c r="N793" s="363" t="str">
        <f t="shared" si="938"/>
        <v>-</v>
      </c>
      <c r="O793" s="364" t="str">
        <f t="shared" si="928"/>
        <v>-</v>
      </c>
    </row>
    <row r="794" spans="1:15" ht="23.25" thickBot="1" x14ac:dyDescent="0.3">
      <c r="A794" s="274" t="s">
        <v>102</v>
      </c>
      <c r="B794" s="946" t="s">
        <v>39</v>
      </c>
      <c r="C794" s="947"/>
      <c r="D794" s="948"/>
      <c r="E794" s="320">
        <f>SUM(E789:E793)</f>
        <v>390000</v>
      </c>
      <c r="F794" s="285">
        <v>25000</v>
      </c>
      <c r="G794" s="320">
        <f>SUM(G789:G793)</f>
        <v>38180</v>
      </c>
      <c r="H794" s="321">
        <f>SUM(H789:H793)</f>
        <v>37968</v>
      </c>
      <c r="I794" s="321">
        <f>SUM(I789:I793)</f>
        <v>212</v>
      </c>
      <c r="J794" s="345" t="str">
        <f>IFERROR(G794/#REF!,"-")</f>
        <v>-</v>
      </c>
      <c r="K794" s="320">
        <f>SUM(K789:K793)</f>
        <v>171764</v>
      </c>
      <c r="L794" s="321">
        <f>SUM(L789:L793)</f>
        <v>170424</v>
      </c>
      <c r="M794" s="322">
        <f>SUM(M789:M793)</f>
        <v>1340</v>
      </c>
      <c r="N794" s="339">
        <f t="shared" si="938"/>
        <v>0.44042051282051281</v>
      </c>
      <c r="O794" s="345">
        <f t="shared" si="928"/>
        <v>7.8014019235695493E-3</v>
      </c>
    </row>
    <row r="795" spans="1:15" ht="24" x14ac:dyDescent="0.25">
      <c r="A795" s="274" t="s">
        <v>102</v>
      </c>
      <c r="B795" s="949" t="s">
        <v>404</v>
      </c>
      <c r="C795" s="269" t="s">
        <v>186</v>
      </c>
      <c r="D795" s="269"/>
      <c r="E795" s="270"/>
      <c r="F795" s="271"/>
      <c r="G795" s="332">
        <f t="shared" ref="G795:G797" si="944">+H795+I795</f>
        <v>0</v>
      </c>
      <c r="H795" s="272"/>
      <c r="I795" s="272"/>
      <c r="J795" s="351" t="str">
        <f>IFERROR(G795/#REF!,"-")</f>
        <v>-</v>
      </c>
      <c r="K795" s="332">
        <f t="shared" ref="K795:K797" si="945">+L795+M795</f>
        <v>0</v>
      </c>
      <c r="L795" s="272">
        <f t="shared" ref="L795:M797" si="946">+H795+L680</f>
        <v>0</v>
      </c>
      <c r="M795" s="273">
        <f t="shared" si="946"/>
        <v>0</v>
      </c>
      <c r="N795" s="336" t="str">
        <f t="shared" si="938"/>
        <v>-</v>
      </c>
      <c r="O795" s="346" t="str">
        <f t="shared" si="928"/>
        <v>-</v>
      </c>
    </row>
    <row r="796" spans="1:15" ht="24" x14ac:dyDescent="0.25">
      <c r="A796" s="274" t="s">
        <v>102</v>
      </c>
      <c r="B796" s="951"/>
      <c r="C796" s="275" t="s">
        <v>497</v>
      </c>
      <c r="D796" s="275"/>
      <c r="E796" s="276">
        <f>33000+15000</f>
        <v>48000</v>
      </c>
      <c r="F796" s="277"/>
      <c r="G796" s="333">
        <f t="shared" si="944"/>
        <v>0</v>
      </c>
      <c r="H796" s="278"/>
      <c r="I796" s="278"/>
      <c r="J796" s="372" t="str">
        <f>IFERROR(G796/#REF!,"-")</f>
        <v>-</v>
      </c>
      <c r="K796" s="333">
        <f t="shared" si="945"/>
        <v>11826</v>
      </c>
      <c r="L796" s="714">
        <f t="shared" si="946"/>
        <v>11400</v>
      </c>
      <c r="M796" s="273">
        <f t="shared" si="946"/>
        <v>426</v>
      </c>
      <c r="N796" s="361">
        <f t="shared" si="938"/>
        <v>0.24637500000000001</v>
      </c>
      <c r="O796" s="362">
        <f t="shared" si="928"/>
        <v>3.6022323693556568E-2</v>
      </c>
    </row>
    <row r="797" spans="1:15" ht="24.75" thickBot="1" x14ac:dyDescent="0.3">
      <c r="A797" s="274" t="s">
        <v>102</v>
      </c>
      <c r="B797" s="950"/>
      <c r="C797" s="279" t="s">
        <v>498</v>
      </c>
      <c r="D797" s="279"/>
      <c r="E797" s="280">
        <f>50000+10000</f>
        <v>60000</v>
      </c>
      <c r="F797" s="281"/>
      <c r="G797" s="334">
        <f t="shared" si="944"/>
        <v>0</v>
      </c>
      <c r="H797" s="282"/>
      <c r="I797" s="282"/>
      <c r="J797" s="373" t="str">
        <f>IFERROR(G797/#REF!,"-")</f>
        <v>-</v>
      </c>
      <c r="K797" s="334">
        <f t="shared" si="945"/>
        <v>0</v>
      </c>
      <c r="L797" s="272">
        <f t="shared" si="946"/>
        <v>0</v>
      </c>
      <c r="M797" s="273">
        <f t="shared" si="946"/>
        <v>0</v>
      </c>
      <c r="N797" s="363">
        <f t="shared" si="938"/>
        <v>0</v>
      </c>
      <c r="O797" s="364" t="str">
        <f t="shared" si="928"/>
        <v>-</v>
      </c>
    </row>
    <row r="798" spans="1:15" ht="23.25" thickBot="1" x14ac:dyDescent="0.3">
      <c r="A798" s="274" t="s">
        <v>102</v>
      </c>
      <c r="B798" s="952" t="s">
        <v>41</v>
      </c>
      <c r="C798" s="953"/>
      <c r="D798" s="954"/>
      <c r="E798" s="320">
        <f>SUM(E795:E797)</f>
        <v>108000</v>
      </c>
      <c r="F798" s="285"/>
      <c r="G798" s="320">
        <f>SUM(G795:G797)</f>
        <v>0</v>
      </c>
      <c r="H798" s="321">
        <f t="shared" ref="H798:I798" si="947">SUM(H795:H797)</f>
        <v>0</v>
      </c>
      <c r="I798" s="321">
        <f t="shared" si="947"/>
        <v>0</v>
      </c>
      <c r="J798" s="345" t="str">
        <f>IFERROR(G798/#REF!,"-")</f>
        <v>-</v>
      </c>
      <c r="K798" s="320">
        <f t="shared" ref="K798:M798" si="948">SUM(K795:K797)</f>
        <v>11826</v>
      </c>
      <c r="L798" s="365">
        <f t="shared" si="948"/>
        <v>11400</v>
      </c>
      <c r="M798" s="367">
        <f t="shared" si="948"/>
        <v>426</v>
      </c>
      <c r="N798" s="339">
        <f t="shared" si="938"/>
        <v>0.1095</v>
      </c>
      <c r="O798" s="345">
        <f t="shared" si="928"/>
        <v>3.6022323693556568E-2</v>
      </c>
    </row>
    <row r="799" spans="1:15" ht="24.75" thickBot="1" x14ac:dyDescent="0.3">
      <c r="A799" s="274" t="s">
        <v>102</v>
      </c>
      <c r="B799" s="949" t="s">
        <v>42</v>
      </c>
      <c r="C799" s="269" t="s">
        <v>160</v>
      </c>
      <c r="D799" s="269"/>
      <c r="E799" s="270">
        <v>11076</v>
      </c>
      <c r="F799" s="271"/>
      <c r="G799" s="332">
        <f t="shared" ref="G799:G800" si="949">+H799+I799</f>
        <v>0</v>
      </c>
      <c r="H799" s="272"/>
      <c r="I799" s="272"/>
      <c r="J799" s="371" t="str">
        <f>IFERROR(G799/#REF!,"-")</f>
        <v>-</v>
      </c>
      <c r="K799" s="695">
        <f t="shared" ref="K799:K800" si="950">+L799+M799</f>
        <v>0</v>
      </c>
      <c r="L799" s="688">
        <f>+H799+L684</f>
        <v>0</v>
      </c>
      <c r="M799" s="688">
        <f>+I799+M684</f>
        <v>0</v>
      </c>
      <c r="N799" s="359">
        <f t="shared" si="938"/>
        <v>0</v>
      </c>
      <c r="O799" s="360" t="str">
        <f t="shared" si="928"/>
        <v>-</v>
      </c>
    </row>
    <row r="800" spans="1:15" ht="24.75" thickBot="1" x14ac:dyDescent="0.3">
      <c r="A800" s="274" t="s">
        <v>102</v>
      </c>
      <c r="B800" s="950"/>
      <c r="C800" s="279" t="s">
        <v>161</v>
      </c>
      <c r="D800" s="279"/>
      <c r="E800" s="280">
        <v>0</v>
      </c>
      <c r="F800" s="281"/>
      <c r="G800" s="334">
        <f t="shared" si="949"/>
        <v>0</v>
      </c>
      <c r="H800" s="282"/>
      <c r="I800" s="282"/>
      <c r="J800" s="373" t="str">
        <f>IFERROR(G800/#REF!,"-")</f>
        <v>-</v>
      </c>
      <c r="K800" s="696">
        <f t="shared" si="950"/>
        <v>0</v>
      </c>
      <c r="L800" s="688">
        <f>+H800+L685</f>
        <v>0</v>
      </c>
      <c r="M800" s="688">
        <f>+I800+M685</f>
        <v>0</v>
      </c>
      <c r="N800" s="363" t="str">
        <f t="shared" si="938"/>
        <v>-</v>
      </c>
      <c r="O800" s="364" t="str">
        <f t="shared" si="928"/>
        <v>-</v>
      </c>
    </row>
    <row r="801" spans="1:15" ht="23.25" thickBot="1" x14ac:dyDescent="0.3">
      <c r="A801" s="274" t="s">
        <v>102</v>
      </c>
      <c r="B801" s="952" t="s">
        <v>43</v>
      </c>
      <c r="C801" s="953"/>
      <c r="D801" s="954"/>
      <c r="E801" s="284">
        <f>SUM(E799:E800)</f>
        <v>11076</v>
      </c>
      <c r="F801" s="285">
        <v>25000</v>
      </c>
      <c r="G801" s="320">
        <f>SUM(G799:G800)</f>
        <v>0</v>
      </c>
      <c r="H801" s="321">
        <f t="shared" ref="H801:I801" si="951">SUM(H799:H800)</f>
        <v>0</v>
      </c>
      <c r="I801" s="321">
        <f t="shared" si="951"/>
        <v>0</v>
      </c>
      <c r="J801" s="345" t="str">
        <f>IFERROR(G801/#REF!,"-")</f>
        <v>-</v>
      </c>
      <c r="K801" s="760">
        <f t="shared" ref="K801:M801" si="952">SUM(K799:K800)</f>
        <v>0</v>
      </c>
      <c r="L801" s="761">
        <f t="shared" si="952"/>
        <v>0</v>
      </c>
      <c r="M801" s="761">
        <f t="shared" si="952"/>
        <v>0</v>
      </c>
      <c r="N801" s="339">
        <f t="shared" si="938"/>
        <v>0</v>
      </c>
      <c r="O801" s="345" t="str">
        <f t="shared" si="928"/>
        <v>-</v>
      </c>
    </row>
    <row r="802" spans="1:15" ht="23.25" thickBot="1" x14ac:dyDescent="0.3">
      <c r="A802" s="274" t="s">
        <v>102</v>
      </c>
      <c r="B802" s="938" t="s">
        <v>25</v>
      </c>
      <c r="C802" s="939"/>
      <c r="D802" s="940"/>
      <c r="E802" s="326">
        <f t="shared" ref="E802:F802" si="953">+E780+E785+E788+E794+E798+E801</f>
        <v>545076</v>
      </c>
      <c r="F802" s="327">
        <f t="shared" si="953"/>
        <v>65800</v>
      </c>
      <c r="G802" s="326">
        <f>+G780+G785+G788+G794+G798+G801</f>
        <v>42756</v>
      </c>
      <c r="H802" s="324">
        <f>+H780+H785+H788+H794+H798+H801</f>
        <v>42268</v>
      </c>
      <c r="I802" s="324">
        <f t="shared" ref="I802" si="954">+I780+I785+I788+I794+I798+I801</f>
        <v>488</v>
      </c>
      <c r="J802" s="349" t="str">
        <f>IFERROR(G802/#REF!,"-")</f>
        <v>-</v>
      </c>
      <c r="K802" s="326">
        <f>+K780+K785+K788+K794+K798+K801</f>
        <v>205185</v>
      </c>
      <c r="L802" s="759">
        <f t="shared" ref="L802:M802" si="955">+L780+L785+L788+L794+L798+L801</f>
        <v>202314</v>
      </c>
      <c r="M802" s="325">
        <f t="shared" si="955"/>
        <v>2871</v>
      </c>
      <c r="N802" s="341">
        <f t="shared" si="938"/>
        <v>0.3764337450190432</v>
      </c>
      <c r="O802" s="349">
        <f t="shared" si="928"/>
        <v>1.39922508955333E-2</v>
      </c>
    </row>
    <row r="803" spans="1:15" ht="23.25" thickBot="1" x14ac:dyDescent="0.3">
      <c r="A803" s="318" t="s">
        <v>102</v>
      </c>
      <c r="B803" s="941" t="s">
        <v>173</v>
      </c>
      <c r="C803" s="941"/>
      <c r="D803" s="942"/>
      <c r="E803" s="330">
        <f>+E802</f>
        <v>545076</v>
      </c>
      <c r="F803" s="331">
        <f t="shared" ref="F803:O803" si="956">+F802</f>
        <v>65800</v>
      </c>
      <c r="G803" s="330">
        <f t="shared" si="956"/>
        <v>42756</v>
      </c>
      <c r="H803" s="328">
        <f t="shared" si="956"/>
        <v>42268</v>
      </c>
      <c r="I803" s="328">
        <f t="shared" si="956"/>
        <v>488</v>
      </c>
      <c r="J803" s="350" t="str">
        <f t="shared" si="956"/>
        <v>-</v>
      </c>
      <c r="K803" s="330">
        <f t="shared" si="956"/>
        <v>205185</v>
      </c>
      <c r="L803" s="328">
        <f t="shared" si="956"/>
        <v>202314</v>
      </c>
      <c r="M803" s="329">
        <f t="shared" si="956"/>
        <v>2871</v>
      </c>
      <c r="N803" s="342">
        <f t="shared" si="956"/>
        <v>0.3764337450190432</v>
      </c>
      <c r="O803" s="350">
        <f t="shared" si="956"/>
        <v>1.39922508955333E-2</v>
      </c>
    </row>
    <row r="804" spans="1:15" ht="26.25" thickBot="1" x14ac:dyDescent="0.3">
      <c r="A804" s="319"/>
      <c r="B804" s="943" t="s">
        <v>174</v>
      </c>
      <c r="C804" s="944"/>
      <c r="D804" s="945"/>
      <c r="E804" s="374">
        <f>+E741+E776+E803</f>
        <v>6540740</v>
      </c>
      <c r="F804" s="374">
        <f>+F741+F776+F803</f>
        <v>1024800</v>
      </c>
      <c r="G804" s="374">
        <f>+G741+G776+G803</f>
        <v>291379</v>
      </c>
      <c r="H804" s="374">
        <f>+H741+H776+H803</f>
        <v>287922</v>
      </c>
      <c r="I804" s="374">
        <f>+I741+I776+I803</f>
        <v>3457</v>
      </c>
      <c r="J804" s="375" t="str">
        <f>IFERROR(G804/#REF!,"-")</f>
        <v>-</v>
      </c>
      <c r="K804" s="374">
        <f>+K741+K776+K803</f>
        <v>2470160</v>
      </c>
      <c r="L804" s="374">
        <f>+L741+L776+L803</f>
        <v>2448330</v>
      </c>
      <c r="M804" s="374">
        <f>+M741+M776+M803</f>
        <v>21830</v>
      </c>
      <c r="N804" s="375">
        <f>IFERROR(K804/E804,"-")</f>
        <v>0.37765757391365501</v>
      </c>
      <c r="O804" s="375">
        <f>IFERROR(M804/K804,"-")</f>
        <v>8.8374842115490487E-3</v>
      </c>
    </row>
    <row r="805" spans="1:15" ht="22.5" x14ac:dyDescent="0.25">
      <c r="A805" s="978" t="s">
        <v>1</v>
      </c>
      <c r="B805" s="981" t="s">
        <v>2</v>
      </c>
      <c r="C805" s="984" t="s">
        <v>396</v>
      </c>
      <c r="D805" s="984" t="s">
        <v>397</v>
      </c>
      <c r="E805" s="987" t="s">
        <v>4</v>
      </c>
      <c r="F805" s="988"/>
      <c r="G805" s="988"/>
      <c r="H805" s="988"/>
      <c r="I805" s="988"/>
      <c r="J805" s="988"/>
      <c r="K805" s="988"/>
      <c r="L805" s="988"/>
      <c r="M805" s="988"/>
      <c r="N805" s="988"/>
      <c r="O805" s="989"/>
    </row>
    <row r="806" spans="1:15" ht="22.5" x14ac:dyDescent="0.25">
      <c r="A806" s="979"/>
      <c r="B806" s="982"/>
      <c r="C806" s="985"/>
      <c r="D806" s="985"/>
      <c r="E806" s="990" t="s">
        <v>7</v>
      </c>
      <c r="F806" s="992" t="s">
        <v>108</v>
      </c>
      <c r="G806" s="994" t="s">
        <v>525</v>
      </c>
      <c r="H806" s="995"/>
      <c r="I806" s="995"/>
      <c r="J806" s="996"/>
      <c r="K806" s="997" t="s">
        <v>398</v>
      </c>
      <c r="L806" s="998"/>
      <c r="M806" s="999"/>
      <c r="N806" s="1000" t="s">
        <v>399</v>
      </c>
      <c r="O806" s="1002" t="s">
        <v>164</v>
      </c>
    </row>
    <row r="807" spans="1:15" ht="41.25" thickBot="1" x14ac:dyDescent="0.3">
      <c r="A807" s="980"/>
      <c r="B807" s="983"/>
      <c r="C807" s="986"/>
      <c r="D807" s="986"/>
      <c r="E807" s="991"/>
      <c r="F807" s="993"/>
      <c r="G807" s="452" t="s">
        <v>13</v>
      </c>
      <c r="H807" s="453" t="s">
        <v>14</v>
      </c>
      <c r="I807" s="453" t="s">
        <v>15</v>
      </c>
      <c r="J807" s="454" t="s">
        <v>166</v>
      </c>
      <c r="K807" s="680" t="s">
        <v>13</v>
      </c>
      <c r="L807" s="678" t="s">
        <v>14</v>
      </c>
      <c r="M807" s="679" t="s">
        <v>15</v>
      </c>
      <c r="N807" s="1001"/>
      <c r="O807" s="1003"/>
    </row>
    <row r="808" spans="1:15" ht="24.75" thickBot="1" x14ac:dyDescent="0.3">
      <c r="A808" s="268" t="s">
        <v>103</v>
      </c>
      <c r="B808" s="965" t="s">
        <v>16</v>
      </c>
      <c r="C808" s="269" t="s">
        <v>368</v>
      </c>
      <c r="D808" s="269" t="s">
        <v>369</v>
      </c>
      <c r="E808" s="270">
        <v>20000</v>
      </c>
      <c r="F808" s="271"/>
      <c r="G808" s="332">
        <f>+H808+I808</f>
        <v>0</v>
      </c>
      <c r="H808" s="272"/>
      <c r="I808" s="272"/>
      <c r="J808" s="351"/>
      <c r="K808" s="457">
        <f>+L808+M808</f>
        <v>270</v>
      </c>
      <c r="L808" s="688">
        <f t="shared" ref="L808:L811" si="957">+H808+L693</f>
        <v>0</v>
      </c>
      <c r="M808" s="688">
        <f t="shared" ref="M808:M811" si="958">+I808+M693</f>
        <v>270</v>
      </c>
      <c r="N808" s="336">
        <f>IFERROR(K808/E808,"-")</f>
        <v>1.35E-2</v>
      </c>
      <c r="O808" s="343">
        <f t="shared" ref="O808:O809" si="959">IFERROR(M808/K808,"-")</f>
        <v>1</v>
      </c>
    </row>
    <row r="809" spans="1:15" ht="24" x14ac:dyDescent="0.25">
      <c r="A809" s="274" t="s">
        <v>103</v>
      </c>
      <c r="B809" s="966"/>
      <c r="C809" s="275" t="s">
        <v>376</v>
      </c>
      <c r="D809" s="275" t="s">
        <v>375</v>
      </c>
      <c r="E809" s="276"/>
      <c r="F809" s="277"/>
      <c r="G809" s="333">
        <f t="shared" ref="G809:G811" si="960">+H809+I809</f>
        <v>0</v>
      </c>
      <c r="H809" s="278"/>
      <c r="I809" s="278"/>
      <c r="J809" s="352" t="str">
        <f>IFERROR(G809/#REF!,"-")</f>
        <v>-</v>
      </c>
      <c r="K809" s="690">
        <f t="shared" ref="K809:K811" si="961">+L809+M809</f>
        <v>0</v>
      </c>
      <c r="L809" s="527">
        <f t="shared" si="957"/>
        <v>0</v>
      </c>
      <c r="M809" s="459">
        <f t="shared" si="958"/>
        <v>0</v>
      </c>
      <c r="N809" s="337" t="str">
        <f t="shared" ref="N809:N811" si="962">IFERROR(K809/E809,"-")</f>
        <v>-</v>
      </c>
      <c r="O809" s="265" t="str">
        <f t="shared" si="959"/>
        <v>-</v>
      </c>
    </row>
    <row r="810" spans="1:15" s="723" customFormat="1" ht="22.5" x14ac:dyDescent="0.25">
      <c r="A810" s="274" t="s">
        <v>103</v>
      </c>
      <c r="B810" s="966"/>
      <c r="C810" s="573" t="s">
        <v>431</v>
      </c>
      <c r="D810" s="573" t="s">
        <v>366</v>
      </c>
      <c r="E810" s="720"/>
      <c r="F810" s="721"/>
      <c r="G810" s="333">
        <f t="shared" si="960"/>
        <v>0</v>
      </c>
      <c r="H810" s="722"/>
      <c r="I810" s="722"/>
      <c r="J810" s="352" t="str">
        <f>IFERROR(G810/#REF!,"-")</f>
        <v>-</v>
      </c>
      <c r="K810" s="690">
        <f t="shared" si="961"/>
        <v>8000</v>
      </c>
      <c r="L810" s="720">
        <f t="shared" si="957"/>
        <v>8000</v>
      </c>
      <c r="M810" s="529">
        <f t="shared" si="958"/>
        <v>0</v>
      </c>
      <c r="N810" s="337" t="str">
        <f t="shared" si="962"/>
        <v>-</v>
      </c>
      <c r="O810" s="265">
        <f>IFERROR(M810/K810,"-")</f>
        <v>0</v>
      </c>
    </row>
    <row r="811" spans="1:15" ht="24.75" thickBot="1" x14ac:dyDescent="0.3">
      <c r="A811" s="274" t="s">
        <v>103</v>
      </c>
      <c r="B811" s="967"/>
      <c r="C811" s="279" t="s">
        <v>428</v>
      </c>
      <c r="D811" s="279" t="s">
        <v>374</v>
      </c>
      <c r="E811" s="280"/>
      <c r="F811" s="281"/>
      <c r="G811" s="334">
        <f t="shared" si="960"/>
        <v>0</v>
      </c>
      <c r="H811" s="272"/>
      <c r="I811" s="272"/>
      <c r="J811" s="353" t="str">
        <f>IFERROR(G811/#REF!,"-")</f>
        <v>-</v>
      </c>
      <c r="K811" s="691">
        <f t="shared" si="961"/>
        <v>0</v>
      </c>
      <c r="L811" s="530">
        <f t="shared" si="957"/>
        <v>0</v>
      </c>
      <c r="M811" s="462">
        <f t="shared" si="958"/>
        <v>0</v>
      </c>
      <c r="N811" s="338" t="str">
        <f t="shared" si="962"/>
        <v>-</v>
      </c>
      <c r="O811" s="344" t="str">
        <f t="shared" ref="O811:O829" si="963">IFERROR(M811/K811,"-")</f>
        <v>-</v>
      </c>
    </row>
    <row r="812" spans="1:15" ht="23.25" thickBot="1" x14ac:dyDescent="0.3">
      <c r="A812" s="274" t="s">
        <v>103</v>
      </c>
      <c r="B812" s="946" t="s">
        <v>44</v>
      </c>
      <c r="C812" s="947"/>
      <c r="D812" s="948"/>
      <c r="E812" s="320">
        <f>SUM(E808:E811)</f>
        <v>20000</v>
      </c>
      <c r="F812" s="285">
        <v>15000</v>
      </c>
      <c r="G812" s="320">
        <f>SUM(G808:G811)</f>
        <v>0</v>
      </c>
      <c r="H812" s="321">
        <f t="shared" ref="H812:I812" si="964">SUM(H808:H811)</f>
        <v>0</v>
      </c>
      <c r="I812" s="321">
        <f t="shared" si="964"/>
        <v>0</v>
      </c>
      <c r="J812" s="345">
        <f>+G812/F812</f>
        <v>0</v>
      </c>
      <c r="K812" s="320">
        <f t="shared" ref="K812" si="965">SUM(K808:K811)</f>
        <v>8270</v>
      </c>
      <c r="L812" s="692">
        <f>SUM(L808:L811)</f>
        <v>8000</v>
      </c>
      <c r="M812" s="693">
        <f>SUM(M808:M811)</f>
        <v>270</v>
      </c>
      <c r="N812" s="339">
        <f>IFERROR(K812/E812,"-")</f>
        <v>0.41349999999999998</v>
      </c>
      <c r="O812" s="345">
        <f t="shared" si="963"/>
        <v>3.2648125755743655E-2</v>
      </c>
    </row>
    <row r="813" spans="1:15" ht="24" x14ac:dyDescent="0.25">
      <c r="A813" s="274" t="s">
        <v>103</v>
      </c>
      <c r="B813" s="965" t="s">
        <v>17</v>
      </c>
      <c r="C813" s="269" t="s">
        <v>294</v>
      </c>
      <c r="D813" s="269"/>
      <c r="E813" s="270"/>
      <c r="F813" s="271"/>
      <c r="G813" s="332">
        <f t="shared" ref="G813:G819" si="966">+H813+I813</f>
        <v>0</v>
      </c>
      <c r="H813" s="272"/>
      <c r="I813" s="272"/>
      <c r="J813" s="351" t="str">
        <f>IFERROR(G813/#REF!,"-")</f>
        <v>-</v>
      </c>
      <c r="K813" s="694">
        <f t="shared" ref="K813:K819" si="967">+L813+M813</f>
        <v>0</v>
      </c>
      <c r="L813" s="527">
        <f t="shared" ref="L813:L819" si="968">+H813+L698</f>
        <v>0</v>
      </c>
      <c r="M813" s="459">
        <f t="shared" ref="M813:M819" si="969">+I813+M698</f>
        <v>0</v>
      </c>
      <c r="N813" s="336" t="str">
        <f t="shared" ref="N813:N819" si="970">IFERROR(K813/E813,"-")</f>
        <v>-</v>
      </c>
      <c r="O813" s="346" t="str">
        <f t="shared" si="963"/>
        <v>-</v>
      </c>
    </row>
    <row r="814" spans="1:15" ht="24" x14ac:dyDescent="0.25">
      <c r="A814" s="274" t="s">
        <v>103</v>
      </c>
      <c r="B814" s="966"/>
      <c r="C814" s="275" t="s">
        <v>344</v>
      </c>
      <c r="D814" s="275" t="s">
        <v>232</v>
      </c>
      <c r="E814" s="276">
        <v>1600000</v>
      </c>
      <c r="F814" s="277"/>
      <c r="G814" s="333">
        <f t="shared" si="966"/>
        <v>0</v>
      </c>
      <c r="H814" s="278"/>
      <c r="I814" s="278"/>
      <c r="J814" s="352" t="str">
        <f>IFERROR(G814/#REF!,"-")</f>
        <v>-</v>
      </c>
      <c r="K814" s="690">
        <f t="shared" si="967"/>
        <v>6120</v>
      </c>
      <c r="L814" s="276">
        <f t="shared" si="968"/>
        <v>5980</v>
      </c>
      <c r="M814" s="436">
        <f t="shared" si="969"/>
        <v>140</v>
      </c>
      <c r="N814" s="337">
        <f t="shared" si="970"/>
        <v>3.8249999999999998E-3</v>
      </c>
      <c r="O814" s="263">
        <f t="shared" si="963"/>
        <v>2.2875816993464051E-2</v>
      </c>
    </row>
    <row r="815" spans="1:15" ht="24" x14ac:dyDescent="0.25">
      <c r="A815" s="274" t="s">
        <v>103</v>
      </c>
      <c r="B815" s="966"/>
      <c r="C815" s="275" t="s">
        <v>367</v>
      </c>
      <c r="D815" s="275" t="s">
        <v>187</v>
      </c>
      <c r="E815" s="276">
        <v>1000000</v>
      </c>
      <c r="F815" s="277"/>
      <c r="G815" s="333">
        <f t="shared" si="966"/>
        <v>12434</v>
      </c>
      <c r="H815" s="278">
        <v>12240</v>
      </c>
      <c r="I815" s="278">
        <v>194</v>
      </c>
      <c r="J815" s="352" t="str">
        <f>IFERROR(G815/#REF!,"-")</f>
        <v>-</v>
      </c>
      <c r="K815" s="690">
        <f t="shared" si="967"/>
        <v>553130</v>
      </c>
      <c r="L815" s="276">
        <f t="shared" si="968"/>
        <v>550800</v>
      </c>
      <c r="M815" s="436">
        <f t="shared" si="969"/>
        <v>2330</v>
      </c>
      <c r="N815" s="337">
        <f t="shared" si="970"/>
        <v>0.55313000000000001</v>
      </c>
      <c r="O815" s="263">
        <f t="shared" si="963"/>
        <v>4.2123913004176233E-3</v>
      </c>
    </row>
    <row r="816" spans="1:15" ht="24" x14ac:dyDescent="0.25">
      <c r="A816" s="274" t="s">
        <v>103</v>
      </c>
      <c r="B816" s="966"/>
      <c r="C816" s="275" t="s">
        <v>530</v>
      </c>
      <c r="D816" s="275" t="s">
        <v>529</v>
      </c>
      <c r="E816" s="276"/>
      <c r="F816" s="277"/>
      <c r="G816" s="333">
        <f t="shared" si="966"/>
        <v>41558</v>
      </c>
      <c r="H816" s="278">
        <v>41350</v>
      </c>
      <c r="I816" s="278">
        <v>208</v>
      </c>
      <c r="J816" s="352" t="str">
        <f>IFERROR(G816/#REF!,"-")</f>
        <v>-</v>
      </c>
      <c r="K816" s="690">
        <f t="shared" si="967"/>
        <v>41558</v>
      </c>
      <c r="L816" s="276">
        <f t="shared" si="968"/>
        <v>41350</v>
      </c>
      <c r="M816" s="436">
        <f t="shared" si="969"/>
        <v>208</v>
      </c>
      <c r="N816" s="337" t="str">
        <f t="shared" si="970"/>
        <v>-</v>
      </c>
      <c r="O816" s="263">
        <f t="shared" si="963"/>
        <v>5.0050531786900235E-3</v>
      </c>
    </row>
    <row r="817" spans="1:15" ht="24" x14ac:dyDescent="0.25">
      <c r="A817" s="274" t="s">
        <v>103</v>
      </c>
      <c r="B817" s="966"/>
      <c r="C817" s="275" t="s">
        <v>323</v>
      </c>
      <c r="D817" s="275" t="s">
        <v>318</v>
      </c>
      <c r="E817" s="276"/>
      <c r="F817" s="277"/>
      <c r="G817" s="333">
        <f t="shared" si="966"/>
        <v>0</v>
      </c>
      <c r="H817" s="278"/>
      <c r="I817" s="278"/>
      <c r="J817" s="352" t="str">
        <f>IFERROR(G817/#REF!,"-")</f>
        <v>-</v>
      </c>
      <c r="K817" s="690">
        <f t="shared" si="967"/>
        <v>0</v>
      </c>
      <c r="L817" s="276">
        <f t="shared" si="968"/>
        <v>0</v>
      </c>
      <c r="M817" s="436">
        <f t="shared" si="969"/>
        <v>0</v>
      </c>
      <c r="N817" s="337" t="str">
        <f t="shared" si="970"/>
        <v>-</v>
      </c>
      <c r="O817" s="263" t="str">
        <f t="shared" si="963"/>
        <v>-</v>
      </c>
    </row>
    <row r="818" spans="1:15" ht="24" x14ac:dyDescent="0.25">
      <c r="A818" s="274" t="s">
        <v>103</v>
      </c>
      <c r="B818" s="966"/>
      <c r="C818" s="275" t="s">
        <v>528</v>
      </c>
      <c r="D818" s="275" t="s">
        <v>189</v>
      </c>
      <c r="E818" s="276"/>
      <c r="F818" s="277"/>
      <c r="G818" s="333">
        <f t="shared" si="966"/>
        <v>28598</v>
      </c>
      <c r="H818" s="278">
        <v>28458</v>
      </c>
      <c r="I818" s="278">
        <v>140</v>
      </c>
      <c r="J818" s="352" t="str">
        <f>IFERROR(G818/#REF!,"-")</f>
        <v>-</v>
      </c>
      <c r="K818" s="690">
        <f t="shared" si="967"/>
        <v>28598</v>
      </c>
      <c r="L818" s="276">
        <f t="shared" si="968"/>
        <v>28458</v>
      </c>
      <c r="M818" s="436">
        <f t="shared" si="969"/>
        <v>140</v>
      </c>
      <c r="N818" s="337" t="str">
        <f t="shared" si="970"/>
        <v>-</v>
      </c>
      <c r="O818" s="263">
        <f t="shared" si="963"/>
        <v>4.8954472340723126E-3</v>
      </c>
    </row>
    <row r="819" spans="1:15" ht="24.75" thickBot="1" x14ac:dyDescent="0.3">
      <c r="A819" s="274" t="s">
        <v>103</v>
      </c>
      <c r="B819" s="967"/>
      <c r="C819" s="279" t="s">
        <v>341</v>
      </c>
      <c r="D819" s="279" t="s">
        <v>232</v>
      </c>
      <c r="E819" s="280"/>
      <c r="F819" s="281"/>
      <c r="G819" s="334">
        <f t="shared" si="966"/>
        <v>0</v>
      </c>
      <c r="H819" s="282"/>
      <c r="I819" s="282"/>
      <c r="J819" s="353" t="str">
        <f>IFERROR(G819/#REF!,"-")</f>
        <v>-</v>
      </c>
      <c r="K819" s="691">
        <f t="shared" si="967"/>
        <v>0</v>
      </c>
      <c r="L819" s="530">
        <f t="shared" si="968"/>
        <v>0</v>
      </c>
      <c r="M819" s="462">
        <f t="shared" si="969"/>
        <v>0</v>
      </c>
      <c r="N819" s="338" t="str">
        <f t="shared" si="970"/>
        <v>-</v>
      </c>
      <c r="O819" s="347" t="str">
        <f t="shared" si="963"/>
        <v>-</v>
      </c>
    </row>
    <row r="820" spans="1:15" ht="23.25" thickBot="1" x14ac:dyDescent="0.3">
      <c r="A820" s="274" t="s">
        <v>103</v>
      </c>
      <c r="B820" s="946" t="s">
        <v>45</v>
      </c>
      <c r="C820" s="947"/>
      <c r="D820" s="948"/>
      <c r="E820" s="320">
        <f>SUM(E813:E819)</f>
        <v>2600000</v>
      </c>
      <c r="F820" s="285">
        <v>100000</v>
      </c>
      <c r="G820" s="320">
        <f>SUM(G813:G819)</f>
        <v>82590</v>
      </c>
      <c r="H820" s="321">
        <f t="shared" ref="H820:I820" si="971">SUM(H813:H819)</f>
        <v>82048</v>
      </c>
      <c r="I820" s="321">
        <f t="shared" si="971"/>
        <v>542</v>
      </c>
      <c r="J820" s="345">
        <f>+G820/F820</f>
        <v>0.82589999999999997</v>
      </c>
      <c r="K820" s="320">
        <f>SUM(K813:K819)</f>
        <v>629406</v>
      </c>
      <c r="L820" s="519">
        <f>SUM(L813:L819)</f>
        <v>626588</v>
      </c>
      <c r="M820" s="689">
        <f t="shared" ref="M820" si="972">SUM(M813:M819)</f>
        <v>2818</v>
      </c>
      <c r="N820" s="339">
        <f>IFERROR(K820/E820,"-")</f>
        <v>0.24207923076923077</v>
      </c>
      <c r="O820" s="345">
        <f t="shared" si="963"/>
        <v>4.477237268154419E-3</v>
      </c>
    </row>
    <row r="821" spans="1:15" ht="24" x14ac:dyDescent="0.25">
      <c r="A821" s="274" t="s">
        <v>103</v>
      </c>
      <c r="B821" s="965" t="s">
        <v>18</v>
      </c>
      <c r="C821" s="269" t="s">
        <v>312</v>
      </c>
      <c r="D821" s="269" t="s">
        <v>92</v>
      </c>
      <c r="E821" s="270"/>
      <c r="F821" s="271"/>
      <c r="G821" s="332">
        <f t="shared" ref="G821:G827" si="973">+H821+I821</f>
        <v>0</v>
      </c>
      <c r="H821" s="272"/>
      <c r="I821" s="272"/>
      <c r="J821" s="351" t="str">
        <f>IFERROR(G821/#REF!,"-")</f>
        <v>-</v>
      </c>
      <c r="K821" s="332">
        <f t="shared" ref="K821:K827" si="974">+L821+M821</f>
        <v>0</v>
      </c>
      <c r="L821" s="272">
        <f t="shared" ref="L821:L827" si="975">+H821+L706</f>
        <v>0</v>
      </c>
      <c r="M821" s="273">
        <f t="shared" ref="M821:M827" si="976">+I821+M706</f>
        <v>0</v>
      </c>
      <c r="N821" s="336" t="str">
        <f t="shared" ref="N821:N828" si="977">IFERROR(K821/E821,"-")</f>
        <v>-</v>
      </c>
      <c r="O821" s="346" t="str">
        <f t="shared" si="963"/>
        <v>-</v>
      </c>
    </row>
    <row r="822" spans="1:15" ht="24" x14ac:dyDescent="0.25">
      <c r="A822" s="274" t="s">
        <v>103</v>
      </c>
      <c r="B822" s="966"/>
      <c r="C822" s="275" t="s">
        <v>233</v>
      </c>
      <c r="D822" s="275" t="s">
        <v>234</v>
      </c>
      <c r="E822" s="276"/>
      <c r="F822" s="277"/>
      <c r="G822" s="333">
        <f t="shared" si="973"/>
        <v>0</v>
      </c>
      <c r="H822" s="278"/>
      <c r="I822" s="278"/>
      <c r="J822" s="352" t="str">
        <f>IFERROR(G822/#REF!,"-")</f>
        <v>-</v>
      </c>
      <c r="K822" s="333">
        <f t="shared" si="974"/>
        <v>0</v>
      </c>
      <c r="L822" s="272">
        <f t="shared" si="975"/>
        <v>0</v>
      </c>
      <c r="M822" s="273">
        <f t="shared" si="976"/>
        <v>0</v>
      </c>
      <c r="N822" s="337" t="str">
        <f t="shared" si="977"/>
        <v>-</v>
      </c>
      <c r="O822" s="263" t="str">
        <f t="shared" si="963"/>
        <v>-</v>
      </c>
    </row>
    <row r="823" spans="1:15" ht="24" x14ac:dyDescent="0.25">
      <c r="A823" s="274" t="s">
        <v>103</v>
      </c>
      <c r="B823" s="966"/>
      <c r="C823" s="275" t="s">
        <v>115</v>
      </c>
      <c r="D823" s="275"/>
      <c r="E823" s="276"/>
      <c r="F823" s="277"/>
      <c r="G823" s="333">
        <f t="shared" si="973"/>
        <v>0</v>
      </c>
      <c r="H823" s="278"/>
      <c r="I823" s="278"/>
      <c r="J823" s="352" t="str">
        <f>IFERROR(G823/#REF!,"-")</f>
        <v>-</v>
      </c>
      <c r="K823" s="333">
        <f t="shared" si="974"/>
        <v>0</v>
      </c>
      <c r="L823" s="272">
        <f t="shared" si="975"/>
        <v>0</v>
      </c>
      <c r="M823" s="273">
        <f t="shared" si="976"/>
        <v>0</v>
      </c>
      <c r="N823" s="337" t="str">
        <f t="shared" si="977"/>
        <v>-</v>
      </c>
      <c r="O823" s="263" t="str">
        <f t="shared" si="963"/>
        <v>-</v>
      </c>
    </row>
    <row r="824" spans="1:15" ht="24" x14ac:dyDescent="0.25">
      <c r="A824" s="274" t="s">
        <v>103</v>
      </c>
      <c r="B824" s="966"/>
      <c r="C824" s="275" t="s">
        <v>122</v>
      </c>
      <c r="D824" s="275"/>
      <c r="E824" s="276"/>
      <c r="F824" s="277"/>
      <c r="G824" s="333">
        <f t="shared" si="973"/>
        <v>0</v>
      </c>
      <c r="H824" s="278"/>
      <c r="I824" s="278"/>
      <c r="J824" s="352" t="str">
        <f>IFERROR(G824/#REF!,"-")</f>
        <v>-</v>
      </c>
      <c r="K824" s="333">
        <f t="shared" si="974"/>
        <v>0</v>
      </c>
      <c r="L824" s="272">
        <f t="shared" si="975"/>
        <v>0</v>
      </c>
      <c r="M824" s="273">
        <f t="shared" si="976"/>
        <v>0</v>
      </c>
      <c r="N824" s="337" t="str">
        <f t="shared" si="977"/>
        <v>-</v>
      </c>
      <c r="O824" s="263" t="str">
        <f t="shared" si="963"/>
        <v>-</v>
      </c>
    </row>
    <row r="825" spans="1:15" ht="24" x14ac:dyDescent="0.25">
      <c r="A825" s="274" t="s">
        <v>103</v>
      </c>
      <c r="B825" s="966"/>
      <c r="C825" s="275" t="s">
        <v>176</v>
      </c>
      <c r="D825" s="275" t="s">
        <v>177</v>
      </c>
      <c r="E825" s="276"/>
      <c r="F825" s="277"/>
      <c r="G825" s="333">
        <f t="shared" si="973"/>
        <v>0</v>
      </c>
      <c r="H825" s="278"/>
      <c r="I825" s="278"/>
      <c r="J825" s="352" t="str">
        <f>IFERROR(G825/#REF!,"-")</f>
        <v>-</v>
      </c>
      <c r="K825" s="333">
        <f t="shared" si="974"/>
        <v>0</v>
      </c>
      <c r="L825" s="272">
        <f t="shared" si="975"/>
        <v>0</v>
      </c>
      <c r="M825" s="273">
        <f t="shared" si="976"/>
        <v>0</v>
      </c>
      <c r="N825" s="337" t="str">
        <f t="shared" si="977"/>
        <v>-</v>
      </c>
      <c r="O825" s="263" t="str">
        <f t="shared" si="963"/>
        <v>-</v>
      </c>
    </row>
    <row r="826" spans="1:15" ht="24" x14ac:dyDescent="0.25">
      <c r="A826" s="274" t="s">
        <v>103</v>
      </c>
      <c r="B826" s="966"/>
      <c r="C826" s="275" t="s">
        <v>179</v>
      </c>
      <c r="D826" s="275" t="s">
        <v>178</v>
      </c>
      <c r="E826" s="276"/>
      <c r="F826" s="277"/>
      <c r="G826" s="333">
        <f t="shared" si="973"/>
        <v>0</v>
      </c>
      <c r="H826" s="278"/>
      <c r="I826" s="278"/>
      <c r="J826" s="352" t="str">
        <f>IFERROR(G826/#REF!,"-")</f>
        <v>-</v>
      </c>
      <c r="K826" s="333">
        <f t="shared" si="974"/>
        <v>0</v>
      </c>
      <c r="L826" s="272">
        <f t="shared" si="975"/>
        <v>0</v>
      </c>
      <c r="M826" s="273">
        <f t="shared" si="976"/>
        <v>0</v>
      </c>
      <c r="N826" s="337" t="str">
        <f t="shared" si="977"/>
        <v>-</v>
      </c>
      <c r="O826" s="263" t="str">
        <f t="shared" si="963"/>
        <v>-</v>
      </c>
    </row>
    <row r="827" spans="1:15" ht="24.75" thickBot="1" x14ac:dyDescent="0.3">
      <c r="A827" s="274" t="s">
        <v>103</v>
      </c>
      <c r="B827" s="967"/>
      <c r="C827" s="286" t="s">
        <v>180</v>
      </c>
      <c r="D827" s="286" t="s">
        <v>107</v>
      </c>
      <c r="E827" s="280"/>
      <c r="F827" s="281"/>
      <c r="G827" s="334">
        <f t="shared" si="973"/>
        <v>0</v>
      </c>
      <c r="H827" s="282"/>
      <c r="I827" s="282"/>
      <c r="J827" s="353" t="str">
        <f>IFERROR(G827/#REF!,"-")</f>
        <v>-</v>
      </c>
      <c r="K827" s="334">
        <f t="shared" si="974"/>
        <v>0</v>
      </c>
      <c r="L827" s="272">
        <f t="shared" si="975"/>
        <v>0</v>
      </c>
      <c r="M827" s="273">
        <f t="shared" si="976"/>
        <v>0</v>
      </c>
      <c r="N827" s="338" t="str">
        <f t="shared" si="977"/>
        <v>-</v>
      </c>
      <c r="O827" s="347" t="str">
        <f t="shared" si="963"/>
        <v>-</v>
      </c>
    </row>
    <row r="828" spans="1:15" ht="23.25" thickBot="1" x14ac:dyDescent="0.3">
      <c r="A828" s="274" t="s">
        <v>103</v>
      </c>
      <c r="B828" s="946" t="s">
        <v>29</v>
      </c>
      <c r="C828" s="947"/>
      <c r="D828" s="948"/>
      <c r="E828" s="366">
        <f t="shared" ref="E828" si="978">SUM(E821:E827)</f>
        <v>0</v>
      </c>
      <c r="F828" s="307">
        <v>80000</v>
      </c>
      <c r="G828" s="366">
        <f>SUM(G821:G827)</f>
        <v>0</v>
      </c>
      <c r="H828" s="365">
        <f t="shared" ref="H828:I828" si="979">SUM(H821:H827)</f>
        <v>0</v>
      </c>
      <c r="I828" s="365">
        <f t="shared" si="979"/>
        <v>0</v>
      </c>
      <c r="J828" s="356">
        <f>+G828/F828</f>
        <v>0</v>
      </c>
      <c r="K828" s="366">
        <f t="shared" ref="K828" si="980">SUM(K821:K827)</f>
        <v>0</v>
      </c>
      <c r="L828" s="365">
        <f>SUM(L821:L827)</f>
        <v>0</v>
      </c>
      <c r="M828" s="367">
        <f t="shared" ref="M828" si="981">SUM(M821:M827)</f>
        <v>0</v>
      </c>
      <c r="N828" s="355" t="str">
        <f t="shared" si="977"/>
        <v>-</v>
      </c>
      <c r="O828" s="356" t="str">
        <f t="shared" si="963"/>
        <v>-</v>
      </c>
    </row>
    <row r="829" spans="1:15" ht="24" x14ac:dyDescent="0.25">
      <c r="A829" s="252" t="s">
        <v>103</v>
      </c>
      <c r="B829" s="1004" t="s">
        <v>19</v>
      </c>
      <c r="C829" s="641" t="s">
        <v>235</v>
      </c>
      <c r="D829" s="669" t="s">
        <v>177</v>
      </c>
      <c r="E829" s="527"/>
      <c r="F829" s="838">
        <v>220000</v>
      </c>
      <c r="G829" s="457">
        <f t="shared" ref="G829:G833" si="982">+H829+I829</f>
        <v>0</v>
      </c>
      <c r="H829" s="458"/>
      <c r="I829" s="458"/>
      <c r="J829" s="831" t="str">
        <f>IFERROR(G829/#REF!,"-")</f>
        <v>-</v>
      </c>
      <c r="K829" s="694">
        <f>+L829+M829</f>
        <v>0</v>
      </c>
      <c r="L829" s="527">
        <f>+H829+L714</f>
        <v>0</v>
      </c>
      <c r="M829" s="838">
        <f>+I829+M714</f>
        <v>0</v>
      </c>
      <c r="N829" s="646" t="str">
        <f>IFERROR(K829/E829,"-")</f>
        <v>-</v>
      </c>
      <c r="O829" s="647" t="str">
        <f t="shared" si="963"/>
        <v>-</v>
      </c>
    </row>
    <row r="830" spans="1:15" ht="24.75" thickBot="1" x14ac:dyDescent="0.3">
      <c r="A830" s="252"/>
      <c r="B830" s="1005"/>
      <c r="C830" s="296" t="s">
        <v>377</v>
      </c>
      <c r="D830" s="645" t="s">
        <v>423</v>
      </c>
      <c r="E830" s="276">
        <v>1000000</v>
      </c>
      <c r="F830" s="277"/>
      <c r="G830" s="333">
        <f t="shared" si="982"/>
        <v>0</v>
      </c>
      <c r="H830" s="278"/>
      <c r="I830" s="278"/>
      <c r="J830" s="833" t="str">
        <f>IFERROR(G830/#REF!,"-")</f>
        <v>-</v>
      </c>
      <c r="K830" s="690">
        <f>+L830+M830</f>
        <v>576188</v>
      </c>
      <c r="L830" s="276">
        <f>+H830+L715</f>
        <v>574464</v>
      </c>
      <c r="M830" s="277">
        <f>+I830+M715</f>
        <v>1724</v>
      </c>
      <c r="N830" s="836">
        <f t="shared" ref="N830:N833" si="983">IFERROR(K830/E830,"-")</f>
        <v>0.57618800000000003</v>
      </c>
      <c r="O830" s="263">
        <f>IFERROR(M830/K830,"-")</f>
        <v>2.9920789742236909E-3</v>
      </c>
    </row>
    <row r="831" spans="1:15" ht="24" x14ac:dyDescent="0.25">
      <c r="A831" s="252"/>
      <c r="B831" s="1005"/>
      <c r="C831" s="826" t="s">
        <v>235</v>
      </c>
      <c r="D831" s="651" t="s">
        <v>522</v>
      </c>
      <c r="E831" s="276"/>
      <c r="F831" s="277"/>
      <c r="G831" s="333">
        <f t="shared" si="982"/>
        <v>0</v>
      </c>
      <c r="H831" s="278"/>
      <c r="I831" s="278"/>
      <c r="J831" s="833" t="str">
        <f>IFERROR(G831/#REF!,"-")</f>
        <v>-</v>
      </c>
      <c r="K831" s="690">
        <f t="shared" ref="K831:K832" si="984">+L831+M831</f>
        <v>175193</v>
      </c>
      <c r="L831" s="276">
        <f t="shared" ref="L831:L833" si="985">+H831+L716</f>
        <v>174768</v>
      </c>
      <c r="M831" s="277">
        <f t="shared" ref="M831:M833" si="986">+I831+M716</f>
        <v>425</v>
      </c>
      <c r="N831" s="836" t="str">
        <f t="shared" si="983"/>
        <v>-</v>
      </c>
      <c r="O831" s="263">
        <f t="shared" ref="O831:O851" si="987">IFERROR(M831/K831,"-")</f>
        <v>2.4258960118269564E-3</v>
      </c>
    </row>
    <row r="832" spans="1:15" ht="24" x14ac:dyDescent="0.25">
      <c r="A832" s="252"/>
      <c r="B832" s="1005"/>
      <c r="C832" s="296" t="s">
        <v>377</v>
      </c>
      <c r="D832" s="824" t="s">
        <v>522</v>
      </c>
      <c r="E832" s="276"/>
      <c r="F832" s="277"/>
      <c r="G832" s="333">
        <f t="shared" si="982"/>
        <v>152412</v>
      </c>
      <c r="H832" s="278">
        <v>152064</v>
      </c>
      <c r="I832" s="278">
        <v>348</v>
      </c>
      <c r="J832" s="833" t="str">
        <f>IFERROR(G832/#REF!,"-")</f>
        <v>-</v>
      </c>
      <c r="K832" s="690">
        <f t="shared" si="984"/>
        <v>254073</v>
      </c>
      <c r="L832" s="276">
        <f t="shared" si="985"/>
        <v>253440</v>
      </c>
      <c r="M832" s="277">
        <f t="shared" si="986"/>
        <v>633</v>
      </c>
      <c r="N832" s="836" t="str">
        <f t="shared" si="983"/>
        <v>-</v>
      </c>
      <c r="O832" s="263">
        <f t="shared" si="987"/>
        <v>2.4914099491091142E-3</v>
      </c>
    </row>
    <row r="833" spans="1:15" ht="24.75" thickBot="1" x14ac:dyDescent="0.3">
      <c r="A833" s="252"/>
      <c r="B833" s="1006"/>
      <c r="C833" s="635" t="s">
        <v>342</v>
      </c>
      <c r="D833" s="670"/>
      <c r="E833" s="530">
        <v>150000</v>
      </c>
      <c r="F833" s="839"/>
      <c r="G833" s="333">
        <f t="shared" si="982"/>
        <v>0</v>
      </c>
      <c r="H833" s="461"/>
      <c r="I833" s="461"/>
      <c r="J833" s="834" t="str">
        <f>IFERROR(G833/#REF!,"-")</f>
        <v>-</v>
      </c>
      <c r="K833" s="691">
        <f>+L833+M833</f>
        <v>0</v>
      </c>
      <c r="L833" s="530">
        <f t="shared" si="985"/>
        <v>0</v>
      </c>
      <c r="M833" s="839">
        <f t="shared" si="986"/>
        <v>0</v>
      </c>
      <c r="N833" s="837">
        <f t="shared" si="983"/>
        <v>0</v>
      </c>
      <c r="O833" s="264" t="str">
        <f t="shared" si="987"/>
        <v>-</v>
      </c>
    </row>
    <row r="834" spans="1:15" ht="23.25" thickBot="1" x14ac:dyDescent="0.3">
      <c r="A834" s="274" t="s">
        <v>103</v>
      </c>
      <c r="B834" s="975" t="s">
        <v>46</v>
      </c>
      <c r="C834" s="947"/>
      <c r="D834" s="948"/>
      <c r="E834" s="513">
        <f>SUM(E829:E833)</f>
        <v>1150000</v>
      </c>
      <c r="F834" s="859">
        <f t="shared" ref="F834" si="988">SUM(F829)</f>
        <v>220000</v>
      </c>
      <c r="G834" s="513">
        <f>SUM(G829:G833)</f>
        <v>152412</v>
      </c>
      <c r="H834" s="519">
        <f>SUM(H829:H833)</f>
        <v>152064</v>
      </c>
      <c r="I834" s="519">
        <f>SUM(I829:I833)</f>
        <v>348</v>
      </c>
      <c r="J834" s="520">
        <f>+G834/F834</f>
        <v>0.69278181818181817</v>
      </c>
      <c r="K834" s="835">
        <f>SUM(K829:K833)</f>
        <v>1005454</v>
      </c>
      <c r="L834" s="519">
        <f>SUM(L829:L833)</f>
        <v>1002672</v>
      </c>
      <c r="M834" s="689">
        <f>SUM(M829:M833)</f>
        <v>2782</v>
      </c>
      <c r="N834" s="521">
        <f>IFERROR(K834/E834,"-")</f>
        <v>0.87430782608695656</v>
      </c>
      <c r="O834" s="520">
        <f t="shared" si="987"/>
        <v>2.7669092768043092E-3</v>
      </c>
    </row>
    <row r="835" spans="1:15" ht="24" x14ac:dyDescent="0.25">
      <c r="A835" s="274" t="s">
        <v>103</v>
      </c>
      <c r="B835" s="965" t="s">
        <v>20</v>
      </c>
      <c r="C835" s="291" t="s">
        <v>317</v>
      </c>
      <c r="D835" s="291" t="s">
        <v>289</v>
      </c>
      <c r="E835" s="270"/>
      <c r="F835" s="271"/>
      <c r="G835" s="332">
        <f t="shared" ref="G835:G837" si="989">+H835+I835</f>
        <v>0</v>
      </c>
      <c r="H835" s="272"/>
      <c r="I835" s="272"/>
      <c r="J835" s="351" t="str">
        <f>IFERROR(G835/#REF!,"-")</f>
        <v>-</v>
      </c>
      <c r="K835" s="332">
        <f t="shared" ref="K835:K837" si="990">+L835+M835</f>
        <v>0</v>
      </c>
      <c r="L835" s="272">
        <f t="shared" ref="L835:L837" si="991">+H835+L720</f>
        <v>0</v>
      </c>
      <c r="M835" s="273">
        <f t="shared" ref="M835:M837" si="992">+I835+M720</f>
        <v>0</v>
      </c>
      <c r="N835" s="336" t="str">
        <f t="shared" ref="N835:N838" si="993">IFERROR(K835/E835,"-")</f>
        <v>-</v>
      </c>
      <c r="O835" s="346" t="str">
        <f t="shared" si="987"/>
        <v>-</v>
      </c>
    </row>
    <row r="836" spans="1:15" ht="24" x14ac:dyDescent="0.25">
      <c r="A836" s="274" t="s">
        <v>103</v>
      </c>
      <c r="B836" s="966"/>
      <c r="C836" s="292" t="s">
        <v>114</v>
      </c>
      <c r="D836" s="292"/>
      <c r="E836" s="276"/>
      <c r="F836" s="277"/>
      <c r="G836" s="333">
        <f t="shared" si="989"/>
        <v>0</v>
      </c>
      <c r="H836" s="278"/>
      <c r="I836" s="278"/>
      <c r="J836" s="352" t="str">
        <f>IFERROR(G836/#REF!,"-")</f>
        <v>-</v>
      </c>
      <c r="K836" s="333">
        <f t="shared" si="990"/>
        <v>0</v>
      </c>
      <c r="L836" s="272">
        <f t="shared" si="991"/>
        <v>0</v>
      </c>
      <c r="M836" s="273">
        <f t="shared" si="992"/>
        <v>0</v>
      </c>
      <c r="N836" s="337" t="str">
        <f t="shared" si="993"/>
        <v>-</v>
      </c>
      <c r="O836" s="263" t="str">
        <f t="shared" si="987"/>
        <v>-</v>
      </c>
    </row>
    <row r="837" spans="1:15" ht="24.75" thickBot="1" x14ac:dyDescent="0.3">
      <c r="A837" s="274" t="s">
        <v>103</v>
      </c>
      <c r="B837" s="967"/>
      <c r="C837" s="293" t="s">
        <v>120</v>
      </c>
      <c r="D837" s="293"/>
      <c r="E837" s="280"/>
      <c r="F837" s="281"/>
      <c r="G837" s="334">
        <f t="shared" si="989"/>
        <v>0</v>
      </c>
      <c r="H837" s="282"/>
      <c r="I837" s="282"/>
      <c r="J837" s="353" t="str">
        <f>IFERROR(G837/#REF!,"-")</f>
        <v>-</v>
      </c>
      <c r="K837" s="334">
        <f t="shared" si="990"/>
        <v>0</v>
      </c>
      <c r="L837" s="272">
        <f t="shared" si="991"/>
        <v>0</v>
      </c>
      <c r="M837" s="273">
        <f t="shared" si="992"/>
        <v>0</v>
      </c>
      <c r="N837" s="338" t="str">
        <f t="shared" si="993"/>
        <v>-</v>
      </c>
      <c r="O837" s="347" t="str">
        <f t="shared" si="987"/>
        <v>-</v>
      </c>
    </row>
    <row r="838" spans="1:15" ht="23.25" thickBot="1" x14ac:dyDescent="0.3">
      <c r="A838" s="274" t="s">
        <v>103</v>
      </c>
      <c r="B838" s="947" t="s">
        <v>47</v>
      </c>
      <c r="C838" s="947"/>
      <c r="D838" s="964"/>
      <c r="E838" s="320">
        <f t="shared" ref="E838" si="994">SUM(E835:E837)</f>
        <v>0</v>
      </c>
      <c r="F838" s="285">
        <v>50000</v>
      </c>
      <c r="G838" s="320">
        <f>SUM(G835:G837)</f>
        <v>0</v>
      </c>
      <c r="H838" s="321">
        <f t="shared" ref="H838:I838" si="995">SUM(H835:H837)</f>
        <v>0</v>
      </c>
      <c r="I838" s="321">
        <f t="shared" si="995"/>
        <v>0</v>
      </c>
      <c r="J838" s="345">
        <f>+G838/F838</f>
        <v>0</v>
      </c>
      <c r="K838" s="320">
        <f t="shared" ref="K838:M838" si="996">SUM(K835:K837)</f>
        <v>0</v>
      </c>
      <c r="L838" s="321">
        <f t="shared" si="996"/>
        <v>0</v>
      </c>
      <c r="M838" s="322">
        <f t="shared" si="996"/>
        <v>0</v>
      </c>
      <c r="N838" s="339" t="str">
        <f t="shared" si="993"/>
        <v>-</v>
      </c>
      <c r="O838" s="345" t="str">
        <f t="shared" si="987"/>
        <v>-</v>
      </c>
    </row>
    <row r="839" spans="1:15" ht="23.25" thickBot="1" x14ac:dyDescent="0.3">
      <c r="A839" s="274" t="s">
        <v>103</v>
      </c>
      <c r="B839" s="960" t="s">
        <v>21</v>
      </c>
      <c r="C839" s="961"/>
      <c r="D839" s="962"/>
      <c r="E839" s="326">
        <f>+E812+E820+E828+E834+E838</f>
        <v>3770000</v>
      </c>
      <c r="F839" s="327">
        <f>+F812+F820+F828+F834+F838</f>
        <v>465000</v>
      </c>
      <c r="G839" s="326">
        <f>+G812+G820+G828+G834+G838</f>
        <v>235002</v>
      </c>
      <c r="H839" s="324">
        <f>+H812+H820+H828+H834+H838</f>
        <v>234112</v>
      </c>
      <c r="I839" s="324">
        <f>+I812+I820+I828+I834+I838</f>
        <v>890</v>
      </c>
      <c r="J839" s="349">
        <f>+G839/F839</f>
        <v>0.50538064516129033</v>
      </c>
      <c r="K839" s="326">
        <f>+K812+K820+K828+K834+K838</f>
        <v>1643130</v>
      </c>
      <c r="L839" s="324">
        <f>+L812+L820+L828+L834+L838</f>
        <v>1637260</v>
      </c>
      <c r="M839" s="325">
        <f>+M812+M820+M828+M834+M838</f>
        <v>5870</v>
      </c>
      <c r="N839" s="341">
        <f>IFERROR(K839/E839,"-")</f>
        <v>0.43584350132625993</v>
      </c>
      <c r="O839" s="349">
        <f t="shared" si="987"/>
        <v>3.5724501408896437E-3</v>
      </c>
    </row>
    <row r="840" spans="1:15" ht="24" x14ac:dyDescent="0.25">
      <c r="A840" s="274" t="s">
        <v>103</v>
      </c>
      <c r="B840" s="965" t="s">
        <v>400</v>
      </c>
      <c r="C840" s="269" t="s">
        <v>125</v>
      </c>
      <c r="D840" s="269"/>
      <c r="E840" s="270"/>
      <c r="F840" s="271"/>
      <c r="G840" s="332">
        <f t="shared" ref="G840:G843" si="997">+H840+I840</f>
        <v>0</v>
      </c>
      <c r="H840" s="272"/>
      <c r="I840" s="272"/>
      <c r="J840" s="351" t="str">
        <f>IFERROR(G840/#REF!,"-")</f>
        <v>-</v>
      </c>
      <c r="K840" s="332">
        <f t="shared" ref="K840:K843" si="998">+L840+M840</f>
        <v>0</v>
      </c>
      <c r="L840" s="272">
        <f t="shared" ref="L840:L843" si="999">+H840+L725</f>
        <v>0</v>
      </c>
      <c r="M840" s="273">
        <f t="shared" ref="M840:M843" si="1000">+I840+M725</f>
        <v>0</v>
      </c>
      <c r="N840" s="336" t="str">
        <f t="shared" ref="N840:N851" si="1001">IFERROR(K840/E840,"-")</f>
        <v>-</v>
      </c>
      <c r="O840" s="346" t="str">
        <f t="shared" si="987"/>
        <v>-</v>
      </c>
    </row>
    <row r="841" spans="1:15" ht="24" x14ac:dyDescent="0.25">
      <c r="A841" s="274" t="s">
        <v>103</v>
      </c>
      <c r="B841" s="966"/>
      <c r="C841" s="295" t="s">
        <v>263</v>
      </c>
      <c r="D841" s="295" t="s">
        <v>181</v>
      </c>
      <c r="E841" s="276"/>
      <c r="F841" s="277"/>
      <c r="G841" s="333">
        <f t="shared" si="997"/>
        <v>0</v>
      </c>
      <c r="H841" s="278"/>
      <c r="I841" s="278"/>
      <c r="J841" s="352" t="str">
        <f>IFERROR(G841/#REF!,"-")</f>
        <v>-</v>
      </c>
      <c r="K841" s="333">
        <f t="shared" si="998"/>
        <v>0</v>
      </c>
      <c r="L841" s="272">
        <f t="shared" si="999"/>
        <v>0</v>
      </c>
      <c r="M841" s="273">
        <f t="shared" si="1000"/>
        <v>0</v>
      </c>
      <c r="N841" s="337" t="str">
        <f t="shared" si="1001"/>
        <v>-</v>
      </c>
      <c r="O841" s="263" t="str">
        <f t="shared" si="987"/>
        <v>-</v>
      </c>
    </row>
    <row r="842" spans="1:15" ht="24" x14ac:dyDescent="0.25">
      <c r="A842" s="274" t="s">
        <v>103</v>
      </c>
      <c r="B842" s="966"/>
      <c r="C842" s="295" t="s">
        <v>362</v>
      </c>
      <c r="D842" s="295" t="s">
        <v>181</v>
      </c>
      <c r="E842" s="276"/>
      <c r="F842" s="277"/>
      <c r="G842" s="333">
        <f t="shared" si="997"/>
        <v>0</v>
      </c>
      <c r="H842" s="278"/>
      <c r="I842" s="278"/>
      <c r="J842" s="352" t="str">
        <f>IFERROR(G842/#REF!,"-")</f>
        <v>-</v>
      </c>
      <c r="K842" s="333">
        <f t="shared" si="998"/>
        <v>0</v>
      </c>
      <c r="L842" s="272">
        <f t="shared" si="999"/>
        <v>0</v>
      </c>
      <c r="M842" s="273">
        <f t="shared" si="1000"/>
        <v>0</v>
      </c>
      <c r="N842" s="337" t="str">
        <f t="shared" si="1001"/>
        <v>-</v>
      </c>
      <c r="O842" s="263" t="str">
        <f t="shared" si="987"/>
        <v>-</v>
      </c>
    </row>
    <row r="843" spans="1:15" ht="24.75" thickBot="1" x14ac:dyDescent="0.3">
      <c r="A843" s="274" t="s">
        <v>103</v>
      </c>
      <c r="B843" s="967"/>
      <c r="C843" s="279" t="s">
        <v>182</v>
      </c>
      <c r="D843" s="279" t="s">
        <v>93</v>
      </c>
      <c r="E843" s="280"/>
      <c r="F843" s="281"/>
      <c r="G843" s="334">
        <f t="shared" si="997"/>
        <v>0</v>
      </c>
      <c r="H843" s="282"/>
      <c r="I843" s="282"/>
      <c r="J843" s="353" t="str">
        <f>IFERROR(G843/#REF!,"-")</f>
        <v>-</v>
      </c>
      <c r="K843" s="334">
        <f t="shared" si="998"/>
        <v>0</v>
      </c>
      <c r="L843" s="272">
        <f t="shared" si="999"/>
        <v>0</v>
      </c>
      <c r="M843" s="273">
        <f t="shared" si="1000"/>
        <v>0</v>
      </c>
      <c r="N843" s="338" t="str">
        <f t="shared" si="1001"/>
        <v>-</v>
      </c>
      <c r="O843" s="347" t="str">
        <f t="shared" si="987"/>
        <v>-</v>
      </c>
    </row>
    <row r="844" spans="1:15" ht="23.25" thickBot="1" x14ac:dyDescent="0.3">
      <c r="A844" s="274" t="s">
        <v>103</v>
      </c>
      <c r="B844" s="946" t="s">
        <v>48</v>
      </c>
      <c r="C844" s="947"/>
      <c r="D844" s="948"/>
      <c r="E844" s="284">
        <f>SUM(E840:E843)</f>
        <v>0</v>
      </c>
      <c r="F844" s="285">
        <v>80000</v>
      </c>
      <c r="G844" s="320">
        <f>SUM(G840:G843)</f>
        <v>0</v>
      </c>
      <c r="H844" s="321">
        <f t="shared" ref="H844:I844" si="1002">SUM(H840:H843)</f>
        <v>0</v>
      </c>
      <c r="I844" s="321">
        <f t="shared" si="1002"/>
        <v>0</v>
      </c>
      <c r="J844" s="345">
        <f>+G844/F844</f>
        <v>0</v>
      </c>
      <c r="K844" s="320">
        <f t="shared" ref="K844" si="1003">SUM(K840:K843)</f>
        <v>0</v>
      </c>
      <c r="L844" s="321">
        <f>SUM(L840:L843)</f>
        <v>0</v>
      </c>
      <c r="M844" s="322">
        <f t="shared" ref="M844" si="1004">SUM(M840:M843)</f>
        <v>0</v>
      </c>
      <c r="N844" s="339" t="str">
        <f t="shared" si="1001"/>
        <v>-</v>
      </c>
      <c r="O844" s="345" t="str">
        <f t="shared" si="987"/>
        <v>-</v>
      </c>
    </row>
    <row r="845" spans="1:15" ht="24" x14ac:dyDescent="0.25">
      <c r="A845" s="274" t="s">
        <v>103</v>
      </c>
      <c r="B845" s="965" t="s">
        <v>23</v>
      </c>
      <c r="C845" s="275" t="s">
        <v>500</v>
      </c>
      <c r="D845" s="296" t="s">
        <v>238</v>
      </c>
      <c r="E845" s="270">
        <v>10000</v>
      </c>
      <c r="F845" s="271"/>
      <c r="G845" s="332">
        <f t="shared" ref="G845:G853" si="1005">+H845+I845</f>
        <v>0</v>
      </c>
      <c r="H845" s="272"/>
      <c r="I845" s="272"/>
      <c r="J845" s="351" t="str">
        <f>IFERROR(G845/#REF!,"-")</f>
        <v>-</v>
      </c>
      <c r="K845" s="332">
        <f t="shared" ref="K845:K853" si="1006">+L845+M845</f>
        <v>0</v>
      </c>
      <c r="L845" s="272">
        <f t="shared" ref="L845:L853" si="1007">+H845+L730</f>
        <v>0</v>
      </c>
      <c r="M845" s="273">
        <f t="shared" ref="M845:M853" si="1008">+I845+M730</f>
        <v>0</v>
      </c>
      <c r="N845" s="336">
        <f t="shared" si="1001"/>
        <v>0</v>
      </c>
      <c r="O845" s="346" t="str">
        <f t="shared" si="987"/>
        <v>-</v>
      </c>
    </row>
    <row r="846" spans="1:15" ht="24" x14ac:dyDescent="0.25">
      <c r="A846" s="274" t="s">
        <v>103</v>
      </c>
      <c r="B846" s="966"/>
      <c r="C846" s="275" t="s">
        <v>24</v>
      </c>
      <c r="D846" s="275" t="s">
        <v>238</v>
      </c>
      <c r="E846" s="276"/>
      <c r="F846" s="277"/>
      <c r="G846" s="333">
        <f t="shared" si="1005"/>
        <v>0</v>
      </c>
      <c r="H846" s="278"/>
      <c r="I846" s="278"/>
      <c r="J846" s="352" t="str">
        <f>IFERROR(G846/#REF!,"-")</f>
        <v>-</v>
      </c>
      <c r="K846" s="333">
        <f t="shared" si="1006"/>
        <v>0</v>
      </c>
      <c r="L846" s="272">
        <f t="shared" si="1007"/>
        <v>0</v>
      </c>
      <c r="M846" s="273">
        <f t="shared" si="1008"/>
        <v>0</v>
      </c>
      <c r="N846" s="337" t="str">
        <f t="shared" si="1001"/>
        <v>-</v>
      </c>
      <c r="O846" s="263" t="str">
        <f t="shared" si="987"/>
        <v>-</v>
      </c>
    </row>
    <row r="847" spans="1:15" ht="24" x14ac:dyDescent="0.25">
      <c r="A847" s="274" t="s">
        <v>103</v>
      </c>
      <c r="B847" s="966"/>
      <c r="C847" s="275" t="s">
        <v>236</v>
      </c>
      <c r="D847" s="275" t="s">
        <v>238</v>
      </c>
      <c r="E847" s="276"/>
      <c r="F847" s="277"/>
      <c r="G847" s="333">
        <f t="shared" si="1005"/>
        <v>0</v>
      </c>
      <c r="H847" s="278"/>
      <c r="I847" s="278"/>
      <c r="J847" s="352" t="str">
        <f>IFERROR(G847/#REF!,"-")</f>
        <v>-</v>
      </c>
      <c r="K847" s="333">
        <f t="shared" si="1006"/>
        <v>0</v>
      </c>
      <c r="L847" s="272">
        <f t="shared" si="1007"/>
        <v>0</v>
      </c>
      <c r="M847" s="273">
        <f t="shared" si="1008"/>
        <v>0</v>
      </c>
      <c r="N847" s="337" t="str">
        <f t="shared" si="1001"/>
        <v>-</v>
      </c>
      <c r="O847" s="263" t="str">
        <f t="shared" si="987"/>
        <v>-</v>
      </c>
    </row>
    <row r="848" spans="1:15" ht="24" x14ac:dyDescent="0.25">
      <c r="A848" s="274" t="s">
        <v>103</v>
      </c>
      <c r="B848" s="966"/>
      <c r="C848" s="275" t="s">
        <v>237</v>
      </c>
      <c r="D848" s="275" t="s">
        <v>238</v>
      </c>
      <c r="E848" s="276"/>
      <c r="F848" s="277"/>
      <c r="G848" s="333">
        <f t="shared" si="1005"/>
        <v>0</v>
      </c>
      <c r="H848" s="278"/>
      <c r="I848" s="278"/>
      <c r="J848" s="352" t="str">
        <f>IFERROR(G848/#REF!,"-")</f>
        <v>-</v>
      </c>
      <c r="K848" s="333">
        <f t="shared" si="1006"/>
        <v>0</v>
      </c>
      <c r="L848" s="272">
        <f t="shared" si="1007"/>
        <v>0</v>
      </c>
      <c r="M848" s="273">
        <f t="shared" si="1008"/>
        <v>0</v>
      </c>
      <c r="N848" s="337" t="str">
        <f t="shared" si="1001"/>
        <v>-</v>
      </c>
      <c r="O848" s="263" t="str">
        <f t="shared" si="987"/>
        <v>-</v>
      </c>
    </row>
    <row r="849" spans="1:15" ht="24" x14ac:dyDescent="0.25">
      <c r="A849" s="274" t="s">
        <v>103</v>
      </c>
      <c r="B849" s="966"/>
      <c r="C849" s="295" t="s">
        <v>394</v>
      </c>
      <c r="D849" s="275" t="s">
        <v>238</v>
      </c>
      <c r="E849" s="276"/>
      <c r="F849" s="277"/>
      <c r="G849" s="333">
        <f t="shared" si="1005"/>
        <v>0</v>
      </c>
      <c r="H849" s="278"/>
      <c r="I849" s="278"/>
      <c r="J849" s="352" t="str">
        <f>IFERROR(G849/#REF!,"-")</f>
        <v>-</v>
      </c>
      <c r="K849" s="333">
        <f t="shared" si="1006"/>
        <v>0</v>
      </c>
      <c r="L849" s="272">
        <f t="shared" si="1007"/>
        <v>0</v>
      </c>
      <c r="M849" s="273">
        <f t="shared" si="1008"/>
        <v>0</v>
      </c>
      <c r="N849" s="337" t="str">
        <f t="shared" si="1001"/>
        <v>-</v>
      </c>
      <c r="O849" s="263" t="str">
        <f t="shared" si="987"/>
        <v>-</v>
      </c>
    </row>
    <row r="850" spans="1:15" ht="24" x14ac:dyDescent="0.25">
      <c r="A850" s="274" t="s">
        <v>103</v>
      </c>
      <c r="B850" s="966"/>
      <c r="C850" s="295" t="s">
        <v>422</v>
      </c>
      <c r="D850" s="275" t="s">
        <v>238</v>
      </c>
      <c r="E850" s="276"/>
      <c r="F850" s="277"/>
      <c r="G850" s="333">
        <f t="shared" si="1005"/>
        <v>0</v>
      </c>
      <c r="H850" s="278"/>
      <c r="I850" s="278"/>
      <c r="J850" s="352" t="str">
        <f>IFERROR(G850/#REF!,"-")</f>
        <v>-</v>
      </c>
      <c r="K850" s="333">
        <f t="shared" si="1006"/>
        <v>0</v>
      </c>
      <c r="L850" s="272">
        <f t="shared" si="1007"/>
        <v>0</v>
      </c>
      <c r="M850" s="273">
        <f t="shared" si="1008"/>
        <v>0</v>
      </c>
      <c r="N850" s="337" t="str">
        <f t="shared" si="1001"/>
        <v>-</v>
      </c>
      <c r="O850" s="263" t="str">
        <f t="shared" si="987"/>
        <v>-</v>
      </c>
    </row>
    <row r="851" spans="1:15" ht="24" x14ac:dyDescent="0.25">
      <c r="A851" s="274" t="s">
        <v>103</v>
      </c>
      <c r="B851" s="966"/>
      <c r="C851" s="295" t="s">
        <v>241</v>
      </c>
      <c r="D851" s="275" t="s">
        <v>243</v>
      </c>
      <c r="E851" s="276"/>
      <c r="F851" s="277"/>
      <c r="G851" s="333">
        <f t="shared" si="1005"/>
        <v>0</v>
      </c>
      <c r="H851" s="278"/>
      <c r="I851" s="278"/>
      <c r="J851" s="352" t="str">
        <f>IFERROR(G851/#REF!,"-")</f>
        <v>-</v>
      </c>
      <c r="K851" s="333">
        <f t="shared" si="1006"/>
        <v>0</v>
      </c>
      <c r="L851" s="272">
        <f t="shared" si="1007"/>
        <v>0</v>
      </c>
      <c r="M851" s="273">
        <f t="shared" si="1008"/>
        <v>0</v>
      </c>
      <c r="N851" s="337" t="str">
        <f t="shared" si="1001"/>
        <v>-</v>
      </c>
      <c r="O851" s="263" t="str">
        <f t="shared" si="987"/>
        <v>-</v>
      </c>
    </row>
    <row r="852" spans="1:15" ht="24" x14ac:dyDescent="0.25">
      <c r="A852" s="274"/>
      <c r="B852" s="967"/>
      <c r="C852" s="295" t="s">
        <v>456</v>
      </c>
      <c r="D852" s="275" t="s">
        <v>238</v>
      </c>
      <c r="E852" s="280"/>
      <c r="F852" s="281"/>
      <c r="G852" s="333">
        <f t="shared" si="1005"/>
        <v>0</v>
      </c>
      <c r="H852" s="282"/>
      <c r="I852" s="282"/>
      <c r="J852" s="352" t="str">
        <f>IFERROR(G852/#REF!,"-")</f>
        <v>-</v>
      </c>
      <c r="K852" s="333">
        <f t="shared" si="1006"/>
        <v>0</v>
      </c>
      <c r="L852" s="272">
        <f t="shared" si="1007"/>
        <v>0</v>
      </c>
      <c r="M852" s="273">
        <f t="shared" si="1008"/>
        <v>0</v>
      </c>
      <c r="N852" s="338"/>
      <c r="O852" s="347"/>
    </row>
    <row r="853" spans="1:15" ht="24.75" thickBot="1" x14ac:dyDescent="0.3">
      <c r="A853" s="274" t="s">
        <v>103</v>
      </c>
      <c r="B853" s="967"/>
      <c r="C853" s="295" t="s">
        <v>242</v>
      </c>
      <c r="D853" s="275" t="s">
        <v>238</v>
      </c>
      <c r="E853" s="280"/>
      <c r="F853" s="281"/>
      <c r="G853" s="334">
        <f t="shared" si="1005"/>
        <v>0</v>
      </c>
      <c r="H853" s="282"/>
      <c r="I853" s="282"/>
      <c r="J853" s="353" t="str">
        <f>IFERROR(G853/#REF!,"-")</f>
        <v>-</v>
      </c>
      <c r="K853" s="334">
        <f t="shared" si="1006"/>
        <v>0</v>
      </c>
      <c r="L853" s="272">
        <f t="shared" si="1007"/>
        <v>0</v>
      </c>
      <c r="M853" s="273">
        <f t="shared" si="1008"/>
        <v>0</v>
      </c>
      <c r="N853" s="338" t="str">
        <f t="shared" ref="N853:N855" si="1009">IFERROR(K853/E853,"-")</f>
        <v>-</v>
      </c>
      <c r="O853" s="347" t="str">
        <f t="shared" ref="O853:O870" si="1010">IFERROR(M853/K853,"-")</f>
        <v>-</v>
      </c>
    </row>
    <row r="854" spans="1:15" ht="23.25" thickBot="1" x14ac:dyDescent="0.3">
      <c r="A854" s="274" t="s">
        <v>103</v>
      </c>
      <c r="B854" s="946" t="s">
        <v>49</v>
      </c>
      <c r="C854" s="947"/>
      <c r="D854" s="948"/>
      <c r="E854" s="284">
        <f>SUM(E845:E853)</f>
        <v>10000</v>
      </c>
      <c r="F854" s="285">
        <v>14000</v>
      </c>
      <c r="G854" s="320">
        <f>SUM(G845:G853)</f>
        <v>0</v>
      </c>
      <c r="H854" s="321">
        <f t="shared" ref="H854:I854" si="1011">SUM(H845:H853)</f>
        <v>0</v>
      </c>
      <c r="I854" s="321">
        <f t="shared" si="1011"/>
        <v>0</v>
      </c>
      <c r="J854" s="345">
        <f>+G855/F855</f>
        <v>0</v>
      </c>
      <c r="K854" s="320">
        <f>SUM(K845:K853)</f>
        <v>0</v>
      </c>
      <c r="L854" s="321">
        <f>+H854</f>
        <v>0</v>
      </c>
      <c r="M854" s="322">
        <f>+I854</f>
        <v>0</v>
      </c>
      <c r="N854" s="339">
        <f t="shared" si="1009"/>
        <v>0</v>
      </c>
      <c r="O854" s="345" t="str">
        <f t="shared" si="1010"/>
        <v>-</v>
      </c>
    </row>
    <row r="855" spans="1:15" ht="23.25" thickBot="1" x14ac:dyDescent="0.3">
      <c r="A855" s="274" t="s">
        <v>103</v>
      </c>
      <c r="B855" s="960" t="s">
        <v>25</v>
      </c>
      <c r="C855" s="961"/>
      <c r="D855" s="962"/>
      <c r="E855" s="326">
        <f t="shared" ref="E855:F855" si="1012">+E844+E854</f>
        <v>10000</v>
      </c>
      <c r="F855" s="327">
        <f t="shared" si="1012"/>
        <v>94000</v>
      </c>
      <c r="G855" s="326">
        <f>+G844+G854</f>
        <v>0</v>
      </c>
      <c r="H855" s="324">
        <f t="shared" ref="H855:I855" si="1013">+H844+H854</f>
        <v>0</v>
      </c>
      <c r="I855" s="324">
        <f t="shared" si="1013"/>
        <v>0</v>
      </c>
      <c r="J855" s="349" t="str">
        <f>IFERROR(G855/#REF!,"-")</f>
        <v>-</v>
      </c>
      <c r="K855" s="326">
        <f t="shared" ref="K855" si="1014">+K844+K854</f>
        <v>0</v>
      </c>
      <c r="L855" s="324">
        <f>+L844+L854</f>
        <v>0</v>
      </c>
      <c r="M855" s="325">
        <f t="shared" ref="M855" si="1015">+M844+M854</f>
        <v>0</v>
      </c>
      <c r="N855" s="341">
        <f t="shared" si="1009"/>
        <v>0</v>
      </c>
      <c r="O855" s="349" t="str">
        <f t="shared" si="1010"/>
        <v>-</v>
      </c>
    </row>
    <row r="856" spans="1:15" ht="23.25" thickBot="1" x14ac:dyDescent="0.3">
      <c r="A856" s="274" t="s">
        <v>103</v>
      </c>
      <c r="B856" s="963" t="s">
        <v>172</v>
      </c>
      <c r="C856" s="941"/>
      <c r="D856" s="942"/>
      <c r="E856" s="330">
        <f>+E839+E855</f>
        <v>3780000</v>
      </c>
      <c r="F856" s="331">
        <f t="shared" ref="F856:I856" si="1016">+F839+F855</f>
        <v>559000</v>
      </c>
      <c r="G856" s="330">
        <f t="shared" si="1016"/>
        <v>235002</v>
      </c>
      <c r="H856" s="328">
        <f t="shared" si="1016"/>
        <v>234112</v>
      </c>
      <c r="I856" s="328">
        <f t="shared" si="1016"/>
        <v>890</v>
      </c>
      <c r="J856" s="350">
        <f>+G856/F856</f>
        <v>0.42039713774597498</v>
      </c>
      <c r="K856" s="330">
        <f>+K839+K855</f>
        <v>1643130</v>
      </c>
      <c r="L856" s="328">
        <f t="shared" ref="L856:M856" si="1017">+L839+L855</f>
        <v>1637260</v>
      </c>
      <c r="M856" s="329">
        <f t="shared" si="1017"/>
        <v>5870</v>
      </c>
      <c r="N856" s="342">
        <f>IFERROR(K856/E856,"-")</f>
        <v>0.43469047619047618</v>
      </c>
      <c r="O856" s="350">
        <f t="shared" si="1010"/>
        <v>3.5724501408896437E-3</v>
      </c>
    </row>
    <row r="857" spans="1:15" ht="24" x14ac:dyDescent="0.25">
      <c r="A857" s="268" t="s">
        <v>101</v>
      </c>
      <c r="B857" s="956" t="s">
        <v>26</v>
      </c>
      <c r="C857" s="297" t="s">
        <v>297</v>
      </c>
      <c r="D857" s="297" t="s">
        <v>177</v>
      </c>
      <c r="E857" s="270"/>
      <c r="F857" s="271"/>
      <c r="G857" s="332">
        <f t="shared" ref="G857:G866" si="1018">+H857+I857</f>
        <v>0</v>
      </c>
      <c r="H857" s="272"/>
      <c r="I857" s="272"/>
      <c r="J857" s="351" t="str">
        <f>IFERROR(G857/#REF!,"-")</f>
        <v>-</v>
      </c>
      <c r="K857" s="332">
        <f t="shared" ref="K857:K866" si="1019">+L857+M857</f>
        <v>0</v>
      </c>
      <c r="L857" s="272">
        <f t="shared" ref="L857:L866" si="1020">+H857+L742</f>
        <v>0</v>
      </c>
      <c r="M857" s="273">
        <f t="shared" ref="M857:M866" si="1021">+I857+M742</f>
        <v>0</v>
      </c>
      <c r="N857" s="336" t="str">
        <f t="shared" ref="N857:N870" si="1022">IFERROR(K857/E857,"-")</f>
        <v>-</v>
      </c>
      <c r="O857" s="346" t="str">
        <f t="shared" si="1010"/>
        <v>-</v>
      </c>
    </row>
    <row r="858" spans="1:15" ht="24" x14ac:dyDescent="0.25">
      <c r="A858" s="274" t="s">
        <v>101</v>
      </c>
      <c r="B858" s="956"/>
      <c r="C858" s="298" t="s">
        <v>424</v>
      </c>
      <c r="D858" s="298" t="s">
        <v>423</v>
      </c>
      <c r="E858" s="276">
        <v>564432</v>
      </c>
      <c r="F858" s="277"/>
      <c r="G858" s="333">
        <f t="shared" si="1018"/>
        <v>0</v>
      </c>
      <c r="H858" s="278"/>
      <c r="I858" s="278"/>
      <c r="J858" s="352" t="str">
        <f>IFERROR(G858/#REF!,"-")</f>
        <v>-</v>
      </c>
      <c r="K858" s="333">
        <f t="shared" si="1019"/>
        <v>265434</v>
      </c>
      <c r="L858" s="272">
        <f t="shared" si="1020"/>
        <v>262548</v>
      </c>
      <c r="M858" s="273">
        <f t="shared" si="1021"/>
        <v>2886</v>
      </c>
      <c r="N858" s="337">
        <f t="shared" si="1022"/>
        <v>0.47026745471553705</v>
      </c>
      <c r="O858" s="263">
        <f t="shared" si="1010"/>
        <v>1.0872759330002939E-2</v>
      </c>
    </row>
    <row r="859" spans="1:15" ht="24" x14ac:dyDescent="0.25">
      <c r="A859" s="274" t="s">
        <v>101</v>
      </c>
      <c r="B859" s="956"/>
      <c r="C859" s="299" t="s">
        <v>27</v>
      </c>
      <c r="D859" s="299" t="s">
        <v>334</v>
      </c>
      <c r="E859" s="280">
        <v>1301232</v>
      </c>
      <c r="F859" s="281"/>
      <c r="G859" s="333">
        <f t="shared" si="1018"/>
        <v>0</v>
      </c>
      <c r="H859" s="282"/>
      <c r="I859" s="282"/>
      <c r="J859" s="353" t="str">
        <f>IFERROR(G859/#REF!,"-")</f>
        <v>-</v>
      </c>
      <c r="K859" s="333">
        <f t="shared" si="1019"/>
        <v>29523</v>
      </c>
      <c r="L859" s="272">
        <f t="shared" si="1020"/>
        <v>27846</v>
      </c>
      <c r="M859" s="273">
        <f t="shared" si="1021"/>
        <v>1677</v>
      </c>
      <c r="N859" s="337">
        <f t="shared" si="1022"/>
        <v>2.2688498284702496E-2</v>
      </c>
      <c r="O859" s="263">
        <f t="shared" si="1010"/>
        <v>5.6803170409511231E-2</v>
      </c>
    </row>
    <row r="860" spans="1:15" ht="24" x14ac:dyDescent="0.25">
      <c r="A860" s="274" t="s">
        <v>101</v>
      </c>
      <c r="B860" s="956"/>
      <c r="C860" s="299" t="s">
        <v>27</v>
      </c>
      <c r="D860" s="297" t="s">
        <v>492</v>
      </c>
      <c r="E860" s="280"/>
      <c r="F860" s="281"/>
      <c r="G860" s="333">
        <f t="shared" si="1018"/>
        <v>0</v>
      </c>
      <c r="H860" s="282"/>
      <c r="I860" s="282"/>
      <c r="J860" s="353" t="str">
        <f>IFERROR(G860/#REF!,"-")</f>
        <v>-</v>
      </c>
      <c r="K860" s="333">
        <f t="shared" si="1019"/>
        <v>274869</v>
      </c>
      <c r="L860" s="272">
        <f t="shared" si="1020"/>
        <v>270504</v>
      </c>
      <c r="M860" s="273">
        <f t="shared" si="1021"/>
        <v>4365</v>
      </c>
      <c r="N860" s="337" t="str">
        <f t="shared" si="1022"/>
        <v>-</v>
      </c>
      <c r="O860" s="263">
        <f t="shared" si="1010"/>
        <v>1.588029206640254E-2</v>
      </c>
    </row>
    <row r="861" spans="1:15" ht="24" x14ac:dyDescent="0.25">
      <c r="A861" s="274" t="s">
        <v>101</v>
      </c>
      <c r="B861" s="956"/>
      <c r="C861" s="297" t="s">
        <v>521</v>
      </c>
      <c r="D861" s="299" t="s">
        <v>234</v>
      </c>
      <c r="E861" s="280"/>
      <c r="F861" s="281"/>
      <c r="G861" s="333">
        <f t="shared" si="1018"/>
        <v>36685</v>
      </c>
      <c r="H861" s="282">
        <v>35802</v>
      </c>
      <c r="I861" s="282">
        <v>883</v>
      </c>
      <c r="J861" s="353" t="str">
        <f>IFERROR(G861/#REF!,"-")</f>
        <v>-</v>
      </c>
      <c r="K861" s="333">
        <f t="shared" si="1019"/>
        <v>57116</v>
      </c>
      <c r="L861" s="272">
        <f t="shared" si="1020"/>
        <v>55692</v>
      </c>
      <c r="M861" s="273">
        <f t="shared" si="1021"/>
        <v>1424</v>
      </c>
      <c r="N861" s="337" t="str">
        <f t="shared" si="1022"/>
        <v>-</v>
      </c>
      <c r="O861" s="263">
        <f t="shared" si="1010"/>
        <v>2.4931717907416485E-2</v>
      </c>
    </row>
    <row r="862" spans="1:15" ht="22.5" customHeight="1" x14ac:dyDescent="0.25">
      <c r="A862" s="274"/>
      <c r="B862" s="956"/>
      <c r="C862" s="299" t="s">
        <v>432</v>
      </c>
      <c r="D862" s="299" t="s">
        <v>178</v>
      </c>
      <c r="E862" s="280"/>
      <c r="F862" s="281"/>
      <c r="G862" s="334">
        <f t="shared" si="1018"/>
        <v>0</v>
      </c>
      <c r="H862" s="282"/>
      <c r="I862" s="282"/>
      <c r="J862" s="353" t="str">
        <f>IFERROR(G862/#REF!,"-")</f>
        <v>-</v>
      </c>
      <c r="K862" s="334">
        <f t="shared" si="1019"/>
        <v>0</v>
      </c>
      <c r="L862" s="272">
        <f t="shared" si="1020"/>
        <v>0</v>
      </c>
      <c r="M862" s="273">
        <f t="shared" si="1021"/>
        <v>0</v>
      </c>
      <c r="N862" s="337" t="str">
        <f t="shared" si="1022"/>
        <v>-</v>
      </c>
      <c r="O862" s="263" t="str">
        <f t="shared" si="1010"/>
        <v>-</v>
      </c>
    </row>
    <row r="863" spans="1:15" ht="24" x14ac:dyDescent="0.25">
      <c r="A863" s="274"/>
      <c r="B863" s="956"/>
      <c r="C863" s="299" t="s">
        <v>333</v>
      </c>
      <c r="D863" s="299" t="s">
        <v>94</v>
      </c>
      <c r="E863" s="280"/>
      <c r="F863" s="281"/>
      <c r="G863" s="334">
        <f t="shared" si="1018"/>
        <v>0</v>
      </c>
      <c r="H863" s="282"/>
      <c r="I863" s="282"/>
      <c r="J863" s="353" t="str">
        <f>IFERROR(G863/#REF!,"-")</f>
        <v>-</v>
      </c>
      <c r="K863" s="334">
        <f t="shared" si="1019"/>
        <v>0</v>
      </c>
      <c r="L863" s="272">
        <f t="shared" si="1020"/>
        <v>0</v>
      </c>
      <c r="M863" s="273">
        <f t="shared" si="1021"/>
        <v>0</v>
      </c>
      <c r="N863" s="337" t="str">
        <f t="shared" si="1022"/>
        <v>-</v>
      </c>
      <c r="O863" s="263" t="str">
        <f t="shared" si="1010"/>
        <v>-</v>
      </c>
    </row>
    <row r="864" spans="1:15" ht="24" x14ac:dyDescent="0.25">
      <c r="A864" s="274"/>
      <c r="B864" s="956"/>
      <c r="C864" s="299" t="s">
        <v>433</v>
      </c>
      <c r="D864" s="299" t="s">
        <v>178</v>
      </c>
      <c r="E864" s="280"/>
      <c r="F864" s="281"/>
      <c r="G864" s="334">
        <f t="shared" si="1018"/>
        <v>0</v>
      </c>
      <c r="H864" s="282"/>
      <c r="I864" s="282"/>
      <c r="J864" s="353" t="str">
        <f>IFERROR(G864/#REF!,"-")</f>
        <v>-</v>
      </c>
      <c r="K864" s="334">
        <f t="shared" si="1019"/>
        <v>0</v>
      </c>
      <c r="L864" s="272">
        <f t="shared" si="1020"/>
        <v>0</v>
      </c>
      <c r="M864" s="272">
        <f t="shared" si="1021"/>
        <v>0</v>
      </c>
      <c r="N864" s="337" t="str">
        <f t="shared" si="1022"/>
        <v>-</v>
      </c>
      <c r="O864" s="263" t="str">
        <f t="shared" si="1010"/>
        <v>-</v>
      </c>
    </row>
    <row r="865" spans="1:15" ht="24" x14ac:dyDescent="0.25">
      <c r="A865" s="274"/>
      <c r="B865" s="956"/>
      <c r="C865" s="299" t="s">
        <v>382</v>
      </c>
      <c r="D865" s="299" t="s">
        <v>366</v>
      </c>
      <c r="E865" s="280"/>
      <c r="F865" s="281"/>
      <c r="G865" s="334">
        <f t="shared" si="1018"/>
        <v>0</v>
      </c>
      <c r="H865" s="282"/>
      <c r="I865" s="282"/>
      <c r="J865" s="353" t="str">
        <f>IFERROR(G865/#REF!,"-")</f>
        <v>-</v>
      </c>
      <c r="K865" s="334">
        <f t="shared" si="1019"/>
        <v>0</v>
      </c>
      <c r="L865" s="272">
        <f t="shared" si="1020"/>
        <v>0</v>
      </c>
      <c r="M865" s="273">
        <f t="shared" si="1021"/>
        <v>0</v>
      </c>
      <c r="N865" s="337" t="str">
        <f t="shared" si="1022"/>
        <v>-</v>
      </c>
      <c r="O865" s="263" t="str">
        <f t="shared" si="1010"/>
        <v>-</v>
      </c>
    </row>
    <row r="866" spans="1:15" ht="24.75" thickBot="1" x14ac:dyDescent="0.3">
      <c r="A866" s="274" t="s">
        <v>101</v>
      </c>
      <c r="B866" s="956"/>
      <c r="C866" s="300" t="s">
        <v>290</v>
      </c>
      <c r="D866" s="299" t="s">
        <v>289</v>
      </c>
      <c r="E866" s="280"/>
      <c r="F866" s="281"/>
      <c r="G866" s="334">
        <f t="shared" si="1018"/>
        <v>0</v>
      </c>
      <c r="H866" s="282"/>
      <c r="I866" s="282"/>
      <c r="J866" s="353" t="str">
        <f>IFERROR(G866/#REF!,"-")</f>
        <v>-</v>
      </c>
      <c r="K866" s="334">
        <f t="shared" si="1019"/>
        <v>0</v>
      </c>
      <c r="L866" s="272">
        <f t="shared" si="1020"/>
        <v>0</v>
      </c>
      <c r="M866" s="273">
        <f t="shared" si="1021"/>
        <v>0</v>
      </c>
      <c r="N866" s="337" t="str">
        <f t="shared" si="1022"/>
        <v>-</v>
      </c>
      <c r="O866" s="347" t="str">
        <f t="shared" si="1010"/>
        <v>-</v>
      </c>
    </row>
    <row r="867" spans="1:15" ht="23.25" thickBot="1" x14ac:dyDescent="0.3">
      <c r="A867" s="274" t="s">
        <v>101</v>
      </c>
      <c r="B867" s="969"/>
      <c r="C867" s="301"/>
      <c r="D867" s="302" t="s">
        <v>52</v>
      </c>
      <c r="E867" s="284">
        <f>SUM(E857:E866)</f>
        <v>1865664</v>
      </c>
      <c r="F867" s="285">
        <v>80000</v>
      </c>
      <c r="G867" s="320">
        <f>SUM(G857:G866)</f>
        <v>36685</v>
      </c>
      <c r="H867" s="321">
        <f>SUM(H857:H866)</f>
        <v>35802</v>
      </c>
      <c r="I867" s="321">
        <f>SUM(I857:I866)</f>
        <v>883</v>
      </c>
      <c r="J867" s="345">
        <f>+G867/F867</f>
        <v>0.45856249999999998</v>
      </c>
      <c r="K867" s="320">
        <f>SUM(K857:K866)</f>
        <v>626942</v>
      </c>
      <c r="L867" s="321">
        <f>SUM(L857:L866)</f>
        <v>616590</v>
      </c>
      <c r="M867" s="322">
        <f>SUM(M857:M866)</f>
        <v>10352</v>
      </c>
      <c r="N867" s="339">
        <f t="shared" si="1022"/>
        <v>0.33604228842921341</v>
      </c>
      <c r="O867" s="345">
        <f t="shared" si="1010"/>
        <v>1.6511894242210605E-2</v>
      </c>
    </row>
    <row r="868" spans="1:15" ht="24" x14ac:dyDescent="0.25">
      <c r="A868" s="274" t="s">
        <v>101</v>
      </c>
      <c r="B868" s="955" t="s">
        <v>28</v>
      </c>
      <c r="C868" s="299" t="s">
        <v>27</v>
      </c>
      <c r="D868" s="297" t="s">
        <v>492</v>
      </c>
      <c r="E868" s="270"/>
      <c r="F868" s="271"/>
      <c r="G868" s="332">
        <f t="shared" ref="G868:G872" si="1023">+H868+I868</f>
        <v>8844</v>
      </c>
      <c r="H868" s="272">
        <v>7956</v>
      </c>
      <c r="I868" s="272">
        <v>888</v>
      </c>
      <c r="J868" s="351" t="str">
        <f>IFERROR(G868/#REF!,"-")</f>
        <v>-</v>
      </c>
      <c r="K868" s="332">
        <f t="shared" ref="K868:K874" si="1024">+L868+M868</f>
        <v>170343</v>
      </c>
      <c r="L868" s="272">
        <f t="shared" ref="L868:L874" si="1025">+H868+L753</f>
        <v>167076</v>
      </c>
      <c r="M868" s="273">
        <f t="shared" ref="M868:M874" si="1026">+I868+M753</f>
        <v>3267</v>
      </c>
      <c r="N868" s="336" t="str">
        <f t="shared" si="1022"/>
        <v>-</v>
      </c>
      <c r="O868" s="346">
        <f t="shared" si="1010"/>
        <v>1.9178950705341577E-2</v>
      </c>
    </row>
    <row r="869" spans="1:15" ht="24" x14ac:dyDescent="0.25">
      <c r="A869" s="274" t="s">
        <v>101</v>
      </c>
      <c r="B869" s="956"/>
      <c r="C869" s="299" t="s">
        <v>385</v>
      </c>
      <c r="D869" s="299" t="s">
        <v>334</v>
      </c>
      <c r="E869" s="276"/>
      <c r="F869" s="277"/>
      <c r="G869" s="333">
        <f t="shared" si="1023"/>
        <v>0</v>
      </c>
      <c r="H869" s="278"/>
      <c r="I869" s="278"/>
      <c r="J869" s="352" t="str">
        <f>IFERROR(G869/#REF!,"-")</f>
        <v>-</v>
      </c>
      <c r="K869" s="333">
        <f t="shared" si="1024"/>
        <v>96975</v>
      </c>
      <c r="L869" s="272">
        <f t="shared" si="1025"/>
        <v>95472</v>
      </c>
      <c r="M869" s="273">
        <f t="shared" si="1026"/>
        <v>1503</v>
      </c>
      <c r="N869" s="337" t="str">
        <f t="shared" si="1022"/>
        <v>-</v>
      </c>
      <c r="O869" s="263">
        <f t="shared" si="1010"/>
        <v>1.5498839907192575E-2</v>
      </c>
    </row>
    <row r="870" spans="1:15" ht="24" x14ac:dyDescent="0.25">
      <c r="A870" s="274" t="s">
        <v>101</v>
      </c>
      <c r="B870" s="956"/>
      <c r="C870" s="299" t="s">
        <v>27</v>
      </c>
      <c r="D870" s="299" t="s">
        <v>334</v>
      </c>
      <c r="E870" s="276"/>
      <c r="F870" s="277"/>
      <c r="G870" s="333">
        <f t="shared" si="1023"/>
        <v>0</v>
      </c>
      <c r="H870" s="278"/>
      <c r="I870" s="278"/>
      <c r="J870" s="352" t="str">
        <f>IFERROR(G870/#REF!,"-")</f>
        <v>-</v>
      </c>
      <c r="K870" s="333">
        <f t="shared" si="1024"/>
        <v>0</v>
      </c>
      <c r="L870" s="272">
        <f t="shared" si="1025"/>
        <v>0</v>
      </c>
      <c r="M870" s="273">
        <f t="shared" si="1026"/>
        <v>0</v>
      </c>
      <c r="N870" s="337" t="str">
        <f t="shared" si="1022"/>
        <v>-</v>
      </c>
      <c r="O870" s="263" t="str">
        <f t="shared" si="1010"/>
        <v>-</v>
      </c>
    </row>
    <row r="871" spans="1:15" ht="24" x14ac:dyDescent="0.25">
      <c r="A871" s="274"/>
      <c r="B871" s="956"/>
      <c r="C871" s="299" t="s">
        <v>460</v>
      </c>
      <c r="D871" s="299" t="s">
        <v>334</v>
      </c>
      <c r="E871" s="280"/>
      <c r="F871" s="281"/>
      <c r="G871" s="333">
        <f t="shared" si="1023"/>
        <v>4348</v>
      </c>
      <c r="H871" s="282">
        <v>3978</v>
      </c>
      <c r="I871" s="282">
        <v>370</v>
      </c>
      <c r="J871" s="352" t="str">
        <f>IFERROR(G871/#REF!,"-")</f>
        <v>-</v>
      </c>
      <c r="K871" s="333">
        <f t="shared" si="1024"/>
        <v>4348</v>
      </c>
      <c r="L871" s="272">
        <f t="shared" si="1025"/>
        <v>3978</v>
      </c>
      <c r="M871" s="273">
        <f t="shared" si="1026"/>
        <v>370</v>
      </c>
      <c r="N871" s="338"/>
      <c r="O871" s="347"/>
    </row>
    <row r="872" spans="1:15" ht="24" x14ac:dyDescent="0.25">
      <c r="A872" s="274" t="s">
        <v>101</v>
      </c>
      <c r="B872" s="956"/>
      <c r="C872" s="299" t="s">
        <v>382</v>
      </c>
      <c r="D872" s="300" t="s">
        <v>366</v>
      </c>
      <c r="E872" s="280"/>
      <c r="F872" s="281"/>
      <c r="G872" s="334">
        <f t="shared" si="1023"/>
        <v>0</v>
      </c>
      <c r="H872" s="282"/>
      <c r="I872" s="282"/>
      <c r="J872" s="352" t="str">
        <f>IFERROR(G872/#REF!,"-")</f>
        <v>-</v>
      </c>
      <c r="K872" s="334">
        <f t="shared" si="1024"/>
        <v>0</v>
      </c>
      <c r="L872" s="272">
        <f t="shared" si="1025"/>
        <v>0</v>
      </c>
      <c r="M872" s="702">
        <f t="shared" si="1026"/>
        <v>0</v>
      </c>
      <c r="N872" s="338" t="str">
        <f t="shared" ref="N872" si="1027">IFERROR(K872/E872,"-")</f>
        <v>-</v>
      </c>
      <c r="O872" s="347" t="str">
        <f t="shared" ref="O872" si="1028">IFERROR(M872/K872,"-")</f>
        <v>-</v>
      </c>
    </row>
    <row r="873" spans="1:15" ht="24" x14ac:dyDescent="0.25">
      <c r="A873" s="274"/>
      <c r="B873" s="956"/>
      <c r="C873" s="299" t="s">
        <v>458</v>
      </c>
      <c r="D873" s="300" t="s">
        <v>280</v>
      </c>
      <c r="E873" s="280"/>
      <c r="F873" s="281"/>
      <c r="G873" s="334"/>
      <c r="H873" s="282"/>
      <c r="I873" s="282"/>
      <c r="J873" s="352" t="str">
        <f>IFERROR(G873/#REF!,"-")</f>
        <v>-</v>
      </c>
      <c r="K873" s="334">
        <f t="shared" si="1024"/>
        <v>0</v>
      </c>
      <c r="L873" s="272">
        <f t="shared" si="1025"/>
        <v>0</v>
      </c>
      <c r="M873" s="272">
        <f t="shared" si="1026"/>
        <v>0</v>
      </c>
      <c r="N873" s="338"/>
      <c r="O873" s="347"/>
    </row>
    <row r="874" spans="1:15" ht="24.75" thickBot="1" x14ac:dyDescent="0.3">
      <c r="A874" s="274" t="s">
        <v>101</v>
      </c>
      <c r="B874" s="956"/>
      <c r="C874" s="299" t="s">
        <v>27</v>
      </c>
      <c r="D874" s="300" t="s">
        <v>234</v>
      </c>
      <c r="E874" s="280"/>
      <c r="F874" s="281"/>
      <c r="G874" s="334">
        <f t="shared" ref="G874" si="1029">+H874+I874</f>
        <v>0</v>
      </c>
      <c r="H874" s="282"/>
      <c r="I874" s="282"/>
      <c r="J874" s="353" t="str">
        <f>IFERROR(G874/#REF!,"-")</f>
        <v>-</v>
      </c>
      <c r="K874" s="334">
        <f t="shared" si="1024"/>
        <v>0</v>
      </c>
      <c r="L874" s="272">
        <f t="shared" si="1025"/>
        <v>0</v>
      </c>
      <c r="M874" s="702">
        <f t="shared" si="1026"/>
        <v>0</v>
      </c>
      <c r="N874" s="338" t="str">
        <f t="shared" ref="N874:N875" si="1030">IFERROR(K874/E874,"-")</f>
        <v>-</v>
      </c>
      <c r="O874" s="347" t="str">
        <f t="shared" ref="O874:O890" si="1031">IFERROR(M874/K874,"-")</f>
        <v>-</v>
      </c>
    </row>
    <row r="875" spans="1:15" ht="23.25" thickBot="1" x14ac:dyDescent="0.3">
      <c r="A875" s="274" t="s">
        <v>101</v>
      </c>
      <c r="B875" s="956"/>
      <c r="C875" s="304"/>
      <c r="D875" s="305" t="s">
        <v>52</v>
      </c>
      <c r="E875" s="306">
        <f>SUM(E868:E874)</f>
        <v>0</v>
      </c>
      <c r="F875" s="307">
        <v>160000</v>
      </c>
      <c r="G875" s="366">
        <f>SUM(G868:G874)</f>
        <v>13192</v>
      </c>
      <c r="H875" s="365">
        <f>SUM(H868:H874)</f>
        <v>11934</v>
      </c>
      <c r="I875" s="365">
        <f>SUM(I868:I874)</f>
        <v>1258</v>
      </c>
      <c r="J875" s="356">
        <f>+G875/F875</f>
        <v>8.2449999999999996E-2</v>
      </c>
      <c r="K875" s="366">
        <f>SUM(K868:K874)</f>
        <v>271666</v>
      </c>
      <c r="L875" s="365">
        <f>SUM(L868:L874)</f>
        <v>266526</v>
      </c>
      <c r="M875" s="367">
        <f>SUM(M868:M874)</f>
        <v>5140</v>
      </c>
      <c r="N875" s="355" t="str">
        <f t="shared" si="1030"/>
        <v>-</v>
      </c>
      <c r="O875" s="356">
        <f t="shared" si="1031"/>
        <v>1.8920291828937005E-2</v>
      </c>
    </row>
    <row r="876" spans="1:15" ht="23.25" thickBot="1" x14ac:dyDescent="0.3">
      <c r="A876" s="823" t="s">
        <v>101</v>
      </c>
      <c r="B876" s="957" t="s">
        <v>162</v>
      </c>
      <c r="C876" s="958"/>
      <c r="D876" s="959"/>
      <c r="E876" s="308">
        <f>+E875+E867</f>
        <v>1865664</v>
      </c>
      <c r="F876" s="309">
        <v>240000</v>
      </c>
      <c r="G876" s="369">
        <f>+G867+G875</f>
        <v>49877</v>
      </c>
      <c r="H876" s="368">
        <f>+H867+H875</f>
        <v>47736</v>
      </c>
      <c r="I876" s="368">
        <f>+I867+I875</f>
        <v>2141</v>
      </c>
      <c r="J876" s="358">
        <f>+G876/F876</f>
        <v>0.20782083333333334</v>
      </c>
      <c r="K876" s="369">
        <f>+K867+K875</f>
        <v>898608</v>
      </c>
      <c r="L876" s="368">
        <f>+L867+L875</f>
        <v>883116</v>
      </c>
      <c r="M876" s="370">
        <f>+M867+M875</f>
        <v>15492</v>
      </c>
      <c r="N876" s="357">
        <f>IFERROR(K876/E876,"-")</f>
        <v>0.48165586086240608</v>
      </c>
      <c r="O876" s="358">
        <f t="shared" si="1031"/>
        <v>1.7239997863362E-2</v>
      </c>
    </row>
    <row r="877" spans="1:15" ht="24" x14ac:dyDescent="0.25">
      <c r="A877" s="274" t="s">
        <v>101</v>
      </c>
      <c r="B877" s="956" t="s">
        <v>30</v>
      </c>
      <c r="C877" s="303" t="s">
        <v>446</v>
      </c>
      <c r="D877" s="299" t="s">
        <v>334</v>
      </c>
      <c r="E877" s="270">
        <v>225000</v>
      </c>
      <c r="F877" s="271"/>
      <c r="G877" s="332">
        <f t="shared" ref="G877:G879" si="1032">+H877+I877</f>
        <v>0</v>
      </c>
      <c r="H877" s="272"/>
      <c r="I877" s="272"/>
      <c r="J877" s="351" t="str">
        <f>IFERROR(G877/#REF!,"-")</f>
        <v>-</v>
      </c>
      <c r="K877" s="332">
        <f t="shared" ref="K877:K879" si="1033">+L877+M877</f>
        <v>0</v>
      </c>
      <c r="L877" s="272">
        <f t="shared" ref="L877:L879" si="1034">+H877+L762</f>
        <v>0</v>
      </c>
      <c r="M877" s="273">
        <f t="shared" ref="M877:M879" si="1035">+I877+M762</f>
        <v>0</v>
      </c>
      <c r="N877" s="336">
        <f t="shared" ref="N877:N890" si="1036">IFERROR(K877/E877,"-")</f>
        <v>0</v>
      </c>
      <c r="O877" s="346" t="str">
        <f t="shared" si="1031"/>
        <v>-</v>
      </c>
    </row>
    <row r="878" spans="1:15" ht="24" x14ac:dyDescent="0.25">
      <c r="A878" s="274" t="s">
        <v>101</v>
      </c>
      <c r="B878" s="956"/>
      <c r="C878" s="300" t="s">
        <v>429</v>
      </c>
      <c r="D878" s="303" t="s">
        <v>366</v>
      </c>
      <c r="E878" s="276"/>
      <c r="F878" s="277"/>
      <c r="G878" s="333">
        <f t="shared" si="1032"/>
        <v>0</v>
      </c>
      <c r="H878" s="278"/>
      <c r="I878" s="278"/>
      <c r="J878" s="352" t="str">
        <f>IFERROR(G878/#REF!,"-")</f>
        <v>-</v>
      </c>
      <c r="K878" s="333">
        <f t="shared" si="1033"/>
        <v>0</v>
      </c>
      <c r="L878" s="272">
        <f t="shared" si="1034"/>
        <v>0</v>
      </c>
      <c r="M878" s="273">
        <f t="shared" si="1035"/>
        <v>0</v>
      </c>
      <c r="N878" s="337" t="str">
        <f t="shared" si="1036"/>
        <v>-</v>
      </c>
      <c r="O878" s="263" t="str">
        <f t="shared" si="1031"/>
        <v>-</v>
      </c>
    </row>
    <row r="879" spans="1:15" ht="24.75" thickBot="1" x14ac:dyDescent="0.3">
      <c r="A879" s="274" t="s">
        <v>101</v>
      </c>
      <c r="B879" s="956"/>
      <c r="C879" s="300" t="s">
        <v>291</v>
      </c>
      <c r="D879" s="300" t="s">
        <v>366</v>
      </c>
      <c r="E879" s="280"/>
      <c r="F879" s="281"/>
      <c r="G879" s="334">
        <f t="shared" si="1032"/>
        <v>0</v>
      </c>
      <c r="H879" s="282"/>
      <c r="I879" s="282"/>
      <c r="J879" s="353" t="str">
        <f>IFERROR(G879/#REF!,"-")</f>
        <v>-</v>
      </c>
      <c r="K879" s="334">
        <f t="shared" si="1033"/>
        <v>0</v>
      </c>
      <c r="L879" s="272">
        <f t="shared" si="1034"/>
        <v>0</v>
      </c>
      <c r="M879" s="273">
        <f t="shared" si="1035"/>
        <v>0</v>
      </c>
      <c r="N879" s="338" t="str">
        <f t="shared" si="1036"/>
        <v>-</v>
      </c>
      <c r="O879" s="347" t="str">
        <f t="shared" si="1031"/>
        <v>-</v>
      </c>
    </row>
    <row r="880" spans="1:15" ht="23.25" thickBot="1" x14ac:dyDescent="0.3">
      <c r="A880" s="274" t="s">
        <v>101</v>
      </c>
      <c r="B880" s="956"/>
      <c r="C880" s="301"/>
      <c r="D880" s="302" t="s">
        <v>50</v>
      </c>
      <c r="E880" s="284">
        <f>SUM(E877:E879)</f>
        <v>225000</v>
      </c>
      <c r="F880" s="285">
        <v>50000</v>
      </c>
      <c r="G880" s="320">
        <f>SUM(G877:G879)</f>
        <v>0</v>
      </c>
      <c r="H880" s="321">
        <f>SUM(H877:H879)</f>
        <v>0</v>
      </c>
      <c r="I880" s="321">
        <f>SUM(I877:I879)</f>
        <v>0</v>
      </c>
      <c r="J880" s="345" t="e">
        <f>+H880/G880</f>
        <v>#DIV/0!</v>
      </c>
      <c r="K880" s="320">
        <f>SUM(K877:K879)</f>
        <v>0</v>
      </c>
      <c r="L880" s="321">
        <f>SUM(L877:L879)</f>
        <v>0</v>
      </c>
      <c r="M880" s="322">
        <f>SUM(M877:M879)</f>
        <v>0</v>
      </c>
      <c r="N880" s="339">
        <f t="shared" si="1036"/>
        <v>0</v>
      </c>
      <c r="O880" s="345" t="str">
        <f t="shared" si="1031"/>
        <v>-</v>
      </c>
    </row>
    <row r="881" spans="1:15" ht="24" x14ac:dyDescent="0.25">
      <c r="A881" s="274" t="s">
        <v>101</v>
      </c>
      <c r="B881" s="956"/>
      <c r="C881" s="297" t="s">
        <v>434</v>
      </c>
      <c r="D881" s="297" t="s">
        <v>92</v>
      </c>
      <c r="E881" s="270"/>
      <c r="F881" s="271"/>
      <c r="G881" s="332">
        <f t="shared" ref="G881:G882" si="1037">+H881+I881</f>
        <v>0</v>
      </c>
      <c r="H881" s="272"/>
      <c r="I881" s="272"/>
      <c r="J881" s="351" t="str">
        <f>IFERROR(G881/#REF!,"-")</f>
        <v>-</v>
      </c>
      <c r="K881" s="332">
        <f t="shared" ref="K881:K886" si="1038">+L881+M881</f>
        <v>0</v>
      </c>
      <c r="L881" s="272">
        <f t="shared" ref="L881:L886" si="1039">+H881+L766</f>
        <v>0</v>
      </c>
      <c r="M881" s="273">
        <f t="shared" ref="M881:M886" si="1040">+I881+M766</f>
        <v>0</v>
      </c>
      <c r="N881" s="336" t="str">
        <f t="shared" si="1036"/>
        <v>-</v>
      </c>
      <c r="O881" s="346" t="str">
        <f t="shared" si="1031"/>
        <v>-</v>
      </c>
    </row>
    <row r="882" spans="1:15" ht="24" x14ac:dyDescent="0.25">
      <c r="A882" s="274"/>
      <c r="B882" s="956"/>
      <c r="C882" s="303" t="s">
        <v>449</v>
      </c>
      <c r="D882" s="299" t="s">
        <v>334</v>
      </c>
      <c r="E882" s="270"/>
      <c r="F882" s="271"/>
      <c r="G882" s="332">
        <f t="shared" si="1037"/>
        <v>0</v>
      </c>
      <c r="H882" s="272"/>
      <c r="I882" s="272"/>
      <c r="J882" s="351" t="str">
        <f>IFERROR(G882/#REF!,"-")</f>
        <v>-</v>
      </c>
      <c r="K882" s="332">
        <f t="shared" si="1038"/>
        <v>0</v>
      </c>
      <c r="L882" s="272">
        <f t="shared" si="1039"/>
        <v>0</v>
      </c>
      <c r="M882" s="273">
        <f t="shared" si="1040"/>
        <v>0</v>
      </c>
      <c r="N882" s="337" t="str">
        <f t="shared" si="1036"/>
        <v>-</v>
      </c>
      <c r="O882" s="346" t="str">
        <f t="shared" si="1031"/>
        <v>-</v>
      </c>
    </row>
    <row r="883" spans="1:15" ht="24" x14ac:dyDescent="0.25">
      <c r="A883" s="274"/>
      <c r="B883" s="956"/>
      <c r="C883" s="303" t="s">
        <v>452</v>
      </c>
      <c r="D883" s="299" t="s">
        <v>334</v>
      </c>
      <c r="E883" s="270"/>
      <c r="F883" s="271"/>
      <c r="G883" s="332"/>
      <c r="H883" s="272"/>
      <c r="I883" s="272"/>
      <c r="J883" s="351" t="str">
        <f>IFERROR(G883/#REF!,"-")</f>
        <v>-</v>
      </c>
      <c r="K883" s="332">
        <f t="shared" si="1038"/>
        <v>0</v>
      </c>
      <c r="L883" s="272">
        <f t="shared" si="1039"/>
        <v>0</v>
      </c>
      <c r="M883" s="273">
        <f t="shared" si="1040"/>
        <v>0</v>
      </c>
      <c r="N883" s="337" t="str">
        <f t="shared" si="1036"/>
        <v>-</v>
      </c>
      <c r="O883" s="346" t="str">
        <f t="shared" si="1031"/>
        <v>-</v>
      </c>
    </row>
    <row r="884" spans="1:15" ht="24" x14ac:dyDescent="0.25">
      <c r="A884" s="274" t="s">
        <v>101</v>
      </c>
      <c r="B884" s="956"/>
      <c r="C884" s="303" t="s">
        <v>501</v>
      </c>
      <c r="D884" s="300" t="s">
        <v>423</v>
      </c>
      <c r="E884" s="276">
        <v>125000</v>
      </c>
      <c r="F884" s="277"/>
      <c r="G884" s="333">
        <f t="shared" ref="G884" si="1041">+H884+I884</f>
        <v>0</v>
      </c>
      <c r="H884" s="278"/>
      <c r="I884" s="278"/>
      <c r="J884" s="351" t="str">
        <f>IFERROR(G884/#REF!,"-")</f>
        <v>-</v>
      </c>
      <c r="K884" s="333">
        <f t="shared" si="1038"/>
        <v>8116</v>
      </c>
      <c r="L884" s="272">
        <f t="shared" si="1039"/>
        <v>7488</v>
      </c>
      <c r="M884" s="273">
        <f t="shared" si="1040"/>
        <v>628</v>
      </c>
      <c r="N884" s="337">
        <f t="shared" si="1036"/>
        <v>6.4928E-2</v>
      </c>
      <c r="O884" s="263">
        <f t="shared" si="1031"/>
        <v>7.737801872843765E-2</v>
      </c>
    </row>
    <row r="885" spans="1:15" ht="24" x14ac:dyDescent="0.25">
      <c r="A885" s="274"/>
      <c r="B885" s="956"/>
      <c r="C885" s="300" t="s">
        <v>459</v>
      </c>
      <c r="D885" s="300" t="s">
        <v>366</v>
      </c>
      <c r="E885" s="280"/>
      <c r="F885" s="281"/>
      <c r="G885" s="334"/>
      <c r="H885" s="282"/>
      <c r="I885" s="282"/>
      <c r="J885" s="351" t="str">
        <f>IFERROR(G885/#REF!,"-")</f>
        <v>-</v>
      </c>
      <c r="K885" s="333">
        <f t="shared" si="1038"/>
        <v>0</v>
      </c>
      <c r="L885" s="272">
        <f t="shared" si="1039"/>
        <v>0</v>
      </c>
      <c r="M885" s="272">
        <f t="shared" si="1040"/>
        <v>0</v>
      </c>
      <c r="N885" s="337" t="str">
        <f t="shared" si="1036"/>
        <v>-</v>
      </c>
      <c r="O885" s="263" t="str">
        <f t="shared" si="1031"/>
        <v>-</v>
      </c>
    </row>
    <row r="886" spans="1:15" ht="24.75" thickBot="1" x14ac:dyDescent="0.3">
      <c r="A886" s="274" t="s">
        <v>101</v>
      </c>
      <c r="B886" s="956"/>
      <c r="C886" s="300" t="s">
        <v>435</v>
      </c>
      <c r="D886" s="300" t="s">
        <v>423</v>
      </c>
      <c r="E886" s="280"/>
      <c r="F886" s="281"/>
      <c r="G886" s="334">
        <f t="shared" ref="G886" si="1042">+H886+I886</f>
        <v>0</v>
      </c>
      <c r="H886" s="282"/>
      <c r="I886" s="282"/>
      <c r="J886" s="353" t="str">
        <f>IFERROR(G886/#REF!,"-")</f>
        <v>-</v>
      </c>
      <c r="K886" s="334">
        <f t="shared" si="1038"/>
        <v>0</v>
      </c>
      <c r="L886" s="272">
        <f t="shared" si="1039"/>
        <v>0</v>
      </c>
      <c r="M886" s="273">
        <f t="shared" si="1040"/>
        <v>0</v>
      </c>
      <c r="N886" s="338" t="str">
        <f t="shared" si="1036"/>
        <v>-</v>
      </c>
      <c r="O886" s="347" t="str">
        <f t="shared" si="1031"/>
        <v>-</v>
      </c>
    </row>
    <row r="887" spans="1:15" ht="23.25" thickBot="1" x14ac:dyDescent="0.3">
      <c r="A887" s="274" t="s">
        <v>101</v>
      </c>
      <c r="B887" s="956"/>
      <c r="C887" s="304"/>
      <c r="D887" s="305" t="s">
        <v>51</v>
      </c>
      <c r="E887" s="306">
        <f>SUM(E881:E886)</f>
        <v>125000</v>
      </c>
      <c r="F887" s="307">
        <v>50000</v>
      </c>
      <c r="G887" s="366">
        <f>SUM(G881:G886)</f>
        <v>0</v>
      </c>
      <c r="H887" s="365">
        <f t="shared" ref="H887:I887" si="1043">SUM(H881:H886)</f>
        <v>0</v>
      </c>
      <c r="I887" s="365">
        <f t="shared" si="1043"/>
        <v>0</v>
      </c>
      <c r="J887" s="356">
        <f>+G887/F887</f>
        <v>0</v>
      </c>
      <c r="K887" s="366">
        <f t="shared" ref="K887:M887" si="1044">SUM(K881:K886)</f>
        <v>8116</v>
      </c>
      <c r="L887" s="365">
        <f t="shared" si="1044"/>
        <v>7488</v>
      </c>
      <c r="M887" s="367">
        <f t="shared" si="1044"/>
        <v>628</v>
      </c>
      <c r="N887" s="355">
        <f t="shared" si="1036"/>
        <v>6.4928E-2</v>
      </c>
      <c r="O887" s="356">
        <f t="shared" si="1031"/>
        <v>7.737801872843765E-2</v>
      </c>
    </row>
    <row r="888" spans="1:15" ht="23.25" thickBot="1" x14ac:dyDescent="0.3">
      <c r="A888" s="274" t="s">
        <v>101</v>
      </c>
      <c r="B888" s="957" t="s">
        <v>163</v>
      </c>
      <c r="C888" s="958"/>
      <c r="D888" s="959"/>
      <c r="E888" s="308">
        <f>+E887+E880</f>
        <v>350000</v>
      </c>
      <c r="F888" s="309">
        <v>50000</v>
      </c>
      <c r="G888" s="369">
        <f>+G880+G887</f>
        <v>0</v>
      </c>
      <c r="H888" s="368">
        <f t="shared" ref="H888:I888" si="1045">+H880+H887</f>
        <v>0</v>
      </c>
      <c r="I888" s="368">
        <f t="shared" si="1045"/>
        <v>0</v>
      </c>
      <c r="J888" s="358">
        <f>+G888/F888</f>
        <v>0</v>
      </c>
      <c r="K888" s="369">
        <f t="shared" ref="K888:M888" si="1046">+K880+K887</f>
        <v>8116</v>
      </c>
      <c r="L888" s="368">
        <f t="shared" si="1046"/>
        <v>7488</v>
      </c>
      <c r="M888" s="370">
        <f t="shared" si="1046"/>
        <v>628</v>
      </c>
      <c r="N888" s="357">
        <f t="shared" si="1036"/>
        <v>2.318857142857143E-2</v>
      </c>
      <c r="O888" s="358">
        <f t="shared" si="1031"/>
        <v>7.737801872843765E-2</v>
      </c>
    </row>
    <row r="889" spans="1:15" ht="24.75" thickBot="1" x14ac:dyDescent="0.3">
      <c r="A889" s="274" t="s">
        <v>101</v>
      </c>
      <c r="B889" s="598" t="s">
        <v>32</v>
      </c>
      <c r="C889" s="819"/>
      <c r="D889" s="310" t="s">
        <v>32</v>
      </c>
      <c r="E889" s="287">
        <v>0</v>
      </c>
      <c r="F889" s="288">
        <v>110000</v>
      </c>
      <c r="G889" s="335">
        <f t="shared" ref="G889" si="1047">+H889+I889</f>
        <v>0</v>
      </c>
      <c r="H889" s="289"/>
      <c r="I889" s="289"/>
      <c r="J889" s="354" t="str">
        <f>IFERROR(G889/#REF!,"-")</f>
        <v>-</v>
      </c>
      <c r="K889" s="335">
        <f>+L889+M889</f>
        <v>0</v>
      </c>
      <c r="L889" s="289">
        <f>+H889+L774</f>
        <v>0</v>
      </c>
      <c r="M889" s="290">
        <f>+I889+M774</f>
        <v>0</v>
      </c>
      <c r="N889" s="340" t="str">
        <f t="shared" si="1036"/>
        <v>-</v>
      </c>
      <c r="O889" s="348" t="str">
        <f t="shared" si="1031"/>
        <v>-</v>
      </c>
    </row>
    <row r="890" spans="1:15" ht="23.25" thickBot="1" x14ac:dyDescent="0.3">
      <c r="A890" s="274" t="s">
        <v>101</v>
      </c>
      <c r="B890" s="960" t="s">
        <v>21</v>
      </c>
      <c r="C890" s="961"/>
      <c r="D890" s="962"/>
      <c r="E890" s="326">
        <f>+E876+E888+E889</f>
        <v>2215664</v>
      </c>
      <c r="F890" s="327">
        <f>+F876+F888+F889</f>
        <v>400000</v>
      </c>
      <c r="G890" s="326">
        <f>+G876+G888+G889</f>
        <v>49877</v>
      </c>
      <c r="H890" s="324">
        <f>+H876+H888+H889</f>
        <v>47736</v>
      </c>
      <c r="I890" s="324">
        <f>+I876+I888+I889</f>
        <v>2141</v>
      </c>
      <c r="J890" s="349">
        <f>+G890/F890</f>
        <v>0.1246925</v>
      </c>
      <c r="K890" s="326">
        <f>+K876+K888+K889</f>
        <v>906724</v>
      </c>
      <c r="L890" s="324">
        <f>+L876+L888+L889</f>
        <v>890604</v>
      </c>
      <c r="M890" s="325">
        <f>+M876+M888+M889</f>
        <v>16120</v>
      </c>
      <c r="N890" s="341">
        <f t="shared" si="1036"/>
        <v>0.40923352999371748</v>
      </c>
      <c r="O890" s="349">
        <f t="shared" si="1031"/>
        <v>1.7778287549463784E-2</v>
      </c>
    </row>
    <row r="891" spans="1:15" ht="23.25" thickBot="1" x14ac:dyDescent="0.3">
      <c r="A891" s="274" t="s">
        <v>101</v>
      </c>
      <c r="B891" s="963" t="s">
        <v>171</v>
      </c>
      <c r="C891" s="941"/>
      <c r="D891" s="942"/>
      <c r="E891" s="330">
        <f>+E890</f>
        <v>2215664</v>
      </c>
      <c r="F891" s="331">
        <f t="shared" ref="F891:I891" si="1048">+F890</f>
        <v>400000</v>
      </c>
      <c r="G891" s="330">
        <f t="shared" si="1048"/>
        <v>49877</v>
      </c>
      <c r="H891" s="328">
        <f t="shared" si="1048"/>
        <v>47736</v>
      </c>
      <c r="I891" s="328">
        <f t="shared" si="1048"/>
        <v>2141</v>
      </c>
      <c r="J891" s="350">
        <f>+J890</f>
        <v>0.1246925</v>
      </c>
      <c r="K891" s="330">
        <f>+K890</f>
        <v>906724</v>
      </c>
      <c r="L891" s="328">
        <f t="shared" ref="L891" si="1049">+L890</f>
        <v>890604</v>
      </c>
      <c r="M891" s="329">
        <f>+M890</f>
        <v>16120</v>
      </c>
      <c r="N891" s="342">
        <f t="shared" ref="N891:O891" si="1050">+N890</f>
        <v>0.40923352999371748</v>
      </c>
      <c r="O891" s="350">
        <f t="shared" si="1050"/>
        <v>1.7778287549463784E-2</v>
      </c>
    </row>
    <row r="892" spans="1:15" ht="24" x14ac:dyDescent="0.25">
      <c r="A892" s="268" t="s">
        <v>102</v>
      </c>
      <c r="B892" s="949" t="s">
        <v>401</v>
      </c>
      <c r="C892" s="311" t="s">
        <v>113</v>
      </c>
      <c r="D892" s="311"/>
      <c r="E892" s="270"/>
      <c r="F892" s="271"/>
      <c r="G892" s="332">
        <f t="shared" ref="G892:G894" si="1051">+H892+I892</f>
        <v>0</v>
      </c>
      <c r="H892" s="272"/>
      <c r="I892" s="272"/>
      <c r="J892" s="351" t="str">
        <f>IFERROR(G892/#REF!,"-")</f>
        <v>-</v>
      </c>
      <c r="K892" s="332">
        <f t="shared" ref="K892:K894" si="1052">+L892+M892</f>
        <v>0</v>
      </c>
      <c r="L892" s="272">
        <f t="shared" ref="L892:L894" si="1053">+H892+L777</f>
        <v>0</v>
      </c>
      <c r="M892" s="273">
        <f t="shared" ref="M892:M894" si="1054">+I892+M777</f>
        <v>0</v>
      </c>
      <c r="N892" s="336" t="str">
        <f t="shared" ref="N892:N899" si="1055">IFERROR(K892/E892,"-")</f>
        <v>-</v>
      </c>
      <c r="O892" s="346" t="str">
        <f t="shared" ref="O892:O917" si="1056">IFERROR(M892/K892,"-")</f>
        <v>-</v>
      </c>
    </row>
    <row r="893" spans="1:15" ht="24" x14ac:dyDescent="0.25">
      <c r="A893" s="274" t="s">
        <v>102</v>
      </c>
      <c r="B893" s="951"/>
      <c r="C893" s="312" t="s">
        <v>247</v>
      </c>
      <c r="D893" s="312"/>
      <c r="E893" s="276">
        <v>2000</v>
      </c>
      <c r="F893" s="277"/>
      <c r="G893" s="333">
        <f t="shared" si="1051"/>
        <v>0</v>
      </c>
      <c r="H893" s="278"/>
      <c r="I893" s="278"/>
      <c r="J893" s="352" t="str">
        <f>IFERROR(G893/#REF!,"-")</f>
        <v>-</v>
      </c>
      <c r="K893" s="333">
        <f t="shared" si="1052"/>
        <v>9238</v>
      </c>
      <c r="L893" s="272">
        <f t="shared" si="1053"/>
        <v>8800</v>
      </c>
      <c r="M893" s="273">
        <f t="shared" si="1054"/>
        <v>438</v>
      </c>
      <c r="N893" s="337">
        <f t="shared" si="1055"/>
        <v>4.6189999999999998</v>
      </c>
      <c r="O893" s="263">
        <f t="shared" si="1056"/>
        <v>4.7412859926390993E-2</v>
      </c>
    </row>
    <row r="894" spans="1:15" ht="24.75" thickBot="1" x14ac:dyDescent="0.3">
      <c r="A894" s="274" t="s">
        <v>102</v>
      </c>
      <c r="B894" s="950"/>
      <c r="C894" s="313" t="s">
        <v>33</v>
      </c>
      <c r="D894" s="313"/>
      <c r="E894" s="280"/>
      <c r="F894" s="281"/>
      <c r="G894" s="334">
        <f t="shared" si="1051"/>
        <v>0</v>
      </c>
      <c r="H894" s="282"/>
      <c r="I894" s="282"/>
      <c r="J894" s="353" t="str">
        <f>IFERROR(G894/#REF!,"-")</f>
        <v>-</v>
      </c>
      <c r="K894" s="334">
        <f t="shared" si="1052"/>
        <v>0</v>
      </c>
      <c r="L894" s="272">
        <f t="shared" si="1053"/>
        <v>0</v>
      </c>
      <c r="M894" s="273">
        <f t="shared" si="1054"/>
        <v>0</v>
      </c>
      <c r="N894" s="338" t="str">
        <f t="shared" si="1055"/>
        <v>-</v>
      </c>
      <c r="O894" s="347" t="str">
        <f t="shared" si="1056"/>
        <v>-</v>
      </c>
    </row>
    <row r="895" spans="1:15" ht="23.25" thickBot="1" x14ac:dyDescent="0.3">
      <c r="A895" s="274" t="s">
        <v>102</v>
      </c>
      <c r="B895" s="946" t="s">
        <v>34</v>
      </c>
      <c r="C895" s="947"/>
      <c r="D895" s="948"/>
      <c r="E895" s="284">
        <f>SUM(E892:E894)</f>
        <v>2000</v>
      </c>
      <c r="F895" s="285">
        <v>6500</v>
      </c>
      <c r="G895" s="320">
        <f>SUM(G892:G894)</f>
        <v>0</v>
      </c>
      <c r="H895" s="321">
        <f t="shared" ref="H895:I895" si="1057">SUM(H892:H894)</f>
        <v>0</v>
      </c>
      <c r="I895" s="321">
        <f t="shared" si="1057"/>
        <v>0</v>
      </c>
      <c r="J895" s="345" t="str">
        <f>IFERROR(G895/#REF!,"-")</f>
        <v>-</v>
      </c>
      <c r="K895" s="320">
        <f t="shared" ref="K895:M895" si="1058">SUM(K892:K894)</f>
        <v>9238</v>
      </c>
      <c r="L895" s="321">
        <f t="shared" si="1058"/>
        <v>8800</v>
      </c>
      <c r="M895" s="322">
        <f t="shared" si="1058"/>
        <v>438</v>
      </c>
      <c r="N895" s="339">
        <f t="shared" si="1055"/>
        <v>4.6189999999999998</v>
      </c>
      <c r="O895" s="345">
        <f t="shared" si="1056"/>
        <v>4.7412859926390993E-2</v>
      </c>
    </row>
    <row r="896" spans="1:15" ht="24" x14ac:dyDescent="0.25">
      <c r="A896" s="274" t="s">
        <v>102</v>
      </c>
      <c r="B896" s="949" t="s">
        <v>35</v>
      </c>
      <c r="C896" s="311" t="s">
        <v>113</v>
      </c>
      <c r="D896" s="311"/>
      <c r="E896" s="270"/>
      <c r="F896" s="271"/>
      <c r="G896" s="332">
        <f t="shared" ref="G896:G899" si="1059">+H896+I896</f>
        <v>0</v>
      </c>
      <c r="H896" s="272"/>
      <c r="I896" s="272"/>
      <c r="J896" s="351" t="str">
        <f>IFERROR(G896/#REF!,"-")</f>
        <v>-</v>
      </c>
      <c r="K896" s="332">
        <f t="shared" ref="K896:K899" si="1060">+L896+M896</f>
        <v>0</v>
      </c>
      <c r="L896" s="272">
        <f t="shared" ref="L896:L899" si="1061">+H896+L781</f>
        <v>0</v>
      </c>
      <c r="M896" s="273">
        <f t="shared" ref="M896:M899" si="1062">+I896+M781</f>
        <v>0</v>
      </c>
      <c r="N896" s="336" t="str">
        <f t="shared" si="1055"/>
        <v>-</v>
      </c>
      <c r="O896" s="346" t="str">
        <f t="shared" si="1056"/>
        <v>-</v>
      </c>
    </row>
    <row r="897" spans="1:15" ht="24" x14ac:dyDescent="0.25">
      <c r="A897" s="274" t="s">
        <v>102</v>
      </c>
      <c r="B897" s="951"/>
      <c r="C897" s="312" t="s">
        <v>247</v>
      </c>
      <c r="D897" s="312"/>
      <c r="E897" s="276"/>
      <c r="F897" s="277"/>
      <c r="G897" s="333">
        <f t="shared" si="1059"/>
        <v>0</v>
      </c>
      <c r="H897" s="278"/>
      <c r="I897" s="278"/>
      <c r="J897" s="352" t="str">
        <f>IFERROR(G897/#REF!,"-")</f>
        <v>-</v>
      </c>
      <c r="K897" s="333">
        <f t="shared" si="1060"/>
        <v>0</v>
      </c>
      <c r="L897" s="272">
        <f t="shared" si="1061"/>
        <v>0</v>
      </c>
      <c r="M897" s="273">
        <f t="shared" si="1062"/>
        <v>0</v>
      </c>
      <c r="N897" s="337" t="str">
        <f t="shared" si="1055"/>
        <v>-</v>
      </c>
      <c r="O897" s="263" t="str">
        <f t="shared" si="1056"/>
        <v>-</v>
      </c>
    </row>
    <row r="898" spans="1:15" ht="24" x14ac:dyDescent="0.25">
      <c r="A898" s="274" t="s">
        <v>102</v>
      </c>
      <c r="B898" s="951"/>
      <c r="C898" s="312" t="s">
        <v>496</v>
      </c>
      <c r="D898" s="312"/>
      <c r="E898" s="276">
        <v>20000</v>
      </c>
      <c r="F898" s="277"/>
      <c r="G898" s="333">
        <f t="shared" si="1059"/>
        <v>0</v>
      </c>
      <c r="H898" s="278"/>
      <c r="I898" s="278"/>
      <c r="J898" s="352" t="str">
        <f>IFERROR(G898/#REF!,"-")</f>
        <v>-</v>
      </c>
      <c r="K898" s="333">
        <f t="shared" si="1060"/>
        <v>0</v>
      </c>
      <c r="L898" s="272">
        <f t="shared" si="1061"/>
        <v>0</v>
      </c>
      <c r="M898" s="273">
        <f t="shared" si="1062"/>
        <v>0</v>
      </c>
      <c r="N898" s="337">
        <f t="shared" si="1055"/>
        <v>0</v>
      </c>
      <c r="O898" s="263" t="str">
        <f t="shared" si="1056"/>
        <v>-</v>
      </c>
    </row>
    <row r="899" spans="1:15" ht="24.75" thickBot="1" x14ac:dyDescent="0.3">
      <c r="A899" s="274" t="s">
        <v>102</v>
      </c>
      <c r="B899" s="950"/>
      <c r="C899" s="313" t="s">
        <v>36</v>
      </c>
      <c r="D899" s="313"/>
      <c r="E899" s="280"/>
      <c r="F899" s="281"/>
      <c r="G899" s="334">
        <f t="shared" si="1059"/>
        <v>0</v>
      </c>
      <c r="H899" s="282"/>
      <c r="I899" s="282"/>
      <c r="J899" s="353" t="str">
        <f>IFERROR(G899/#REF!,"-")</f>
        <v>-</v>
      </c>
      <c r="K899" s="334">
        <f t="shared" si="1060"/>
        <v>0</v>
      </c>
      <c r="L899" s="272">
        <f t="shared" si="1061"/>
        <v>0</v>
      </c>
      <c r="M899" s="273">
        <f t="shared" si="1062"/>
        <v>0</v>
      </c>
      <c r="N899" s="338" t="str">
        <f t="shared" si="1055"/>
        <v>-</v>
      </c>
      <c r="O899" s="347" t="str">
        <f t="shared" si="1056"/>
        <v>-</v>
      </c>
    </row>
    <row r="900" spans="1:15" ht="23.25" thickBot="1" x14ac:dyDescent="0.3">
      <c r="A900" s="274" t="s">
        <v>102</v>
      </c>
      <c r="B900" s="946" t="s">
        <v>37</v>
      </c>
      <c r="C900" s="947"/>
      <c r="D900" s="948"/>
      <c r="E900" s="284">
        <f>SUM(E896:E899)</f>
        <v>20000</v>
      </c>
      <c r="F900" s="285">
        <v>6500</v>
      </c>
      <c r="G900" s="320">
        <f>SUM(G896:G899)</f>
        <v>0</v>
      </c>
      <c r="H900" s="321">
        <f t="shared" ref="H900:I900" si="1063">SUM(H896:H899)</f>
        <v>0</v>
      </c>
      <c r="I900" s="321">
        <f t="shared" si="1063"/>
        <v>0</v>
      </c>
      <c r="J900" s="345" t="str">
        <f>IFERROR(G900/#REF!,"-")</f>
        <v>-</v>
      </c>
      <c r="K900" s="320">
        <f t="shared" ref="K900:M900" si="1064">SUM(K896:K899)</f>
        <v>0</v>
      </c>
      <c r="L900" s="321">
        <f t="shared" si="1064"/>
        <v>0</v>
      </c>
      <c r="M900" s="322">
        <f t="shared" si="1064"/>
        <v>0</v>
      </c>
      <c r="N900" s="339">
        <f>IFERROR(K900/E900,"-")</f>
        <v>0</v>
      </c>
      <c r="O900" s="345" t="str">
        <f t="shared" si="1056"/>
        <v>-</v>
      </c>
    </row>
    <row r="901" spans="1:15" ht="24" x14ac:dyDescent="0.25">
      <c r="A901" s="274" t="s">
        <v>102</v>
      </c>
      <c r="B901" s="949" t="s">
        <v>402</v>
      </c>
      <c r="C901" s="314" t="s">
        <v>116</v>
      </c>
      <c r="D901" s="314"/>
      <c r="E901" s="270">
        <v>14000</v>
      </c>
      <c r="F901" s="271"/>
      <c r="G901" s="332">
        <f t="shared" ref="G901:G902" si="1065">+H901+I901</f>
        <v>0</v>
      </c>
      <c r="H901" s="272"/>
      <c r="I901" s="272"/>
      <c r="J901" s="351" t="str">
        <f>IFERROR(G901/#REF!,"-")</f>
        <v>-</v>
      </c>
      <c r="K901" s="332">
        <f t="shared" ref="K901:K902" si="1066">+L901+M901</f>
        <v>0</v>
      </c>
      <c r="L901" s="272">
        <f>+H901+L786</f>
        <v>0</v>
      </c>
      <c r="M901" s="273">
        <f>+I901+M786</f>
        <v>0</v>
      </c>
      <c r="N901" s="336">
        <f t="shared" ref="N901:N917" si="1067">IFERROR(K901/E901,"-")</f>
        <v>0</v>
      </c>
      <c r="O901" s="346" t="str">
        <f t="shared" si="1056"/>
        <v>-</v>
      </c>
    </row>
    <row r="902" spans="1:15" ht="24.75" thickBot="1" x14ac:dyDescent="0.3">
      <c r="A902" s="274" t="s">
        <v>102</v>
      </c>
      <c r="B902" s="950"/>
      <c r="C902" s="286" t="s">
        <v>132</v>
      </c>
      <c r="D902" s="286"/>
      <c r="E902" s="280"/>
      <c r="F902" s="281"/>
      <c r="G902" s="334">
        <f t="shared" si="1065"/>
        <v>4730</v>
      </c>
      <c r="H902" s="282">
        <f>3200+1200</f>
        <v>4400</v>
      </c>
      <c r="I902" s="282">
        <f>230+100</f>
        <v>330</v>
      </c>
      <c r="J902" s="353" t="str">
        <f>IFERROR(G902/#REF!,"-")</f>
        <v>-</v>
      </c>
      <c r="K902" s="334">
        <f t="shared" si="1066"/>
        <v>17087</v>
      </c>
      <c r="L902" s="272">
        <f>+H902+L787</f>
        <v>16090</v>
      </c>
      <c r="M902" s="273">
        <f>+I902+M787</f>
        <v>997</v>
      </c>
      <c r="N902" s="338" t="str">
        <f t="shared" si="1067"/>
        <v>-</v>
      </c>
      <c r="O902" s="347">
        <f t="shared" si="1056"/>
        <v>5.8348452039562237E-2</v>
      </c>
    </row>
    <row r="903" spans="1:15" ht="23.25" thickBot="1" x14ac:dyDescent="0.3">
      <c r="A903" s="823" t="s">
        <v>102</v>
      </c>
      <c r="B903" s="946" t="s">
        <v>38</v>
      </c>
      <c r="C903" s="947"/>
      <c r="D903" s="948"/>
      <c r="E903" s="284">
        <f>SUM(E901:E902)</f>
        <v>14000</v>
      </c>
      <c r="F903" s="285">
        <v>2800</v>
      </c>
      <c r="G903" s="320">
        <f>SUM(G901:G902)</f>
        <v>4730</v>
      </c>
      <c r="H903" s="321">
        <f t="shared" ref="H903:I903" si="1068">SUM(H901:H902)</f>
        <v>4400</v>
      </c>
      <c r="I903" s="321">
        <f t="shared" si="1068"/>
        <v>330</v>
      </c>
      <c r="J903" s="345" t="str">
        <f>IFERROR(G903/#REF!,"-")</f>
        <v>-</v>
      </c>
      <c r="K903" s="320">
        <f t="shared" ref="K903:M903" si="1069">SUM(K901:K902)</f>
        <v>17087</v>
      </c>
      <c r="L903" s="321">
        <f t="shared" si="1069"/>
        <v>16090</v>
      </c>
      <c r="M903" s="322">
        <f t="shared" si="1069"/>
        <v>997</v>
      </c>
      <c r="N903" s="339">
        <f t="shared" si="1067"/>
        <v>1.2204999999999999</v>
      </c>
      <c r="O903" s="345">
        <f t="shared" si="1056"/>
        <v>5.8348452039562237E-2</v>
      </c>
    </row>
    <row r="904" spans="1:15" ht="24" x14ac:dyDescent="0.25">
      <c r="A904" s="274" t="s">
        <v>102</v>
      </c>
      <c r="B904" s="949" t="s">
        <v>403</v>
      </c>
      <c r="C904" s="269" t="s">
        <v>306</v>
      </c>
      <c r="D904" s="269"/>
      <c r="E904" s="270">
        <f>176000+39000+35000+36000+19000</f>
        <v>305000</v>
      </c>
      <c r="F904" s="315"/>
      <c r="G904" s="332">
        <f t="shared" ref="G904:G908" si="1070">+H904+I904</f>
        <v>33366</v>
      </c>
      <c r="H904" s="272">
        <v>33000</v>
      </c>
      <c r="I904" s="272">
        <v>366</v>
      </c>
      <c r="J904" s="371" t="str">
        <f>IFERROR(G904/#REF!,"-")</f>
        <v>-</v>
      </c>
      <c r="K904" s="332">
        <f t="shared" ref="K904:K908" si="1071">+L904+M904</f>
        <v>161970</v>
      </c>
      <c r="L904" s="272">
        <f t="shared" ref="L904:L908" si="1072">+H904+L789</f>
        <v>160884</v>
      </c>
      <c r="M904" s="272">
        <f t="shared" ref="M904:M908" si="1073">+I904+M789</f>
        <v>1086</v>
      </c>
      <c r="N904" s="359">
        <f t="shared" si="1067"/>
        <v>0.53104918032786885</v>
      </c>
      <c r="O904" s="360">
        <f t="shared" si="1056"/>
        <v>6.7049453602518981E-3</v>
      </c>
    </row>
    <row r="905" spans="1:15" ht="24" x14ac:dyDescent="0.25">
      <c r="A905" s="274" t="s">
        <v>102</v>
      </c>
      <c r="B905" s="951"/>
      <c r="C905" s="269" t="s">
        <v>307</v>
      </c>
      <c r="D905" s="275"/>
      <c r="E905" s="276"/>
      <c r="F905" s="316"/>
      <c r="G905" s="333">
        <f t="shared" si="1070"/>
        <v>0</v>
      </c>
      <c r="H905" s="278"/>
      <c r="I905" s="278"/>
      <c r="J905" s="372" t="str">
        <f>IFERROR(G905/#REF!,"-")</f>
        <v>-</v>
      </c>
      <c r="K905" s="333">
        <f t="shared" si="1071"/>
        <v>0</v>
      </c>
      <c r="L905" s="272">
        <f t="shared" si="1072"/>
        <v>0</v>
      </c>
      <c r="M905" s="273">
        <f t="shared" si="1073"/>
        <v>0</v>
      </c>
      <c r="N905" s="361" t="str">
        <f t="shared" si="1067"/>
        <v>-</v>
      </c>
      <c r="O905" s="362" t="str">
        <f t="shared" si="1056"/>
        <v>-</v>
      </c>
    </row>
    <row r="906" spans="1:15" ht="24" x14ac:dyDescent="0.25">
      <c r="A906" s="274" t="s">
        <v>102</v>
      </c>
      <c r="B906" s="951"/>
      <c r="C906" s="275" t="s">
        <v>499</v>
      </c>
      <c r="D906" s="275"/>
      <c r="E906" s="276">
        <f>70000+15000</f>
        <v>85000</v>
      </c>
      <c r="F906" s="316"/>
      <c r="G906" s="333">
        <f t="shared" si="1070"/>
        <v>6505</v>
      </c>
      <c r="H906" s="278">
        <v>6492</v>
      </c>
      <c r="I906" s="278">
        <v>13</v>
      </c>
      <c r="J906" s="372" t="str">
        <f>IFERROR(G906/#REF!,"-")</f>
        <v>-</v>
      </c>
      <c r="K906" s="333">
        <f t="shared" si="1071"/>
        <v>49665</v>
      </c>
      <c r="L906" s="272">
        <f t="shared" si="1072"/>
        <v>49032</v>
      </c>
      <c r="M906" s="273">
        <f t="shared" si="1073"/>
        <v>633</v>
      </c>
      <c r="N906" s="361">
        <f t="shared" si="1067"/>
        <v>0.58429411764705885</v>
      </c>
      <c r="O906" s="362">
        <f t="shared" si="1056"/>
        <v>1.2745394140742978E-2</v>
      </c>
    </row>
    <row r="907" spans="1:15" ht="24" x14ac:dyDescent="0.25">
      <c r="A907" s="274" t="s">
        <v>102</v>
      </c>
      <c r="B907" s="951"/>
      <c r="C907" s="275" t="s">
        <v>157</v>
      </c>
      <c r="D907" s="275"/>
      <c r="E907" s="276"/>
      <c r="F907" s="316"/>
      <c r="G907" s="333">
        <f t="shared" si="1070"/>
        <v>0</v>
      </c>
      <c r="H907" s="278"/>
      <c r="I907" s="278"/>
      <c r="J907" s="372" t="str">
        <f>IFERROR(G907/#REF!,"-")</f>
        <v>-</v>
      </c>
      <c r="K907" s="333">
        <f t="shared" si="1071"/>
        <v>0</v>
      </c>
      <c r="L907" s="272">
        <f t="shared" si="1072"/>
        <v>0</v>
      </c>
      <c r="M907" s="273">
        <f t="shared" si="1073"/>
        <v>0</v>
      </c>
      <c r="N907" s="361" t="str">
        <f t="shared" si="1067"/>
        <v>-</v>
      </c>
      <c r="O907" s="362" t="str">
        <f t="shared" si="1056"/>
        <v>-</v>
      </c>
    </row>
    <row r="908" spans="1:15" ht="24.75" thickBot="1" x14ac:dyDescent="0.3">
      <c r="A908" s="274" t="s">
        <v>102</v>
      </c>
      <c r="B908" s="950"/>
      <c r="C908" s="279" t="s">
        <v>158</v>
      </c>
      <c r="D908" s="279"/>
      <c r="E908" s="280"/>
      <c r="F908" s="317"/>
      <c r="G908" s="334">
        <f t="shared" si="1070"/>
        <v>0</v>
      </c>
      <c r="H908" s="282"/>
      <c r="I908" s="282"/>
      <c r="J908" s="373" t="str">
        <f>IFERROR(G908/#REF!,"-")</f>
        <v>-</v>
      </c>
      <c r="K908" s="334">
        <f t="shared" si="1071"/>
        <v>0</v>
      </c>
      <c r="L908" s="272">
        <f t="shared" si="1072"/>
        <v>0</v>
      </c>
      <c r="M908" s="273">
        <f t="shared" si="1073"/>
        <v>0</v>
      </c>
      <c r="N908" s="363" t="str">
        <f t="shared" si="1067"/>
        <v>-</v>
      </c>
      <c r="O908" s="364" t="str">
        <f t="shared" si="1056"/>
        <v>-</v>
      </c>
    </row>
    <row r="909" spans="1:15" ht="23.25" thickBot="1" x14ac:dyDescent="0.3">
      <c r="A909" s="274" t="s">
        <v>102</v>
      </c>
      <c r="B909" s="946" t="s">
        <v>39</v>
      </c>
      <c r="C909" s="947"/>
      <c r="D909" s="948"/>
      <c r="E909" s="320">
        <f>SUM(E904:E908)</f>
        <v>390000</v>
      </c>
      <c r="F909" s="285">
        <v>25000</v>
      </c>
      <c r="G909" s="320">
        <f>SUM(G904:G908)</f>
        <v>39871</v>
      </c>
      <c r="H909" s="321">
        <f>SUM(H904:H908)</f>
        <v>39492</v>
      </c>
      <c r="I909" s="321">
        <f>SUM(I904:I908)</f>
        <v>379</v>
      </c>
      <c r="J909" s="345" t="str">
        <f>IFERROR(G909/#REF!,"-")</f>
        <v>-</v>
      </c>
      <c r="K909" s="320">
        <f>SUM(K904:K908)</f>
        <v>211635</v>
      </c>
      <c r="L909" s="321">
        <f>SUM(L904:L908)</f>
        <v>209916</v>
      </c>
      <c r="M909" s="322">
        <f>SUM(M904:M908)</f>
        <v>1719</v>
      </c>
      <c r="N909" s="339">
        <f t="shared" si="1067"/>
        <v>0.54265384615384615</v>
      </c>
      <c r="O909" s="345">
        <f t="shared" si="1056"/>
        <v>8.1224750159472683E-3</v>
      </c>
    </row>
    <row r="910" spans="1:15" ht="24" x14ac:dyDescent="0.25">
      <c r="A910" s="274" t="s">
        <v>102</v>
      </c>
      <c r="B910" s="949" t="s">
        <v>404</v>
      </c>
      <c r="C910" s="269" t="s">
        <v>186</v>
      </c>
      <c r="D910" s="269"/>
      <c r="E910" s="270"/>
      <c r="F910" s="271"/>
      <c r="G910" s="332">
        <f t="shared" ref="G910:G912" si="1074">+H910+I910</f>
        <v>0</v>
      </c>
      <c r="H910" s="272"/>
      <c r="I910" s="272"/>
      <c r="J910" s="351" t="str">
        <f>IFERROR(G910/#REF!,"-")</f>
        <v>-</v>
      </c>
      <c r="K910" s="332">
        <f t="shared" ref="K910:K912" si="1075">+L910+M910</f>
        <v>0</v>
      </c>
      <c r="L910" s="272">
        <f t="shared" ref="L910:L912" si="1076">+H910+L795</f>
        <v>0</v>
      </c>
      <c r="M910" s="273">
        <f t="shared" ref="M910:M912" si="1077">+I910+M795</f>
        <v>0</v>
      </c>
      <c r="N910" s="336" t="str">
        <f t="shared" si="1067"/>
        <v>-</v>
      </c>
      <c r="O910" s="346" t="str">
        <f t="shared" si="1056"/>
        <v>-</v>
      </c>
    </row>
    <row r="911" spans="1:15" ht="24" x14ac:dyDescent="0.25">
      <c r="A911" s="274" t="s">
        <v>102</v>
      </c>
      <c r="B911" s="951"/>
      <c r="C911" s="275" t="s">
        <v>497</v>
      </c>
      <c r="D911" s="275"/>
      <c r="E911" s="276">
        <f>33000+15000</f>
        <v>48000</v>
      </c>
      <c r="F911" s="277"/>
      <c r="G911" s="333">
        <f t="shared" si="1074"/>
        <v>0</v>
      </c>
      <c r="H911" s="278"/>
      <c r="I911" s="278"/>
      <c r="J911" s="372" t="str">
        <f>IFERROR(G911/#REF!,"-")</f>
        <v>-</v>
      </c>
      <c r="K911" s="333">
        <f t="shared" si="1075"/>
        <v>11826</v>
      </c>
      <c r="L911" s="714">
        <f t="shared" si="1076"/>
        <v>11400</v>
      </c>
      <c r="M911" s="273">
        <f t="shared" si="1077"/>
        <v>426</v>
      </c>
      <c r="N911" s="361">
        <f t="shared" si="1067"/>
        <v>0.24637500000000001</v>
      </c>
      <c r="O911" s="362">
        <f t="shared" si="1056"/>
        <v>3.6022323693556568E-2</v>
      </c>
    </row>
    <row r="912" spans="1:15" ht="24.75" thickBot="1" x14ac:dyDescent="0.3">
      <c r="A912" s="274" t="s">
        <v>102</v>
      </c>
      <c r="B912" s="950"/>
      <c r="C912" s="279" t="s">
        <v>498</v>
      </c>
      <c r="D912" s="279"/>
      <c r="E912" s="280">
        <f>50000+10000</f>
        <v>60000</v>
      </c>
      <c r="F912" s="281"/>
      <c r="G912" s="334">
        <f t="shared" si="1074"/>
        <v>0</v>
      </c>
      <c r="H912" s="282"/>
      <c r="I912" s="282"/>
      <c r="J912" s="373" t="str">
        <f>IFERROR(G912/#REF!,"-")</f>
        <v>-</v>
      </c>
      <c r="K912" s="334">
        <f t="shared" si="1075"/>
        <v>0</v>
      </c>
      <c r="L912" s="272">
        <f t="shared" si="1076"/>
        <v>0</v>
      </c>
      <c r="M912" s="273">
        <f t="shared" si="1077"/>
        <v>0</v>
      </c>
      <c r="N912" s="363">
        <f t="shared" si="1067"/>
        <v>0</v>
      </c>
      <c r="O912" s="364" t="str">
        <f t="shared" si="1056"/>
        <v>-</v>
      </c>
    </row>
    <row r="913" spans="1:15" ht="23.25" thickBot="1" x14ac:dyDescent="0.3">
      <c r="A913" s="274" t="s">
        <v>102</v>
      </c>
      <c r="B913" s="952" t="s">
        <v>41</v>
      </c>
      <c r="C913" s="953"/>
      <c r="D913" s="954"/>
      <c r="E913" s="320">
        <f>SUM(E910:E912)</f>
        <v>108000</v>
      </c>
      <c r="F913" s="285"/>
      <c r="G913" s="320">
        <f>SUM(G910:G912)</f>
        <v>0</v>
      </c>
      <c r="H913" s="321">
        <f t="shared" ref="H913:I913" si="1078">SUM(H910:H912)</f>
        <v>0</v>
      </c>
      <c r="I913" s="321">
        <f t="shared" si="1078"/>
        <v>0</v>
      </c>
      <c r="J913" s="345" t="str">
        <f>IFERROR(G913/#REF!,"-")</f>
        <v>-</v>
      </c>
      <c r="K913" s="320">
        <f t="shared" ref="K913:M913" si="1079">SUM(K910:K912)</f>
        <v>11826</v>
      </c>
      <c r="L913" s="365">
        <f t="shared" si="1079"/>
        <v>11400</v>
      </c>
      <c r="M913" s="367">
        <f t="shared" si="1079"/>
        <v>426</v>
      </c>
      <c r="N913" s="339">
        <f t="shared" si="1067"/>
        <v>0.1095</v>
      </c>
      <c r="O913" s="345">
        <f t="shared" si="1056"/>
        <v>3.6022323693556568E-2</v>
      </c>
    </row>
    <row r="914" spans="1:15" ht="24.75" thickBot="1" x14ac:dyDescent="0.3">
      <c r="A914" s="274" t="s">
        <v>102</v>
      </c>
      <c r="B914" s="949" t="s">
        <v>42</v>
      </c>
      <c r="C914" s="269" t="s">
        <v>160</v>
      </c>
      <c r="D914" s="269"/>
      <c r="E914" s="270">
        <v>11076</v>
      </c>
      <c r="F914" s="271"/>
      <c r="G914" s="332">
        <f t="shared" ref="G914:G915" si="1080">+H914+I914</f>
        <v>0</v>
      </c>
      <c r="H914" s="272"/>
      <c r="I914" s="272"/>
      <c r="J914" s="371" t="str">
        <f>IFERROR(G914/#REF!,"-")</f>
        <v>-</v>
      </c>
      <c r="K914" s="695">
        <f t="shared" ref="K914:K915" si="1081">+L914+M914</f>
        <v>0</v>
      </c>
      <c r="L914" s="688">
        <f>+H914+L799</f>
        <v>0</v>
      </c>
      <c r="M914" s="688">
        <f>+I914+M799</f>
        <v>0</v>
      </c>
      <c r="N914" s="359">
        <f t="shared" si="1067"/>
        <v>0</v>
      </c>
      <c r="O914" s="360" t="str">
        <f t="shared" si="1056"/>
        <v>-</v>
      </c>
    </row>
    <row r="915" spans="1:15" ht="24.75" thickBot="1" x14ac:dyDescent="0.3">
      <c r="A915" s="274" t="s">
        <v>102</v>
      </c>
      <c r="B915" s="950"/>
      <c r="C915" s="279" t="s">
        <v>161</v>
      </c>
      <c r="D915" s="279"/>
      <c r="E915" s="280">
        <v>0</v>
      </c>
      <c r="F915" s="281"/>
      <c r="G915" s="334">
        <f t="shared" si="1080"/>
        <v>0</v>
      </c>
      <c r="H915" s="282"/>
      <c r="I915" s="282"/>
      <c r="J915" s="373" t="str">
        <f>IFERROR(G915/#REF!,"-")</f>
        <v>-</v>
      </c>
      <c r="K915" s="696">
        <f t="shared" si="1081"/>
        <v>0</v>
      </c>
      <c r="L915" s="688">
        <f>+H915+L800</f>
        <v>0</v>
      </c>
      <c r="M915" s="688">
        <f>+I915+M800</f>
        <v>0</v>
      </c>
      <c r="N915" s="363" t="str">
        <f t="shared" si="1067"/>
        <v>-</v>
      </c>
      <c r="O915" s="364" t="str">
        <f t="shared" si="1056"/>
        <v>-</v>
      </c>
    </row>
    <row r="916" spans="1:15" ht="23.25" thickBot="1" x14ac:dyDescent="0.3">
      <c r="A916" s="274" t="s">
        <v>102</v>
      </c>
      <c r="B916" s="952" t="s">
        <v>43</v>
      </c>
      <c r="C916" s="953"/>
      <c r="D916" s="954"/>
      <c r="E916" s="284">
        <f>SUM(E914:E915)</f>
        <v>11076</v>
      </c>
      <c r="F916" s="285">
        <v>25000</v>
      </c>
      <c r="G916" s="320">
        <f>SUM(G914:G915)</f>
        <v>0</v>
      </c>
      <c r="H916" s="321">
        <f t="shared" ref="H916:I916" si="1082">SUM(H914:H915)</f>
        <v>0</v>
      </c>
      <c r="I916" s="321">
        <f t="shared" si="1082"/>
        <v>0</v>
      </c>
      <c r="J916" s="345" t="str">
        <f>IFERROR(G916/#REF!,"-")</f>
        <v>-</v>
      </c>
      <c r="K916" s="760">
        <f t="shared" ref="K916:M916" si="1083">SUM(K914:K915)</f>
        <v>0</v>
      </c>
      <c r="L916" s="761">
        <f t="shared" si="1083"/>
        <v>0</v>
      </c>
      <c r="M916" s="761">
        <f t="shared" si="1083"/>
        <v>0</v>
      </c>
      <c r="N916" s="339">
        <f t="shared" si="1067"/>
        <v>0</v>
      </c>
      <c r="O916" s="345" t="str">
        <f t="shared" si="1056"/>
        <v>-</v>
      </c>
    </row>
    <row r="917" spans="1:15" ht="23.25" thickBot="1" x14ac:dyDescent="0.3">
      <c r="A917" s="274" t="s">
        <v>102</v>
      </c>
      <c r="B917" s="938" t="s">
        <v>25</v>
      </c>
      <c r="C917" s="939"/>
      <c r="D917" s="940"/>
      <c r="E917" s="326">
        <f t="shared" ref="E917:F917" si="1084">+E895+E900+E903+E909+E913+E916</f>
        <v>545076</v>
      </c>
      <c r="F917" s="327">
        <f t="shared" si="1084"/>
        <v>65800</v>
      </c>
      <c r="G917" s="326">
        <f>+G895+G900+G903+G909+G913+G916</f>
        <v>44601</v>
      </c>
      <c r="H917" s="324">
        <f>+H895+H900+H903+H909+H913+H916</f>
        <v>43892</v>
      </c>
      <c r="I917" s="324">
        <f t="shared" ref="I917" si="1085">+I895+I900+I903+I909+I913+I916</f>
        <v>709</v>
      </c>
      <c r="J917" s="349" t="str">
        <f>IFERROR(G917/#REF!,"-")</f>
        <v>-</v>
      </c>
      <c r="K917" s="326">
        <f>+K895+K900+K903+K909+K913+K916</f>
        <v>249786</v>
      </c>
      <c r="L917" s="759">
        <f t="shared" ref="L917:M917" si="1086">+L895+L900+L903+L909+L913+L916</f>
        <v>246206</v>
      </c>
      <c r="M917" s="325">
        <f t="shared" si="1086"/>
        <v>3580</v>
      </c>
      <c r="N917" s="341">
        <f t="shared" si="1067"/>
        <v>0.458259031768047</v>
      </c>
      <c r="O917" s="349">
        <f t="shared" si="1056"/>
        <v>1.4332268421769035E-2</v>
      </c>
    </row>
    <row r="918" spans="1:15" ht="23.25" thickBot="1" x14ac:dyDescent="0.3">
      <c r="A918" s="318" t="s">
        <v>102</v>
      </c>
      <c r="B918" s="941" t="s">
        <v>173</v>
      </c>
      <c r="C918" s="941"/>
      <c r="D918" s="942"/>
      <c r="E918" s="330">
        <f>+E917</f>
        <v>545076</v>
      </c>
      <c r="F918" s="331">
        <f t="shared" ref="F918:O918" si="1087">+F917</f>
        <v>65800</v>
      </c>
      <c r="G918" s="330">
        <f t="shared" si="1087"/>
        <v>44601</v>
      </c>
      <c r="H918" s="328">
        <f t="shared" si="1087"/>
        <v>43892</v>
      </c>
      <c r="I918" s="328">
        <f t="shared" si="1087"/>
        <v>709</v>
      </c>
      <c r="J918" s="350" t="str">
        <f t="shared" si="1087"/>
        <v>-</v>
      </c>
      <c r="K918" s="330">
        <f t="shared" si="1087"/>
        <v>249786</v>
      </c>
      <c r="L918" s="328">
        <f t="shared" si="1087"/>
        <v>246206</v>
      </c>
      <c r="M918" s="329">
        <f t="shared" si="1087"/>
        <v>3580</v>
      </c>
      <c r="N918" s="342">
        <f t="shared" si="1087"/>
        <v>0.458259031768047</v>
      </c>
      <c r="O918" s="350">
        <f t="shared" si="1087"/>
        <v>1.4332268421769035E-2</v>
      </c>
    </row>
    <row r="919" spans="1:15" ht="26.25" thickBot="1" x14ac:dyDescent="0.3">
      <c r="A919" s="319"/>
      <c r="B919" s="943" t="s">
        <v>174</v>
      </c>
      <c r="C919" s="944"/>
      <c r="D919" s="945"/>
      <c r="E919" s="374">
        <f>+E856+E891+E918</f>
        <v>6540740</v>
      </c>
      <c r="F919" s="374">
        <f>+F856+F891+F918</f>
        <v>1024800</v>
      </c>
      <c r="G919" s="374">
        <f>+G856+G891+G918</f>
        <v>329480</v>
      </c>
      <c r="H919" s="374">
        <f>+H856+H891+H918</f>
        <v>325740</v>
      </c>
      <c r="I919" s="374">
        <f>+I856+I891+I918</f>
        <v>3740</v>
      </c>
      <c r="J919" s="375" t="str">
        <f>IFERROR(G919/#REF!,"-")</f>
        <v>-</v>
      </c>
      <c r="K919" s="374">
        <f>+K856+K891+K918</f>
        <v>2799640</v>
      </c>
      <c r="L919" s="374">
        <f>+L856+L891+L918</f>
        <v>2774070</v>
      </c>
      <c r="M919" s="374">
        <f>+M856+M891+M918</f>
        <v>25570</v>
      </c>
      <c r="N919" s="375">
        <f>IFERROR(K919/E919,"-")</f>
        <v>0.42803107905221732</v>
      </c>
      <c r="O919" s="375">
        <f>IFERROR(M919/K919,"-")</f>
        <v>9.1333171407752423E-3</v>
      </c>
    </row>
    <row r="920" spans="1:15" ht="22.5" x14ac:dyDescent="0.25">
      <c r="A920" s="978" t="s">
        <v>1</v>
      </c>
      <c r="B920" s="981" t="s">
        <v>2</v>
      </c>
      <c r="C920" s="984" t="s">
        <v>396</v>
      </c>
      <c r="D920" s="984" t="s">
        <v>397</v>
      </c>
      <c r="E920" s="987" t="s">
        <v>4</v>
      </c>
      <c r="F920" s="988"/>
      <c r="G920" s="988"/>
      <c r="H920" s="988"/>
      <c r="I920" s="988"/>
      <c r="J920" s="988"/>
      <c r="K920" s="988"/>
      <c r="L920" s="988"/>
      <c r="M920" s="988"/>
      <c r="N920" s="988"/>
      <c r="O920" s="989"/>
    </row>
    <row r="921" spans="1:15" ht="22.5" x14ac:dyDescent="0.25">
      <c r="A921" s="979"/>
      <c r="B921" s="982"/>
      <c r="C921" s="985"/>
      <c r="D921" s="985"/>
      <c r="E921" s="990" t="s">
        <v>7</v>
      </c>
      <c r="F921" s="992" t="s">
        <v>108</v>
      </c>
      <c r="G921" s="994" t="s">
        <v>532</v>
      </c>
      <c r="H921" s="995"/>
      <c r="I921" s="995"/>
      <c r="J921" s="996"/>
      <c r="K921" s="997" t="s">
        <v>398</v>
      </c>
      <c r="L921" s="998"/>
      <c r="M921" s="999"/>
      <c r="N921" s="1000" t="s">
        <v>399</v>
      </c>
      <c r="O921" s="1002" t="s">
        <v>164</v>
      </c>
    </row>
    <row r="922" spans="1:15" ht="41.25" thickBot="1" x14ac:dyDescent="0.3">
      <c r="A922" s="980"/>
      <c r="B922" s="983"/>
      <c r="C922" s="986"/>
      <c r="D922" s="986"/>
      <c r="E922" s="991"/>
      <c r="F922" s="993"/>
      <c r="G922" s="452" t="s">
        <v>13</v>
      </c>
      <c r="H922" s="453" t="s">
        <v>14</v>
      </c>
      <c r="I922" s="453" t="s">
        <v>15</v>
      </c>
      <c r="J922" s="454" t="s">
        <v>166</v>
      </c>
      <c r="K922" s="680" t="s">
        <v>13</v>
      </c>
      <c r="L922" s="678" t="s">
        <v>14</v>
      </c>
      <c r="M922" s="679" t="s">
        <v>15</v>
      </c>
      <c r="N922" s="1001"/>
      <c r="O922" s="1003"/>
    </row>
    <row r="923" spans="1:15" ht="24.75" thickBot="1" x14ac:dyDescent="0.3">
      <c r="A923" s="268" t="s">
        <v>103</v>
      </c>
      <c r="B923" s="965" t="s">
        <v>16</v>
      </c>
      <c r="C923" s="269" t="s">
        <v>368</v>
      </c>
      <c r="D923" s="269" t="s">
        <v>369</v>
      </c>
      <c r="E923" s="270">
        <v>20000</v>
      </c>
      <c r="F923" s="271"/>
      <c r="G923" s="332">
        <f>+H923+I923</f>
        <v>0</v>
      </c>
      <c r="H923" s="272"/>
      <c r="I923" s="272"/>
      <c r="J923" s="352" t="str">
        <f>IFERROR(G923/F923,"-")</f>
        <v>-</v>
      </c>
      <c r="K923" s="457">
        <f>+L923+M923</f>
        <v>270</v>
      </c>
      <c r="L923" s="688">
        <f t="shared" ref="L923:L926" si="1088">+H923+L808</f>
        <v>0</v>
      </c>
      <c r="M923" s="688">
        <f t="shared" ref="M923:M926" si="1089">+I923+M808</f>
        <v>270</v>
      </c>
      <c r="N923" s="336">
        <f>IFERROR(K923/E923,"-")</f>
        <v>1.35E-2</v>
      </c>
      <c r="O923" s="343">
        <f t="shared" ref="O923:O924" si="1090">IFERROR(M923/K923,"-")</f>
        <v>1</v>
      </c>
    </row>
    <row r="924" spans="1:15" ht="24" x14ac:dyDescent="0.25">
      <c r="A924" s="274" t="s">
        <v>103</v>
      </c>
      <c r="B924" s="966"/>
      <c r="C924" s="275" t="s">
        <v>376</v>
      </c>
      <c r="D924" s="275" t="s">
        <v>375</v>
      </c>
      <c r="E924" s="276"/>
      <c r="F924" s="277"/>
      <c r="G924" s="333">
        <f t="shared" ref="G924:G926" si="1091">+H924+I924</f>
        <v>0</v>
      </c>
      <c r="H924" s="278"/>
      <c r="I924" s="278"/>
      <c r="J924" s="352" t="str">
        <f t="shared" ref="J924:J926" si="1092">IFERROR(G924/F924,"-")</f>
        <v>-</v>
      </c>
      <c r="K924" s="690">
        <f t="shared" ref="K924:K926" si="1093">+L924+M924</f>
        <v>0</v>
      </c>
      <c r="L924" s="527">
        <f t="shared" si="1088"/>
        <v>0</v>
      </c>
      <c r="M924" s="459">
        <f t="shared" si="1089"/>
        <v>0</v>
      </c>
      <c r="N924" s="337" t="str">
        <f t="shared" ref="N924:N926" si="1094">IFERROR(K924/E924,"-")</f>
        <v>-</v>
      </c>
      <c r="O924" s="265" t="str">
        <f t="shared" si="1090"/>
        <v>-</v>
      </c>
    </row>
    <row r="925" spans="1:15" s="723" customFormat="1" ht="22.5" x14ac:dyDescent="0.25">
      <c r="A925" s="274" t="s">
        <v>103</v>
      </c>
      <c r="B925" s="966"/>
      <c r="C925" s="573" t="s">
        <v>431</v>
      </c>
      <c r="D925" s="573" t="s">
        <v>366</v>
      </c>
      <c r="E925" s="720"/>
      <c r="F925" s="721"/>
      <c r="G925" s="333">
        <f t="shared" si="1091"/>
        <v>0</v>
      </c>
      <c r="H925" s="722"/>
      <c r="I925" s="722"/>
      <c r="J925" s="352" t="str">
        <f t="shared" si="1092"/>
        <v>-</v>
      </c>
      <c r="K925" s="690">
        <f t="shared" si="1093"/>
        <v>8000</v>
      </c>
      <c r="L925" s="720">
        <f t="shared" si="1088"/>
        <v>8000</v>
      </c>
      <c r="M925" s="529">
        <f t="shared" si="1089"/>
        <v>0</v>
      </c>
      <c r="N925" s="337" t="str">
        <f t="shared" si="1094"/>
        <v>-</v>
      </c>
      <c r="O925" s="265">
        <f>IFERROR(M925/K925,"-")</f>
        <v>0</v>
      </c>
    </row>
    <row r="926" spans="1:15" ht="24.75" thickBot="1" x14ac:dyDescent="0.3">
      <c r="A926" s="274" t="s">
        <v>103</v>
      </c>
      <c r="B926" s="967"/>
      <c r="C926" s="279" t="s">
        <v>428</v>
      </c>
      <c r="D926" s="279" t="s">
        <v>374</v>
      </c>
      <c r="E926" s="280"/>
      <c r="F926" s="281"/>
      <c r="G926" s="334">
        <f t="shared" si="1091"/>
        <v>0</v>
      </c>
      <c r="H926" s="272"/>
      <c r="I926" s="272"/>
      <c r="J926" s="352" t="str">
        <f t="shared" si="1092"/>
        <v>-</v>
      </c>
      <c r="K926" s="691">
        <f t="shared" si="1093"/>
        <v>0</v>
      </c>
      <c r="L926" s="530">
        <f t="shared" si="1088"/>
        <v>0</v>
      </c>
      <c r="M926" s="462">
        <f t="shared" si="1089"/>
        <v>0</v>
      </c>
      <c r="N926" s="338" t="str">
        <f t="shared" si="1094"/>
        <v>-</v>
      </c>
      <c r="O926" s="344" t="str">
        <f t="shared" ref="O926:O944" si="1095">IFERROR(M926/K926,"-")</f>
        <v>-</v>
      </c>
    </row>
    <row r="927" spans="1:15" ht="23.25" thickBot="1" x14ac:dyDescent="0.3">
      <c r="A927" s="274" t="s">
        <v>103</v>
      </c>
      <c r="B927" s="946" t="s">
        <v>44</v>
      </c>
      <c r="C927" s="947"/>
      <c r="D927" s="948"/>
      <c r="E927" s="320">
        <f>SUM(E923:E926)</f>
        <v>20000</v>
      </c>
      <c r="F927" s="285">
        <v>15000</v>
      </c>
      <c r="G927" s="320">
        <f>SUM(G923:G926)</f>
        <v>0</v>
      </c>
      <c r="H927" s="321">
        <f t="shared" ref="H927:I927" si="1096">SUM(H923:H926)</f>
        <v>0</v>
      </c>
      <c r="I927" s="321">
        <f t="shared" si="1096"/>
        <v>0</v>
      </c>
      <c r="J927" s="345">
        <f>+G927/F927</f>
        <v>0</v>
      </c>
      <c r="K927" s="320">
        <f t="shared" ref="K927" si="1097">SUM(K923:K926)</f>
        <v>8270</v>
      </c>
      <c r="L927" s="692">
        <f>SUM(L923:L926)</f>
        <v>8000</v>
      </c>
      <c r="M927" s="693">
        <f>SUM(M923:M926)</f>
        <v>270</v>
      </c>
      <c r="N927" s="339">
        <f>IFERROR(K927/E927,"-")</f>
        <v>0.41349999999999998</v>
      </c>
      <c r="O927" s="345">
        <f t="shared" si="1095"/>
        <v>3.2648125755743655E-2</v>
      </c>
    </row>
    <row r="928" spans="1:15" ht="24" x14ac:dyDescent="0.25">
      <c r="A928" s="274" t="s">
        <v>103</v>
      </c>
      <c r="B928" s="965" t="s">
        <v>17</v>
      </c>
      <c r="C928" s="269" t="s">
        <v>294</v>
      </c>
      <c r="D928" s="269"/>
      <c r="E928" s="270"/>
      <c r="F928" s="271"/>
      <c r="G928" s="332">
        <f t="shared" ref="G928:G934" si="1098">+H928+I928</f>
        <v>0</v>
      </c>
      <c r="H928" s="272"/>
      <c r="I928" s="272"/>
      <c r="J928" s="351" t="str">
        <f>IFERROR(G928/F928,"-")</f>
        <v>-</v>
      </c>
      <c r="K928" s="694">
        <f t="shared" ref="K928:K934" si="1099">+L928+M928</f>
        <v>0</v>
      </c>
      <c r="L928" s="527">
        <f t="shared" ref="L928:L934" si="1100">+H928+L813</f>
        <v>0</v>
      </c>
      <c r="M928" s="459">
        <f t="shared" ref="M928:M934" si="1101">+I928+M813</f>
        <v>0</v>
      </c>
      <c r="N928" s="336" t="str">
        <f t="shared" ref="N928:N934" si="1102">IFERROR(K928/E928,"-")</f>
        <v>-</v>
      </c>
      <c r="O928" s="346" t="str">
        <f t="shared" si="1095"/>
        <v>-</v>
      </c>
    </row>
    <row r="929" spans="1:15" ht="24" x14ac:dyDescent="0.25">
      <c r="A929" s="274" t="s">
        <v>103</v>
      </c>
      <c r="B929" s="966"/>
      <c r="C929" s="275" t="s">
        <v>344</v>
      </c>
      <c r="D929" s="275" t="s">
        <v>232</v>
      </c>
      <c r="E929" s="276">
        <v>1600000</v>
      </c>
      <c r="F929" s="277"/>
      <c r="G929" s="333">
        <f t="shared" si="1098"/>
        <v>0</v>
      </c>
      <c r="H929" s="278"/>
      <c r="I929" s="278"/>
      <c r="J929" s="351" t="str">
        <f t="shared" ref="J929:J934" si="1103">IFERROR(G929/F929,"-")</f>
        <v>-</v>
      </c>
      <c r="K929" s="690">
        <f t="shared" si="1099"/>
        <v>6120</v>
      </c>
      <c r="L929" s="276">
        <f t="shared" si="1100"/>
        <v>5980</v>
      </c>
      <c r="M929" s="436">
        <f t="shared" si="1101"/>
        <v>140</v>
      </c>
      <c r="N929" s="337">
        <f t="shared" si="1102"/>
        <v>3.8249999999999998E-3</v>
      </c>
      <c r="O929" s="263">
        <f t="shared" si="1095"/>
        <v>2.2875816993464051E-2</v>
      </c>
    </row>
    <row r="930" spans="1:15" ht="24" x14ac:dyDescent="0.25">
      <c r="A930" s="274" t="s">
        <v>103</v>
      </c>
      <c r="B930" s="966"/>
      <c r="C930" s="275" t="s">
        <v>367</v>
      </c>
      <c r="D930" s="275" t="s">
        <v>187</v>
      </c>
      <c r="E930" s="276">
        <v>1000000</v>
      </c>
      <c r="F930" s="277"/>
      <c r="G930" s="333">
        <f t="shared" si="1098"/>
        <v>85884</v>
      </c>
      <c r="H930" s="278">
        <v>85680</v>
      </c>
      <c r="I930" s="278">
        <v>204</v>
      </c>
      <c r="J930" s="351" t="str">
        <f t="shared" si="1103"/>
        <v>-</v>
      </c>
      <c r="K930" s="690">
        <f t="shared" si="1099"/>
        <v>639014</v>
      </c>
      <c r="L930" s="276">
        <f t="shared" si="1100"/>
        <v>636480</v>
      </c>
      <c r="M930" s="436">
        <f t="shared" si="1101"/>
        <v>2534</v>
      </c>
      <c r="N930" s="337">
        <f t="shared" si="1102"/>
        <v>0.63901399999999997</v>
      </c>
      <c r="O930" s="263">
        <f t="shared" si="1095"/>
        <v>3.965484324287105E-3</v>
      </c>
    </row>
    <row r="931" spans="1:15" ht="24" x14ac:dyDescent="0.25">
      <c r="A931" s="274" t="s">
        <v>103</v>
      </c>
      <c r="B931" s="966"/>
      <c r="C931" s="275" t="s">
        <v>530</v>
      </c>
      <c r="D931" s="275" t="s">
        <v>529</v>
      </c>
      <c r="E931" s="276"/>
      <c r="F931" s="277"/>
      <c r="G931" s="333">
        <f t="shared" si="1098"/>
        <v>0</v>
      </c>
      <c r="H931" s="278"/>
      <c r="I931" s="278"/>
      <c r="J931" s="351" t="str">
        <f t="shared" si="1103"/>
        <v>-</v>
      </c>
      <c r="K931" s="690">
        <f t="shared" si="1099"/>
        <v>41558</v>
      </c>
      <c r="L931" s="276">
        <f t="shared" si="1100"/>
        <v>41350</v>
      </c>
      <c r="M931" s="436">
        <f t="shared" si="1101"/>
        <v>208</v>
      </c>
      <c r="N931" s="337" t="str">
        <f t="shared" si="1102"/>
        <v>-</v>
      </c>
      <c r="O931" s="263">
        <f t="shared" si="1095"/>
        <v>5.0050531786900235E-3</v>
      </c>
    </row>
    <row r="932" spans="1:15" ht="24" x14ac:dyDescent="0.25">
      <c r="A932" s="274" t="s">
        <v>103</v>
      </c>
      <c r="B932" s="966"/>
      <c r="C932" s="275" t="s">
        <v>323</v>
      </c>
      <c r="D932" s="275" t="s">
        <v>318</v>
      </c>
      <c r="E932" s="276"/>
      <c r="F932" s="277"/>
      <c r="G932" s="333">
        <f t="shared" si="1098"/>
        <v>0</v>
      </c>
      <c r="H932" s="278"/>
      <c r="I932" s="278"/>
      <c r="J932" s="351" t="str">
        <f t="shared" si="1103"/>
        <v>-</v>
      </c>
      <c r="K932" s="690">
        <f t="shared" si="1099"/>
        <v>0</v>
      </c>
      <c r="L932" s="276">
        <f t="shared" si="1100"/>
        <v>0</v>
      </c>
      <c r="M932" s="436">
        <f t="shared" si="1101"/>
        <v>0</v>
      </c>
      <c r="N932" s="337" t="str">
        <f t="shared" si="1102"/>
        <v>-</v>
      </c>
      <c r="O932" s="263" t="str">
        <f t="shared" si="1095"/>
        <v>-</v>
      </c>
    </row>
    <row r="933" spans="1:15" ht="24" x14ac:dyDescent="0.25">
      <c r="A933" s="274" t="s">
        <v>103</v>
      </c>
      <c r="B933" s="966"/>
      <c r="C933" s="275" t="s">
        <v>528</v>
      </c>
      <c r="D933" s="275" t="s">
        <v>189</v>
      </c>
      <c r="E933" s="276"/>
      <c r="F933" s="277"/>
      <c r="G933" s="333">
        <f t="shared" si="1098"/>
        <v>0</v>
      </c>
      <c r="H933" s="278"/>
      <c r="I933" s="278"/>
      <c r="J933" s="351" t="str">
        <f t="shared" si="1103"/>
        <v>-</v>
      </c>
      <c r="K933" s="690">
        <f t="shared" si="1099"/>
        <v>28598</v>
      </c>
      <c r="L933" s="276">
        <f t="shared" si="1100"/>
        <v>28458</v>
      </c>
      <c r="M933" s="436">
        <f t="shared" si="1101"/>
        <v>140</v>
      </c>
      <c r="N933" s="337" t="str">
        <f t="shared" si="1102"/>
        <v>-</v>
      </c>
      <c r="O933" s="263">
        <f t="shared" si="1095"/>
        <v>4.8954472340723126E-3</v>
      </c>
    </row>
    <row r="934" spans="1:15" ht="24.75" thickBot="1" x14ac:dyDescent="0.3">
      <c r="A934" s="274" t="s">
        <v>103</v>
      </c>
      <c r="B934" s="967"/>
      <c r="C934" s="279" t="s">
        <v>341</v>
      </c>
      <c r="D934" s="279" t="s">
        <v>232</v>
      </c>
      <c r="E934" s="280"/>
      <c r="F934" s="281"/>
      <c r="G934" s="334">
        <f t="shared" si="1098"/>
        <v>0</v>
      </c>
      <c r="H934" s="282"/>
      <c r="I934" s="282"/>
      <c r="J934" s="351" t="str">
        <f t="shared" si="1103"/>
        <v>-</v>
      </c>
      <c r="K934" s="691">
        <f t="shared" si="1099"/>
        <v>0</v>
      </c>
      <c r="L934" s="530">
        <f t="shared" si="1100"/>
        <v>0</v>
      </c>
      <c r="M934" s="462">
        <f t="shared" si="1101"/>
        <v>0</v>
      </c>
      <c r="N934" s="338" t="str">
        <f t="shared" si="1102"/>
        <v>-</v>
      </c>
      <c r="O934" s="347" t="str">
        <f t="shared" si="1095"/>
        <v>-</v>
      </c>
    </row>
    <row r="935" spans="1:15" ht="23.25" thickBot="1" x14ac:dyDescent="0.3">
      <c r="A935" s="274" t="s">
        <v>103</v>
      </c>
      <c r="B935" s="946" t="s">
        <v>45</v>
      </c>
      <c r="C935" s="947"/>
      <c r="D935" s="948"/>
      <c r="E935" s="320">
        <f>SUM(E928:E934)</f>
        <v>2600000</v>
      </c>
      <c r="F935" s="285">
        <v>100000</v>
      </c>
      <c r="G935" s="320">
        <f>SUM(G928:G934)</f>
        <v>85884</v>
      </c>
      <c r="H935" s="321">
        <f t="shared" ref="H935:I935" si="1104">SUM(H928:H934)</f>
        <v>85680</v>
      </c>
      <c r="I935" s="321">
        <f t="shared" si="1104"/>
        <v>204</v>
      </c>
      <c r="J935" s="345">
        <f>+G935/F935</f>
        <v>0.85884000000000005</v>
      </c>
      <c r="K935" s="320">
        <f>SUM(K928:K934)</f>
        <v>715290</v>
      </c>
      <c r="L935" s="519">
        <f>SUM(L928:L934)</f>
        <v>712268</v>
      </c>
      <c r="M935" s="689">
        <f t="shared" ref="M935" si="1105">SUM(M928:M934)</f>
        <v>3022</v>
      </c>
      <c r="N935" s="339">
        <f>IFERROR(K935/E935,"-")</f>
        <v>0.27511153846153846</v>
      </c>
      <c r="O935" s="345">
        <f t="shared" si="1095"/>
        <v>4.2248598470550408E-3</v>
      </c>
    </row>
    <row r="936" spans="1:15" ht="24" x14ac:dyDescent="0.25">
      <c r="A936" s="274" t="s">
        <v>103</v>
      </c>
      <c r="B936" s="965" t="s">
        <v>18</v>
      </c>
      <c r="C936" s="269" t="s">
        <v>312</v>
      </c>
      <c r="D936" s="269" t="s">
        <v>92</v>
      </c>
      <c r="E936" s="270"/>
      <c r="F936" s="271"/>
      <c r="G936" s="332">
        <f t="shared" ref="G936:G942" si="1106">+H936+I936</f>
        <v>0</v>
      </c>
      <c r="H936" s="272"/>
      <c r="I936" s="272"/>
      <c r="J936" s="351" t="str">
        <f>IFERROR(G936/F936,"-")</f>
        <v>-</v>
      </c>
      <c r="K936" s="332">
        <f t="shared" ref="K936:K942" si="1107">+L936+M936</f>
        <v>0</v>
      </c>
      <c r="L936" s="272">
        <f t="shared" ref="L936:L942" si="1108">+H936+L821</f>
        <v>0</v>
      </c>
      <c r="M936" s="273">
        <f t="shared" ref="M936:M942" si="1109">+I936+M821</f>
        <v>0</v>
      </c>
      <c r="N936" s="336" t="str">
        <f t="shared" ref="N936:N943" si="1110">IFERROR(K936/E936,"-")</f>
        <v>-</v>
      </c>
      <c r="O936" s="346" t="str">
        <f t="shared" si="1095"/>
        <v>-</v>
      </c>
    </row>
    <row r="937" spans="1:15" ht="24" x14ac:dyDescent="0.25">
      <c r="A937" s="274" t="s">
        <v>103</v>
      </c>
      <c r="B937" s="966"/>
      <c r="C937" s="275" t="s">
        <v>233</v>
      </c>
      <c r="D937" s="275" t="s">
        <v>234</v>
      </c>
      <c r="E937" s="276"/>
      <c r="F937" s="277"/>
      <c r="G937" s="333">
        <f t="shared" si="1106"/>
        <v>0</v>
      </c>
      <c r="H937" s="278"/>
      <c r="I937" s="278"/>
      <c r="J937" s="351" t="str">
        <f t="shared" ref="J937:J942" si="1111">IFERROR(G937/F937,"-")</f>
        <v>-</v>
      </c>
      <c r="K937" s="333">
        <f t="shared" si="1107"/>
        <v>0</v>
      </c>
      <c r="L937" s="272">
        <f t="shared" si="1108"/>
        <v>0</v>
      </c>
      <c r="M937" s="273">
        <f t="shared" si="1109"/>
        <v>0</v>
      </c>
      <c r="N937" s="337" t="str">
        <f t="shared" si="1110"/>
        <v>-</v>
      </c>
      <c r="O937" s="263" t="str">
        <f t="shared" si="1095"/>
        <v>-</v>
      </c>
    </row>
    <row r="938" spans="1:15" ht="24" x14ac:dyDescent="0.25">
      <c r="A938" s="274" t="s">
        <v>103</v>
      </c>
      <c r="B938" s="966"/>
      <c r="C938" s="275" t="s">
        <v>115</v>
      </c>
      <c r="D938" s="275"/>
      <c r="E938" s="276"/>
      <c r="F938" s="277"/>
      <c r="G938" s="333">
        <f t="shared" si="1106"/>
        <v>0</v>
      </c>
      <c r="H938" s="278"/>
      <c r="I938" s="278"/>
      <c r="J938" s="351" t="str">
        <f t="shared" si="1111"/>
        <v>-</v>
      </c>
      <c r="K938" s="333">
        <f t="shared" si="1107"/>
        <v>0</v>
      </c>
      <c r="L938" s="272">
        <f t="shared" si="1108"/>
        <v>0</v>
      </c>
      <c r="M938" s="273">
        <f t="shared" si="1109"/>
        <v>0</v>
      </c>
      <c r="N938" s="337" t="str">
        <f t="shared" si="1110"/>
        <v>-</v>
      </c>
      <c r="O938" s="263" t="str">
        <f t="shared" si="1095"/>
        <v>-</v>
      </c>
    </row>
    <row r="939" spans="1:15" ht="24" x14ac:dyDescent="0.25">
      <c r="A939" s="274" t="s">
        <v>103</v>
      </c>
      <c r="B939" s="966"/>
      <c r="C939" s="275" t="s">
        <v>122</v>
      </c>
      <c r="D939" s="275"/>
      <c r="E939" s="276"/>
      <c r="F939" s="277"/>
      <c r="G939" s="333">
        <f t="shared" si="1106"/>
        <v>0</v>
      </c>
      <c r="H939" s="278"/>
      <c r="I939" s="278"/>
      <c r="J939" s="351" t="str">
        <f t="shared" si="1111"/>
        <v>-</v>
      </c>
      <c r="K939" s="333">
        <f t="shared" si="1107"/>
        <v>0</v>
      </c>
      <c r="L939" s="272">
        <f t="shared" si="1108"/>
        <v>0</v>
      </c>
      <c r="M939" s="273">
        <f t="shared" si="1109"/>
        <v>0</v>
      </c>
      <c r="N939" s="337" t="str">
        <f t="shared" si="1110"/>
        <v>-</v>
      </c>
      <c r="O939" s="263" t="str">
        <f t="shared" si="1095"/>
        <v>-</v>
      </c>
    </row>
    <row r="940" spans="1:15" ht="24" x14ac:dyDescent="0.25">
      <c r="A940" s="274" t="s">
        <v>103</v>
      </c>
      <c r="B940" s="966"/>
      <c r="C940" s="275" t="s">
        <v>176</v>
      </c>
      <c r="D940" s="275" t="s">
        <v>177</v>
      </c>
      <c r="E940" s="276"/>
      <c r="F940" s="277"/>
      <c r="G940" s="333">
        <f t="shared" si="1106"/>
        <v>0</v>
      </c>
      <c r="H940" s="278"/>
      <c r="I940" s="278"/>
      <c r="J940" s="351" t="str">
        <f t="shared" si="1111"/>
        <v>-</v>
      </c>
      <c r="K940" s="333">
        <f t="shared" si="1107"/>
        <v>0</v>
      </c>
      <c r="L940" s="272">
        <f t="shared" si="1108"/>
        <v>0</v>
      </c>
      <c r="M940" s="273">
        <f t="shared" si="1109"/>
        <v>0</v>
      </c>
      <c r="N940" s="337" t="str">
        <f t="shared" si="1110"/>
        <v>-</v>
      </c>
      <c r="O940" s="263" t="str">
        <f t="shared" si="1095"/>
        <v>-</v>
      </c>
    </row>
    <row r="941" spans="1:15" ht="24" x14ac:dyDescent="0.25">
      <c r="A941" s="274" t="s">
        <v>103</v>
      </c>
      <c r="B941" s="966"/>
      <c r="C941" s="275" t="s">
        <v>179</v>
      </c>
      <c r="D941" s="275" t="s">
        <v>178</v>
      </c>
      <c r="E941" s="276"/>
      <c r="F941" s="277"/>
      <c r="G941" s="333">
        <f t="shared" si="1106"/>
        <v>0</v>
      </c>
      <c r="H941" s="278"/>
      <c r="I941" s="278"/>
      <c r="J941" s="351" t="str">
        <f t="shared" si="1111"/>
        <v>-</v>
      </c>
      <c r="K941" s="333">
        <f t="shared" si="1107"/>
        <v>0</v>
      </c>
      <c r="L941" s="272">
        <f t="shared" si="1108"/>
        <v>0</v>
      </c>
      <c r="M941" s="273">
        <f t="shared" si="1109"/>
        <v>0</v>
      </c>
      <c r="N941" s="337" t="str">
        <f t="shared" si="1110"/>
        <v>-</v>
      </c>
      <c r="O941" s="263" t="str">
        <f t="shared" si="1095"/>
        <v>-</v>
      </c>
    </row>
    <row r="942" spans="1:15" ht="24.75" thickBot="1" x14ac:dyDescent="0.3">
      <c r="A942" s="274" t="s">
        <v>103</v>
      </c>
      <c r="B942" s="967"/>
      <c r="C942" s="286" t="s">
        <v>180</v>
      </c>
      <c r="D942" s="286" t="s">
        <v>107</v>
      </c>
      <c r="E942" s="280"/>
      <c r="F942" s="281"/>
      <c r="G942" s="334">
        <f t="shared" si="1106"/>
        <v>0</v>
      </c>
      <c r="H942" s="282"/>
      <c r="I942" s="282"/>
      <c r="J942" s="351" t="str">
        <f t="shared" si="1111"/>
        <v>-</v>
      </c>
      <c r="K942" s="334">
        <f t="shared" si="1107"/>
        <v>0</v>
      </c>
      <c r="L942" s="272">
        <f t="shared" si="1108"/>
        <v>0</v>
      </c>
      <c r="M942" s="273">
        <f t="shared" si="1109"/>
        <v>0</v>
      </c>
      <c r="N942" s="338" t="str">
        <f t="shared" si="1110"/>
        <v>-</v>
      </c>
      <c r="O942" s="347" t="str">
        <f t="shared" si="1095"/>
        <v>-</v>
      </c>
    </row>
    <row r="943" spans="1:15" ht="23.25" thickBot="1" x14ac:dyDescent="0.3">
      <c r="A943" s="274" t="s">
        <v>103</v>
      </c>
      <c r="B943" s="946" t="s">
        <v>29</v>
      </c>
      <c r="C943" s="970"/>
      <c r="D943" s="948"/>
      <c r="E943" s="366">
        <f t="shared" ref="E943" si="1112">SUM(E936:E942)</f>
        <v>0</v>
      </c>
      <c r="F943" s="307">
        <v>80000</v>
      </c>
      <c r="G943" s="366">
        <f>SUM(G936:G942)</f>
        <v>0</v>
      </c>
      <c r="H943" s="365">
        <f t="shared" ref="H943:I943" si="1113">SUM(H936:H942)</f>
        <v>0</v>
      </c>
      <c r="I943" s="365">
        <f t="shared" si="1113"/>
        <v>0</v>
      </c>
      <c r="J943" s="356">
        <f>+G943/F943</f>
        <v>0</v>
      </c>
      <c r="K943" s="366">
        <f t="shared" ref="K943" si="1114">SUM(K936:K942)</f>
        <v>0</v>
      </c>
      <c r="L943" s="365">
        <f>SUM(L936:L942)</f>
        <v>0</v>
      </c>
      <c r="M943" s="367">
        <f t="shared" ref="M943" si="1115">SUM(M936:M942)</f>
        <v>0</v>
      </c>
      <c r="N943" s="355" t="str">
        <f t="shared" si="1110"/>
        <v>-</v>
      </c>
      <c r="O943" s="356" t="str">
        <f t="shared" si="1095"/>
        <v>-</v>
      </c>
    </row>
    <row r="944" spans="1:15" ht="24" x14ac:dyDescent="0.25">
      <c r="A944" s="252" t="s">
        <v>103</v>
      </c>
      <c r="B944" s="972" t="s">
        <v>19</v>
      </c>
      <c r="C944" s="883" t="s">
        <v>235</v>
      </c>
      <c r="D944" s="877" t="s">
        <v>177</v>
      </c>
      <c r="E944" s="527"/>
      <c r="F944" s="838">
        <v>220000</v>
      </c>
      <c r="G944" s="457">
        <f t="shared" ref="G944:G947" si="1116">+H944+I944</f>
        <v>0</v>
      </c>
      <c r="H944" s="458"/>
      <c r="I944" s="458"/>
      <c r="J944" s="531">
        <f>IFERROR(G944/F944,"-")</f>
        <v>0</v>
      </c>
      <c r="K944" s="869">
        <f>+L944+M944</f>
        <v>0</v>
      </c>
      <c r="L944" s="527">
        <f>+H944+L829</f>
        <v>0</v>
      </c>
      <c r="M944" s="838">
        <f>+I944+M829</f>
        <v>0</v>
      </c>
      <c r="N944" s="646" t="str">
        <f>IFERROR(K944/E944,"-")</f>
        <v>-</v>
      </c>
      <c r="O944" s="647" t="str">
        <f t="shared" si="1095"/>
        <v>-</v>
      </c>
    </row>
    <row r="945" spans="1:15" ht="24" x14ac:dyDescent="0.25">
      <c r="A945" s="252"/>
      <c r="B945" s="973"/>
      <c r="C945" s="876" t="s">
        <v>377</v>
      </c>
      <c r="D945" s="878" t="s">
        <v>423</v>
      </c>
      <c r="E945" s="276">
        <v>1000000</v>
      </c>
      <c r="F945" s="277">
        <v>110000</v>
      </c>
      <c r="G945" s="333">
        <f t="shared" si="1116"/>
        <v>0</v>
      </c>
      <c r="H945" s="278"/>
      <c r="I945" s="278"/>
      <c r="J945" s="352">
        <f t="shared" ref="J945:J949" si="1117">IFERROR(G945/F945,"-")</f>
        <v>0</v>
      </c>
      <c r="K945" s="870">
        <f>+L945+M945</f>
        <v>576188</v>
      </c>
      <c r="L945" s="276">
        <f>+H945+L830</f>
        <v>574464</v>
      </c>
      <c r="M945" s="277">
        <f>+I945+M830</f>
        <v>1724</v>
      </c>
      <c r="N945" s="836">
        <f t="shared" ref="N945:N949" si="1118">IFERROR(K945/E945,"-")</f>
        <v>0.57618800000000003</v>
      </c>
      <c r="O945" s="263">
        <f>IFERROR(M945/K945,"-")</f>
        <v>2.9920789742236909E-3</v>
      </c>
    </row>
    <row r="946" spans="1:15" ht="24" x14ac:dyDescent="0.25">
      <c r="A946" s="252"/>
      <c r="B946" s="973"/>
      <c r="C946" s="876" t="s">
        <v>235</v>
      </c>
      <c r="D946" s="879" t="s">
        <v>522</v>
      </c>
      <c r="E946" s="276"/>
      <c r="F946" s="277"/>
      <c r="G946" s="333">
        <f t="shared" si="1116"/>
        <v>0</v>
      </c>
      <c r="H946" s="278"/>
      <c r="I946" s="278"/>
      <c r="J946" s="352" t="str">
        <f t="shared" si="1117"/>
        <v>-</v>
      </c>
      <c r="K946" s="870">
        <f t="shared" ref="K946:K947" si="1119">+L946+M946</f>
        <v>175193</v>
      </c>
      <c r="L946" s="276">
        <f t="shared" ref="L946:L947" si="1120">+H946+L831</f>
        <v>174768</v>
      </c>
      <c r="M946" s="277">
        <f t="shared" ref="M946:M947" si="1121">+I946+M831</f>
        <v>425</v>
      </c>
      <c r="N946" s="836" t="str">
        <f t="shared" si="1118"/>
        <v>-</v>
      </c>
      <c r="O946" s="263">
        <f t="shared" ref="O946:O968" si="1122">IFERROR(M946/K946,"-")</f>
        <v>2.4258960118269564E-3</v>
      </c>
    </row>
    <row r="947" spans="1:15" ht="24" x14ac:dyDescent="0.25">
      <c r="A947" s="252"/>
      <c r="B947" s="973"/>
      <c r="C947" s="876" t="s">
        <v>377</v>
      </c>
      <c r="D947" s="880" t="s">
        <v>522</v>
      </c>
      <c r="E947" s="276"/>
      <c r="F947" s="277"/>
      <c r="G947" s="333">
        <f t="shared" si="1116"/>
        <v>8678</v>
      </c>
      <c r="H947" s="278">
        <v>8448</v>
      </c>
      <c r="I947" s="278">
        <v>230</v>
      </c>
      <c r="J947" s="352" t="str">
        <f t="shared" si="1117"/>
        <v>-</v>
      </c>
      <c r="K947" s="870">
        <f t="shared" si="1119"/>
        <v>262751</v>
      </c>
      <c r="L947" s="276">
        <f t="shared" si="1120"/>
        <v>261888</v>
      </c>
      <c r="M947" s="277">
        <f t="shared" si="1121"/>
        <v>863</v>
      </c>
      <c r="N947" s="836" t="str">
        <f t="shared" si="1118"/>
        <v>-</v>
      </c>
      <c r="O947" s="263">
        <f t="shared" si="1122"/>
        <v>3.2844784605957733E-3</v>
      </c>
    </row>
    <row r="948" spans="1:15" ht="24" x14ac:dyDescent="0.25">
      <c r="A948" s="252"/>
      <c r="B948" s="973"/>
      <c r="C948" s="876" t="s">
        <v>550</v>
      </c>
      <c r="D948" s="881" t="s">
        <v>522</v>
      </c>
      <c r="E948" s="276"/>
      <c r="F948" s="277"/>
      <c r="G948" s="333">
        <f t="shared" ref="G948" si="1123">+H948+I948</f>
        <v>8588</v>
      </c>
      <c r="H948" s="278">
        <v>8448</v>
      </c>
      <c r="I948" s="278">
        <v>140</v>
      </c>
      <c r="J948" s="352" t="str">
        <f t="shared" ref="J948" si="1124">IFERROR(G948/F948,"-")</f>
        <v>-</v>
      </c>
      <c r="K948" s="870">
        <f t="shared" ref="K948" si="1125">+L948+M948</f>
        <v>8588</v>
      </c>
      <c r="L948" s="276">
        <f>+H948</f>
        <v>8448</v>
      </c>
      <c r="M948" s="277">
        <f>+I948</f>
        <v>140</v>
      </c>
      <c r="N948" s="836" t="str">
        <f t="shared" ref="N948" si="1126">IFERROR(K948/E948,"-")</f>
        <v>-</v>
      </c>
      <c r="O948" s="263">
        <f t="shared" ref="O948" si="1127">IFERROR(M948/K948,"-")</f>
        <v>1.6301816488122962E-2</v>
      </c>
    </row>
    <row r="949" spans="1:15" ht="24.75" thickBot="1" x14ac:dyDescent="0.3">
      <c r="A949" s="252"/>
      <c r="B949" s="974"/>
      <c r="C949" s="884" t="s">
        <v>342</v>
      </c>
      <c r="D949" s="882"/>
      <c r="E949" s="530">
        <v>150000</v>
      </c>
      <c r="F949" s="839"/>
      <c r="G949" s="460">
        <f t="shared" ref="G949" si="1128">+H949+I949</f>
        <v>0</v>
      </c>
      <c r="H949" s="461"/>
      <c r="I949" s="461"/>
      <c r="J949" s="532" t="str">
        <f t="shared" si="1117"/>
        <v>-</v>
      </c>
      <c r="K949" s="871">
        <f>+L949+M949</f>
        <v>0</v>
      </c>
      <c r="L949" s="530">
        <f>+H949+L833</f>
        <v>0</v>
      </c>
      <c r="M949" s="839">
        <f>+I949+M833</f>
        <v>0</v>
      </c>
      <c r="N949" s="837">
        <f t="shared" si="1118"/>
        <v>0</v>
      </c>
      <c r="O949" s="264" t="str">
        <f t="shared" si="1122"/>
        <v>-</v>
      </c>
    </row>
    <row r="950" spans="1:15" ht="23.25" thickBot="1" x14ac:dyDescent="0.3">
      <c r="A950" s="274" t="s">
        <v>103</v>
      </c>
      <c r="B950" s="975" t="s">
        <v>46</v>
      </c>
      <c r="C950" s="976"/>
      <c r="D950" s="948"/>
      <c r="E950" s="513">
        <f>SUM(E944:E949)</f>
        <v>1150000</v>
      </c>
      <c r="F950" s="859">
        <f t="shared" ref="F950" si="1129">SUM(F944)</f>
        <v>220000</v>
      </c>
      <c r="G950" s="513">
        <f>SUM(G944:G949)</f>
        <v>17266</v>
      </c>
      <c r="H950" s="519">
        <f>SUM(H944:H949)</f>
        <v>16896</v>
      </c>
      <c r="I950" s="519">
        <f>SUM(I944:I949)</f>
        <v>370</v>
      </c>
      <c r="J950" s="520">
        <f>+G950/F950</f>
        <v>7.848181818181818E-2</v>
      </c>
      <c r="K950" s="835">
        <f>SUM(K944:K949)</f>
        <v>1022720</v>
      </c>
      <c r="L950" s="519">
        <f>SUM(L944:L949)</f>
        <v>1019568</v>
      </c>
      <c r="M950" s="689">
        <f>SUM(M944:M949)</f>
        <v>3152</v>
      </c>
      <c r="N950" s="521">
        <f>IFERROR(K950/E950,"-")</f>
        <v>0.88932173913043477</v>
      </c>
      <c r="O950" s="520">
        <f t="shared" si="1122"/>
        <v>3.0819774718397999E-3</v>
      </c>
    </row>
    <row r="951" spans="1:15" ht="24" x14ac:dyDescent="0.25">
      <c r="A951" s="274" t="s">
        <v>103</v>
      </c>
      <c r="B951" s="965" t="s">
        <v>20</v>
      </c>
      <c r="C951" s="291" t="s">
        <v>317</v>
      </c>
      <c r="D951" s="291" t="s">
        <v>289</v>
      </c>
      <c r="E951" s="270"/>
      <c r="F951" s="271"/>
      <c r="G951" s="332">
        <f t="shared" ref="G951:G953" si="1130">+H951+I951</f>
        <v>0</v>
      </c>
      <c r="H951" s="272"/>
      <c r="I951" s="272"/>
      <c r="J951" s="351" t="str">
        <f>IFERROR(G951/F951,"-")</f>
        <v>-</v>
      </c>
      <c r="K951" s="332">
        <f t="shared" ref="K951:K953" si="1131">+L951+M951</f>
        <v>0</v>
      </c>
      <c r="L951" s="272">
        <f t="shared" ref="L951:M953" si="1132">+H951+L835</f>
        <v>0</v>
      </c>
      <c r="M951" s="273">
        <f t="shared" si="1132"/>
        <v>0</v>
      </c>
      <c r="N951" s="336" t="str">
        <f t="shared" ref="N951:N954" si="1133">IFERROR(K951/E951,"-")</f>
        <v>-</v>
      </c>
      <c r="O951" s="346" t="str">
        <f t="shared" si="1122"/>
        <v>-</v>
      </c>
    </row>
    <row r="952" spans="1:15" ht="24" x14ac:dyDescent="0.25">
      <c r="A952" s="274" t="s">
        <v>103</v>
      </c>
      <c r="B952" s="966"/>
      <c r="C952" s="292" t="s">
        <v>114</v>
      </c>
      <c r="D952" s="292"/>
      <c r="E952" s="276"/>
      <c r="F952" s="277"/>
      <c r="G952" s="333">
        <f t="shared" si="1130"/>
        <v>0</v>
      </c>
      <c r="H952" s="278"/>
      <c r="I952" s="278"/>
      <c r="J952" s="351" t="str">
        <f t="shared" ref="J952:J953" si="1134">IFERROR(G952/F952,"-")</f>
        <v>-</v>
      </c>
      <c r="K952" s="333">
        <f t="shared" si="1131"/>
        <v>0</v>
      </c>
      <c r="L952" s="272">
        <f t="shared" si="1132"/>
        <v>0</v>
      </c>
      <c r="M952" s="273">
        <f t="shared" si="1132"/>
        <v>0</v>
      </c>
      <c r="N952" s="337" t="str">
        <f t="shared" si="1133"/>
        <v>-</v>
      </c>
      <c r="O952" s="263" t="str">
        <f t="shared" si="1122"/>
        <v>-</v>
      </c>
    </row>
    <row r="953" spans="1:15" ht="24.75" thickBot="1" x14ac:dyDescent="0.3">
      <c r="A953" s="274" t="s">
        <v>103</v>
      </c>
      <c r="B953" s="967"/>
      <c r="C953" s="293" t="s">
        <v>120</v>
      </c>
      <c r="D953" s="293"/>
      <c r="E953" s="280"/>
      <c r="F953" s="281"/>
      <c r="G953" s="334">
        <f t="shared" si="1130"/>
        <v>0</v>
      </c>
      <c r="H953" s="282"/>
      <c r="I953" s="282"/>
      <c r="J953" s="351" t="str">
        <f t="shared" si="1134"/>
        <v>-</v>
      </c>
      <c r="K953" s="334">
        <f t="shared" si="1131"/>
        <v>0</v>
      </c>
      <c r="L953" s="272">
        <f t="shared" si="1132"/>
        <v>0</v>
      </c>
      <c r="M953" s="273">
        <f t="shared" si="1132"/>
        <v>0</v>
      </c>
      <c r="N953" s="338" t="str">
        <f t="shared" si="1133"/>
        <v>-</v>
      </c>
      <c r="O953" s="347" t="str">
        <f t="shared" si="1122"/>
        <v>-</v>
      </c>
    </row>
    <row r="954" spans="1:15" ht="23.25" thickBot="1" x14ac:dyDescent="0.3">
      <c r="A954" s="274" t="s">
        <v>103</v>
      </c>
      <c r="B954" s="947" t="s">
        <v>47</v>
      </c>
      <c r="C954" s="947"/>
      <c r="D954" s="964"/>
      <c r="E954" s="320">
        <f t="shared" ref="E954" si="1135">SUM(E951:E953)</f>
        <v>0</v>
      </c>
      <c r="F954" s="285">
        <v>50000</v>
      </c>
      <c r="G954" s="320">
        <f>SUM(G951:G953)</f>
        <v>0</v>
      </c>
      <c r="H954" s="321">
        <f t="shared" ref="H954:I954" si="1136">SUM(H951:H953)</f>
        <v>0</v>
      </c>
      <c r="I954" s="321">
        <f t="shared" si="1136"/>
        <v>0</v>
      </c>
      <c r="J954" s="345">
        <f>+G954/F954</f>
        <v>0</v>
      </c>
      <c r="K954" s="320">
        <f t="shared" ref="K954:M954" si="1137">SUM(K951:K953)</f>
        <v>0</v>
      </c>
      <c r="L954" s="321">
        <f t="shared" si="1137"/>
        <v>0</v>
      </c>
      <c r="M954" s="322">
        <f t="shared" si="1137"/>
        <v>0</v>
      </c>
      <c r="N954" s="339" t="str">
        <f t="shared" si="1133"/>
        <v>-</v>
      </c>
      <c r="O954" s="345" t="str">
        <f t="shared" si="1122"/>
        <v>-</v>
      </c>
    </row>
    <row r="955" spans="1:15" ht="23.25" thickBot="1" x14ac:dyDescent="0.3">
      <c r="A955" s="274" t="s">
        <v>103</v>
      </c>
      <c r="B955" s="960" t="s">
        <v>21</v>
      </c>
      <c r="C955" s="961"/>
      <c r="D955" s="962"/>
      <c r="E955" s="326">
        <f>+E927+E935+E943+E950+E954</f>
        <v>3770000</v>
      </c>
      <c r="F955" s="327">
        <f>+F927+F935+F943+F950+F954</f>
        <v>465000</v>
      </c>
      <c r="G955" s="326">
        <f>+G927+G935+G943+G950+G954</f>
        <v>103150</v>
      </c>
      <c r="H955" s="324">
        <f>+H927+H935+H943+H950+H954</f>
        <v>102576</v>
      </c>
      <c r="I955" s="324">
        <f>+I927+I935+I943+I950+I954</f>
        <v>574</v>
      </c>
      <c r="J955" s="349">
        <f>+G955/F955</f>
        <v>0.22182795698924732</v>
      </c>
      <c r="K955" s="326">
        <f>+K927+K935+K943+K950+K954</f>
        <v>1746280</v>
      </c>
      <c r="L955" s="324">
        <f>+L927+L935+L943+L950+L954</f>
        <v>1739836</v>
      </c>
      <c r="M955" s="325">
        <f>+M927+M935+M943+M950+M954</f>
        <v>6444</v>
      </c>
      <c r="N955" s="341">
        <f>IFERROR(K955/E955,"-")</f>
        <v>0.46320424403183025</v>
      </c>
      <c r="O955" s="349">
        <f t="shared" si="1122"/>
        <v>3.6901298760794376E-3</v>
      </c>
    </row>
    <row r="956" spans="1:15" ht="24" x14ac:dyDescent="0.25">
      <c r="A956" s="274" t="s">
        <v>103</v>
      </c>
      <c r="B956" s="965" t="s">
        <v>400</v>
      </c>
      <c r="C956" s="269" t="s">
        <v>125</v>
      </c>
      <c r="D956" s="269"/>
      <c r="E956" s="270"/>
      <c r="F956" s="271"/>
      <c r="G956" s="332">
        <f t="shared" ref="G956:G959" si="1138">+H956+I956</f>
        <v>0</v>
      </c>
      <c r="H956" s="272"/>
      <c r="I956" s="272"/>
      <c r="J956" s="351" t="str">
        <f>IFERROR(G956/F956,"-")</f>
        <v>-</v>
      </c>
      <c r="K956" s="332">
        <f t="shared" ref="K956:K959" si="1139">+L956+M956</f>
        <v>0</v>
      </c>
      <c r="L956" s="272">
        <f t="shared" ref="L956:M959" si="1140">+H956+L840</f>
        <v>0</v>
      </c>
      <c r="M956" s="273">
        <f t="shared" si="1140"/>
        <v>0</v>
      </c>
      <c r="N956" s="336" t="str">
        <f t="shared" ref="N956:N968" si="1141">IFERROR(K956/E956,"-")</f>
        <v>-</v>
      </c>
      <c r="O956" s="346" t="str">
        <f t="shared" si="1122"/>
        <v>-</v>
      </c>
    </row>
    <row r="957" spans="1:15" ht="24" x14ac:dyDescent="0.25">
      <c r="A957" s="274" t="s">
        <v>103</v>
      </c>
      <c r="B957" s="966"/>
      <c r="C957" s="295" t="s">
        <v>263</v>
      </c>
      <c r="D957" s="295" t="s">
        <v>181</v>
      </c>
      <c r="E957" s="276"/>
      <c r="F957" s="277"/>
      <c r="G957" s="333">
        <f t="shared" si="1138"/>
        <v>0</v>
      </c>
      <c r="H957" s="278"/>
      <c r="I957" s="278"/>
      <c r="J957" s="351" t="str">
        <f t="shared" ref="J957:J959" si="1142">IFERROR(G957/F957,"-")</f>
        <v>-</v>
      </c>
      <c r="K957" s="333">
        <f t="shared" si="1139"/>
        <v>0</v>
      </c>
      <c r="L957" s="272">
        <f t="shared" si="1140"/>
        <v>0</v>
      </c>
      <c r="M957" s="273">
        <f t="shared" si="1140"/>
        <v>0</v>
      </c>
      <c r="N957" s="337" t="str">
        <f t="shared" si="1141"/>
        <v>-</v>
      </c>
      <c r="O957" s="263" t="str">
        <f t="shared" si="1122"/>
        <v>-</v>
      </c>
    </row>
    <row r="958" spans="1:15" ht="24" x14ac:dyDescent="0.25">
      <c r="A958" s="274" t="s">
        <v>103</v>
      </c>
      <c r="B958" s="966"/>
      <c r="C958" s="295" t="s">
        <v>362</v>
      </c>
      <c r="D958" s="295" t="s">
        <v>181</v>
      </c>
      <c r="E958" s="276"/>
      <c r="F958" s="277"/>
      <c r="G958" s="333">
        <f t="shared" si="1138"/>
        <v>0</v>
      </c>
      <c r="H958" s="278"/>
      <c r="I958" s="278"/>
      <c r="J958" s="351" t="str">
        <f t="shared" si="1142"/>
        <v>-</v>
      </c>
      <c r="K958" s="333">
        <f t="shared" si="1139"/>
        <v>0</v>
      </c>
      <c r="L958" s="272">
        <f t="shared" si="1140"/>
        <v>0</v>
      </c>
      <c r="M958" s="273">
        <f t="shared" si="1140"/>
        <v>0</v>
      </c>
      <c r="N958" s="337" t="str">
        <f t="shared" si="1141"/>
        <v>-</v>
      </c>
      <c r="O958" s="263" t="str">
        <f t="shared" si="1122"/>
        <v>-</v>
      </c>
    </row>
    <row r="959" spans="1:15" ht="24.75" thickBot="1" x14ac:dyDescent="0.3">
      <c r="A959" s="274" t="s">
        <v>103</v>
      </c>
      <c r="B959" s="967"/>
      <c r="C959" s="279" t="s">
        <v>182</v>
      </c>
      <c r="D959" s="279" t="s">
        <v>93</v>
      </c>
      <c r="E959" s="280"/>
      <c r="F959" s="281"/>
      <c r="G959" s="334">
        <f t="shared" si="1138"/>
        <v>0</v>
      </c>
      <c r="H959" s="282"/>
      <c r="I959" s="282"/>
      <c r="J959" s="351" t="str">
        <f t="shared" si="1142"/>
        <v>-</v>
      </c>
      <c r="K959" s="334">
        <f t="shared" si="1139"/>
        <v>0</v>
      </c>
      <c r="L959" s="272">
        <f t="shared" si="1140"/>
        <v>0</v>
      </c>
      <c r="M959" s="273">
        <f t="shared" si="1140"/>
        <v>0</v>
      </c>
      <c r="N959" s="338" t="str">
        <f t="shared" si="1141"/>
        <v>-</v>
      </c>
      <c r="O959" s="347" t="str">
        <f t="shared" si="1122"/>
        <v>-</v>
      </c>
    </row>
    <row r="960" spans="1:15" ht="23.25" thickBot="1" x14ac:dyDescent="0.3">
      <c r="A960" s="274" t="s">
        <v>103</v>
      </c>
      <c r="B960" s="946" t="s">
        <v>48</v>
      </c>
      <c r="C960" s="947"/>
      <c r="D960" s="948"/>
      <c r="E960" s="284">
        <f>SUM(E956:E959)</f>
        <v>0</v>
      </c>
      <c r="F960" s="285">
        <v>80000</v>
      </c>
      <c r="G960" s="320">
        <f>SUM(G956:G959)</f>
        <v>0</v>
      </c>
      <c r="H960" s="321">
        <f t="shared" ref="H960:I960" si="1143">SUM(H956:H959)</f>
        <v>0</v>
      </c>
      <c r="I960" s="321">
        <f t="shared" si="1143"/>
        <v>0</v>
      </c>
      <c r="J960" s="345">
        <f>+G960/F960</f>
        <v>0</v>
      </c>
      <c r="K960" s="320">
        <f t="shared" ref="K960" si="1144">SUM(K956:K959)</f>
        <v>0</v>
      </c>
      <c r="L960" s="321">
        <f>SUM(L956:L959)</f>
        <v>0</v>
      </c>
      <c r="M960" s="322">
        <f t="shared" ref="M960" si="1145">SUM(M956:M959)</f>
        <v>0</v>
      </c>
      <c r="N960" s="339" t="str">
        <f t="shared" si="1141"/>
        <v>-</v>
      </c>
      <c r="O960" s="345" t="str">
        <f t="shared" si="1122"/>
        <v>-</v>
      </c>
    </row>
    <row r="961" spans="1:15" ht="24" x14ac:dyDescent="0.25">
      <c r="A961" s="274" t="s">
        <v>103</v>
      </c>
      <c r="B961" s="965" t="s">
        <v>23</v>
      </c>
      <c r="C961" s="275" t="s">
        <v>500</v>
      </c>
      <c r="D961" s="296" t="s">
        <v>238</v>
      </c>
      <c r="E961" s="270">
        <v>10000</v>
      </c>
      <c r="F961" s="271"/>
      <c r="G961" s="332">
        <f t="shared" ref="G961:G969" si="1146">+H961+I961</f>
        <v>0</v>
      </c>
      <c r="H961" s="272"/>
      <c r="I961" s="272"/>
      <c r="J961" s="351" t="str">
        <f>IFERROR(G961/F961,"-")</f>
        <v>-</v>
      </c>
      <c r="K961" s="332">
        <f t="shared" ref="K961:K969" si="1147">+L961+M961</f>
        <v>0</v>
      </c>
      <c r="L961" s="272">
        <f t="shared" ref="L961:L969" si="1148">+H961+L845</f>
        <v>0</v>
      </c>
      <c r="M961" s="273">
        <f t="shared" ref="M961:M969" si="1149">+I961+M845</f>
        <v>0</v>
      </c>
      <c r="N961" s="336">
        <f t="shared" si="1141"/>
        <v>0</v>
      </c>
      <c r="O961" s="346" t="str">
        <f t="shared" si="1122"/>
        <v>-</v>
      </c>
    </row>
    <row r="962" spans="1:15" ht="24" x14ac:dyDescent="0.25">
      <c r="A962" s="274" t="s">
        <v>103</v>
      </c>
      <c r="B962" s="966"/>
      <c r="C962" s="275" t="s">
        <v>24</v>
      </c>
      <c r="D962" s="275" t="s">
        <v>238</v>
      </c>
      <c r="E962" s="276"/>
      <c r="F962" s="277"/>
      <c r="G962" s="333">
        <f t="shared" si="1146"/>
        <v>0</v>
      </c>
      <c r="H962" s="278"/>
      <c r="I962" s="278"/>
      <c r="J962" s="351" t="str">
        <f t="shared" ref="J962:J969" si="1150">IFERROR(G962/F962,"-")</f>
        <v>-</v>
      </c>
      <c r="K962" s="333">
        <f t="shared" si="1147"/>
        <v>0</v>
      </c>
      <c r="L962" s="272">
        <f t="shared" si="1148"/>
        <v>0</v>
      </c>
      <c r="M962" s="273">
        <f t="shared" si="1149"/>
        <v>0</v>
      </c>
      <c r="N962" s="337" t="str">
        <f t="shared" si="1141"/>
        <v>-</v>
      </c>
      <c r="O962" s="263" t="str">
        <f t="shared" si="1122"/>
        <v>-</v>
      </c>
    </row>
    <row r="963" spans="1:15" ht="24" x14ac:dyDescent="0.25">
      <c r="A963" s="274" t="s">
        <v>103</v>
      </c>
      <c r="B963" s="966"/>
      <c r="C963" s="275" t="s">
        <v>236</v>
      </c>
      <c r="D963" s="275" t="s">
        <v>238</v>
      </c>
      <c r="E963" s="276"/>
      <c r="F963" s="277"/>
      <c r="G963" s="333">
        <f t="shared" si="1146"/>
        <v>0</v>
      </c>
      <c r="H963" s="278"/>
      <c r="I963" s="278"/>
      <c r="J963" s="351" t="str">
        <f t="shared" si="1150"/>
        <v>-</v>
      </c>
      <c r="K963" s="333">
        <f t="shared" si="1147"/>
        <v>0</v>
      </c>
      <c r="L963" s="272">
        <f t="shared" si="1148"/>
        <v>0</v>
      </c>
      <c r="M963" s="273">
        <f t="shared" si="1149"/>
        <v>0</v>
      </c>
      <c r="N963" s="337" t="str">
        <f t="shared" si="1141"/>
        <v>-</v>
      </c>
      <c r="O963" s="263" t="str">
        <f t="shared" si="1122"/>
        <v>-</v>
      </c>
    </row>
    <row r="964" spans="1:15" ht="24" x14ac:dyDescent="0.25">
      <c r="A964" s="274" t="s">
        <v>103</v>
      </c>
      <c r="B964" s="966"/>
      <c r="C964" s="275" t="s">
        <v>237</v>
      </c>
      <c r="D964" s="275" t="s">
        <v>238</v>
      </c>
      <c r="E964" s="276"/>
      <c r="F964" s="277"/>
      <c r="G964" s="333">
        <f t="shared" si="1146"/>
        <v>0</v>
      </c>
      <c r="H964" s="278"/>
      <c r="I964" s="278"/>
      <c r="J964" s="351" t="str">
        <f t="shared" si="1150"/>
        <v>-</v>
      </c>
      <c r="K964" s="333">
        <f t="shared" si="1147"/>
        <v>0</v>
      </c>
      <c r="L964" s="272">
        <f t="shared" si="1148"/>
        <v>0</v>
      </c>
      <c r="M964" s="273">
        <f t="shared" si="1149"/>
        <v>0</v>
      </c>
      <c r="N964" s="337" t="str">
        <f t="shared" si="1141"/>
        <v>-</v>
      </c>
      <c r="O964" s="263" t="str">
        <f t="shared" si="1122"/>
        <v>-</v>
      </c>
    </row>
    <row r="965" spans="1:15" ht="24" x14ac:dyDescent="0.25">
      <c r="A965" s="274" t="s">
        <v>103</v>
      </c>
      <c r="B965" s="966"/>
      <c r="C965" s="295" t="s">
        <v>394</v>
      </c>
      <c r="D965" s="275" t="s">
        <v>238</v>
      </c>
      <c r="E965" s="276"/>
      <c r="F965" s="277"/>
      <c r="G965" s="333">
        <f t="shared" si="1146"/>
        <v>0</v>
      </c>
      <c r="H965" s="278"/>
      <c r="I965" s="278"/>
      <c r="J965" s="351" t="str">
        <f t="shared" si="1150"/>
        <v>-</v>
      </c>
      <c r="K965" s="333">
        <f t="shared" si="1147"/>
        <v>0</v>
      </c>
      <c r="L965" s="272">
        <f t="shared" si="1148"/>
        <v>0</v>
      </c>
      <c r="M965" s="273">
        <f t="shared" si="1149"/>
        <v>0</v>
      </c>
      <c r="N965" s="337" t="str">
        <f t="shared" si="1141"/>
        <v>-</v>
      </c>
      <c r="O965" s="263" t="str">
        <f t="shared" si="1122"/>
        <v>-</v>
      </c>
    </row>
    <row r="966" spans="1:15" ht="24" x14ac:dyDescent="0.25">
      <c r="A966" s="274" t="s">
        <v>103</v>
      </c>
      <c r="B966" s="966"/>
      <c r="C966" s="295" t="s">
        <v>422</v>
      </c>
      <c r="D966" s="275" t="s">
        <v>238</v>
      </c>
      <c r="E966" s="276"/>
      <c r="F966" s="277"/>
      <c r="G966" s="333">
        <f t="shared" si="1146"/>
        <v>0</v>
      </c>
      <c r="H966" s="278"/>
      <c r="I966" s="278"/>
      <c r="J966" s="351" t="str">
        <f t="shared" si="1150"/>
        <v>-</v>
      </c>
      <c r="K966" s="333">
        <f t="shared" si="1147"/>
        <v>0</v>
      </c>
      <c r="L966" s="272">
        <f t="shared" si="1148"/>
        <v>0</v>
      </c>
      <c r="M966" s="273">
        <f t="shared" si="1149"/>
        <v>0</v>
      </c>
      <c r="N966" s="337" t="str">
        <f t="shared" si="1141"/>
        <v>-</v>
      </c>
      <c r="O966" s="263" t="str">
        <f t="shared" si="1122"/>
        <v>-</v>
      </c>
    </row>
    <row r="967" spans="1:15" ht="24" x14ac:dyDescent="0.25">
      <c r="A967" s="274" t="s">
        <v>103</v>
      </c>
      <c r="B967" s="966"/>
      <c r="C967" s="295" t="s">
        <v>241</v>
      </c>
      <c r="D967" s="275" t="s">
        <v>243</v>
      </c>
      <c r="E967" s="276"/>
      <c r="F967" s="277"/>
      <c r="G967" s="333">
        <f t="shared" si="1146"/>
        <v>0</v>
      </c>
      <c r="H967" s="278"/>
      <c r="I967" s="278"/>
      <c r="J967" s="351" t="str">
        <f t="shared" si="1150"/>
        <v>-</v>
      </c>
      <c r="K967" s="333">
        <f t="shared" si="1147"/>
        <v>0</v>
      </c>
      <c r="L967" s="272">
        <f t="shared" si="1148"/>
        <v>0</v>
      </c>
      <c r="M967" s="273">
        <f t="shared" si="1149"/>
        <v>0</v>
      </c>
      <c r="N967" s="337" t="str">
        <f t="shared" si="1141"/>
        <v>-</v>
      </c>
      <c r="O967" s="263" t="str">
        <f t="shared" si="1122"/>
        <v>-</v>
      </c>
    </row>
    <row r="968" spans="1:15" ht="24" x14ac:dyDescent="0.25">
      <c r="A968" s="274"/>
      <c r="B968" s="967"/>
      <c r="C968" s="295" t="s">
        <v>456</v>
      </c>
      <c r="D968" s="275" t="s">
        <v>238</v>
      </c>
      <c r="E968" s="280"/>
      <c r="F968" s="281"/>
      <c r="G968" s="333">
        <f t="shared" si="1146"/>
        <v>0</v>
      </c>
      <c r="H968" s="282"/>
      <c r="I968" s="282"/>
      <c r="J968" s="351" t="str">
        <f t="shared" si="1150"/>
        <v>-</v>
      </c>
      <c r="K968" s="333">
        <f t="shared" si="1147"/>
        <v>0</v>
      </c>
      <c r="L968" s="272">
        <f t="shared" si="1148"/>
        <v>0</v>
      </c>
      <c r="M968" s="273">
        <f t="shared" si="1149"/>
        <v>0</v>
      </c>
      <c r="N968" s="337" t="str">
        <f t="shared" si="1141"/>
        <v>-</v>
      </c>
      <c r="O968" s="263" t="str">
        <f t="shared" si="1122"/>
        <v>-</v>
      </c>
    </row>
    <row r="969" spans="1:15" ht="24.75" thickBot="1" x14ac:dyDescent="0.3">
      <c r="A969" s="274" t="s">
        <v>103</v>
      </c>
      <c r="B969" s="967"/>
      <c r="C969" s="295" t="s">
        <v>242</v>
      </c>
      <c r="D969" s="275" t="s">
        <v>238</v>
      </c>
      <c r="E969" s="280"/>
      <c r="F969" s="281"/>
      <c r="G969" s="334">
        <f t="shared" si="1146"/>
        <v>0</v>
      </c>
      <c r="H969" s="282"/>
      <c r="I969" s="282"/>
      <c r="J969" s="351" t="str">
        <f t="shared" si="1150"/>
        <v>-</v>
      </c>
      <c r="K969" s="334">
        <f t="shared" si="1147"/>
        <v>0</v>
      </c>
      <c r="L969" s="272">
        <f t="shared" si="1148"/>
        <v>0</v>
      </c>
      <c r="M969" s="273">
        <f t="shared" si="1149"/>
        <v>0</v>
      </c>
      <c r="N969" s="338" t="str">
        <f t="shared" ref="N969:N971" si="1151">IFERROR(K969/E969,"-")</f>
        <v>-</v>
      </c>
      <c r="O969" s="347" t="str">
        <f t="shared" ref="O969:O987" si="1152">IFERROR(M969/K969,"-")</f>
        <v>-</v>
      </c>
    </row>
    <row r="970" spans="1:15" ht="23.25" thickBot="1" x14ac:dyDescent="0.3">
      <c r="A970" s="274" t="s">
        <v>103</v>
      </c>
      <c r="B970" s="946" t="s">
        <v>49</v>
      </c>
      <c r="C970" s="947"/>
      <c r="D970" s="948"/>
      <c r="E970" s="284">
        <f>SUM(E961:E969)</f>
        <v>10000</v>
      </c>
      <c r="F970" s="285">
        <v>14000</v>
      </c>
      <c r="G970" s="320">
        <f>SUM(G961:G969)</f>
        <v>0</v>
      </c>
      <c r="H970" s="321">
        <f t="shared" ref="H970:I970" si="1153">SUM(H961:H969)</f>
        <v>0</v>
      </c>
      <c r="I970" s="321">
        <f t="shared" si="1153"/>
        <v>0</v>
      </c>
      <c r="J970" s="345">
        <f>+G971/F971</f>
        <v>0</v>
      </c>
      <c r="K970" s="320">
        <f>SUM(K961:K969)</f>
        <v>0</v>
      </c>
      <c r="L970" s="321">
        <f>+H970</f>
        <v>0</v>
      </c>
      <c r="M970" s="322">
        <f>+I970</f>
        <v>0</v>
      </c>
      <c r="N970" s="339">
        <f t="shared" si="1151"/>
        <v>0</v>
      </c>
      <c r="O970" s="345" t="str">
        <f t="shared" si="1152"/>
        <v>-</v>
      </c>
    </row>
    <row r="971" spans="1:15" ht="23.25" thickBot="1" x14ac:dyDescent="0.3">
      <c r="A971" s="274" t="s">
        <v>103</v>
      </c>
      <c r="B971" s="960" t="s">
        <v>25</v>
      </c>
      <c r="C971" s="961"/>
      <c r="D971" s="962"/>
      <c r="E971" s="326">
        <f t="shared" ref="E971:F971" si="1154">+E960+E970</f>
        <v>10000</v>
      </c>
      <c r="F971" s="327">
        <f t="shared" si="1154"/>
        <v>94000</v>
      </c>
      <c r="G971" s="326">
        <f>+G960+G970</f>
        <v>0</v>
      </c>
      <c r="H971" s="324">
        <f t="shared" ref="H971:I971" si="1155">+H960+H970</f>
        <v>0</v>
      </c>
      <c r="I971" s="324">
        <f t="shared" si="1155"/>
        <v>0</v>
      </c>
      <c r="J971" s="349" t="str">
        <f>IFERROR(G971/#REF!,"-")</f>
        <v>-</v>
      </c>
      <c r="K971" s="326">
        <f t="shared" ref="K971" si="1156">+K960+K970</f>
        <v>0</v>
      </c>
      <c r="L971" s="324">
        <f>+L960+L970</f>
        <v>0</v>
      </c>
      <c r="M971" s="325">
        <f t="shared" ref="M971" si="1157">+M960+M970</f>
        <v>0</v>
      </c>
      <c r="N971" s="341">
        <f t="shared" si="1151"/>
        <v>0</v>
      </c>
      <c r="O971" s="349" t="str">
        <f t="shared" si="1152"/>
        <v>-</v>
      </c>
    </row>
    <row r="972" spans="1:15" ht="23.25" thickBot="1" x14ac:dyDescent="0.3">
      <c r="A972" s="274" t="s">
        <v>103</v>
      </c>
      <c r="B972" s="963" t="s">
        <v>172</v>
      </c>
      <c r="C972" s="941"/>
      <c r="D972" s="942"/>
      <c r="E972" s="330">
        <f>+E955+E971</f>
        <v>3780000</v>
      </c>
      <c r="F972" s="331">
        <f t="shared" ref="F972:I972" si="1158">+F955+F971</f>
        <v>559000</v>
      </c>
      <c r="G972" s="330">
        <f t="shared" si="1158"/>
        <v>103150</v>
      </c>
      <c r="H972" s="328">
        <f t="shared" si="1158"/>
        <v>102576</v>
      </c>
      <c r="I972" s="328">
        <f t="shared" si="1158"/>
        <v>574</v>
      </c>
      <c r="J972" s="350">
        <f>+G972/F972</f>
        <v>0.18452593917710197</v>
      </c>
      <c r="K972" s="330">
        <f>+K955+K971</f>
        <v>1746280</v>
      </c>
      <c r="L972" s="328">
        <f t="shared" ref="L972:M972" si="1159">+L955+L971</f>
        <v>1739836</v>
      </c>
      <c r="M972" s="329">
        <f t="shared" si="1159"/>
        <v>6444</v>
      </c>
      <c r="N972" s="342">
        <f>IFERROR(K972/E972,"-")</f>
        <v>0.46197883597883599</v>
      </c>
      <c r="O972" s="350">
        <f t="shared" si="1152"/>
        <v>3.6901298760794376E-3</v>
      </c>
    </row>
    <row r="973" spans="1:15" ht="24" x14ac:dyDescent="0.25">
      <c r="A973" s="268" t="s">
        <v>101</v>
      </c>
      <c r="B973" s="956" t="s">
        <v>26</v>
      </c>
      <c r="C973" s="297" t="s">
        <v>297</v>
      </c>
      <c r="D973" s="297" t="s">
        <v>177</v>
      </c>
      <c r="E973" s="270"/>
      <c r="F973" s="271"/>
      <c r="G973" s="332">
        <f t="shared" ref="G973:G982" si="1160">+H973+I973</f>
        <v>0</v>
      </c>
      <c r="H973" s="272"/>
      <c r="I973" s="272"/>
      <c r="J973" s="351" t="str">
        <f>IFERROR(G973/F973,"-")</f>
        <v>-</v>
      </c>
      <c r="K973" s="332">
        <f t="shared" ref="K973:K982" si="1161">+L973+M973</f>
        <v>0</v>
      </c>
      <c r="L973" s="272">
        <f t="shared" ref="L973:L982" si="1162">+H973+L857</f>
        <v>0</v>
      </c>
      <c r="M973" s="273">
        <f t="shared" ref="M973:M982" si="1163">+I973+M857</f>
        <v>0</v>
      </c>
      <c r="N973" s="336" t="str">
        <f t="shared" ref="N973:N987" si="1164">IFERROR(K973/E973,"-")</f>
        <v>-</v>
      </c>
      <c r="O973" s="346" t="str">
        <f t="shared" si="1152"/>
        <v>-</v>
      </c>
    </row>
    <row r="974" spans="1:15" ht="24" x14ac:dyDescent="0.25">
      <c r="A974" s="274" t="s">
        <v>101</v>
      </c>
      <c r="B974" s="956"/>
      <c r="C974" s="298" t="s">
        <v>424</v>
      </c>
      <c r="D974" s="298" t="s">
        <v>423</v>
      </c>
      <c r="E974" s="276">
        <v>564432</v>
      </c>
      <c r="F974" s="277"/>
      <c r="G974" s="333">
        <f t="shared" si="1160"/>
        <v>0</v>
      </c>
      <c r="H974" s="278"/>
      <c r="I974" s="278"/>
      <c r="J974" s="351" t="str">
        <f t="shared" ref="J974:J982" si="1165">IFERROR(G974/F974,"-")</f>
        <v>-</v>
      </c>
      <c r="K974" s="333">
        <f t="shared" si="1161"/>
        <v>265434</v>
      </c>
      <c r="L974" s="272">
        <f t="shared" si="1162"/>
        <v>262548</v>
      </c>
      <c r="M974" s="273">
        <f t="shared" si="1163"/>
        <v>2886</v>
      </c>
      <c r="N974" s="337">
        <f t="shared" si="1164"/>
        <v>0.47026745471553705</v>
      </c>
      <c r="O974" s="263">
        <f t="shared" si="1152"/>
        <v>1.0872759330002939E-2</v>
      </c>
    </row>
    <row r="975" spans="1:15" ht="24" x14ac:dyDescent="0.25">
      <c r="A975" s="274" t="s">
        <v>101</v>
      </c>
      <c r="B975" s="956"/>
      <c r="C975" s="299" t="s">
        <v>27</v>
      </c>
      <c r="D975" s="299" t="s">
        <v>334</v>
      </c>
      <c r="E975" s="280">
        <v>1301232</v>
      </c>
      <c r="F975" s="281"/>
      <c r="G975" s="333">
        <f t="shared" si="1160"/>
        <v>0</v>
      </c>
      <c r="H975" s="282"/>
      <c r="I975" s="282"/>
      <c r="J975" s="351" t="str">
        <f t="shared" si="1165"/>
        <v>-</v>
      </c>
      <c r="K975" s="333">
        <f t="shared" si="1161"/>
        <v>29523</v>
      </c>
      <c r="L975" s="272">
        <f t="shared" si="1162"/>
        <v>27846</v>
      </c>
      <c r="M975" s="273">
        <f t="shared" si="1163"/>
        <v>1677</v>
      </c>
      <c r="N975" s="337">
        <f t="shared" si="1164"/>
        <v>2.2688498284702496E-2</v>
      </c>
      <c r="O975" s="263">
        <f t="shared" si="1152"/>
        <v>5.6803170409511231E-2</v>
      </c>
    </row>
    <row r="976" spans="1:15" ht="24" x14ac:dyDescent="0.25">
      <c r="A976" s="274" t="s">
        <v>101</v>
      </c>
      <c r="B976" s="956"/>
      <c r="C976" s="299" t="s">
        <v>27</v>
      </c>
      <c r="D976" s="297" t="s">
        <v>492</v>
      </c>
      <c r="E976" s="280"/>
      <c r="F976" s="281"/>
      <c r="G976" s="333">
        <f t="shared" si="1160"/>
        <v>0</v>
      </c>
      <c r="H976" s="282"/>
      <c r="I976" s="282"/>
      <c r="J976" s="351" t="str">
        <f t="shared" si="1165"/>
        <v>-</v>
      </c>
      <c r="K976" s="333">
        <f t="shared" si="1161"/>
        <v>274869</v>
      </c>
      <c r="L976" s="272">
        <f t="shared" si="1162"/>
        <v>270504</v>
      </c>
      <c r="M976" s="273">
        <f t="shared" si="1163"/>
        <v>4365</v>
      </c>
      <c r="N976" s="337" t="str">
        <f t="shared" si="1164"/>
        <v>-</v>
      </c>
      <c r="O976" s="263">
        <f t="shared" si="1152"/>
        <v>1.588029206640254E-2</v>
      </c>
    </row>
    <row r="977" spans="1:15" ht="24" x14ac:dyDescent="0.25">
      <c r="A977" s="274" t="s">
        <v>101</v>
      </c>
      <c r="B977" s="956"/>
      <c r="C977" s="297" t="s">
        <v>521</v>
      </c>
      <c r="D977" s="299" t="s">
        <v>234</v>
      </c>
      <c r="E977" s="280"/>
      <c r="F977" s="281"/>
      <c r="G977" s="333">
        <f t="shared" si="1160"/>
        <v>0</v>
      </c>
      <c r="H977" s="282"/>
      <c r="I977" s="282"/>
      <c r="J977" s="351" t="str">
        <f t="shared" si="1165"/>
        <v>-</v>
      </c>
      <c r="K977" s="333">
        <f t="shared" si="1161"/>
        <v>57116</v>
      </c>
      <c r="L977" s="272">
        <f t="shared" si="1162"/>
        <v>55692</v>
      </c>
      <c r="M977" s="273">
        <f t="shared" si="1163"/>
        <v>1424</v>
      </c>
      <c r="N977" s="337" t="str">
        <f t="shared" si="1164"/>
        <v>-</v>
      </c>
      <c r="O977" s="263">
        <f t="shared" si="1152"/>
        <v>2.4931717907416485E-2</v>
      </c>
    </row>
    <row r="978" spans="1:15" ht="22.5" customHeight="1" x14ac:dyDescent="0.25">
      <c r="A978" s="274"/>
      <c r="B978" s="956"/>
      <c r="C978" s="299" t="s">
        <v>432</v>
      </c>
      <c r="D978" s="299" t="s">
        <v>178</v>
      </c>
      <c r="E978" s="280"/>
      <c r="F978" s="281"/>
      <c r="G978" s="334">
        <f t="shared" si="1160"/>
        <v>0</v>
      </c>
      <c r="H978" s="282"/>
      <c r="I978" s="282"/>
      <c r="J978" s="351" t="str">
        <f t="shared" si="1165"/>
        <v>-</v>
      </c>
      <c r="K978" s="334">
        <f t="shared" si="1161"/>
        <v>0</v>
      </c>
      <c r="L978" s="272">
        <f t="shared" si="1162"/>
        <v>0</v>
      </c>
      <c r="M978" s="273">
        <f t="shared" si="1163"/>
        <v>0</v>
      </c>
      <c r="N978" s="337" t="str">
        <f t="shared" si="1164"/>
        <v>-</v>
      </c>
      <c r="O978" s="263" t="str">
        <f t="shared" si="1152"/>
        <v>-</v>
      </c>
    </row>
    <row r="979" spans="1:15" ht="24" x14ac:dyDescent="0.25">
      <c r="A979" s="274"/>
      <c r="B979" s="956"/>
      <c r="C979" s="299" t="s">
        <v>333</v>
      </c>
      <c r="D979" s="299" t="s">
        <v>94</v>
      </c>
      <c r="E979" s="280"/>
      <c r="F979" s="281"/>
      <c r="G979" s="334">
        <f t="shared" si="1160"/>
        <v>0</v>
      </c>
      <c r="H979" s="282"/>
      <c r="I979" s="282"/>
      <c r="J979" s="351" t="str">
        <f t="shared" si="1165"/>
        <v>-</v>
      </c>
      <c r="K979" s="334">
        <f t="shared" si="1161"/>
        <v>0</v>
      </c>
      <c r="L979" s="272">
        <f t="shared" si="1162"/>
        <v>0</v>
      </c>
      <c r="M979" s="273">
        <f t="shared" si="1163"/>
        <v>0</v>
      </c>
      <c r="N979" s="337" t="str">
        <f t="shared" si="1164"/>
        <v>-</v>
      </c>
      <c r="O979" s="263" t="str">
        <f t="shared" si="1152"/>
        <v>-</v>
      </c>
    </row>
    <row r="980" spans="1:15" ht="24" x14ac:dyDescent="0.25">
      <c r="A980" s="274"/>
      <c r="B980" s="956"/>
      <c r="C980" s="299" t="s">
        <v>433</v>
      </c>
      <c r="D980" s="299" t="s">
        <v>540</v>
      </c>
      <c r="E980" s="280"/>
      <c r="F980" s="281"/>
      <c r="G980" s="334">
        <f t="shared" si="1160"/>
        <v>92538</v>
      </c>
      <c r="H980" s="282">
        <v>91494</v>
      </c>
      <c r="I980" s="282">
        <v>1044</v>
      </c>
      <c r="J980" s="351" t="str">
        <f t="shared" si="1165"/>
        <v>-</v>
      </c>
      <c r="K980" s="334">
        <f t="shared" si="1161"/>
        <v>92538</v>
      </c>
      <c r="L980" s="272">
        <f t="shared" si="1162"/>
        <v>91494</v>
      </c>
      <c r="M980" s="272">
        <f t="shared" si="1163"/>
        <v>1044</v>
      </c>
      <c r="N980" s="337" t="str">
        <f t="shared" si="1164"/>
        <v>-</v>
      </c>
      <c r="O980" s="263">
        <f t="shared" si="1152"/>
        <v>1.1281851779809376E-2</v>
      </c>
    </row>
    <row r="981" spans="1:15" ht="24" x14ac:dyDescent="0.25">
      <c r="A981" s="274"/>
      <c r="B981" s="956"/>
      <c r="C981" s="299" t="s">
        <v>382</v>
      </c>
      <c r="D981" s="299" t="s">
        <v>366</v>
      </c>
      <c r="E981" s="280"/>
      <c r="F981" s="281"/>
      <c r="G981" s="334">
        <f t="shared" si="1160"/>
        <v>0</v>
      </c>
      <c r="H981" s="282"/>
      <c r="I981" s="282"/>
      <c r="J981" s="351" t="str">
        <f t="shared" si="1165"/>
        <v>-</v>
      </c>
      <c r="K981" s="334">
        <f t="shared" si="1161"/>
        <v>0</v>
      </c>
      <c r="L981" s="272">
        <f t="shared" si="1162"/>
        <v>0</v>
      </c>
      <c r="M981" s="273">
        <f t="shared" si="1163"/>
        <v>0</v>
      </c>
      <c r="N981" s="337" t="str">
        <f t="shared" si="1164"/>
        <v>-</v>
      </c>
      <c r="O981" s="263" t="str">
        <f t="shared" si="1152"/>
        <v>-</v>
      </c>
    </row>
    <row r="982" spans="1:15" ht="24.75" thickBot="1" x14ac:dyDescent="0.3">
      <c r="A982" s="274" t="s">
        <v>101</v>
      </c>
      <c r="B982" s="956"/>
      <c r="C982" s="300" t="s">
        <v>290</v>
      </c>
      <c r="D982" s="299" t="s">
        <v>289</v>
      </c>
      <c r="E982" s="280"/>
      <c r="F982" s="281"/>
      <c r="G982" s="334">
        <f t="shared" si="1160"/>
        <v>0</v>
      </c>
      <c r="H982" s="282"/>
      <c r="I982" s="282"/>
      <c r="J982" s="351" t="str">
        <f t="shared" si="1165"/>
        <v>-</v>
      </c>
      <c r="K982" s="334">
        <f t="shared" si="1161"/>
        <v>0</v>
      </c>
      <c r="L982" s="272">
        <f t="shared" si="1162"/>
        <v>0</v>
      </c>
      <c r="M982" s="273">
        <f t="shared" si="1163"/>
        <v>0</v>
      </c>
      <c r="N982" s="337" t="str">
        <f t="shared" si="1164"/>
        <v>-</v>
      </c>
      <c r="O982" s="347" t="str">
        <f t="shared" si="1152"/>
        <v>-</v>
      </c>
    </row>
    <row r="983" spans="1:15" ht="23.25" thickBot="1" x14ac:dyDescent="0.3">
      <c r="A983" s="274" t="s">
        <v>101</v>
      </c>
      <c r="B983" s="969"/>
      <c r="C983" s="301"/>
      <c r="D983" s="302" t="s">
        <v>52</v>
      </c>
      <c r="E983" s="284">
        <f>SUM(E973:E982)</f>
        <v>1865664</v>
      </c>
      <c r="F983" s="285">
        <v>80000</v>
      </c>
      <c r="G983" s="320">
        <f>SUM(G973:G982)</f>
        <v>92538</v>
      </c>
      <c r="H983" s="321">
        <f>SUM(H973:H982)</f>
        <v>91494</v>
      </c>
      <c r="I983" s="321">
        <f>SUM(I973:I982)</f>
        <v>1044</v>
      </c>
      <c r="J983" s="345">
        <f>+G983/F983</f>
        <v>1.156725</v>
      </c>
      <c r="K983" s="320">
        <f>SUM(K973:K982)</f>
        <v>719480</v>
      </c>
      <c r="L983" s="321">
        <f>SUM(L973:L982)</f>
        <v>708084</v>
      </c>
      <c r="M983" s="322">
        <f>SUM(M973:M982)</f>
        <v>11396</v>
      </c>
      <c r="N983" s="339">
        <f t="shared" si="1164"/>
        <v>0.38564285959315292</v>
      </c>
      <c r="O983" s="345">
        <f t="shared" si="1152"/>
        <v>1.58392172124312E-2</v>
      </c>
    </row>
    <row r="984" spans="1:15" ht="24" x14ac:dyDescent="0.25">
      <c r="A984" s="274" t="s">
        <v>101</v>
      </c>
      <c r="B984" s="955" t="s">
        <v>28</v>
      </c>
      <c r="C984" s="299" t="s">
        <v>27</v>
      </c>
      <c r="D984" s="297" t="s">
        <v>492</v>
      </c>
      <c r="E984" s="270"/>
      <c r="F984" s="271"/>
      <c r="G984" s="332">
        <f t="shared" ref="G984:G988" si="1166">+H984+I984</f>
        <v>0</v>
      </c>
      <c r="H984" s="272"/>
      <c r="I984" s="272"/>
      <c r="J984" s="351" t="str">
        <f>IFERROR(G984/F984,"-")</f>
        <v>-</v>
      </c>
      <c r="K984" s="332">
        <f t="shared" ref="K984:K990" si="1167">+L984+M984</f>
        <v>170343</v>
      </c>
      <c r="L984" s="272">
        <f t="shared" ref="L984:M990" si="1168">+H984+L868</f>
        <v>167076</v>
      </c>
      <c r="M984" s="273">
        <f t="shared" si="1168"/>
        <v>3267</v>
      </c>
      <c r="N984" s="336" t="str">
        <f t="shared" si="1164"/>
        <v>-</v>
      </c>
      <c r="O984" s="346">
        <f t="shared" si="1152"/>
        <v>1.9178950705341577E-2</v>
      </c>
    </row>
    <row r="985" spans="1:15" ht="24" x14ac:dyDescent="0.25">
      <c r="A985" s="274" t="s">
        <v>101</v>
      </c>
      <c r="B985" s="956"/>
      <c r="C985" s="299" t="s">
        <v>385</v>
      </c>
      <c r="D985" s="299" t="s">
        <v>334</v>
      </c>
      <c r="E985" s="276"/>
      <c r="F985" s="277"/>
      <c r="G985" s="333">
        <f t="shared" si="1166"/>
        <v>0</v>
      </c>
      <c r="H985" s="278"/>
      <c r="I985" s="278"/>
      <c r="J985" s="351" t="str">
        <f t="shared" ref="J985:J990" si="1169">IFERROR(G985/F985,"-")</f>
        <v>-</v>
      </c>
      <c r="K985" s="333">
        <f t="shared" si="1167"/>
        <v>96975</v>
      </c>
      <c r="L985" s="272">
        <f t="shared" si="1168"/>
        <v>95472</v>
      </c>
      <c r="M985" s="273">
        <f t="shared" si="1168"/>
        <v>1503</v>
      </c>
      <c r="N985" s="337" t="str">
        <f t="shared" si="1164"/>
        <v>-</v>
      </c>
      <c r="O985" s="263">
        <f t="shared" si="1152"/>
        <v>1.5498839907192575E-2</v>
      </c>
    </row>
    <row r="986" spans="1:15" ht="24" x14ac:dyDescent="0.25">
      <c r="A986" s="274" t="s">
        <v>101</v>
      </c>
      <c r="B986" s="956"/>
      <c r="C986" s="299" t="s">
        <v>27</v>
      </c>
      <c r="D986" s="299" t="s">
        <v>334</v>
      </c>
      <c r="E986" s="276"/>
      <c r="F986" s="277"/>
      <c r="G986" s="333">
        <f t="shared" si="1166"/>
        <v>0</v>
      </c>
      <c r="H986" s="278"/>
      <c r="I986" s="278"/>
      <c r="J986" s="351" t="str">
        <f t="shared" si="1169"/>
        <v>-</v>
      </c>
      <c r="K986" s="333">
        <f t="shared" si="1167"/>
        <v>0</v>
      </c>
      <c r="L986" s="272">
        <f t="shared" si="1168"/>
        <v>0</v>
      </c>
      <c r="M986" s="273">
        <f t="shared" si="1168"/>
        <v>0</v>
      </c>
      <c r="N986" s="337" t="str">
        <f t="shared" si="1164"/>
        <v>-</v>
      </c>
      <c r="O986" s="263" t="str">
        <f t="shared" si="1152"/>
        <v>-</v>
      </c>
    </row>
    <row r="987" spans="1:15" ht="24" x14ac:dyDescent="0.25">
      <c r="A987" s="274"/>
      <c r="B987" s="956"/>
      <c r="C987" s="299" t="s">
        <v>460</v>
      </c>
      <c r="D987" s="299" t="s">
        <v>334</v>
      </c>
      <c r="E987" s="280"/>
      <c r="F987" s="281"/>
      <c r="G987" s="333">
        <f t="shared" si="1166"/>
        <v>0</v>
      </c>
      <c r="H987" s="282"/>
      <c r="I987" s="282"/>
      <c r="J987" s="351" t="str">
        <f t="shared" si="1169"/>
        <v>-</v>
      </c>
      <c r="K987" s="333">
        <f t="shared" si="1167"/>
        <v>4348</v>
      </c>
      <c r="L987" s="272">
        <f t="shared" si="1168"/>
        <v>3978</v>
      </c>
      <c r="M987" s="273">
        <f t="shared" si="1168"/>
        <v>370</v>
      </c>
      <c r="N987" s="337" t="str">
        <f t="shared" si="1164"/>
        <v>-</v>
      </c>
      <c r="O987" s="263">
        <f t="shared" si="1152"/>
        <v>8.5096596136154556E-2</v>
      </c>
    </row>
    <row r="988" spans="1:15" ht="24" x14ac:dyDescent="0.25">
      <c r="A988" s="274" t="s">
        <v>101</v>
      </c>
      <c r="B988" s="956"/>
      <c r="C988" s="299" t="s">
        <v>433</v>
      </c>
      <c r="D988" s="299" t="s">
        <v>540</v>
      </c>
      <c r="E988" s="280"/>
      <c r="F988" s="281"/>
      <c r="G988" s="334">
        <f t="shared" si="1166"/>
        <v>72049</v>
      </c>
      <c r="H988" s="282">
        <v>71604</v>
      </c>
      <c r="I988" s="282">
        <v>445</v>
      </c>
      <c r="J988" s="351" t="str">
        <f t="shared" si="1169"/>
        <v>-</v>
      </c>
      <c r="K988" s="334">
        <f t="shared" si="1167"/>
        <v>72049</v>
      </c>
      <c r="L988" s="272">
        <f t="shared" si="1168"/>
        <v>71604</v>
      </c>
      <c r="M988" s="702">
        <f t="shared" si="1168"/>
        <v>445</v>
      </c>
      <c r="N988" s="338" t="str">
        <f t="shared" ref="N988:N989" si="1170">IFERROR(K988/E988,"-")</f>
        <v>-</v>
      </c>
      <c r="O988" s="347">
        <f t="shared" ref="O988:O989" si="1171">IFERROR(M988/K988,"-")</f>
        <v>6.1763522047495458E-3</v>
      </c>
    </row>
    <row r="989" spans="1:15" ht="24" x14ac:dyDescent="0.25">
      <c r="A989" s="274"/>
      <c r="B989" s="956"/>
      <c r="C989" s="299" t="s">
        <v>458</v>
      </c>
      <c r="D989" s="300" t="s">
        <v>280</v>
      </c>
      <c r="E989" s="280"/>
      <c r="F989" s="281"/>
      <c r="G989" s="334"/>
      <c r="H989" s="282"/>
      <c r="I989" s="282"/>
      <c r="J989" s="351" t="str">
        <f t="shared" si="1169"/>
        <v>-</v>
      </c>
      <c r="K989" s="334">
        <f t="shared" si="1167"/>
        <v>0</v>
      </c>
      <c r="L989" s="272">
        <f t="shared" si="1168"/>
        <v>0</v>
      </c>
      <c r="M989" s="272">
        <f t="shared" si="1168"/>
        <v>0</v>
      </c>
      <c r="N989" s="338" t="str">
        <f t="shared" si="1170"/>
        <v>-</v>
      </c>
      <c r="O989" s="347" t="str">
        <f t="shared" si="1171"/>
        <v>-</v>
      </c>
    </row>
    <row r="990" spans="1:15" ht="24.75" thickBot="1" x14ac:dyDescent="0.3">
      <c r="A990" s="274" t="s">
        <v>101</v>
      </c>
      <c r="B990" s="956"/>
      <c r="C990" s="299" t="s">
        <v>27</v>
      </c>
      <c r="D990" s="300" t="s">
        <v>234</v>
      </c>
      <c r="E990" s="280"/>
      <c r="F990" s="281"/>
      <c r="G990" s="334">
        <f t="shared" ref="G990" si="1172">+H990+I990</f>
        <v>0</v>
      </c>
      <c r="H990" s="282"/>
      <c r="I990" s="282"/>
      <c r="J990" s="351" t="str">
        <f t="shared" si="1169"/>
        <v>-</v>
      </c>
      <c r="K990" s="334">
        <f t="shared" si="1167"/>
        <v>0</v>
      </c>
      <c r="L990" s="272">
        <f t="shared" si="1168"/>
        <v>0</v>
      </c>
      <c r="M990" s="702">
        <f t="shared" si="1168"/>
        <v>0</v>
      </c>
      <c r="N990" s="338" t="str">
        <f t="shared" ref="N990:N991" si="1173">IFERROR(K990/E990,"-")</f>
        <v>-</v>
      </c>
      <c r="O990" s="347" t="str">
        <f t="shared" ref="O990:O1006" si="1174">IFERROR(M990/K990,"-")</f>
        <v>-</v>
      </c>
    </row>
    <row r="991" spans="1:15" ht="23.25" thickBot="1" x14ac:dyDescent="0.3">
      <c r="A991" s="274" t="s">
        <v>101</v>
      </c>
      <c r="B991" s="956"/>
      <c r="C991" s="304"/>
      <c r="D991" s="305" t="s">
        <v>52</v>
      </c>
      <c r="E991" s="306">
        <f>SUM(E984:E990)</f>
        <v>0</v>
      </c>
      <c r="F991" s="307">
        <v>160000</v>
      </c>
      <c r="G991" s="366">
        <f>SUM(G984:G990)</f>
        <v>72049</v>
      </c>
      <c r="H991" s="365">
        <f>SUM(H984:H990)</f>
        <v>71604</v>
      </c>
      <c r="I991" s="365">
        <f>SUM(I984:I990)</f>
        <v>445</v>
      </c>
      <c r="J991" s="356">
        <f>+G991/F991</f>
        <v>0.45030625000000002</v>
      </c>
      <c r="K991" s="366">
        <f>SUM(K984:K990)</f>
        <v>343715</v>
      </c>
      <c r="L991" s="365">
        <f>SUM(L984:L990)</f>
        <v>338130</v>
      </c>
      <c r="M991" s="367">
        <f>SUM(M984:M990)</f>
        <v>5585</v>
      </c>
      <c r="N991" s="355" t="str">
        <f t="shared" si="1173"/>
        <v>-</v>
      </c>
      <c r="O991" s="356">
        <f t="shared" si="1174"/>
        <v>1.6248927163493011E-2</v>
      </c>
    </row>
    <row r="992" spans="1:15" ht="23.25" thickBot="1" x14ac:dyDescent="0.3">
      <c r="A992" s="868" t="s">
        <v>101</v>
      </c>
      <c r="B992" s="957" t="s">
        <v>162</v>
      </c>
      <c r="C992" s="958"/>
      <c r="D992" s="959"/>
      <c r="E992" s="308">
        <f>+E991+E983</f>
        <v>1865664</v>
      </c>
      <c r="F992" s="309">
        <v>240000</v>
      </c>
      <c r="G992" s="369">
        <f>+G983+G991</f>
        <v>164587</v>
      </c>
      <c r="H992" s="368">
        <f>+H983+H991</f>
        <v>163098</v>
      </c>
      <c r="I992" s="368">
        <f>+I983+I991</f>
        <v>1489</v>
      </c>
      <c r="J992" s="358">
        <f>+G992/F992</f>
        <v>0.68577916666666672</v>
      </c>
      <c r="K992" s="369">
        <f>+K983+K991</f>
        <v>1063195</v>
      </c>
      <c r="L992" s="368">
        <f>+L983+L991</f>
        <v>1046214</v>
      </c>
      <c r="M992" s="370">
        <f>+M983+M991</f>
        <v>16981</v>
      </c>
      <c r="N992" s="357">
        <f>IFERROR(K992/E992,"-")</f>
        <v>0.5698748542074028</v>
      </c>
      <c r="O992" s="358">
        <f t="shared" si="1174"/>
        <v>1.5971670295665423E-2</v>
      </c>
    </row>
    <row r="993" spans="1:15" ht="24" x14ac:dyDescent="0.25">
      <c r="A993" s="274" t="s">
        <v>101</v>
      </c>
      <c r="B993" s="956" t="s">
        <v>30</v>
      </c>
      <c r="C993" s="303" t="s">
        <v>446</v>
      </c>
      <c r="D993" s="299" t="s">
        <v>334</v>
      </c>
      <c r="E993" s="270">
        <v>225000</v>
      </c>
      <c r="F993" s="271"/>
      <c r="G993" s="332">
        <f t="shared" ref="G993:G995" si="1175">+H993+I993</f>
        <v>0</v>
      </c>
      <c r="H993" s="272"/>
      <c r="I993" s="272"/>
      <c r="J993" s="351" t="str">
        <f>IFERROR(G993/F993,"-")</f>
        <v>-</v>
      </c>
      <c r="K993" s="332">
        <f t="shared" ref="K993:K995" si="1176">+L993+M993</f>
        <v>0</v>
      </c>
      <c r="L993" s="272">
        <f t="shared" ref="L993:M995" si="1177">+H993+L877</f>
        <v>0</v>
      </c>
      <c r="M993" s="273">
        <f t="shared" si="1177"/>
        <v>0</v>
      </c>
      <c r="N993" s="336">
        <f t="shared" ref="N993:N1006" si="1178">IFERROR(K993/E993,"-")</f>
        <v>0</v>
      </c>
      <c r="O993" s="346" t="str">
        <f t="shared" si="1174"/>
        <v>-</v>
      </c>
    </row>
    <row r="994" spans="1:15" ht="24" x14ac:dyDescent="0.25">
      <c r="A994" s="274" t="s">
        <v>101</v>
      </c>
      <c r="B994" s="956"/>
      <c r="C994" s="300" t="s">
        <v>429</v>
      </c>
      <c r="D994" s="303" t="s">
        <v>366</v>
      </c>
      <c r="E994" s="276"/>
      <c r="F994" s="277"/>
      <c r="G994" s="333">
        <f t="shared" si="1175"/>
        <v>0</v>
      </c>
      <c r="H994" s="278"/>
      <c r="I994" s="278"/>
      <c r="J994" s="351" t="str">
        <f t="shared" ref="J994:J995" si="1179">IFERROR(G994/F994,"-")</f>
        <v>-</v>
      </c>
      <c r="K994" s="333">
        <f t="shared" si="1176"/>
        <v>0</v>
      </c>
      <c r="L994" s="272">
        <f t="shared" si="1177"/>
        <v>0</v>
      </c>
      <c r="M994" s="273">
        <f t="shared" si="1177"/>
        <v>0</v>
      </c>
      <c r="N994" s="337" t="str">
        <f t="shared" si="1178"/>
        <v>-</v>
      </c>
      <c r="O994" s="263" t="str">
        <f t="shared" si="1174"/>
        <v>-</v>
      </c>
    </row>
    <row r="995" spans="1:15" ht="24.75" thickBot="1" x14ac:dyDescent="0.3">
      <c r="A995" s="274" t="s">
        <v>101</v>
      </c>
      <c r="B995" s="956"/>
      <c r="C995" s="300" t="s">
        <v>291</v>
      </c>
      <c r="D995" s="300" t="s">
        <v>366</v>
      </c>
      <c r="E995" s="280"/>
      <c r="F995" s="281"/>
      <c r="G995" s="334">
        <f t="shared" si="1175"/>
        <v>0</v>
      </c>
      <c r="H995" s="282"/>
      <c r="I995" s="282"/>
      <c r="J995" s="351" t="str">
        <f t="shared" si="1179"/>
        <v>-</v>
      </c>
      <c r="K995" s="334">
        <f t="shared" si="1176"/>
        <v>0</v>
      </c>
      <c r="L995" s="272">
        <f t="shared" si="1177"/>
        <v>0</v>
      </c>
      <c r="M995" s="273">
        <f t="shared" si="1177"/>
        <v>0</v>
      </c>
      <c r="N995" s="338" t="str">
        <f t="shared" si="1178"/>
        <v>-</v>
      </c>
      <c r="O995" s="347" t="str">
        <f t="shared" si="1174"/>
        <v>-</v>
      </c>
    </row>
    <row r="996" spans="1:15" ht="23.25" thickBot="1" x14ac:dyDescent="0.3">
      <c r="A996" s="274" t="s">
        <v>101</v>
      </c>
      <c r="B996" s="956"/>
      <c r="C996" s="301"/>
      <c r="D996" s="302" t="s">
        <v>50</v>
      </c>
      <c r="E996" s="284">
        <f>SUM(E993:E995)</f>
        <v>225000</v>
      </c>
      <c r="F996" s="285">
        <v>50000</v>
      </c>
      <c r="G996" s="320">
        <f>SUM(G993:G995)</f>
        <v>0</v>
      </c>
      <c r="H996" s="321">
        <f>SUM(H993:H995)</f>
        <v>0</v>
      </c>
      <c r="I996" s="321">
        <f>SUM(I993:I995)</f>
        <v>0</v>
      </c>
      <c r="J996" s="345">
        <f>+G996/F996</f>
        <v>0</v>
      </c>
      <c r="K996" s="320">
        <f>SUM(K993:K995)</f>
        <v>0</v>
      </c>
      <c r="L996" s="321">
        <f>SUM(L993:L995)</f>
        <v>0</v>
      </c>
      <c r="M996" s="322">
        <f>SUM(M993:M995)</f>
        <v>0</v>
      </c>
      <c r="N996" s="339">
        <f t="shared" si="1178"/>
        <v>0</v>
      </c>
      <c r="O996" s="345" t="str">
        <f t="shared" si="1174"/>
        <v>-</v>
      </c>
    </row>
    <row r="997" spans="1:15" ht="24" x14ac:dyDescent="0.25">
      <c r="A997" s="274" t="s">
        <v>101</v>
      </c>
      <c r="B997" s="956"/>
      <c r="C997" s="297" t="s">
        <v>434</v>
      </c>
      <c r="D997" s="297" t="s">
        <v>92</v>
      </c>
      <c r="E997" s="270"/>
      <c r="F997" s="271"/>
      <c r="G997" s="332">
        <f t="shared" ref="G997:G998" si="1180">+H997+I997</f>
        <v>0</v>
      </c>
      <c r="H997" s="272"/>
      <c r="I997" s="272"/>
      <c r="J997" s="351" t="str">
        <f>IFERROR(G997/F997,"-")</f>
        <v>-</v>
      </c>
      <c r="K997" s="332">
        <f t="shared" ref="K997:K1002" si="1181">+L997+M997</f>
        <v>0</v>
      </c>
      <c r="L997" s="272">
        <f t="shared" ref="L997:M1002" si="1182">+H997+L881</f>
        <v>0</v>
      </c>
      <c r="M997" s="273">
        <f t="shared" si="1182"/>
        <v>0</v>
      </c>
      <c r="N997" s="336" t="str">
        <f t="shared" si="1178"/>
        <v>-</v>
      </c>
      <c r="O997" s="346" t="str">
        <f t="shared" si="1174"/>
        <v>-</v>
      </c>
    </row>
    <row r="998" spans="1:15" ht="24" x14ac:dyDescent="0.25">
      <c r="A998" s="274"/>
      <c r="B998" s="956"/>
      <c r="C998" s="303" t="s">
        <v>449</v>
      </c>
      <c r="D998" s="299" t="s">
        <v>334</v>
      </c>
      <c r="E998" s="270"/>
      <c r="F998" s="271"/>
      <c r="G998" s="332">
        <f t="shared" si="1180"/>
        <v>0</v>
      </c>
      <c r="H998" s="272"/>
      <c r="I998" s="272"/>
      <c r="J998" s="351" t="str">
        <f t="shared" ref="J998:J1002" si="1183">IFERROR(G998/F998,"-")</f>
        <v>-</v>
      </c>
      <c r="K998" s="332">
        <f t="shared" si="1181"/>
        <v>0</v>
      </c>
      <c r="L998" s="272">
        <f t="shared" si="1182"/>
        <v>0</v>
      </c>
      <c r="M998" s="273">
        <f t="shared" si="1182"/>
        <v>0</v>
      </c>
      <c r="N998" s="337" t="str">
        <f t="shared" si="1178"/>
        <v>-</v>
      </c>
      <c r="O998" s="346" t="str">
        <f t="shared" si="1174"/>
        <v>-</v>
      </c>
    </row>
    <row r="999" spans="1:15" ht="24" x14ac:dyDescent="0.25">
      <c r="A999" s="274"/>
      <c r="B999" s="956"/>
      <c r="C999" s="303" t="s">
        <v>452</v>
      </c>
      <c r="D999" s="299" t="s">
        <v>334</v>
      </c>
      <c r="E999" s="270"/>
      <c r="F999" s="271"/>
      <c r="G999" s="332"/>
      <c r="H999" s="272"/>
      <c r="I999" s="272"/>
      <c r="J999" s="351" t="str">
        <f t="shared" si="1183"/>
        <v>-</v>
      </c>
      <c r="K999" s="332">
        <f t="shared" si="1181"/>
        <v>0</v>
      </c>
      <c r="L999" s="272">
        <f t="shared" si="1182"/>
        <v>0</v>
      </c>
      <c r="M999" s="273">
        <f t="shared" si="1182"/>
        <v>0</v>
      </c>
      <c r="N999" s="337" t="str">
        <f t="shared" si="1178"/>
        <v>-</v>
      </c>
      <c r="O999" s="346" t="str">
        <f t="shared" si="1174"/>
        <v>-</v>
      </c>
    </row>
    <row r="1000" spans="1:15" ht="24" x14ac:dyDescent="0.25">
      <c r="A1000" s="274" t="s">
        <v>101</v>
      </c>
      <c r="B1000" s="956"/>
      <c r="C1000" s="303" t="s">
        <v>501</v>
      </c>
      <c r="D1000" s="300" t="s">
        <v>423</v>
      </c>
      <c r="E1000" s="276">
        <v>125000</v>
      </c>
      <c r="F1000" s="277"/>
      <c r="G1000" s="333">
        <f t="shared" ref="G1000" si="1184">+H1000+I1000</f>
        <v>0</v>
      </c>
      <c r="H1000" s="278"/>
      <c r="I1000" s="278"/>
      <c r="J1000" s="351" t="str">
        <f t="shared" si="1183"/>
        <v>-</v>
      </c>
      <c r="K1000" s="333">
        <f t="shared" si="1181"/>
        <v>8116</v>
      </c>
      <c r="L1000" s="272">
        <f t="shared" si="1182"/>
        <v>7488</v>
      </c>
      <c r="M1000" s="273">
        <f t="shared" si="1182"/>
        <v>628</v>
      </c>
      <c r="N1000" s="337">
        <f t="shared" si="1178"/>
        <v>6.4928E-2</v>
      </c>
      <c r="O1000" s="263">
        <f t="shared" si="1174"/>
        <v>7.737801872843765E-2</v>
      </c>
    </row>
    <row r="1001" spans="1:15" ht="24" x14ac:dyDescent="0.25">
      <c r="A1001" s="274"/>
      <c r="B1001" s="956"/>
      <c r="C1001" s="300" t="s">
        <v>459</v>
      </c>
      <c r="D1001" s="300" t="s">
        <v>366</v>
      </c>
      <c r="E1001" s="280"/>
      <c r="F1001" s="281"/>
      <c r="G1001" s="334"/>
      <c r="H1001" s="282"/>
      <c r="I1001" s="282"/>
      <c r="J1001" s="351" t="str">
        <f t="shared" si="1183"/>
        <v>-</v>
      </c>
      <c r="K1001" s="333">
        <f t="shared" si="1181"/>
        <v>0</v>
      </c>
      <c r="L1001" s="272">
        <f t="shared" si="1182"/>
        <v>0</v>
      </c>
      <c r="M1001" s="272">
        <f t="shared" si="1182"/>
        <v>0</v>
      </c>
      <c r="N1001" s="337" t="str">
        <f t="shared" si="1178"/>
        <v>-</v>
      </c>
      <c r="O1001" s="263" t="str">
        <f t="shared" si="1174"/>
        <v>-</v>
      </c>
    </row>
    <row r="1002" spans="1:15" ht="24.75" thickBot="1" x14ac:dyDescent="0.3">
      <c r="A1002" s="274" t="s">
        <v>101</v>
      </c>
      <c r="B1002" s="956"/>
      <c r="C1002" s="300" t="s">
        <v>435</v>
      </c>
      <c r="D1002" s="300" t="s">
        <v>423</v>
      </c>
      <c r="E1002" s="280"/>
      <c r="F1002" s="281"/>
      <c r="G1002" s="334">
        <f t="shared" ref="G1002" si="1185">+H1002+I1002</f>
        <v>0</v>
      </c>
      <c r="H1002" s="282"/>
      <c r="I1002" s="282"/>
      <c r="J1002" s="351" t="str">
        <f t="shared" si="1183"/>
        <v>-</v>
      </c>
      <c r="K1002" s="334">
        <f t="shared" si="1181"/>
        <v>0</v>
      </c>
      <c r="L1002" s="272">
        <f t="shared" si="1182"/>
        <v>0</v>
      </c>
      <c r="M1002" s="273">
        <f t="shared" si="1182"/>
        <v>0</v>
      </c>
      <c r="N1002" s="338" t="str">
        <f t="shared" si="1178"/>
        <v>-</v>
      </c>
      <c r="O1002" s="347" t="str">
        <f t="shared" si="1174"/>
        <v>-</v>
      </c>
    </row>
    <row r="1003" spans="1:15" ht="23.25" thickBot="1" x14ac:dyDescent="0.3">
      <c r="A1003" s="274" t="s">
        <v>101</v>
      </c>
      <c r="B1003" s="956"/>
      <c r="C1003" s="304"/>
      <c r="D1003" s="305" t="s">
        <v>51</v>
      </c>
      <c r="E1003" s="306">
        <f>SUM(E997:E1002)</f>
        <v>125000</v>
      </c>
      <c r="F1003" s="307">
        <v>50000</v>
      </c>
      <c r="G1003" s="366">
        <f>SUM(G997:G1002)</f>
        <v>0</v>
      </c>
      <c r="H1003" s="365">
        <f t="shared" ref="H1003:I1003" si="1186">SUM(H997:H1002)</f>
        <v>0</v>
      </c>
      <c r="I1003" s="365">
        <f t="shared" si="1186"/>
        <v>0</v>
      </c>
      <c r="J1003" s="356">
        <f>+G1003/F1003</f>
        <v>0</v>
      </c>
      <c r="K1003" s="366">
        <f t="shared" ref="K1003:M1003" si="1187">SUM(K997:K1002)</f>
        <v>8116</v>
      </c>
      <c r="L1003" s="365">
        <f t="shared" si="1187"/>
        <v>7488</v>
      </c>
      <c r="M1003" s="367">
        <f t="shared" si="1187"/>
        <v>628</v>
      </c>
      <c r="N1003" s="355">
        <f t="shared" si="1178"/>
        <v>6.4928E-2</v>
      </c>
      <c r="O1003" s="356">
        <f t="shared" si="1174"/>
        <v>7.737801872843765E-2</v>
      </c>
    </row>
    <row r="1004" spans="1:15" ht="23.25" thickBot="1" x14ac:dyDescent="0.3">
      <c r="A1004" s="274" t="s">
        <v>101</v>
      </c>
      <c r="B1004" s="957" t="s">
        <v>163</v>
      </c>
      <c r="C1004" s="958"/>
      <c r="D1004" s="959"/>
      <c r="E1004" s="308">
        <f>+E1003+E996</f>
        <v>350000</v>
      </c>
      <c r="F1004" s="309">
        <v>50000</v>
      </c>
      <c r="G1004" s="369">
        <f>+G996+G1003</f>
        <v>0</v>
      </c>
      <c r="H1004" s="368">
        <f t="shared" ref="H1004:I1004" si="1188">+H996+H1003</f>
        <v>0</v>
      </c>
      <c r="I1004" s="368">
        <f t="shared" si="1188"/>
        <v>0</v>
      </c>
      <c r="J1004" s="358">
        <f>+G1004/F1004</f>
        <v>0</v>
      </c>
      <c r="K1004" s="369">
        <f t="shared" ref="K1004:M1004" si="1189">+K996+K1003</f>
        <v>8116</v>
      </c>
      <c r="L1004" s="368">
        <f t="shared" si="1189"/>
        <v>7488</v>
      </c>
      <c r="M1004" s="370">
        <f t="shared" si="1189"/>
        <v>628</v>
      </c>
      <c r="N1004" s="357">
        <f t="shared" si="1178"/>
        <v>2.318857142857143E-2</v>
      </c>
      <c r="O1004" s="358">
        <f t="shared" si="1174"/>
        <v>7.737801872843765E-2</v>
      </c>
    </row>
    <row r="1005" spans="1:15" ht="24.75" thickBot="1" x14ac:dyDescent="0.3">
      <c r="A1005" s="274" t="s">
        <v>101</v>
      </c>
      <c r="B1005" s="598" t="s">
        <v>32</v>
      </c>
      <c r="C1005" s="864"/>
      <c r="D1005" s="310" t="s">
        <v>32</v>
      </c>
      <c r="E1005" s="287">
        <v>0</v>
      </c>
      <c r="F1005" s="288">
        <v>110000</v>
      </c>
      <c r="G1005" s="335">
        <f t="shared" ref="G1005" si="1190">+H1005+I1005</f>
        <v>0</v>
      </c>
      <c r="H1005" s="289"/>
      <c r="I1005" s="289"/>
      <c r="J1005" s="354">
        <f>IFERROR(G1005/F1005,"-")</f>
        <v>0</v>
      </c>
      <c r="K1005" s="335">
        <f>+L1005+M1005</f>
        <v>0</v>
      </c>
      <c r="L1005" s="289">
        <f>+H1005+L889</f>
        <v>0</v>
      </c>
      <c r="M1005" s="290">
        <f>+I1005+M889</f>
        <v>0</v>
      </c>
      <c r="N1005" s="340" t="str">
        <f t="shared" si="1178"/>
        <v>-</v>
      </c>
      <c r="O1005" s="348" t="str">
        <f t="shared" si="1174"/>
        <v>-</v>
      </c>
    </row>
    <row r="1006" spans="1:15" ht="23.25" thickBot="1" x14ac:dyDescent="0.3">
      <c r="A1006" s="274" t="s">
        <v>101</v>
      </c>
      <c r="B1006" s="960" t="s">
        <v>21</v>
      </c>
      <c r="C1006" s="961"/>
      <c r="D1006" s="962"/>
      <c r="E1006" s="326">
        <f>+E992+E1004+E1005</f>
        <v>2215664</v>
      </c>
      <c r="F1006" s="327">
        <f>+F992+F1004+F1005</f>
        <v>400000</v>
      </c>
      <c r="G1006" s="326">
        <f>+G992+G1004+G1005</f>
        <v>164587</v>
      </c>
      <c r="H1006" s="324">
        <f>+H992+H1004+H1005</f>
        <v>163098</v>
      </c>
      <c r="I1006" s="324">
        <f>+I992+I1004+I1005</f>
        <v>1489</v>
      </c>
      <c r="J1006" s="349">
        <f>+G1006/F1006</f>
        <v>0.41146749999999999</v>
      </c>
      <c r="K1006" s="326">
        <f>+K992+K1004+K1005</f>
        <v>1071311</v>
      </c>
      <c r="L1006" s="324">
        <f>+L992+L1004+L1005</f>
        <v>1053702</v>
      </c>
      <c r="M1006" s="325">
        <f>+M992+M1004+M1005</f>
        <v>17609</v>
      </c>
      <c r="N1006" s="341">
        <f t="shared" si="1178"/>
        <v>0.48351690509030248</v>
      </c>
      <c r="O1006" s="349">
        <f t="shared" si="1174"/>
        <v>1.643687033923856E-2</v>
      </c>
    </row>
    <row r="1007" spans="1:15" ht="23.25" thickBot="1" x14ac:dyDescent="0.3">
      <c r="A1007" s="274" t="s">
        <v>101</v>
      </c>
      <c r="B1007" s="963" t="s">
        <v>171</v>
      </c>
      <c r="C1007" s="941"/>
      <c r="D1007" s="942"/>
      <c r="E1007" s="330">
        <f>+E1006</f>
        <v>2215664</v>
      </c>
      <c r="F1007" s="331">
        <f t="shared" ref="F1007:I1007" si="1191">+F1006</f>
        <v>400000</v>
      </c>
      <c r="G1007" s="330">
        <f t="shared" si="1191"/>
        <v>164587</v>
      </c>
      <c r="H1007" s="328">
        <f t="shared" si="1191"/>
        <v>163098</v>
      </c>
      <c r="I1007" s="328">
        <f t="shared" si="1191"/>
        <v>1489</v>
      </c>
      <c r="J1007" s="872">
        <f>+G1007/F1007</f>
        <v>0.41146749999999999</v>
      </c>
      <c r="K1007" s="330">
        <f>+K1006</f>
        <v>1071311</v>
      </c>
      <c r="L1007" s="328">
        <f t="shared" ref="L1007" si="1192">+L1006</f>
        <v>1053702</v>
      </c>
      <c r="M1007" s="329">
        <f>+M1006</f>
        <v>17609</v>
      </c>
      <c r="N1007" s="342">
        <f t="shared" ref="N1007:O1007" si="1193">+N1006</f>
        <v>0.48351690509030248</v>
      </c>
      <c r="O1007" s="350">
        <f t="shared" si="1193"/>
        <v>1.643687033923856E-2</v>
      </c>
    </row>
    <row r="1008" spans="1:15" ht="24" x14ac:dyDescent="0.25">
      <c r="A1008" s="268" t="s">
        <v>102</v>
      </c>
      <c r="B1008" s="949" t="s">
        <v>401</v>
      </c>
      <c r="C1008" s="311" t="s">
        <v>113</v>
      </c>
      <c r="D1008" s="311"/>
      <c r="E1008" s="270"/>
      <c r="F1008" s="271"/>
      <c r="G1008" s="332">
        <f t="shared" ref="G1008:G1010" si="1194">+H1008+I1008</f>
        <v>0</v>
      </c>
      <c r="H1008" s="272"/>
      <c r="I1008" s="272"/>
      <c r="J1008" s="351" t="str">
        <f>IFERROR(G1008/F1008,"-")</f>
        <v>-</v>
      </c>
      <c r="K1008" s="332">
        <f t="shared" ref="K1008:K1010" si="1195">+L1008+M1008</f>
        <v>0</v>
      </c>
      <c r="L1008" s="272">
        <f t="shared" ref="L1008:M1010" si="1196">+H1008+L892</f>
        <v>0</v>
      </c>
      <c r="M1008" s="273">
        <f t="shared" si="1196"/>
        <v>0</v>
      </c>
      <c r="N1008" s="336" t="str">
        <f t="shared" ref="N1008:N1015" si="1197">IFERROR(K1008/E1008,"-")</f>
        <v>-</v>
      </c>
      <c r="O1008" s="346" t="str">
        <f t="shared" ref="O1008:O1033" si="1198">IFERROR(M1008/K1008,"-")</f>
        <v>-</v>
      </c>
    </row>
    <row r="1009" spans="1:15" ht="24" x14ac:dyDescent="0.25">
      <c r="A1009" s="274" t="s">
        <v>102</v>
      </c>
      <c r="B1009" s="951"/>
      <c r="C1009" s="312" t="s">
        <v>247</v>
      </c>
      <c r="D1009" s="312"/>
      <c r="E1009" s="276">
        <v>2000</v>
      </c>
      <c r="F1009" s="277"/>
      <c r="G1009" s="333">
        <f t="shared" si="1194"/>
        <v>400</v>
      </c>
      <c r="H1009" s="278">
        <v>349</v>
      </c>
      <c r="I1009" s="278">
        <v>51</v>
      </c>
      <c r="J1009" s="351" t="str">
        <f t="shared" ref="J1009:J1010" si="1199">IFERROR(G1009/F1009,"-")</f>
        <v>-</v>
      </c>
      <c r="K1009" s="333">
        <f t="shared" si="1195"/>
        <v>9638</v>
      </c>
      <c r="L1009" s="272">
        <f t="shared" si="1196"/>
        <v>9149</v>
      </c>
      <c r="M1009" s="273">
        <f t="shared" si="1196"/>
        <v>489</v>
      </c>
      <c r="N1009" s="337">
        <f t="shared" si="1197"/>
        <v>4.819</v>
      </c>
      <c r="O1009" s="263">
        <f t="shared" si="1198"/>
        <v>5.0736667358373108E-2</v>
      </c>
    </row>
    <row r="1010" spans="1:15" ht="24.75" thickBot="1" x14ac:dyDescent="0.3">
      <c r="A1010" s="274" t="s">
        <v>102</v>
      </c>
      <c r="B1010" s="950"/>
      <c r="C1010" s="313" t="s">
        <v>33</v>
      </c>
      <c r="D1010" s="313"/>
      <c r="E1010" s="280"/>
      <c r="F1010" s="281"/>
      <c r="G1010" s="334">
        <f t="shared" si="1194"/>
        <v>0</v>
      </c>
      <c r="H1010" s="282"/>
      <c r="I1010" s="282"/>
      <c r="J1010" s="351" t="str">
        <f t="shared" si="1199"/>
        <v>-</v>
      </c>
      <c r="K1010" s="334">
        <f t="shared" si="1195"/>
        <v>0</v>
      </c>
      <c r="L1010" s="272">
        <f t="shared" si="1196"/>
        <v>0</v>
      </c>
      <c r="M1010" s="273">
        <f t="shared" si="1196"/>
        <v>0</v>
      </c>
      <c r="N1010" s="338" t="str">
        <f t="shared" si="1197"/>
        <v>-</v>
      </c>
      <c r="O1010" s="347" t="str">
        <f t="shared" si="1198"/>
        <v>-</v>
      </c>
    </row>
    <row r="1011" spans="1:15" ht="23.25" thickBot="1" x14ac:dyDescent="0.3">
      <c r="A1011" s="274" t="s">
        <v>102</v>
      </c>
      <c r="B1011" s="946" t="s">
        <v>34</v>
      </c>
      <c r="C1011" s="947"/>
      <c r="D1011" s="948"/>
      <c r="E1011" s="284">
        <f>SUM(E1008:E1010)</f>
        <v>2000</v>
      </c>
      <c r="F1011" s="285">
        <v>6500</v>
      </c>
      <c r="G1011" s="320">
        <f>SUM(G1008:G1010)</f>
        <v>400</v>
      </c>
      <c r="H1011" s="321">
        <f t="shared" ref="H1011:I1011" si="1200">SUM(H1008:H1010)</f>
        <v>349</v>
      </c>
      <c r="I1011" s="321">
        <f t="shared" si="1200"/>
        <v>51</v>
      </c>
      <c r="J1011" s="345">
        <f>IFERROR(G1011/F1011,"-")</f>
        <v>6.1538461538461542E-2</v>
      </c>
      <c r="K1011" s="320">
        <f t="shared" ref="K1011:M1011" si="1201">SUM(K1008:K1010)</f>
        <v>9638</v>
      </c>
      <c r="L1011" s="321">
        <f t="shared" si="1201"/>
        <v>9149</v>
      </c>
      <c r="M1011" s="322">
        <f t="shared" si="1201"/>
        <v>489</v>
      </c>
      <c r="N1011" s="339">
        <f t="shared" si="1197"/>
        <v>4.819</v>
      </c>
      <c r="O1011" s="345">
        <f t="shared" si="1198"/>
        <v>5.0736667358373108E-2</v>
      </c>
    </row>
    <row r="1012" spans="1:15" ht="24" x14ac:dyDescent="0.25">
      <c r="A1012" s="274" t="s">
        <v>102</v>
      </c>
      <c r="B1012" s="949" t="s">
        <v>35</v>
      </c>
      <c r="C1012" s="311" t="s">
        <v>113</v>
      </c>
      <c r="D1012" s="311"/>
      <c r="E1012" s="270"/>
      <c r="F1012" s="271"/>
      <c r="G1012" s="332">
        <f t="shared" ref="G1012:G1015" si="1202">+H1012+I1012</f>
        <v>0</v>
      </c>
      <c r="H1012" s="272"/>
      <c r="I1012" s="272"/>
      <c r="J1012" s="351" t="str">
        <f>IFERROR(G1012/F1012,"-")</f>
        <v>-</v>
      </c>
      <c r="K1012" s="332">
        <f t="shared" ref="K1012:K1015" si="1203">+L1012+M1012</f>
        <v>0</v>
      </c>
      <c r="L1012" s="272">
        <f t="shared" ref="L1012:M1015" si="1204">+H1012+L896</f>
        <v>0</v>
      </c>
      <c r="M1012" s="273">
        <f t="shared" si="1204"/>
        <v>0</v>
      </c>
      <c r="N1012" s="336" t="str">
        <f t="shared" si="1197"/>
        <v>-</v>
      </c>
      <c r="O1012" s="346" t="str">
        <f t="shared" si="1198"/>
        <v>-</v>
      </c>
    </row>
    <row r="1013" spans="1:15" ht="24" x14ac:dyDescent="0.25">
      <c r="A1013" s="274" t="s">
        <v>102</v>
      </c>
      <c r="B1013" s="951"/>
      <c r="C1013" s="312" t="s">
        <v>247</v>
      </c>
      <c r="D1013" s="312"/>
      <c r="E1013" s="276"/>
      <c r="F1013" s="277"/>
      <c r="G1013" s="333">
        <f t="shared" si="1202"/>
        <v>0</v>
      </c>
      <c r="H1013" s="278"/>
      <c r="I1013" s="278"/>
      <c r="J1013" s="351" t="str">
        <f t="shared" ref="J1013:J1015" si="1205">IFERROR(G1013/F1013,"-")</f>
        <v>-</v>
      </c>
      <c r="K1013" s="333">
        <f t="shared" si="1203"/>
        <v>0</v>
      </c>
      <c r="L1013" s="272">
        <f t="shared" si="1204"/>
        <v>0</v>
      </c>
      <c r="M1013" s="273">
        <f t="shared" si="1204"/>
        <v>0</v>
      </c>
      <c r="N1013" s="337" t="str">
        <f t="shared" si="1197"/>
        <v>-</v>
      </c>
      <c r="O1013" s="263" t="str">
        <f t="shared" si="1198"/>
        <v>-</v>
      </c>
    </row>
    <row r="1014" spans="1:15" ht="24" x14ac:dyDescent="0.25">
      <c r="A1014" s="274" t="s">
        <v>102</v>
      </c>
      <c r="B1014" s="951"/>
      <c r="C1014" s="312" t="s">
        <v>496</v>
      </c>
      <c r="D1014" s="312"/>
      <c r="E1014" s="276">
        <v>20000</v>
      </c>
      <c r="F1014" s="277"/>
      <c r="G1014" s="333">
        <f t="shared" si="1202"/>
        <v>0</v>
      </c>
      <c r="H1014" s="278"/>
      <c r="I1014" s="278"/>
      <c r="J1014" s="351" t="str">
        <f t="shared" si="1205"/>
        <v>-</v>
      </c>
      <c r="K1014" s="333">
        <f t="shared" si="1203"/>
        <v>0</v>
      </c>
      <c r="L1014" s="272">
        <f t="shared" si="1204"/>
        <v>0</v>
      </c>
      <c r="M1014" s="273">
        <f t="shared" si="1204"/>
        <v>0</v>
      </c>
      <c r="N1014" s="337">
        <f t="shared" si="1197"/>
        <v>0</v>
      </c>
      <c r="O1014" s="263" t="str">
        <f t="shared" si="1198"/>
        <v>-</v>
      </c>
    </row>
    <row r="1015" spans="1:15" ht="24.75" thickBot="1" x14ac:dyDescent="0.3">
      <c r="A1015" s="274" t="s">
        <v>102</v>
      </c>
      <c r="B1015" s="950"/>
      <c r="C1015" s="313" t="s">
        <v>36</v>
      </c>
      <c r="D1015" s="313"/>
      <c r="E1015" s="280"/>
      <c r="F1015" s="281"/>
      <c r="G1015" s="334">
        <f t="shared" si="1202"/>
        <v>0</v>
      </c>
      <c r="H1015" s="282"/>
      <c r="I1015" s="282"/>
      <c r="J1015" s="351" t="str">
        <f t="shared" si="1205"/>
        <v>-</v>
      </c>
      <c r="K1015" s="334">
        <f t="shared" si="1203"/>
        <v>0</v>
      </c>
      <c r="L1015" s="272">
        <f t="shared" si="1204"/>
        <v>0</v>
      </c>
      <c r="M1015" s="273">
        <f t="shared" si="1204"/>
        <v>0</v>
      </c>
      <c r="N1015" s="338" t="str">
        <f t="shared" si="1197"/>
        <v>-</v>
      </c>
      <c r="O1015" s="347" t="str">
        <f t="shared" si="1198"/>
        <v>-</v>
      </c>
    </row>
    <row r="1016" spans="1:15" ht="23.25" thickBot="1" x14ac:dyDescent="0.3">
      <c r="A1016" s="274" t="s">
        <v>102</v>
      </c>
      <c r="B1016" s="946" t="s">
        <v>37</v>
      </c>
      <c r="C1016" s="947"/>
      <c r="D1016" s="948"/>
      <c r="E1016" s="284">
        <f>SUM(E1012:E1015)</f>
        <v>20000</v>
      </c>
      <c r="F1016" s="285">
        <v>6500</v>
      </c>
      <c r="G1016" s="320">
        <f>SUM(G1012:G1015)</f>
        <v>0</v>
      </c>
      <c r="H1016" s="321">
        <f t="shared" ref="H1016:I1016" si="1206">SUM(H1012:H1015)</f>
        <v>0</v>
      </c>
      <c r="I1016" s="321">
        <f t="shared" si="1206"/>
        <v>0</v>
      </c>
      <c r="J1016" s="345">
        <f>IFERROR(G1016/F1016,"-")</f>
        <v>0</v>
      </c>
      <c r="K1016" s="320">
        <f t="shared" ref="K1016:M1016" si="1207">SUM(K1012:K1015)</f>
        <v>0</v>
      </c>
      <c r="L1016" s="321">
        <f t="shared" si="1207"/>
        <v>0</v>
      </c>
      <c r="M1016" s="322">
        <f t="shared" si="1207"/>
        <v>0</v>
      </c>
      <c r="N1016" s="339">
        <f>IFERROR(K1016/E1016,"-")</f>
        <v>0</v>
      </c>
      <c r="O1016" s="345" t="str">
        <f t="shared" si="1198"/>
        <v>-</v>
      </c>
    </row>
    <row r="1017" spans="1:15" ht="24" x14ac:dyDescent="0.25">
      <c r="A1017" s="274" t="s">
        <v>102</v>
      </c>
      <c r="B1017" s="949" t="s">
        <v>402</v>
      </c>
      <c r="C1017" s="314" t="s">
        <v>116</v>
      </c>
      <c r="D1017" s="314"/>
      <c r="E1017" s="270">
        <v>14000</v>
      </c>
      <c r="F1017" s="271"/>
      <c r="G1017" s="332">
        <f t="shared" ref="G1017:G1018" si="1208">+H1017+I1017</f>
        <v>0</v>
      </c>
      <c r="H1017" s="272"/>
      <c r="I1017" s="272"/>
      <c r="J1017" s="351" t="str">
        <f>IFERROR(G1017/F1017,"-")</f>
        <v>-</v>
      </c>
      <c r="K1017" s="332">
        <f t="shared" ref="K1017:K1018" si="1209">+L1017+M1017</f>
        <v>0</v>
      </c>
      <c r="L1017" s="272">
        <f>+H1017+L901</f>
        <v>0</v>
      </c>
      <c r="M1017" s="273">
        <f>+I1017+M901</f>
        <v>0</v>
      </c>
      <c r="N1017" s="336">
        <f t="shared" ref="N1017:N1033" si="1210">IFERROR(K1017/E1017,"-")</f>
        <v>0</v>
      </c>
      <c r="O1017" s="346" t="str">
        <f t="shared" si="1198"/>
        <v>-</v>
      </c>
    </row>
    <row r="1018" spans="1:15" ht="24.75" thickBot="1" x14ac:dyDescent="0.3">
      <c r="A1018" s="274" t="s">
        <v>102</v>
      </c>
      <c r="B1018" s="950"/>
      <c r="C1018" s="286" t="s">
        <v>132</v>
      </c>
      <c r="D1018" s="286"/>
      <c r="E1018" s="280"/>
      <c r="F1018" s="281"/>
      <c r="G1018" s="334">
        <f t="shared" si="1208"/>
        <v>3210</v>
      </c>
      <c r="H1018" s="282">
        <v>3200</v>
      </c>
      <c r="I1018" s="282">
        <v>10</v>
      </c>
      <c r="J1018" s="351" t="str">
        <f>IFERROR(G1018/F1018,"-")</f>
        <v>-</v>
      </c>
      <c r="K1018" s="334">
        <f t="shared" si="1209"/>
        <v>20297</v>
      </c>
      <c r="L1018" s="272">
        <f>+H1018+L902</f>
        <v>19290</v>
      </c>
      <c r="M1018" s="273">
        <f>+I1018+M902</f>
        <v>1007</v>
      </c>
      <c r="N1018" s="338" t="str">
        <f t="shared" si="1210"/>
        <v>-</v>
      </c>
      <c r="O1018" s="347">
        <f t="shared" si="1198"/>
        <v>4.9613243336453665E-2</v>
      </c>
    </row>
    <row r="1019" spans="1:15" ht="23.25" thickBot="1" x14ac:dyDescent="0.3">
      <c r="A1019" s="868" t="s">
        <v>102</v>
      </c>
      <c r="B1019" s="946" t="s">
        <v>38</v>
      </c>
      <c r="C1019" s="947"/>
      <c r="D1019" s="948"/>
      <c r="E1019" s="284">
        <f>SUM(E1017:E1018)</f>
        <v>14000</v>
      </c>
      <c r="F1019" s="285">
        <v>2800</v>
      </c>
      <c r="G1019" s="320">
        <f>SUM(G1017:G1018)</f>
        <v>3210</v>
      </c>
      <c r="H1019" s="321">
        <f t="shared" ref="H1019:I1019" si="1211">SUM(H1017:H1018)</f>
        <v>3200</v>
      </c>
      <c r="I1019" s="321">
        <f t="shared" si="1211"/>
        <v>10</v>
      </c>
      <c r="J1019" s="345" t="str">
        <f>IFERROR(G1019/F1009,"-")</f>
        <v>-</v>
      </c>
      <c r="K1019" s="320">
        <f t="shared" ref="K1019:M1019" si="1212">SUM(K1017:K1018)</f>
        <v>20297</v>
      </c>
      <c r="L1019" s="321">
        <f t="shared" si="1212"/>
        <v>19290</v>
      </c>
      <c r="M1019" s="322">
        <f t="shared" si="1212"/>
        <v>1007</v>
      </c>
      <c r="N1019" s="339">
        <f t="shared" si="1210"/>
        <v>1.4497857142857142</v>
      </c>
      <c r="O1019" s="345">
        <f t="shared" si="1198"/>
        <v>4.9613243336453665E-2</v>
      </c>
    </row>
    <row r="1020" spans="1:15" ht="24" x14ac:dyDescent="0.25">
      <c r="A1020" s="274" t="s">
        <v>102</v>
      </c>
      <c r="B1020" s="949" t="s">
        <v>403</v>
      </c>
      <c r="C1020" s="269" t="s">
        <v>306</v>
      </c>
      <c r="D1020" s="269"/>
      <c r="E1020" s="270">
        <f>176000+39000+35000+36000+19000</f>
        <v>305000</v>
      </c>
      <c r="F1020" s="315"/>
      <c r="G1020" s="332">
        <f t="shared" ref="G1020:G1024" si="1213">+H1020+I1020</f>
        <v>45083</v>
      </c>
      <c r="H1020" s="272">
        <v>44904</v>
      </c>
      <c r="I1020" s="272">
        <v>179</v>
      </c>
      <c r="J1020" s="371" t="str">
        <f>IFERROR(G1020/F1020,"-")</f>
        <v>-</v>
      </c>
      <c r="K1020" s="332">
        <f t="shared" ref="K1020:K1024" si="1214">+L1020+M1020</f>
        <v>207053</v>
      </c>
      <c r="L1020" s="272">
        <f t="shared" ref="L1020:M1024" si="1215">+H1020+L904</f>
        <v>205788</v>
      </c>
      <c r="M1020" s="272">
        <f t="shared" si="1215"/>
        <v>1265</v>
      </c>
      <c r="N1020" s="359">
        <f t="shared" si="1210"/>
        <v>0.67886229508196716</v>
      </c>
      <c r="O1020" s="360">
        <f t="shared" si="1198"/>
        <v>6.1095468310046223E-3</v>
      </c>
    </row>
    <row r="1021" spans="1:15" ht="24" x14ac:dyDescent="0.25">
      <c r="A1021" s="274" t="s">
        <v>102</v>
      </c>
      <c r="B1021" s="951"/>
      <c r="C1021" s="269" t="s">
        <v>307</v>
      </c>
      <c r="D1021" s="275"/>
      <c r="E1021" s="276"/>
      <c r="F1021" s="316"/>
      <c r="G1021" s="333">
        <f t="shared" si="1213"/>
        <v>0</v>
      </c>
      <c r="H1021" s="278"/>
      <c r="I1021" s="278"/>
      <c r="J1021" s="371" t="str">
        <f t="shared" ref="J1021:J1024" si="1216">IFERROR(G1021/F1021,"-")</f>
        <v>-</v>
      </c>
      <c r="K1021" s="333">
        <f t="shared" si="1214"/>
        <v>0</v>
      </c>
      <c r="L1021" s="272">
        <f t="shared" si="1215"/>
        <v>0</v>
      </c>
      <c r="M1021" s="273">
        <f t="shared" si="1215"/>
        <v>0</v>
      </c>
      <c r="N1021" s="361" t="str">
        <f t="shared" si="1210"/>
        <v>-</v>
      </c>
      <c r="O1021" s="362" t="str">
        <f t="shared" si="1198"/>
        <v>-</v>
      </c>
    </row>
    <row r="1022" spans="1:15" ht="24" x14ac:dyDescent="0.25">
      <c r="A1022" s="274" t="s">
        <v>102</v>
      </c>
      <c r="B1022" s="951"/>
      <c r="C1022" s="275" t="s">
        <v>499</v>
      </c>
      <c r="D1022" s="275"/>
      <c r="E1022" s="276">
        <f>70000+15000</f>
        <v>85000</v>
      </c>
      <c r="F1022" s="316"/>
      <c r="G1022" s="333">
        <f t="shared" si="1213"/>
        <v>0</v>
      </c>
      <c r="H1022" s="278"/>
      <c r="I1022" s="278"/>
      <c r="J1022" s="371" t="str">
        <f t="shared" si="1216"/>
        <v>-</v>
      </c>
      <c r="K1022" s="333">
        <f t="shared" si="1214"/>
        <v>49665</v>
      </c>
      <c r="L1022" s="272">
        <f t="shared" si="1215"/>
        <v>49032</v>
      </c>
      <c r="M1022" s="273">
        <f t="shared" si="1215"/>
        <v>633</v>
      </c>
      <c r="N1022" s="361">
        <f t="shared" si="1210"/>
        <v>0.58429411764705885</v>
      </c>
      <c r="O1022" s="362">
        <f t="shared" si="1198"/>
        <v>1.2745394140742978E-2</v>
      </c>
    </row>
    <row r="1023" spans="1:15" ht="24" x14ac:dyDescent="0.25">
      <c r="A1023" s="274" t="s">
        <v>102</v>
      </c>
      <c r="B1023" s="951"/>
      <c r="C1023" s="275" t="s">
        <v>157</v>
      </c>
      <c r="D1023" s="275"/>
      <c r="E1023" s="276"/>
      <c r="F1023" s="316"/>
      <c r="G1023" s="333">
        <f t="shared" si="1213"/>
        <v>0</v>
      </c>
      <c r="H1023" s="278"/>
      <c r="I1023" s="278"/>
      <c r="J1023" s="371" t="str">
        <f t="shared" si="1216"/>
        <v>-</v>
      </c>
      <c r="K1023" s="333">
        <f t="shared" si="1214"/>
        <v>0</v>
      </c>
      <c r="L1023" s="272">
        <f t="shared" si="1215"/>
        <v>0</v>
      </c>
      <c r="M1023" s="273">
        <f t="shared" si="1215"/>
        <v>0</v>
      </c>
      <c r="N1023" s="361" t="str">
        <f t="shared" si="1210"/>
        <v>-</v>
      </c>
      <c r="O1023" s="362" t="str">
        <f t="shared" si="1198"/>
        <v>-</v>
      </c>
    </row>
    <row r="1024" spans="1:15" ht="24.75" thickBot="1" x14ac:dyDescent="0.3">
      <c r="A1024" s="274" t="s">
        <v>102</v>
      </c>
      <c r="B1024" s="950"/>
      <c r="C1024" s="279" t="s">
        <v>158</v>
      </c>
      <c r="D1024" s="279"/>
      <c r="E1024" s="280"/>
      <c r="F1024" s="317"/>
      <c r="G1024" s="334">
        <f t="shared" si="1213"/>
        <v>0</v>
      </c>
      <c r="H1024" s="282"/>
      <c r="I1024" s="282"/>
      <c r="J1024" s="371" t="str">
        <f t="shared" si="1216"/>
        <v>-</v>
      </c>
      <c r="K1024" s="334">
        <f t="shared" si="1214"/>
        <v>0</v>
      </c>
      <c r="L1024" s="272">
        <f t="shared" si="1215"/>
        <v>0</v>
      </c>
      <c r="M1024" s="273">
        <f t="shared" si="1215"/>
        <v>0</v>
      </c>
      <c r="N1024" s="363" t="str">
        <f t="shared" si="1210"/>
        <v>-</v>
      </c>
      <c r="O1024" s="364" t="str">
        <f t="shared" si="1198"/>
        <v>-</v>
      </c>
    </row>
    <row r="1025" spans="1:15" ht="23.25" thickBot="1" x14ac:dyDescent="0.3">
      <c r="A1025" s="274" t="s">
        <v>102</v>
      </c>
      <c r="B1025" s="946" t="s">
        <v>39</v>
      </c>
      <c r="C1025" s="947"/>
      <c r="D1025" s="948"/>
      <c r="E1025" s="320">
        <f>SUM(E1020:E1024)</f>
        <v>390000</v>
      </c>
      <c r="F1025" s="285">
        <v>25000</v>
      </c>
      <c r="G1025" s="320">
        <f>SUM(G1020:G1024)</f>
        <v>45083</v>
      </c>
      <c r="H1025" s="321">
        <f>SUM(H1020:H1024)</f>
        <v>44904</v>
      </c>
      <c r="I1025" s="321">
        <f>SUM(I1020:I1024)</f>
        <v>179</v>
      </c>
      <c r="J1025" s="345">
        <f>IFERROR(G1025/F1025,"-")</f>
        <v>1.80332</v>
      </c>
      <c r="K1025" s="320">
        <f>SUM(K1020:K1024)</f>
        <v>256718</v>
      </c>
      <c r="L1025" s="321">
        <f>SUM(L1020:L1024)</f>
        <v>254820</v>
      </c>
      <c r="M1025" s="322">
        <f>SUM(M1020:M1024)</f>
        <v>1898</v>
      </c>
      <c r="N1025" s="339">
        <f t="shared" si="1210"/>
        <v>0.65825128205128203</v>
      </c>
      <c r="O1025" s="345">
        <f t="shared" si="1198"/>
        <v>7.3933265294992946E-3</v>
      </c>
    </row>
    <row r="1026" spans="1:15" ht="24" x14ac:dyDescent="0.25">
      <c r="A1026" s="274" t="s">
        <v>102</v>
      </c>
      <c r="B1026" s="949" t="s">
        <v>404</v>
      </c>
      <c r="C1026" s="269" t="s">
        <v>186</v>
      </c>
      <c r="D1026" s="269"/>
      <c r="E1026" s="270"/>
      <c r="F1026" s="271"/>
      <c r="G1026" s="332">
        <f t="shared" ref="G1026:G1028" si="1217">+H1026+I1026</f>
        <v>0</v>
      </c>
      <c r="H1026" s="272"/>
      <c r="I1026" s="272"/>
      <c r="J1026" s="351" t="str">
        <f>IFERROR(G1026/F1026,"-")</f>
        <v>-</v>
      </c>
      <c r="K1026" s="332">
        <f t="shared" ref="K1026:K1028" si="1218">+L1026+M1026</f>
        <v>0</v>
      </c>
      <c r="L1026" s="272">
        <f t="shared" ref="L1026:M1028" si="1219">+H1026+L910</f>
        <v>0</v>
      </c>
      <c r="M1026" s="273">
        <f t="shared" si="1219"/>
        <v>0</v>
      </c>
      <c r="N1026" s="336" t="str">
        <f t="shared" si="1210"/>
        <v>-</v>
      </c>
      <c r="O1026" s="346" t="str">
        <f t="shared" si="1198"/>
        <v>-</v>
      </c>
    </row>
    <row r="1027" spans="1:15" ht="24" x14ac:dyDescent="0.25">
      <c r="A1027" s="274" t="s">
        <v>102</v>
      </c>
      <c r="B1027" s="951"/>
      <c r="C1027" s="275" t="s">
        <v>497</v>
      </c>
      <c r="D1027" s="275"/>
      <c r="E1027" s="276">
        <f>33000+15000</f>
        <v>48000</v>
      </c>
      <c r="F1027" s="277"/>
      <c r="G1027" s="333">
        <f t="shared" si="1217"/>
        <v>0</v>
      </c>
      <c r="H1027" s="278"/>
      <c r="I1027" s="278"/>
      <c r="J1027" s="351" t="str">
        <f t="shared" ref="J1027:J1028" si="1220">IFERROR(G1027/F1027,"-")</f>
        <v>-</v>
      </c>
      <c r="K1027" s="333">
        <f t="shared" si="1218"/>
        <v>11826</v>
      </c>
      <c r="L1027" s="714">
        <f t="shared" si="1219"/>
        <v>11400</v>
      </c>
      <c r="M1027" s="273">
        <f t="shared" si="1219"/>
        <v>426</v>
      </c>
      <c r="N1027" s="361">
        <f t="shared" si="1210"/>
        <v>0.24637500000000001</v>
      </c>
      <c r="O1027" s="362">
        <f t="shared" si="1198"/>
        <v>3.6022323693556568E-2</v>
      </c>
    </row>
    <row r="1028" spans="1:15" ht="24.75" thickBot="1" x14ac:dyDescent="0.3">
      <c r="A1028" s="274" t="s">
        <v>102</v>
      </c>
      <c r="B1028" s="950"/>
      <c r="C1028" s="279" t="s">
        <v>498</v>
      </c>
      <c r="D1028" s="279"/>
      <c r="E1028" s="280">
        <f>50000+10000</f>
        <v>60000</v>
      </c>
      <c r="F1028" s="281"/>
      <c r="G1028" s="334">
        <f t="shared" si="1217"/>
        <v>0</v>
      </c>
      <c r="H1028" s="282"/>
      <c r="I1028" s="282"/>
      <c r="J1028" s="351" t="str">
        <f t="shared" si="1220"/>
        <v>-</v>
      </c>
      <c r="K1028" s="334">
        <f t="shared" si="1218"/>
        <v>0</v>
      </c>
      <c r="L1028" s="272">
        <f t="shared" si="1219"/>
        <v>0</v>
      </c>
      <c r="M1028" s="273">
        <f t="shared" si="1219"/>
        <v>0</v>
      </c>
      <c r="N1028" s="363">
        <f t="shared" si="1210"/>
        <v>0</v>
      </c>
      <c r="O1028" s="364" t="str">
        <f t="shared" si="1198"/>
        <v>-</v>
      </c>
    </row>
    <row r="1029" spans="1:15" ht="23.25" thickBot="1" x14ac:dyDescent="0.3">
      <c r="A1029" s="274" t="s">
        <v>102</v>
      </c>
      <c r="B1029" s="952" t="s">
        <v>41</v>
      </c>
      <c r="C1029" s="953"/>
      <c r="D1029" s="954"/>
      <c r="E1029" s="320">
        <f>SUM(E1026:E1028)</f>
        <v>108000</v>
      </c>
      <c r="F1029" s="285"/>
      <c r="G1029" s="320">
        <f>SUM(G1026:G1028)</f>
        <v>0</v>
      </c>
      <c r="H1029" s="321">
        <f t="shared" ref="H1029:I1029" si="1221">SUM(H1026:H1028)</f>
        <v>0</v>
      </c>
      <c r="I1029" s="321">
        <f t="shared" si="1221"/>
        <v>0</v>
      </c>
      <c r="J1029" s="345" t="str">
        <f>IFERROR(G1029/F1029,"-")</f>
        <v>-</v>
      </c>
      <c r="K1029" s="320">
        <f t="shared" ref="K1029:M1029" si="1222">SUM(K1026:K1028)</f>
        <v>11826</v>
      </c>
      <c r="L1029" s="365">
        <f t="shared" si="1222"/>
        <v>11400</v>
      </c>
      <c r="M1029" s="367">
        <f t="shared" si="1222"/>
        <v>426</v>
      </c>
      <c r="N1029" s="339">
        <f t="shared" si="1210"/>
        <v>0.1095</v>
      </c>
      <c r="O1029" s="345">
        <f t="shared" si="1198"/>
        <v>3.6022323693556568E-2</v>
      </c>
    </row>
    <row r="1030" spans="1:15" ht="24.75" thickBot="1" x14ac:dyDescent="0.3">
      <c r="A1030" s="274" t="s">
        <v>102</v>
      </c>
      <c r="B1030" s="949" t="s">
        <v>42</v>
      </c>
      <c r="C1030" s="269" t="s">
        <v>160</v>
      </c>
      <c r="D1030" s="269"/>
      <c r="E1030" s="270">
        <v>11076</v>
      </c>
      <c r="F1030" s="271"/>
      <c r="G1030" s="332">
        <f t="shared" ref="G1030:G1031" si="1223">+H1030+I1030</f>
        <v>0</v>
      </c>
      <c r="H1030" s="272"/>
      <c r="I1030" s="272"/>
      <c r="J1030" s="371" t="str">
        <f>IFERROR(G1030/F1030,"-")</f>
        <v>-</v>
      </c>
      <c r="K1030" s="695">
        <f t="shared" ref="K1030:K1031" si="1224">+L1030+M1030</f>
        <v>0</v>
      </c>
      <c r="L1030" s="688">
        <f>+H1030+L914</f>
        <v>0</v>
      </c>
      <c r="M1030" s="688">
        <f>+I1030+M914</f>
        <v>0</v>
      </c>
      <c r="N1030" s="359">
        <f t="shared" si="1210"/>
        <v>0</v>
      </c>
      <c r="O1030" s="360" t="str">
        <f t="shared" si="1198"/>
        <v>-</v>
      </c>
    </row>
    <row r="1031" spans="1:15" ht="24.75" thickBot="1" x14ac:dyDescent="0.3">
      <c r="A1031" s="274" t="s">
        <v>102</v>
      </c>
      <c r="B1031" s="950"/>
      <c r="C1031" s="279" t="s">
        <v>161</v>
      </c>
      <c r="D1031" s="279"/>
      <c r="E1031" s="280">
        <v>0</v>
      </c>
      <c r="F1031" s="281"/>
      <c r="G1031" s="334">
        <f t="shared" si="1223"/>
        <v>0</v>
      </c>
      <c r="H1031" s="282"/>
      <c r="I1031" s="282"/>
      <c r="J1031" s="373" t="str">
        <f>IFERROR(G1031/F1031,"-")</f>
        <v>-</v>
      </c>
      <c r="K1031" s="696">
        <f t="shared" si="1224"/>
        <v>0</v>
      </c>
      <c r="L1031" s="688">
        <f>+H1031+L915</f>
        <v>0</v>
      </c>
      <c r="M1031" s="688">
        <f>+I1031+M915</f>
        <v>0</v>
      </c>
      <c r="N1031" s="363" t="str">
        <f t="shared" si="1210"/>
        <v>-</v>
      </c>
      <c r="O1031" s="364" t="str">
        <f t="shared" si="1198"/>
        <v>-</v>
      </c>
    </row>
    <row r="1032" spans="1:15" ht="23.25" thickBot="1" x14ac:dyDescent="0.3">
      <c r="A1032" s="274" t="s">
        <v>102</v>
      </c>
      <c r="B1032" s="952" t="s">
        <v>43</v>
      </c>
      <c r="C1032" s="953"/>
      <c r="D1032" s="954"/>
      <c r="E1032" s="284">
        <f>SUM(E1030:E1031)</f>
        <v>11076</v>
      </c>
      <c r="F1032" s="285">
        <v>25000</v>
      </c>
      <c r="G1032" s="320">
        <f>SUM(G1030:G1031)</f>
        <v>0</v>
      </c>
      <c r="H1032" s="321">
        <f t="shared" ref="H1032:I1032" si="1225">SUM(H1030:H1031)</f>
        <v>0</v>
      </c>
      <c r="I1032" s="321">
        <f t="shared" si="1225"/>
        <v>0</v>
      </c>
      <c r="J1032" s="345">
        <f>IFERROR(G1032/F1032,"-")</f>
        <v>0</v>
      </c>
      <c r="K1032" s="760">
        <f t="shared" ref="K1032:M1032" si="1226">SUM(K1030:K1031)</f>
        <v>0</v>
      </c>
      <c r="L1032" s="761">
        <f t="shared" si="1226"/>
        <v>0</v>
      </c>
      <c r="M1032" s="761">
        <f t="shared" si="1226"/>
        <v>0</v>
      </c>
      <c r="N1032" s="339">
        <f t="shared" si="1210"/>
        <v>0</v>
      </c>
      <c r="O1032" s="345" t="str">
        <f t="shared" si="1198"/>
        <v>-</v>
      </c>
    </row>
    <row r="1033" spans="1:15" ht="23.25" thickBot="1" x14ac:dyDescent="0.3">
      <c r="A1033" s="274" t="s">
        <v>102</v>
      </c>
      <c r="B1033" s="938" t="s">
        <v>25</v>
      </c>
      <c r="C1033" s="939"/>
      <c r="D1033" s="940"/>
      <c r="E1033" s="326">
        <f t="shared" ref="E1033:F1033" si="1227">+E1011+E1016+E1019+E1025+E1029+E1032</f>
        <v>545076</v>
      </c>
      <c r="F1033" s="327">
        <f t="shared" si="1227"/>
        <v>65800</v>
      </c>
      <c r="G1033" s="326">
        <f>+G1011+G1016+G1019+G1025+G1029+G1032</f>
        <v>48693</v>
      </c>
      <c r="H1033" s="324">
        <f>+H1011+H1016+H1019+H1025+H1029+H1032</f>
        <v>48453</v>
      </c>
      <c r="I1033" s="324">
        <f t="shared" ref="I1033" si="1228">+I1011+I1016+I1019+I1025+I1029+I1032</f>
        <v>240</v>
      </c>
      <c r="J1033" s="349">
        <f>IFERROR(G1033/F1033,"-")</f>
        <v>0.74001519756838907</v>
      </c>
      <c r="K1033" s="326">
        <f>+K1011+K1016+K1019+K1025+K1029+K1032</f>
        <v>298479</v>
      </c>
      <c r="L1033" s="759">
        <f t="shared" ref="L1033:M1033" si="1229">+L1011+L1016+L1019+L1025+L1029+L1032</f>
        <v>294659</v>
      </c>
      <c r="M1033" s="325">
        <f t="shared" si="1229"/>
        <v>3820</v>
      </c>
      <c r="N1033" s="341">
        <f t="shared" si="1210"/>
        <v>0.5475915285207934</v>
      </c>
      <c r="O1033" s="349">
        <f t="shared" si="1198"/>
        <v>1.2798220310306588E-2</v>
      </c>
    </row>
    <row r="1034" spans="1:15" ht="23.25" thickBot="1" x14ac:dyDescent="0.3">
      <c r="A1034" s="318" t="s">
        <v>102</v>
      </c>
      <c r="B1034" s="941" t="s">
        <v>173</v>
      </c>
      <c r="C1034" s="941"/>
      <c r="D1034" s="942"/>
      <c r="E1034" s="330">
        <f>+E1033</f>
        <v>545076</v>
      </c>
      <c r="F1034" s="331">
        <f t="shared" ref="F1034:O1034" si="1230">+F1033</f>
        <v>65800</v>
      </c>
      <c r="G1034" s="330">
        <f t="shared" si="1230"/>
        <v>48693</v>
      </c>
      <c r="H1034" s="328">
        <f t="shared" si="1230"/>
        <v>48453</v>
      </c>
      <c r="I1034" s="328">
        <f t="shared" si="1230"/>
        <v>240</v>
      </c>
      <c r="J1034" s="350">
        <f>+G1034/F1034</f>
        <v>0.74001519756838907</v>
      </c>
      <c r="K1034" s="330">
        <f t="shared" si="1230"/>
        <v>298479</v>
      </c>
      <c r="L1034" s="328">
        <f t="shared" si="1230"/>
        <v>294659</v>
      </c>
      <c r="M1034" s="329">
        <f t="shared" si="1230"/>
        <v>3820</v>
      </c>
      <c r="N1034" s="342">
        <f t="shared" si="1230"/>
        <v>0.5475915285207934</v>
      </c>
      <c r="O1034" s="350">
        <f t="shared" si="1230"/>
        <v>1.2798220310306588E-2</v>
      </c>
    </row>
    <row r="1035" spans="1:15" ht="26.25" thickBot="1" x14ac:dyDescent="0.3">
      <c r="A1035" s="319"/>
      <c r="B1035" s="943" t="s">
        <v>174</v>
      </c>
      <c r="C1035" s="944"/>
      <c r="D1035" s="945"/>
      <c r="E1035" s="374">
        <f>+E972+E1007+E1034</f>
        <v>6540740</v>
      </c>
      <c r="F1035" s="374">
        <f>+F972+F1007+F1034</f>
        <v>1024800</v>
      </c>
      <c r="G1035" s="374">
        <f>+G972+G1007+G1034</f>
        <v>316430</v>
      </c>
      <c r="H1035" s="374">
        <f>+H972+H1007+H1034</f>
        <v>314127</v>
      </c>
      <c r="I1035" s="374">
        <f>+I972+I1007+I1034</f>
        <v>2303</v>
      </c>
      <c r="J1035" s="375">
        <f>IFERROR(G1035/F1035,"-")</f>
        <v>0.30877244340359095</v>
      </c>
      <c r="K1035" s="374">
        <f>+K972+K1007+K1034</f>
        <v>3116070</v>
      </c>
      <c r="L1035" s="374">
        <f>+L972+L1007+L1034</f>
        <v>3088197</v>
      </c>
      <c r="M1035" s="374">
        <f>+M972+M1007+M1034</f>
        <v>27873</v>
      </c>
      <c r="N1035" s="375">
        <f>IFERROR(K1035/E1035,"-")</f>
        <v>0.47640939710185698</v>
      </c>
      <c r="O1035" s="375">
        <f>IFERROR(M1035/K1035,"-")</f>
        <v>8.9449210062675106E-3</v>
      </c>
    </row>
    <row r="1036" spans="1:15" ht="22.5" x14ac:dyDescent="0.25">
      <c r="A1036" s="978" t="s">
        <v>1</v>
      </c>
      <c r="B1036" s="981" t="s">
        <v>2</v>
      </c>
      <c r="C1036" s="984" t="s">
        <v>396</v>
      </c>
      <c r="D1036" s="984" t="s">
        <v>397</v>
      </c>
      <c r="E1036" s="987" t="s">
        <v>4</v>
      </c>
      <c r="F1036" s="988"/>
      <c r="G1036" s="988"/>
      <c r="H1036" s="988"/>
      <c r="I1036" s="988"/>
      <c r="J1036" s="988"/>
      <c r="K1036" s="988"/>
      <c r="L1036" s="988"/>
      <c r="M1036" s="988"/>
      <c r="N1036" s="988"/>
      <c r="O1036" s="989"/>
    </row>
    <row r="1037" spans="1:15" ht="22.5" x14ac:dyDescent="0.25">
      <c r="A1037" s="979"/>
      <c r="B1037" s="982"/>
      <c r="C1037" s="985"/>
      <c r="D1037" s="985"/>
      <c r="E1037" s="990" t="s">
        <v>7</v>
      </c>
      <c r="F1037" s="992" t="s">
        <v>108</v>
      </c>
      <c r="G1037" s="994" t="s">
        <v>542</v>
      </c>
      <c r="H1037" s="995"/>
      <c r="I1037" s="995"/>
      <c r="J1037" s="996"/>
      <c r="K1037" s="997" t="s">
        <v>398</v>
      </c>
      <c r="L1037" s="998"/>
      <c r="M1037" s="999"/>
      <c r="N1037" s="1000" t="s">
        <v>399</v>
      </c>
      <c r="O1037" s="1002" t="s">
        <v>164</v>
      </c>
    </row>
    <row r="1038" spans="1:15" ht="41.25" thickBot="1" x14ac:dyDescent="0.3">
      <c r="A1038" s="980"/>
      <c r="B1038" s="983"/>
      <c r="C1038" s="986"/>
      <c r="D1038" s="986"/>
      <c r="E1038" s="991"/>
      <c r="F1038" s="993"/>
      <c r="G1038" s="452" t="s">
        <v>13</v>
      </c>
      <c r="H1038" s="453" t="s">
        <v>14</v>
      </c>
      <c r="I1038" s="453" t="s">
        <v>15</v>
      </c>
      <c r="J1038" s="454" t="s">
        <v>166</v>
      </c>
      <c r="K1038" s="680" t="s">
        <v>13</v>
      </c>
      <c r="L1038" s="678" t="s">
        <v>14</v>
      </c>
      <c r="M1038" s="679" t="s">
        <v>15</v>
      </c>
      <c r="N1038" s="1001"/>
      <c r="O1038" s="1003"/>
    </row>
    <row r="1039" spans="1:15" ht="24" x14ac:dyDescent="0.25">
      <c r="A1039" s="268" t="s">
        <v>103</v>
      </c>
      <c r="B1039" s="965" t="s">
        <v>16</v>
      </c>
      <c r="C1039" s="269" t="s">
        <v>549</v>
      </c>
      <c r="D1039" s="269" t="s">
        <v>369</v>
      </c>
      <c r="E1039" s="270">
        <v>20000</v>
      </c>
      <c r="F1039" s="271"/>
      <c r="G1039" s="332">
        <f>+H1039+I1039</f>
        <v>2482</v>
      </c>
      <c r="H1039" s="272">
        <v>2240</v>
      </c>
      <c r="I1039" s="272">
        <v>242</v>
      </c>
      <c r="J1039" s="352" t="str">
        <f>IFERROR(G1039/F1039,"-")</f>
        <v>-</v>
      </c>
      <c r="K1039" s="694">
        <f>+L1039+M1039</f>
        <v>2752</v>
      </c>
      <c r="L1039" s="527">
        <f>+H1039+L923</f>
        <v>2240</v>
      </c>
      <c r="M1039" s="459">
        <f>+I1039+M923</f>
        <v>512</v>
      </c>
      <c r="N1039" s="336">
        <f>IFERROR(K1039/E1039,"-")</f>
        <v>0.1376</v>
      </c>
      <c r="O1039" s="343">
        <f t="shared" ref="O1039:O1040" si="1231">IFERROR(M1039/K1039,"-")</f>
        <v>0.18604651162790697</v>
      </c>
    </row>
    <row r="1040" spans="1:15" ht="24" x14ac:dyDescent="0.25">
      <c r="A1040" s="274" t="s">
        <v>103</v>
      </c>
      <c r="B1040" s="966"/>
      <c r="C1040" s="275" t="s">
        <v>376</v>
      </c>
      <c r="D1040" s="275" t="s">
        <v>375</v>
      </c>
      <c r="E1040" s="276"/>
      <c r="F1040" s="277"/>
      <c r="G1040" s="333">
        <f t="shared" ref="G1040:G1042" si="1232">+H1040+I1040</f>
        <v>0</v>
      </c>
      <c r="H1040" s="278"/>
      <c r="I1040" s="278"/>
      <c r="J1040" s="352" t="str">
        <f t="shared" ref="J1040:J1042" si="1233">IFERROR(G1040/F1040,"-")</f>
        <v>-</v>
      </c>
      <c r="K1040" s="690">
        <f t="shared" ref="K1040:K1042" si="1234">+L1040+M1040</f>
        <v>0</v>
      </c>
      <c r="L1040" s="276">
        <f t="shared" ref="L1040:M1040" si="1235">+H1040+L924</f>
        <v>0</v>
      </c>
      <c r="M1040" s="436">
        <f t="shared" si="1235"/>
        <v>0</v>
      </c>
      <c r="N1040" s="337" t="str">
        <f t="shared" ref="N1040:N1042" si="1236">IFERROR(K1040/E1040,"-")</f>
        <v>-</v>
      </c>
      <c r="O1040" s="265" t="str">
        <f t="shared" si="1231"/>
        <v>-</v>
      </c>
    </row>
    <row r="1041" spans="1:15" s="723" customFormat="1" ht="24" x14ac:dyDescent="0.25">
      <c r="A1041" s="274" t="s">
        <v>103</v>
      </c>
      <c r="B1041" s="966"/>
      <c r="C1041" s="573" t="s">
        <v>431</v>
      </c>
      <c r="D1041" s="573" t="s">
        <v>366</v>
      </c>
      <c r="E1041" s="720"/>
      <c r="F1041" s="721"/>
      <c r="G1041" s="333">
        <f t="shared" si="1232"/>
        <v>0</v>
      </c>
      <c r="H1041" s="722"/>
      <c r="I1041" s="722"/>
      <c r="J1041" s="352" t="str">
        <f t="shared" si="1233"/>
        <v>-</v>
      </c>
      <c r="K1041" s="690">
        <f t="shared" si="1234"/>
        <v>8000</v>
      </c>
      <c r="L1041" s="276">
        <f t="shared" ref="L1041:M1041" si="1237">+H1041+L925</f>
        <v>8000</v>
      </c>
      <c r="M1041" s="436">
        <f t="shared" si="1237"/>
        <v>0</v>
      </c>
      <c r="N1041" s="337" t="str">
        <f t="shared" si="1236"/>
        <v>-</v>
      </c>
      <c r="O1041" s="265">
        <f>IFERROR(M1041/K1041,"-")</f>
        <v>0</v>
      </c>
    </row>
    <row r="1042" spans="1:15" ht="24.75" thickBot="1" x14ac:dyDescent="0.3">
      <c r="A1042" s="274" t="s">
        <v>103</v>
      </c>
      <c r="B1042" s="967"/>
      <c r="C1042" s="279" t="s">
        <v>428</v>
      </c>
      <c r="D1042" s="279" t="s">
        <v>374</v>
      </c>
      <c r="E1042" s="280"/>
      <c r="F1042" s="281"/>
      <c r="G1042" s="334">
        <f t="shared" si="1232"/>
        <v>0</v>
      </c>
      <c r="H1042" s="272"/>
      <c r="I1042" s="272"/>
      <c r="J1042" s="352" t="str">
        <f t="shared" si="1233"/>
        <v>-</v>
      </c>
      <c r="K1042" s="691">
        <f t="shared" si="1234"/>
        <v>0</v>
      </c>
      <c r="L1042" s="530">
        <f t="shared" ref="L1042:M1042" si="1238">+H1042+L926</f>
        <v>0</v>
      </c>
      <c r="M1042" s="462">
        <f t="shared" si="1238"/>
        <v>0</v>
      </c>
      <c r="N1042" s="338" t="str">
        <f t="shared" si="1236"/>
        <v>-</v>
      </c>
      <c r="O1042" s="344" t="str">
        <f t="shared" ref="O1042:O1060" si="1239">IFERROR(M1042/K1042,"-")</f>
        <v>-</v>
      </c>
    </row>
    <row r="1043" spans="1:15" ht="23.25" thickBot="1" x14ac:dyDescent="0.3">
      <c r="A1043" s="274" t="s">
        <v>103</v>
      </c>
      <c r="B1043" s="946" t="s">
        <v>44</v>
      </c>
      <c r="C1043" s="947"/>
      <c r="D1043" s="948"/>
      <c r="E1043" s="320">
        <f>SUM(E1039:E1042)</f>
        <v>20000</v>
      </c>
      <c r="F1043" s="285">
        <v>15000</v>
      </c>
      <c r="G1043" s="320">
        <f>SUM(G1039:G1042)</f>
        <v>2482</v>
      </c>
      <c r="H1043" s="321">
        <f t="shared" ref="H1043:I1043" si="1240">SUM(H1039:H1042)</f>
        <v>2240</v>
      </c>
      <c r="I1043" s="321">
        <f t="shared" si="1240"/>
        <v>242</v>
      </c>
      <c r="J1043" s="345">
        <f>+G1043/F1043</f>
        <v>0.16546666666666668</v>
      </c>
      <c r="K1043" s="320">
        <f t="shared" ref="K1043" si="1241">SUM(K1039:K1042)</f>
        <v>10752</v>
      </c>
      <c r="L1043" s="692">
        <f>SUM(L1039:L1042)</f>
        <v>10240</v>
      </c>
      <c r="M1043" s="693">
        <f>SUM(M1039:M1042)</f>
        <v>512</v>
      </c>
      <c r="N1043" s="339">
        <f>IFERROR(K1043/E1043,"-")</f>
        <v>0.53759999999999997</v>
      </c>
      <c r="O1043" s="345">
        <f t="shared" si="1239"/>
        <v>4.7619047619047616E-2</v>
      </c>
    </row>
    <row r="1044" spans="1:15" ht="24" x14ac:dyDescent="0.25">
      <c r="A1044" s="274" t="s">
        <v>103</v>
      </c>
      <c r="B1044" s="965" t="s">
        <v>17</v>
      </c>
      <c r="C1044" s="269" t="s">
        <v>294</v>
      </c>
      <c r="D1044" s="269"/>
      <c r="E1044" s="270"/>
      <c r="F1044" s="271"/>
      <c r="G1044" s="332">
        <f t="shared" ref="G1044:G1050" si="1242">+H1044+I1044</f>
        <v>0</v>
      </c>
      <c r="H1044" s="272"/>
      <c r="I1044" s="272"/>
      <c r="J1044" s="351" t="str">
        <f>IFERROR(G1044/F1044,"-")</f>
        <v>-</v>
      </c>
      <c r="K1044" s="694">
        <f t="shared" ref="K1044:K1050" si="1243">+L1044+M1044</f>
        <v>0</v>
      </c>
      <c r="L1044" s="527">
        <f t="shared" ref="L1044:M1044" si="1244">+H1044+L928</f>
        <v>0</v>
      </c>
      <c r="M1044" s="459">
        <f t="shared" si="1244"/>
        <v>0</v>
      </c>
      <c r="N1044" s="336" t="str">
        <f t="shared" ref="N1044:N1050" si="1245">IFERROR(K1044/E1044,"-")</f>
        <v>-</v>
      </c>
      <c r="O1044" s="346" t="str">
        <f t="shared" si="1239"/>
        <v>-</v>
      </c>
    </row>
    <row r="1045" spans="1:15" ht="24" x14ac:dyDescent="0.25">
      <c r="A1045" s="274" t="s">
        <v>103</v>
      </c>
      <c r="B1045" s="966"/>
      <c r="C1045" s="275" t="s">
        <v>344</v>
      </c>
      <c r="D1045" s="275" t="s">
        <v>232</v>
      </c>
      <c r="E1045" s="276">
        <v>1600000</v>
      </c>
      <c r="F1045" s="277"/>
      <c r="G1045" s="333">
        <f t="shared" si="1242"/>
        <v>0</v>
      </c>
      <c r="H1045" s="278"/>
      <c r="I1045" s="278"/>
      <c r="J1045" s="351" t="str">
        <f t="shared" ref="J1045:J1050" si="1246">IFERROR(G1045/F1045,"-")</f>
        <v>-</v>
      </c>
      <c r="K1045" s="690">
        <f t="shared" si="1243"/>
        <v>6120</v>
      </c>
      <c r="L1045" s="276">
        <f t="shared" ref="L1045:M1045" si="1247">+H1045+L929</f>
        <v>5980</v>
      </c>
      <c r="M1045" s="436">
        <f t="shared" si="1247"/>
        <v>140</v>
      </c>
      <c r="N1045" s="337">
        <f t="shared" si="1245"/>
        <v>3.8249999999999998E-3</v>
      </c>
      <c r="O1045" s="263">
        <f t="shared" si="1239"/>
        <v>2.2875816993464051E-2</v>
      </c>
    </row>
    <row r="1046" spans="1:15" ht="24" x14ac:dyDescent="0.25">
      <c r="A1046" s="274" t="s">
        <v>103</v>
      </c>
      <c r="B1046" s="966"/>
      <c r="C1046" s="275" t="s">
        <v>367</v>
      </c>
      <c r="D1046" s="275" t="s">
        <v>187</v>
      </c>
      <c r="E1046" s="276">
        <v>1000000</v>
      </c>
      <c r="F1046" s="277"/>
      <c r="G1046" s="333">
        <f t="shared" si="1242"/>
        <v>116902</v>
      </c>
      <c r="H1046" s="278">
        <f>61200+48960+6120</f>
        <v>116280</v>
      </c>
      <c r="I1046" s="278">
        <f>425+197</f>
        <v>622</v>
      </c>
      <c r="J1046" s="351" t="str">
        <f t="shared" si="1246"/>
        <v>-</v>
      </c>
      <c r="K1046" s="690">
        <f t="shared" si="1243"/>
        <v>755916</v>
      </c>
      <c r="L1046" s="276">
        <f t="shared" ref="L1046:M1046" si="1248">+H1046+L930</f>
        <v>752760</v>
      </c>
      <c r="M1046" s="436">
        <f t="shared" si="1248"/>
        <v>3156</v>
      </c>
      <c r="N1046" s="337">
        <f t="shared" si="1245"/>
        <v>0.75591600000000003</v>
      </c>
      <c r="O1046" s="263">
        <f t="shared" si="1239"/>
        <v>4.1750670709443903E-3</v>
      </c>
    </row>
    <row r="1047" spans="1:15" ht="24" x14ac:dyDescent="0.25">
      <c r="A1047" s="274" t="s">
        <v>103</v>
      </c>
      <c r="B1047" s="966"/>
      <c r="C1047" s="275" t="s">
        <v>530</v>
      </c>
      <c r="D1047" s="275" t="s">
        <v>529</v>
      </c>
      <c r="E1047" s="276"/>
      <c r="F1047" s="277"/>
      <c r="G1047" s="333">
        <f t="shared" si="1242"/>
        <v>0</v>
      </c>
      <c r="H1047" s="278"/>
      <c r="I1047" s="278"/>
      <c r="J1047" s="351" t="str">
        <f t="shared" si="1246"/>
        <v>-</v>
      </c>
      <c r="K1047" s="690">
        <f t="shared" si="1243"/>
        <v>41558</v>
      </c>
      <c r="L1047" s="276">
        <f t="shared" ref="L1047:M1047" si="1249">+H1047+L931</f>
        <v>41350</v>
      </c>
      <c r="M1047" s="436">
        <f t="shared" si="1249"/>
        <v>208</v>
      </c>
      <c r="N1047" s="337" t="str">
        <f t="shared" si="1245"/>
        <v>-</v>
      </c>
      <c r="O1047" s="263">
        <f t="shared" si="1239"/>
        <v>5.0050531786900235E-3</v>
      </c>
    </row>
    <row r="1048" spans="1:15" ht="24" x14ac:dyDescent="0.25">
      <c r="A1048" s="274" t="s">
        <v>103</v>
      </c>
      <c r="B1048" s="966"/>
      <c r="C1048" s="275" t="s">
        <v>323</v>
      </c>
      <c r="D1048" s="275" t="s">
        <v>318</v>
      </c>
      <c r="E1048" s="276"/>
      <c r="F1048" s="277"/>
      <c r="G1048" s="333">
        <f t="shared" si="1242"/>
        <v>0</v>
      </c>
      <c r="H1048" s="278"/>
      <c r="I1048" s="278"/>
      <c r="J1048" s="351" t="str">
        <f t="shared" si="1246"/>
        <v>-</v>
      </c>
      <c r="K1048" s="690">
        <f t="shared" si="1243"/>
        <v>0</v>
      </c>
      <c r="L1048" s="276">
        <f t="shared" ref="L1048:M1048" si="1250">+H1048+L932</f>
        <v>0</v>
      </c>
      <c r="M1048" s="436">
        <f t="shared" si="1250"/>
        <v>0</v>
      </c>
      <c r="N1048" s="337" t="str">
        <f t="shared" si="1245"/>
        <v>-</v>
      </c>
      <c r="O1048" s="263" t="str">
        <f t="shared" si="1239"/>
        <v>-</v>
      </c>
    </row>
    <row r="1049" spans="1:15" ht="24" x14ac:dyDescent="0.25">
      <c r="A1049" s="274" t="s">
        <v>103</v>
      </c>
      <c r="B1049" s="966"/>
      <c r="C1049" s="275" t="s">
        <v>528</v>
      </c>
      <c r="D1049" s="275" t="s">
        <v>189</v>
      </c>
      <c r="E1049" s="276"/>
      <c r="F1049" s="277"/>
      <c r="G1049" s="333">
        <f t="shared" si="1242"/>
        <v>5302</v>
      </c>
      <c r="H1049" s="278">
        <v>5302</v>
      </c>
      <c r="I1049" s="278"/>
      <c r="J1049" s="351" t="str">
        <f t="shared" si="1246"/>
        <v>-</v>
      </c>
      <c r="K1049" s="690">
        <f t="shared" si="1243"/>
        <v>33900</v>
      </c>
      <c r="L1049" s="276">
        <f t="shared" ref="L1049:M1049" si="1251">+H1049+L933</f>
        <v>33760</v>
      </c>
      <c r="M1049" s="436">
        <f t="shared" si="1251"/>
        <v>140</v>
      </c>
      <c r="N1049" s="337" t="str">
        <f t="shared" si="1245"/>
        <v>-</v>
      </c>
      <c r="O1049" s="263">
        <f t="shared" si="1239"/>
        <v>4.1297935103244837E-3</v>
      </c>
    </row>
    <row r="1050" spans="1:15" ht="24.75" thickBot="1" x14ac:dyDescent="0.3">
      <c r="A1050" s="274" t="s">
        <v>103</v>
      </c>
      <c r="B1050" s="967"/>
      <c r="C1050" s="279" t="s">
        <v>341</v>
      </c>
      <c r="D1050" s="279" t="s">
        <v>232</v>
      </c>
      <c r="E1050" s="280"/>
      <c r="F1050" s="281"/>
      <c r="G1050" s="334">
        <f t="shared" si="1242"/>
        <v>0</v>
      </c>
      <c r="H1050" s="282"/>
      <c r="I1050" s="282"/>
      <c r="J1050" s="351" t="str">
        <f t="shared" si="1246"/>
        <v>-</v>
      </c>
      <c r="K1050" s="691">
        <f t="shared" si="1243"/>
        <v>0</v>
      </c>
      <c r="L1050" s="530">
        <f t="shared" ref="L1050:M1050" si="1252">+H1050+L934</f>
        <v>0</v>
      </c>
      <c r="M1050" s="462">
        <f t="shared" si="1252"/>
        <v>0</v>
      </c>
      <c r="N1050" s="338" t="str">
        <f t="shared" si="1245"/>
        <v>-</v>
      </c>
      <c r="O1050" s="347" t="str">
        <f t="shared" si="1239"/>
        <v>-</v>
      </c>
    </row>
    <row r="1051" spans="1:15" ht="23.25" thickBot="1" x14ac:dyDescent="0.3">
      <c r="A1051" s="274" t="s">
        <v>103</v>
      </c>
      <c r="B1051" s="946" t="s">
        <v>45</v>
      </c>
      <c r="C1051" s="947"/>
      <c r="D1051" s="948"/>
      <c r="E1051" s="320">
        <f>SUM(E1044:E1050)</f>
        <v>2600000</v>
      </c>
      <c r="F1051" s="285">
        <v>100000</v>
      </c>
      <c r="G1051" s="320">
        <f>SUM(G1044:G1050)</f>
        <v>122204</v>
      </c>
      <c r="H1051" s="321">
        <f t="shared" ref="H1051:I1051" si="1253">SUM(H1044:H1050)</f>
        <v>121582</v>
      </c>
      <c r="I1051" s="321">
        <f t="shared" si="1253"/>
        <v>622</v>
      </c>
      <c r="J1051" s="345">
        <f>+G1051/F1051</f>
        <v>1.22204</v>
      </c>
      <c r="K1051" s="320">
        <f>SUM(K1044:K1050)</f>
        <v>837494</v>
      </c>
      <c r="L1051" s="519">
        <f>SUM(L1044:L1050)</f>
        <v>833850</v>
      </c>
      <c r="M1051" s="689">
        <f t="shared" ref="M1051" si="1254">SUM(M1044:M1050)</f>
        <v>3644</v>
      </c>
      <c r="N1051" s="339">
        <f>IFERROR(K1051/E1051,"-")</f>
        <v>0.32211307692307695</v>
      </c>
      <c r="O1051" s="345">
        <f t="shared" si="1239"/>
        <v>4.3510759480067914E-3</v>
      </c>
    </row>
    <row r="1052" spans="1:15" ht="24" x14ac:dyDescent="0.25">
      <c r="A1052" s="274" t="s">
        <v>103</v>
      </c>
      <c r="B1052" s="965" t="s">
        <v>18</v>
      </c>
      <c r="C1052" s="269" t="s">
        <v>312</v>
      </c>
      <c r="D1052" s="269" t="s">
        <v>92</v>
      </c>
      <c r="E1052" s="270"/>
      <c r="F1052" s="271"/>
      <c r="G1052" s="332">
        <f t="shared" ref="G1052:G1058" si="1255">+H1052+I1052</f>
        <v>0</v>
      </c>
      <c r="H1052" s="272"/>
      <c r="I1052" s="272"/>
      <c r="J1052" s="351" t="str">
        <f>IFERROR(G1052/F1052,"-")</f>
        <v>-</v>
      </c>
      <c r="K1052" s="332">
        <f t="shared" ref="K1052:K1058" si="1256">+L1052+M1052</f>
        <v>0</v>
      </c>
      <c r="L1052" s="272">
        <f t="shared" ref="L1052:M1052" si="1257">+H1052+L936</f>
        <v>0</v>
      </c>
      <c r="M1052" s="273">
        <f t="shared" si="1257"/>
        <v>0</v>
      </c>
      <c r="N1052" s="336" t="str">
        <f t="shared" ref="N1052:N1059" si="1258">IFERROR(K1052/E1052,"-")</f>
        <v>-</v>
      </c>
      <c r="O1052" s="346" t="str">
        <f t="shared" si="1239"/>
        <v>-</v>
      </c>
    </row>
    <row r="1053" spans="1:15" ht="24" x14ac:dyDescent="0.25">
      <c r="A1053" s="274" t="s">
        <v>103</v>
      </c>
      <c r="B1053" s="966"/>
      <c r="C1053" s="275" t="s">
        <v>233</v>
      </c>
      <c r="D1053" s="275" t="s">
        <v>234</v>
      </c>
      <c r="E1053" s="276"/>
      <c r="F1053" s="277"/>
      <c r="G1053" s="333">
        <f t="shared" si="1255"/>
        <v>0</v>
      </c>
      <c r="H1053" s="278"/>
      <c r="I1053" s="278"/>
      <c r="J1053" s="351" t="str">
        <f t="shared" ref="J1053:J1058" si="1259">IFERROR(G1053/F1053,"-")</f>
        <v>-</v>
      </c>
      <c r="K1053" s="333">
        <f t="shared" si="1256"/>
        <v>0</v>
      </c>
      <c r="L1053" s="272">
        <f t="shared" ref="L1053:M1053" si="1260">+H1053+L937</f>
        <v>0</v>
      </c>
      <c r="M1053" s="273">
        <f t="shared" si="1260"/>
        <v>0</v>
      </c>
      <c r="N1053" s="337" t="str">
        <f t="shared" si="1258"/>
        <v>-</v>
      </c>
      <c r="O1053" s="263" t="str">
        <f t="shared" si="1239"/>
        <v>-</v>
      </c>
    </row>
    <row r="1054" spans="1:15" ht="24" x14ac:dyDescent="0.25">
      <c r="A1054" s="274" t="s">
        <v>103</v>
      </c>
      <c r="B1054" s="966"/>
      <c r="C1054" s="275" t="s">
        <v>115</v>
      </c>
      <c r="D1054" s="275"/>
      <c r="E1054" s="276"/>
      <c r="F1054" s="277"/>
      <c r="G1054" s="333">
        <f t="shared" si="1255"/>
        <v>0</v>
      </c>
      <c r="H1054" s="278"/>
      <c r="I1054" s="278"/>
      <c r="J1054" s="351" t="str">
        <f t="shared" si="1259"/>
        <v>-</v>
      </c>
      <c r="K1054" s="333">
        <f t="shared" si="1256"/>
        <v>0</v>
      </c>
      <c r="L1054" s="272">
        <f t="shared" ref="L1054:M1054" si="1261">+H1054+L938</f>
        <v>0</v>
      </c>
      <c r="M1054" s="273">
        <f t="shared" si="1261"/>
        <v>0</v>
      </c>
      <c r="N1054" s="337" t="str">
        <f t="shared" si="1258"/>
        <v>-</v>
      </c>
      <c r="O1054" s="263" t="str">
        <f t="shared" si="1239"/>
        <v>-</v>
      </c>
    </row>
    <row r="1055" spans="1:15" ht="24" x14ac:dyDescent="0.25">
      <c r="A1055" s="274" t="s">
        <v>103</v>
      </c>
      <c r="B1055" s="966"/>
      <c r="C1055" s="275" t="s">
        <v>122</v>
      </c>
      <c r="D1055" s="275"/>
      <c r="E1055" s="276"/>
      <c r="F1055" s="277"/>
      <c r="G1055" s="333">
        <f t="shared" si="1255"/>
        <v>0</v>
      </c>
      <c r="H1055" s="278"/>
      <c r="I1055" s="278"/>
      <c r="J1055" s="351" t="str">
        <f t="shared" si="1259"/>
        <v>-</v>
      </c>
      <c r="K1055" s="333">
        <f t="shared" si="1256"/>
        <v>0</v>
      </c>
      <c r="L1055" s="272">
        <f t="shared" ref="L1055:M1055" si="1262">+H1055+L939</f>
        <v>0</v>
      </c>
      <c r="M1055" s="273">
        <f t="shared" si="1262"/>
        <v>0</v>
      </c>
      <c r="N1055" s="337" t="str">
        <f t="shared" si="1258"/>
        <v>-</v>
      </c>
      <c r="O1055" s="263" t="str">
        <f t="shared" si="1239"/>
        <v>-</v>
      </c>
    </row>
    <row r="1056" spans="1:15" ht="24" x14ac:dyDescent="0.25">
      <c r="A1056" s="274" t="s">
        <v>103</v>
      </c>
      <c r="B1056" s="966"/>
      <c r="C1056" s="275" t="s">
        <v>176</v>
      </c>
      <c r="D1056" s="275" t="s">
        <v>177</v>
      </c>
      <c r="E1056" s="276"/>
      <c r="F1056" s="277"/>
      <c r="G1056" s="333">
        <f t="shared" si="1255"/>
        <v>0</v>
      </c>
      <c r="H1056" s="278"/>
      <c r="I1056" s="278"/>
      <c r="J1056" s="351" t="str">
        <f t="shared" si="1259"/>
        <v>-</v>
      </c>
      <c r="K1056" s="333">
        <f t="shared" si="1256"/>
        <v>0</v>
      </c>
      <c r="L1056" s="272">
        <f t="shared" ref="L1056:M1056" si="1263">+H1056+L940</f>
        <v>0</v>
      </c>
      <c r="M1056" s="273">
        <f t="shared" si="1263"/>
        <v>0</v>
      </c>
      <c r="N1056" s="337" t="str">
        <f t="shared" si="1258"/>
        <v>-</v>
      </c>
      <c r="O1056" s="263" t="str">
        <f t="shared" si="1239"/>
        <v>-</v>
      </c>
    </row>
    <row r="1057" spans="1:15" ht="24" x14ac:dyDescent="0.25">
      <c r="A1057" s="274" t="s">
        <v>103</v>
      </c>
      <c r="B1057" s="966"/>
      <c r="C1057" s="275" t="s">
        <v>179</v>
      </c>
      <c r="D1057" s="275" t="s">
        <v>178</v>
      </c>
      <c r="E1057" s="276"/>
      <c r="F1057" s="277"/>
      <c r="G1057" s="333">
        <f t="shared" si="1255"/>
        <v>0</v>
      </c>
      <c r="H1057" s="278"/>
      <c r="I1057" s="278"/>
      <c r="J1057" s="351" t="str">
        <f t="shared" si="1259"/>
        <v>-</v>
      </c>
      <c r="K1057" s="333">
        <f t="shared" si="1256"/>
        <v>0</v>
      </c>
      <c r="L1057" s="272">
        <f t="shared" ref="L1057:M1057" si="1264">+H1057+L941</f>
        <v>0</v>
      </c>
      <c r="M1057" s="273">
        <f t="shared" si="1264"/>
        <v>0</v>
      </c>
      <c r="N1057" s="337" t="str">
        <f t="shared" si="1258"/>
        <v>-</v>
      </c>
      <c r="O1057" s="263" t="str">
        <f t="shared" si="1239"/>
        <v>-</v>
      </c>
    </row>
    <row r="1058" spans="1:15" ht="24.75" thickBot="1" x14ac:dyDescent="0.3">
      <c r="A1058" s="274" t="s">
        <v>103</v>
      </c>
      <c r="B1058" s="967"/>
      <c r="C1058" s="286" t="s">
        <v>180</v>
      </c>
      <c r="D1058" s="286" t="s">
        <v>107</v>
      </c>
      <c r="E1058" s="280"/>
      <c r="F1058" s="281"/>
      <c r="G1058" s="334">
        <f t="shared" si="1255"/>
        <v>0</v>
      </c>
      <c r="H1058" s="282"/>
      <c r="I1058" s="282"/>
      <c r="J1058" s="351" t="str">
        <f t="shared" si="1259"/>
        <v>-</v>
      </c>
      <c r="K1058" s="334">
        <f t="shared" si="1256"/>
        <v>0</v>
      </c>
      <c r="L1058" s="272">
        <f t="shared" ref="L1058:M1058" si="1265">+H1058+L942</f>
        <v>0</v>
      </c>
      <c r="M1058" s="273">
        <f t="shared" si="1265"/>
        <v>0</v>
      </c>
      <c r="N1058" s="338" t="str">
        <f t="shared" si="1258"/>
        <v>-</v>
      </c>
      <c r="O1058" s="347" t="str">
        <f t="shared" si="1239"/>
        <v>-</v>
      </c>
    </row>
    <row r="1059" spans="1:15" ht="23.25" thickBot="1" x14ac:dyDescent="0.3">
      <c r="A1059" s="274" t="s">
        <v>103</v>
      </c>
      <c r="B1059" s="946" t="s">
        <v>29</v>
      </c>
      <c r="C1059" s="970"/>
      <c r="D1059" s="971"/>
      <c r="E1059" s="366">
        <f t="shared" ref="E1059" si="1266">SUM(E1052:E1058)</f>
        <v>0</v>
      </c>
      <c r="F1059" s="307">
        <v>80000</v>
      </c>
      <c r="G1059" s="366">
        <f>SUM(G1052:G1058)</f>
        <v>0</v>
      </c>
      <c r="H1059" s="365">
        <f t="shared" ref="H1059:I1059" si="1267">SUM(H1052:H1058)</f>
        <v>0</v>
      </c>
      <c r="I1059" s="365">
        <f t="shared" si="1267"/>
        <v>0</v>
      </c>
      <c r="J1059" s="356">
        <f>+G1059/F1059</f>
        <v>0</v>
      </c>
      <c r="K1059" s="366">
        <f t="shared" ref="K1059" si="1268">SUM(K1052:K1058)</f>
        <v>0</v>
      </c>
      <c r="L1059" s="365">
        <f>SUM(L1052:L1058)</f>
        <v>0</v>
      </c>
      <c r="M1059" s="367">
        <f t="shared" ref="M1059" si="1269">SUM(M1052:M1058)</f>
        <v>0</v>
      </c>
      <c r="N1059" s="355" t="str">
        <f t="shared" si="1258"/>
        <v>-</v>
      </c>
      <c r="O1059" s="356" t="str">
        <f t="shared" si="1239"/>
        <v>-</v>
      </c>
    </row>
    <row r="1060" spans="1:15" ht="24" x14ac:dyDescent="0.25">
      <c r="A1060" s="252" t="s">
        <v>103</v>
      </c>
      <c r="B1060" s="972" t="s">
        <v>19</v>
      </c>
      <c r="C1060" s="669" t="s">
        <v>235</v>
      </c>
      <c r="D1060" s="883" t="s">
        <v>177</v>
      </c>
      <c r="E1060" s="912"/>
      <c r="F1060" s="838">
        <v>220000</v>
      </c>
      <c r="G1060" s="457">
        <f t="shared" ref="G1060:G1066" si="1270">+H1060+I1060</f>
        <v>0</v>
      </c>
      <c r="H1060" s="458"/>
      <c r="I1060" s="458"/>
      <c r="J1060" s="531">
        <f>IFERROR(G1060/F1060,"-")</f>
        <v>0</v>
      </c>
      <c r="K1060" s="869">
        <f>+L1060+M1060</f>
        <v>0</v>
      </c>
      <c r="L1060" s="527">
        <f t="shared" ref="L1060:M1060" si="1271">+H1060+L944</f>
        <v>0</v>
      </c>
      <c r="M1060" s="838">
        <f t="shared" si="1271"/>
        <v>0</v>
      </c>
      <c r="N1060" s="646" t="str">
        <f>IFERROR(K1060/E1060,"-")</f>
        <v>-</v>
      </c>
      <c r="O1060" s="647" t="str">
        <f t="shared" si="1239"/>
        <v>-</v>
      </c>
    </row>
    <row r="1061" spans="1:15" ht="24" x14ac:dyDescent="0.25">
      <c r="A1061" s="252"/>
      <c r="B1061" s="973"/>
      <c r="C1061" s="840" t="s">
        <v>377</v>
      </c>
      <c r="D1061" s="876" t="s">
        <v>423</v>
      </c>
      <c r="E1061" s="511">
        <v>1000000</v>
      </c>
      <c r="F1061" s="277"/>
      <c r="G1061" s="333">
        <f t="shared" si="1270"/>
        <v>0</v>
      </c>
      <c r="H1061" s="278"/>
      <c r="I1061" s="278"/>
      <c r="J1061" s="352" t="str">
        <f t="shared" ref="J1061:J1066" si="1272">IFERROR(G1061/F1061,"-")</f>
        <v>-</v>
      </c>
      <c r="K1061" s="870">
        <f>+L1061+M1061</f>
        <v>576188</v>
      </c>
      <c r="L1061" s="276">
        <f t="shared" ref="L1061:M1061" si="1273">+H1061+L945</f>
        <v>574464</v>
      </c>
      <c r="M1061" s="277">
        <f t="shared" si="1273"/>
        <v>1724</v>
      </c>
      <c r="N1061" s="836">
        <f t="shared" ref="N1061:N1066" si="1274">IFERROR(K1061/E1061,"-")</f>
        <v>0.57618800000000003</v>
      </c>
      <c r="O1061" s="263">
        <f>IFERROR(M1061/K1061,"-")</f>
        <v>2.9920789742236909E-3</v>
      </c>
    </row>
    <row r="1062" spans="1:15" ht="24" x14ac:dyDescent="0.25">
      <c r="A1062" s="252"/>
      <c r="B1062" s="973"/>
      <c r="C1062" s="840" t="s">
        <v>235</v>
      </c>
      <c r="D1062" s="876" t="s">
        <v>522</v>
      </c>
      <c r="E1062" s="511"/>
      <c r="F1062" s="277"/>
      <c r="G1062" s="333">
        <f t="shared" si="1270"/>
        <v>0</v>
      </c>
      <c r="H1062" s="278"/>
      <c r="I1062" s="278"/>
      <c r="J1062" s="352" t="str">
        <f t="shared" si="1272"/>
        <v>-</v>
      </c>
      <c r="K1062" s="870">
        <f t="shared" ref="K1062:K1064" si="1275">+L1062+M1062</f>
        <v>175193</v>
      </c>
      <c r="L1062" s="276">
        <f t="shared" ref="L1062:M1062" si="1276">+H1062+L946</f>
        <v>174768</v>
      </c>
      <c r="M1062" s="277">
        <f t="shared" si="1276"/>
        <v>425</v>
      </c>
      <c r="N1062" s="836" t="str">
        <f t="shared" si="1274"/>
        <v>-</v>
      </c>
      <c r="O1062" s="263">
        <f t="shared" ref="O1062:O1123" si="1277">IFERROR(M1062/K1062,"-")</f>
        <v>2.4258960118269564E-3</v>
      </c>
    </row>
    <row r="1063" spans="1:15" ht="24" x14ac:dyDescent="0.25">
      <c r="A1063" s="252"/>
      <c r="B1063" s="973"/>
      <c r="C1063" s="840" t="s">
        <v>377</v>
      </c>
      <c r="D1063" s="876" t="s">
        <v>522</v>
      </c>
      <c r="E1063" s="511"/>
      <c r="F1063" s="277"/>
      <c r="G1063" s="333">
        <f t="shared" si="1270"/>
        <v>16896</v>
      </c>
      <c r="H1063" s="278">
        <v>16896</v>
      </c>
      <c r="I1063" s="278"/>
      <c r="J1063" s="352" t="str">
        <f t="shared" si="1272"/>
        <v>-</v>
      </c>
      <c r="K1063" s="870">
        <f t="shared" si="1275"/>
        <v>279647</v>
      </c>
      <c r="L1063" s="276">
        <f t="shared" ref="L1063:M1063" si="1278">+H1063+L947</f>
        <v>278784</v>
      </c>
      <c r="M1063" s="277">
        <f t="shared" si="1278"/>
        <v>863</v>
      </c>
      <c r="N1063" s="836" t="str">
        <f t="shared" si="1274"/>
        <v>-</v>
      </c>
      <c r="O1063" s="263">
        <f t="shared" si="1277"/>
        <v>3.0860334636166309E-3</v>
      </c>
    </row>
    <row r="1064" spans="1:15" ht="24" x14ac:dyDescent="0.25">
      <c r="A1064" s="252"/>
      <c r="B1064" s="973"/>
      <c r="C1064" s="840" t="s">
        <v>551</v>
      </c>
      <c r="D1064" s="876" t="s">
        <v>522</v>
      </c>
      <c r="E1064" s="511"/>
      <c r="F1064" s="277"/>
      <c r="G1064" s="333">
        <f t="shared" si="1270"/>
        <v>68019</v>
      </c>
      <c r="H1064" s="278">
        <f>42240+25344</f>
        <v>67584</v>
      </c>
      <c r="I1064" s="278">
        <f>231+204</f>
        <v>435</v>
      </c>
      <c r="J1064" s="352" t="str">
        <f t="shared" si="1272"/>
        <v>-</v>
      </c>
      <c r="K1064" s="870">
        <f t="shared" si="1275"/>
        <v>76607</v>
      </c>
      <c r="L1064" s="276">
        <f t="shared" ref="L1064:M1064" si="1279">+H1064+L948</f>
        <v>76032</v>
      </c>
      <c r="M1064" s="277">
        <f t="shared" si="1279"/>
        <v>575</v>
      </c>
      <c r="N1064" s="836" t="str">
        <f t="shared" si="1274"/>
        <v>-</v>
      </c>
      <c r="O1064" s="263">
        <f t="shared" si="1277"/>
        <v>7.5058415027347367E-3</v>
      </c>
    </row>
    <row r="1065" spans="1:15" ht="24" x14ac:dyDescent="0.25">
      <c r="A1065" s="252"/>
      <c r="B1065" s="973"/>
      <c r="C1065" s="840"/>
      <c r="D1065" s="876"/>
      <c r="E1065" s="511"/>
      <c r="F1065" s="277"/>
      <c r="G1065" s="333">
        <f t="shared" ref="G1065" si="1280">+H1065+I1065</f>
        <v>0</v>
      </c>
      <c r="H1065" s="278"/>
      <c r="I1065" s="278"/>
      <c r="J1065" s="352" t="str">
        <f t="shared" ref="J1065" si="1281">IFERROR(G1065/F1065,"-")</f>
        <v>-</v>
      </c>
      <c r="K1065" s="870">
        <f t="shared" ref="K1065" si="1282">+L1065+M1065</f>
        <v>0</v>
      </c>
      <c r="L1065" s="276">
        <f>+H1065</f>
        <v>0</v>
      </c>
      <c r="M1065" s="277">
        <f>+I1065</f>
        <v>0</v>
      </c>
      <c r="N1065" s="836" t="str">
        <f t="shared" ref="N1065" si="1283">IFERROR(K1065/E1065,"-")</f>
        <v>-</v>
      </c>
      <c r="O1065" s="263" t="str">
        <f t="shared" ref="O1065" si="1284">IFERROR(M1065/K1065,"-")</f>
        <v>-</v>
      </c>
    </row>
    <row r="1066" spans="1:15" ht="24.75" thickBot="1" x14ac:dyDescent="0.3">
      <c r="A1066" s="252"/>
      <c r="B1066" s="974"/>
      <c r="C1066" s="670" t="s">
        <v>342</v>
      </c>
      <c r="D1066" s="884"/>
      <c r="E1066" s="913">
        <v>150000</v>
      </c>
      <c r="F1066" s="839"/>
      <c r="G1066" s="460">
        <f t="shared" si="1270"/>
        <v>0</v>
      </c>
      <c r="H1066" s="461"/>
      <c r="I1066" s="461"/>
      <c r="J1066" s="532" t="str">
        <f t="shared" si="1272"/>
        <v>-</v>
      </c>
      <c r="K1066" s="871">
        <f>+L1066+M1066</f>
        <v>0</v>
      </c>
      <c r="L1066" s="530">
        <f t="shared" ref="L1066:M1066" si="1285">+H1066+L949</f>
        <v>0</v>
      </c>
      <c r="M1066" s="839">
        <f t="shared" si="1285"/>
        <v>0</v>
      </c>
      <c r="N1066" s="837">
        <f t="shared" si="1274"/>
        <v>0</v>
      </c>
      <c r="O1066" s="264" t="str">
        <f t="shared" si="1277"/>
        <v>-</v>
      </c>
    </row>
    <row r="1067" spans="1:15" ht="23.25" thickBot="1" x14ac:dyDescent="0.3">
      <c r="A1067" s="274" t="s">
        <v>103</v>
      </c>
      <c r="B1067" s="975" t="s">
        <v>46</v>
      </c>
      <c r="C1067" s="976"/>
      <c r="D1067" s="977"/>
      <c r="E1067" s="513">
        <f>SUM(E1060:E1066)</f>
        <v>1150000</v>
      </c>
      <c r="F1067" s="859">
        <f t="shared" ref="F1067" si="1286">SUM(F1060)</f>
        <v>220000</v>
      </c>
      <c r="G1067" s="513">
        <f>SUM(G1060:G1066)</f>
        <v>84915</v>
      </c>
      <c r="H1067" s="519">
        <f>SUM(H1060:H1066)</f>
        <v>84480</v>
      </c>
      <c r="I1067" s="519">
        <f>SUM(I1060:I1066)</f>
        <v>435</v>
      </c>
      <c r="J1067" s="520">
        <f>+G1067/F1067</f>
        <v>0.38597727272727272</v>
      </c>
      <c r="K1067" s="835">
        <f>SUM(K1060:K1066)</f>
        <v>1107635</v>
      </c>
      <c r="L1067" s="519">
        <f>SUM(L1060:L1066)</f>
        <v>1104048</v>
      </c>
      <c r="M1067" s="689">
        <f>SUM(M1060:M1066)</f>
        <v>3587</v>
      </c>
      <c r="N1067" s="521">
        <f>IFERROR(K1067/E1067,"-")</f>
        <v>0.9631608695652174</v>
      </c>
      <c r="O1067" s="520">
        <f t="shared" si="1277"/>
        <v>3.2384314327373186E-3</v>
      </c>
    </row>
    <row r="1068" spans="1:15" ht="24" x14ac:dyDescent="0.25">
      <c r="A1068" s="274" t="s">
        <v>103</v>
      </c>
      <c r="B1068" s="965" t="s">
        <v>20</v>
      </c>
      <c r="C1068" s="291" t="s">
        <v>317</v>
      </c>
      <c r="D1068" s="291" t="s">
        <v>289</v>
      </c>
      <c r="E1068" s="270"/>
      <c r="F1068" s="271"/>
      <c r="G1068" s="332">
        <f t="shared" ref="G1068:G1070" si="1287">+H1068+I1068</f>
        <v>0</v>
      </c>
      <c r="H1068" s="272"/>
      <c r="I1068" s="272"/>
      <c r="J1068" s="351" t="str">
        <f>IFERROR(G1068/F1068,"-")</f>
        <v>-</v>
      </c>
      <c r="K1068" s="332">
        <f t="shared" ref="K1068:K1070" si="1288">+L1068+M1068</f>
        <v>0</v>
      </c>
      <c r="L1068" s="272">
        <f t="shared" ref="L1068:M1068" si="1289">+H1068+L951</f>
        <v>0</v>
      </c>
      <c r="M1068" s="273">
        <f t="shared" si="1289"/>
        <v>0</v>
      </c>
      <c r="N1068" s="336" t="str">
        <f t="shared" ref="N1068:N1071" si="1290">IFERROR(K1068/E1068,"-")</f>
        <v>-</v>
      </c>
      <c r="O1068" s="346" t="str">
        <f t="shared" si="1277"/>
        <v>-</v>
      </c>
    </row>
    <row r="1069" spans="1:15" ht="24" x14ac:dyDescent="0.25">
      <c r="A1069" s="274" t="s">
        <v>103</v>
      </c>
      <c r="B1069" s="966"/>
      <c r="C1069" s="292" t="s">
        <v>114</v>
      </c>
      <c r="D1069" s="292"/>
      <c r="E1069" s="276"/>
      <c r="F1069" s="277"/>
      <c r="G1069" s="333">
        <f t="shared" si="1287"/>
        <v>0</v>
      </c>
      <c r="H1069" s="278"/>
      <c r="I1069" s="278"/>
      <c r="J1069" s="351" t="str">
        <f t="shared" ref="J1069:J1070" si="1291">IFERROR(G1069/F1069,"-")</f>
        <v>-</v>
      </c>
      <c r="K1069" s="333">
        <f t="shared" si="1288"/>
        <v>0</v>
      </c>
      <c r="L1069" s="272">
        <f t="shared" ref="L1069:M1069" si="1292">+H1069+L952</f>
        <v>0</v>
      </c>
      <c r="M1069" s="273">
        <f t="shared" si="1292"/>
        <v>0</v>
      </c>
      <c r="N1069" s="337" t="str">
        <f t="shared" si="1290"/>
        <v>-</v>
      </c>
      <c r="O1069" s="263" t="str">
        <f t="shared" si="1277"/>
        <v>-</v>
      </c>
    </row>
    <row r="1070" spans="1:15" ht="24.75" thickBot="1" x14ac:dyDescent="0.3">
      <c r="A1070" s="274" t="s">
        <v>103</v>
      </c>
      <c r="B1070" s="967"/>
      <c r="C1070" s="293" t="s">
        <v>120</v>
      </c>
      <c r="D1070" s="293"/>
      <c r="E1070" s="280"/>
      <c r="F1070" s="281"/>
      <c r="G1070" s="334">
        <f t="shared" si="1287"/>
        <v>0</v>
      </c>
      <c r="H1070" s="282"/>
      <c r="I1070" s="282"/>
      <c r="J1070" s="351" t="str">
        <f t="shared" si="1291"/>
        <v>-</v>
      </c>
      <c r="K1070" s="334">
        <f t="shared" si="1288"/>
        <v>0</v>
      </c>
      <c r="L1070" s="272">
        <f t="shared" ref="L1070:M1070" si="1293">+H1070+L953</f>
        <v>0</v>
      </c>
      <c r="M1070" s="273">
        <f t="shared" si="1293"/>
        <v>0</v>
      </c>
      <c r="N1070" s="338" t="str">
        <f t="shared" si="1290"/>
        <v>-</v>
      </c>
      <c r="O1070" s="347" t="str">
        <f t="shared" si="1277"/>
        <v>-</v>
      </c>
    </row>
    <row r="1071" spans="1:15" ht="23.25" thickBot="1" x14ac:dyDescent="0.3">
      <c r="A1071" s="274" t="s">
        <v>103</v>
      </c>
      <c r="B1071" s="947" t="s">
        <v>47</v>
      </c>
      <c r="C1071" s="947"/>
      <c r="D1071" s="964"/>
      <c r="E1071" s="320">
        <f t="shared" ref="E1071" si="1294">SUM(E1068:E1070)</f>
        <v>0</v>
      </c>
      <c r="F1071" s="285">
        <v>50000</v>
      </c>
      <c r="G1071" s="320">
        <f>SUM(G1068:G1070)</f>
        <v>0</v>
      </c>
      <c r="H1071" s="321">
        <f t="shared" ref="H1071:I1071" si="1295">SUM(H1068:H1070)</f>
        <v>0</v>
      </c>
      <c r="I1071" s="321">
        <f t="shared" si="1295"/>
        <v>0</v>
      </c>
      <c r="J1071" s="345">
        <f>+G1071/F1071</f>
        <v>0</v>
      </c>
      <c r="K1071" s="320">
        <f t="shared" ref="K1071:M1071" si="1296">SUM(K1068:K1070)</f>
        <v>0</v>
      </c>
      <c r="L1071" s="321">
        <f t="shared" si="1296"/>
        <v>0</v>
      </c>
      <c r="M1071" s="322">
        <f t="shared" si="1296"/>
        <v>0</v>
      </c>
      <c r="N1071" s="339" t="str">
        <f t="shared" si="1290"/>
        <v>-</v>
      </c>
      <c r="O1071" s="345" t="str">
        <f t="shared" si="1277"/>
        <v>-</v>
      </c>
    </row>
    <row r="1072" spans="1:15" ht="23.25" thickBot="1" x14ac:dyDescent="0.3">
      <c r="A1072" s="274" t="s">
        <v>103</v>
      </c>
      <c r="B1072" s="960" t="s">
        <v>21</v>
      </c>
      <c r="C1072" s="961"/>
      <c r="D1072" s="962"/>
      <c r="E1072" s="326">
        <f>+E1043+E1051+E1059+E1067+E1071</f>
        <v>3770000</v>
      </c>
      <c r="F1072" s="327">
        <f>+F1043+F1051+F1059+F1067+F1071</f>
        <v>465000</v>
      </c>
      <c r="G1072" s="326">
        <f>+G1043+G1051+G1059+G1067+G1071</f>
        <v>209601</v>
      </c>
      <c r="H1072" s="324">
        <f>+H1043+H1051+H1059+H1067+H1071</f>
        <v>208302</v>
      </c>
      <c r="I1072" s="324">
        <f>+I1043+I1051+I1059+I1067+I1071</f>
        <v>1299</v>
      </c>
      <c r="J1072" s="349">
        <f>+G1072/F1072</f>
        <v>0.45075483870967742</v>
      </c>
      <c r="K1072" s="326">
        <f>+K1043+K1051+K1059+K1067+K1071</f>
        <v>1955881</v>
      </c>
      <c r="L1072" s="324">
        <f>+L1043+L1051+L1059+L1067+L1071</f>
        <v>1948138</v>
      </c>
      <c r="M1072" s="325">
        <f>+M1043+M1051+M1059+M1067+M1071</f>
        <v>7743</v>
      </c>
      <c r="N1072" s="341">
        <f>IFERROR(K1072/E1072,"-")</f>
        <v>0.5188013262599469</v>
      </c>
      <c r="O1072" s="349">
        <f t="shared" si="1277"/>
        <v>3.9588298061078355E-3</v>
      </c>
    </row>
    <row r="1073" spans="1:15" ht="24" x14ac:dyDescent="0.25">
      <c r="A1073" s="274" t="s">
        <v>103</v>
      </c>
      <c r="B1073" s="965" t="s">
        <v>400</v>
      </c>
      <c r="C1073" s="269" t="s">
        <v>125</v>
      </c>
      <c r="D1073" s="269"/>
      <c r="E1073" s="270"/>
      <c r="F1073" s="271"/>
      <c r="G1073" s="332">
        <f t="shared" ref="G1073:G1076" si="1297">+H1073+I1073</f>
        <v>0</v>
      </c>
      <c r="H1073" s="272"/>
      <c r="I1073" s="272"/>
      <c r="J1073" s="351" t="str">
        <f>IFERROR(G1073/F1073,"-")</f>
        <v>-</v>
      </c>
      <c r="K1073" s="332">
        <f t="shared" ref="K1073:K1076" si="1298">+L1073+M1073</f>
        <v>0</v>
      </c>
      <c r="L1073" s="272">
        <f t="shared" ref="L1073:M1073" si="1299">+H1073+L956</f>
        <v>0</v>
      </c>
      <c r="M1073" s="273">
        <f t="shared" si="1299"/>
        <v>0</v>
      </c>
      <c r="N1073" s="336" t="str">
        <f t="shared" ref="N1073:N1088" si="1300">IFERROR(K1073/E1073,"-")</f>
        <v>-</v>
      </c>
      <c r="O1073" s="346" t="str">
        <f t="shared" si="1277"/>
        <v>-</v>
      </c>
    </row>
    <row r="1074" spans="1:15" ht="24" x14ac:dyDescent="0.25">
      <c r="A1074" s="274" t="s">
        <v>103</v>
      </c>
      <c r="B1074" s="966"/>
      <c r="C1074" s="295" t="s">
        <v>263</v>
      </c>
      <c r="D1074" s="295" t="s">
        <v>181</v>
      </c>
      <c r="E1074" s="276"/>
      <c r="F1074" s="277"/>
      <c r="G1074" s="333">
        <f t="shared" si="1297"/>
        <v>0</v>
      </c>
      <c r="H1074" s="278"/>
      <c r="I1074" s="278"/>
      <c r="J1074" s="351" t="str">
        <f t="shared" ref="J1074:J1076" si="1301">IFERROR(G1074/F1074,"-")</f>
        <v>-</v>
      </c>
      <c r="K1074" s="333">
        <f t="shared" si="1298"/>
        <v>0</v>
      </c>
      <c r="L1074" s="272">
        <f t="shared" ref="L1074:M1074" si="1302">+H1074+L957</f>
        <v>0</v>
      </c>
      <c r="M1074" s="273">
        <f t="shared" si="1302"/>
        <v>0</v>
      </c>
      <c r="N1074" s="337" t="str">
        <f t="shared" si="1300"/>
        <v>-</v>
      </c>
      <c r="O1074" s="263" t="str">
        <f t="shared" si="1277"/>
        <v>-</v>
      </c>
    </row>
    <row r="1075" spans="1:15" ht="24" x14ac:dyDescent="0.25">
      <c r="A1075" s="274" t="s">
        <v>103</v>
      </c>
      <c r="B1075" s="966"/>
      <c r="C1075" s="295" t="s">
        <v>362</v>
      </c>
      <c r="D1075" s="295" t="s">
        <v>181</v>
      </c>
      <c r="E1075" s="276"/>
      <c r="F1075" s="277"/>
      <c r="G1075" s="333">
        <f t="shared" si="1297"/>
        <v>0</v>
      </c>
      <c r="H1075" s="278"/>
      <c r="I1075" s="278"/>
      <c r="J1075" s="351" t="str">
        <f t="shared" si="1301"/>
        <v>-</v>
      </c>
      <c r="K1075" s="333">
        <f t="shared" si="1298"/>
        <v>0</v>
      </c>
      <c r="L1075" s="272">
        <f t="shared" ref="L1075:M1075" si="1303">+H1075+L958</f>
        <v>0</v>
      </c>
      <c r="M1075" s="273">
        <f t="shared" si="1303"/>
        <v>0</v>
      </c>
      <c r="N1075" s="337" t="str">
        <f t="shared" si="1300"/>
        <v>-</v>
      </c>
      <c r="O1075" s="263" t="str">
        <f t="shared" si="1277"/>
        <v>-</v>
      </c>
    </row>
    <row r="1076" spans="1:15" ht="24.75" thickBot="1" x14ac:dyDescent="0.3">
      <c r="A1076" s="274" t="s">
        <v>103</v>
      </c>
      <c r="B1076" s="967"/>
      <c r="C1076" s="279" t="s">
        <v>182</v>
      </c>
      <c r="D1076" s="279" t="s">
        <v>93</v>
      </c>
      <c r="E1076" s="280"/>
      <c r="F1076" s="281"/>
      <c r="G1076" s="334">
        <f t="shared" si="1297"/>
        <v>39700</v>
      </c>
      <c r="H1076" s="282">
        <v>39600</v>
      </c>
      <c r="I1076" s="282">
        <v>100</v>
      </c>
      <c r="J1076" s="351" t="str">
        <f t="shared" si="1301"/>
        <v>-</v>
      </c>
      <c r="K1076" s="334">
        <f t="shared" si="1298"/>
        <v>39700</v>
      </c>
      <c r="L1076" s="272">
        <f t="shared" ref="L1076:M1076" si="1304">+H1076+L959</f>
        <v>39600</v>
      </c>
      <c r="M1076" s="273">
        <f t="shared" si="1304"/>
        <v>100</v>
      </c>
      <c r="N1076" s="338" t="str">
        <f t="shared" si="1300"/>
        <v>-</v>
      </c>
      <c r="O1076" s="347">
        <f t="shared" si="1277"/>
        <v>2.5188916876574307E-3</v>
      </c>
    </row>
    <row r="1077" spans="1:15" ht="23.25" thickBot="1" x14ac:dyDescent="0.3">
      <c r="A1077" s="274" t="s">
        <v>103</v>
      </c>
      <c r="B1077" s="946" t="s">
        <v>48</v>
      </c>
      <c r="C1077" s="947"/>
      <c r="D1077" s="948"/>
      <c r="E1077" s="284">
        <f>SUM(E1073:E1076)</f>
        <v>0</v>
      </c>
      <c r="F1077" s="285">
        <v>80000</v>
      </c>
      <c r="G1077" s="320">
        <f>SUM(G1073:G1076)</f>
        <v>39700</v>
      </c>
      <c r="H1077" s="321">
        <f t="shared" ref="H1077:I1077" si="1305">SUM(H1073:H1076)</f>
        <v>39600</v>
      </c>
      <c r="I1077" s="321">
        <f t="shared" si="1305"/>
        <v>100</v>
      </c>
      <c r="J1077" s="345">
        <f>+G1077/F1077</f>
        <v>0.49625000000000002</v>
      </c>
      <c r="K1077" s="320">
        <f t="shared" ref="K1077" si="1306">SUM(K1073:K1076)</f>
        <v>39700</v>
      </c>
      <c r="L1077" s="321">
        <f>SUM(L1073:L1076)</f>
        <v>39600</v>
      </c>
      <c r="M1077" s="322">
        <f t="shared" ref="M1077" si="1307">SUM(M1073:M1076)</f>
        <v>100</v>
      </c>
      <c r="N1077" s="339" t="str">
        <f t="shared" si="1300"/>
        <v>-</v>
      </c>
      <c r="O1077" s="345">
        <f t="shared" si="1277"/>
        <v>2.5188916876574307E-3</v>
      </c>
    </row>
    <row r="1078" spans="1:15" ht="24" x14ac:dyDescent="0.25">
      <c r="A1078" s="274" t="s">
        <v>103</v>
      </c>
      <c r="B1078" s="965" t="s">
        <v>23</v>
      </c>
      <c r="C1078" s="275" t="s">
        <v>500</v>
      </c>
      <c r="D1078" s="296" t="s">
        <v>238</v>
      </c>
      <c r="E1078" s="270">
        <v>10000</v>
      </c>
      <c r="F1078" s="271"/>
      <c r="G1078" s="332">
        <f t="shared" ref="G1078:G1086" si="1308">+H1078+I1078</f>
        <v>0</v>
      </c>
      <c r="H1078" s="272"/>
      <c r="I1078" s="272"/>
      <c r="J1078" s="351" t="str">
        <f>IFERROR(G1078/F1078,"-")</f>
        <v>-</v>
      </c>
      <c r="K1078" s="332">
        <f t="shared" ref="K1078:K1086" si="1309">+L1078+M1078</f>
        <v>0</v>
      </c>
      <c r="L1078" s="272">
        <f t="shared" ref="L1078:M1078" si="1310">+H1078+L961</f>
        <v>0</v>
      </c>
      <c r="M1078" s="273">
        <f t="shared" si="1310"/>
        <v>0</v>
      </c>
      <c r="N1078" s="336">
        <f t="shared" si="1300"/>
        <v>0</v>
      </c>
      <c r="O1078" s="346" t="str">
        <f t="shared" si="1277"/>
        <v>-</v>
      </c>
    </row>
    <row r="1079" spans="1:15" ht="24" x14ac:dyDescent="0.25">
      <c r="A1079" s="274" t="s">
        <v>103</v>
      </c>
      <c r="B1079" s="966"/>
      <c r="C1079" s="275" t="s">
        <v>24</v>
      </c>
      <c r="D1079" s="275" t="s">
        <v>238</v>
      </c>
      <c r="E1079" s="276">
        <v>112000</v>
      </c>
      <c r="F1079" s="277"/>
      <c r="G1079" s="333">
        <f t="shared" si="1308"/>
        <v>0</v>
      </c>
      <c r="H1079" s="278"/>
      <c r="I1079" s="278"/>
      <c r="J1079" s="351" t="str">
        <f t="shared" ref="J1079:J1086" si="1311">IFERROR(G1079/F1079,"-")</f>
        <v>-</v>
      </c>
      <c r="K1079" s="333">
        <f t="shared" si="1309"/>
        <v>0</v>
      </c>
      <c r="L1079" s="272">
        <f t="shared" ref="L1079:M1079" si="1312">+H1079+L962</f>
        <v>0</v>
      </c>
      <c r="M1079" s="273">
        <f t="shared" si="1312"/>
        <v>0</v>
      </c>
      <c r="N1079" s="337">
        <f t="shared" si="1300"/>
        <v>0</v>
      </c>
      <c r="O1079" s="263" t="str">
        <f t="shared" si="1277"/>
        <v>-</v>
      </c>
    </row>
    <row r="1080" spans="1:15" ht="24" x14ac:dyDescent="0.25">
      <c r="A1080" s="274" t="s">
        <v>103</v>
      </c>
      <c r="B1080" s="966"/>
      <c r="C1080" s="275" t="s">
        <v>236</v>
      </c>
      <c r="D1080" s="275" t="s">
        <v>238</v>
      </c>
      <c r="E1080" s="276">
        <v>40000</v>
      </c>
      <c r="F1080" s="277"/>
      <c r="G1080" s="333">
        <f t="shared" si="1308"/>
        <v>0</v>
      </c>
      <c r="H1080" s="278"/>
      <c r="I1080" s="278"/>
      <c r="J1080" s="351" t="str">
        <f t="shared" si="1311"/>
        <v>-</v>
      </c>
      <c r="K1080" s="333">
        <f t="shared" si="1309"/>
        <v>0</v>
      </c>
      <c r="L1080" s="272">
        <f t="shared" ref="L1080:M1080" si="1313">+H1080+L963</f>
        <v>0</v>
      </c>
      <c r="M1080" s="273">
        <f t="shared" si="1313"/>
        <v>0</v>
      </c>
      <c r="N1080" s="337">
        <f t="shared" si="1300"/>
        <v>0</v>
      </c>
      <c r="O1080" s="263" t="str">
        <f t="shared" si="1277"/>
        <v>-</v>
      </c>
    </row>
    <row r="1081" spans="1:15" ht="24" x14ac:dyDescent="0.25">
      <c r="A1081" s="274" t="s">
        <v>103</v>
      </c>
      <c r="B1081" s="966"/>
      <c r="C1081" s="275" t="s">
        <v>239</v>
      </c>
      <c r="D1081" s="275" t="s">
        <v>238</v>
      </c>
      <c r="E1081" s="276">
        <v>4000</v>
      </c>
      <c r="F1081" s="277"/>
      <c r="G1081" s="333">
        <f t="shared" si="1308"/>
        <v>0</v>
      </c>
      <c r="H1081" s="278"/>
      <c r="I1081" s="278"/>
      <c r="J1081" s="351" t="str">
        <f t="shared" si="1311"/>
        <v>-</v>
      </c>
      <c r="K1081" s="333">
        <f t="shared" si="1309"/>
        <v>0</v>
      </c>
      <c r="L1081" s="272">
        <f t="shared" ref="L1081:M1081" si="1314">+H1081+L964</f>
        <v>0</v>
      </c>
      <c r="M1081" s="273">
        <f t="shared" si="1314"/>
        <v>0</v>
      </c>
      <c r="N1081" s="337">
        <f t="shared" si="1300"/>
        <v>0</v>
      </c>
      <c r="O1081" s="263" t="str">
        <f t="shared" si="1277"/>
        <v>-</v>
      </c>
    </row>
    <row r="1082" spans="1:15" ht="24" x14ac:dyDescent="0.25">
      <c r="A1082" s="274" t="s">
        <v>103</v>
      </c>
      <c r="B1082" s="966"/>
      <c r="C1082" s="295" t="s">
        <v>394</v>
      </c>
      <c r="D1082" s="275" t="s">
        <v>238</v>
      </c>
      <c r="E1082" s="276">
        <v>8500</v>
      </c>
      <c r="F1082" s="277"/>
      <c r="G1082" s="333">
        <f t="shared" si="1308"/>
        <v>0</v>
      </c>
      <c r="H1082" s="278"/>
      <c r="I1082" s="278"/>
      <c r="J1082" s="351" t="str">
        <f t="shared" si="1311"/>
        <v>-</v>
      </c>
      <c r="K1082" s="333">
        <f t="shared" si="1309"/>
        <v>0</v>
      </c>
      <c r="L1082" s="272">
        <f t="shared" ref="L1082:M1082" si="1315">+H1082+L965</f>
        <v>0</v>
      </c>
      <c r="M1082" s="273">
        <f t="shared" si="1315"/>
        <v>0</v>
      </c>
      <c r="N1082" s="337">
        <f t="shared" si="1300"/>
        <v>0</v>
      </c>
      <c r="O1082" s="263" t="str">
        <f t="shared" si="1277"/>
        <v>-</v>
      </c>
    </row>
    <row r="1083" spans="1:15" ht="24" x14ac:dyDescent="0.25">
      <c r="A1083" s="274" t="s">
        <v>103</v>
      </c>
      <c r="B1083" s="966"/>
      <c r="C1083" s="295" t="s">
        <v>422</v>
      </c>
      <c r="D1083" s="275" t="s">
        <v>238</v>
      </c>
      <c r="E1083" s="276">
        <v>10000</v>
      </c>
      <c r="F1083" s="277"/>
      <c r="G1083" s="333">
        <f t="shared" si="1308"/>
        <v>0</v>
      </c>
      <c r="H1083" s="278"/>
      <c r="I1083" s="278"/>
      <c r="J1083" s="351" t="str">
        <f t="shared" si="1311"/>
        <v>-</v>
      </c>
      <c r="K1083" s="333">
        <f t="shared" si="1309"/>
        <v>0</v>
      </c>
      <c r="L1083" s="272">
        <f t="shared" ref="L1083:M1083" si="1316">+H1083+L966</f>
        <v>0</v>
      </c>
      <c r="M1083" s="273">
        <f t="shared" si="1316"/>
        <v>0</v>
      </c>
      <c r="N1083" s="337">
        <f t="shared" si="1300"/>
        <v>0</v>
      </c>
      <c r="O1083" s="263" t="str">
        <f t="shared" si="1277"/>
        <v>-</v>
      </c>
    </row>
    <row r="1084" spans="1:15" ht="24" x14ac:dyDescent="0.25">
      <c r="A1084" s="274" t="s">
        <v>103</v>
      </c>
      <c r="B1084" s="966"/>
      <c r="C1084" s="295" t="s">
        <v>241</v>
      </c>
      <c r="D1084" s="275" t="s">
        <v>243</v>
      </c>
      <c r="E1084" s="276"/>
      <c r="F1084" s="277"/>
      <c r="G1084" s="333">
        <f t="shared" si="1308"/>
        <v>0</v>
      </c>
      <c r="H1084" s="278"/>
      <c r="I1084" s="278"/>
      <c r="J1084" s="351" t="str">
        <f t="shared" si="1311"/>
        <v>-</v>
      </c>
      <c r="K1084" s="333">
        <f t="shared" si="1309"/>
        <v>0</v>
      </c>
      <c r="L1084" s="272">
        <f t="shared" ref="L1084:M1084" si="1317">+H1084+L967</f>
        <v>0</v>
      </c>
      <c r="M1084" s="273">
        <f t="shared" si="1317"/>
        <v>0</v>
      </c>
      <c r="N1084" s="337" t="str">
        <f t="shared" si="1300"/>
        <v>-</v>
      </c>
      <c r="O1084" s="263" t="str">
        <f t="shared" si="1277"/>
        <v>-</v>
      </c>
    </row>
    <row r="1085" spans="1:15" ht="24" x14ac:dyDescent="0.25">
      <c r="A1085" s="274"/>
      <c r="B1085" s="967"/>
      <c r="C1085" s="295" t="s">
        <v>546</v>
      </c>
      <c r="D1085" s="275" t="s">
        <v>238</v>
      </c>
      <c r="E1085" s="280">
        <v>6000</v>
      </c>
      <c r="F1085" s="281"/>
      <c r="G1085" s="333">
        <f t="shared" si="1308"/>
        <v>0</v>
      </c>
      <c r="H1085" s="282"/>
      <c r="I1085" s="282"/>
      <c r="J1085" s="351" t="str">
        <f t="shared" si="1311"/>
        <v>-</v>
      </c>
      <c r="K1085" s="333">
        <f t="shared" si="1309"/>
        <v>0</v>
      </c>
      <c r="L1085" s="272">
        <f t="shared" ref="L1085:M1085" si="1318">+H1085+L968</f>
        <v>0</v>
      </c>
      <c r="M1085" s="273">
        <f t="shared" si="1318"/>
        <v>0</v>
      </c>
      <c r="N1085" s="337">
        <f t="shared" si="1300"/>
        <v>0</v>
      </c>
      <c r="O1085" s="263" t="str">
        <f t="shared" si="1277"/>
        <v>-</v>
      </c>
    </row>
    <row r="1086" spans="1:15" ht="24.75" thickBot="1" x14ac:dyDescent="0.3">
      <c r="A1086" s="274" t="s">
        <v>103</v>
      </c>
      <c r="B1086" s="967"/>
      <c r="C1086" s="295" t="s">
        <v>242</v>
      </c>
      <c r="D1086" s="275" t="s">
        <v>238</v>
      </c>
      <c r="E1086" s="280">
        <v>5000</v>
      </c>
      <c r="F1086" s="281"/>
      <c r="G1086" s="334">
        <f t="shared" si="1308"/>
        <v>0</v>
      </c>
      <c r="H1086" s="282"/>
      <c r="I1086" s="282"/>
      <c r="J1086" s="351" t="str">
        <f t="shared" si="1311"/>
        <v>-</v>
      </c>
      <c r="K1086" s="334">
        <f t="shared" si="1309"/>
        <v>0</v>
      </c>
      <c r="L1086" s="272">
        <f t="shared" ref="L1086:M1086" si="1319">+H1086+L969</f>
        <v>0</v>
      </c>
      <c r="M1086" s="273">
        <f t="shared" si="1319"/>
        <v>0</v>
      </c>
      <c r="N1086" s="338">
        <f t="shared" si="1300"/>
        <v>0</v>
      </c>
      <c r="O1086" s="347" t="str">
        <f t="shared" si="1277"/>
        <v>-</v>
      </c>
    </row>
    <row r="1087" spans="1:15" ht="23.25" thickBot="1" x14ac:dyDescent="0.3">
      <c r="A1087" s="274" t="s">
        <v>103</v>
      </c>
      <c r="B1087" s="946" t="s">
        <v>49</v>
      </c>
      <c r="C1087" s="947"/>
      <c r="D1087" s="948"/>
      <c r="E1087" s="284">
        <f>SUM(E1078:E1086)</f>
        <v>195500</v>
      </c>
      <c r="F1087" s="285">
        <v>14000</v>
      </c>
      <c r="G1087" s="320">
        <f>SUM(G1078:G1086)</f>
        <v>0</v>
      </c>
      <c r="H1087" s="321">
        <f t="shared" ref="H1087:I1087" si="1320">SUM(H1078:H1086)</f>
        <v>0</v>
      </c>
      <c r="I1087" s="321">
        <f t="shared" si="1320"/>
        <v>0</v>
      </c>
      <c r="J1087" s="345">
        <f>+G1088/F1088</f>
        <v>0.42234042553191492</v>
      </c>
      <c r="K1087" s="320">
        <f>SUM(K1078:K1086)</f>
        <v>0</v>
      </c>
      <c r="L1087" s="321">
        <f>+H1087</f>
        <v>0</v>
      </c>
      <c r="M1087" s="322">
        <f>+I1087</f>
        <v>0</v>
      </c>
      <c r="N1087" s="339">
        <f t="shared" si="1300"/>
        <v>0</v>
      </c>
      <c r="O1087" s="345" t="str">
        <f t="shared" si="1277"/>
        <v>-</v>
      </c>
    </row>
    <row r="1088" spans="1:15" ht="23.25" thickBot="1" x14ac:dyDescent="0.3">
      <c r="A1088" s="274" t="s">
        <v>103</v>
      </c>
      <c r="B1088" s="960" t="s">
        <v>25</v>
      </c>
      <c r="C1088" s="961"/>
      <c r="D1088" s="962"/>
      <c r="E1088" s="326">
        <f t="shared" ref="E1088:F1088" si="1321">+E1077+E1087</f>
        <v>195500</v>
      </c>
      <c r="F1088" s="327">
        <f t="shared" si="1321"/>
        <v>94000</v>
      </c>
      <c r="G1088" s="326">
        <f>+G1077+G1087</f>
        <v>39700</v>
      </c>
      <c r="H1088" s="324">
        <f t="shared" ref="H1088:I1088" si="1322">+H1077+H1087</f>
        <v>39600</v>
      </c>
      <c r="I1088" s="324">
        <f t="shared" si="1322"/>
        <v>100</v>
      </c>
      <c r="J1088" s="349" t="str">
        <f>IFERROR(G1088/#REF!,"-")</f>
        <v>-</v>
      </c>
      <c r="K1088" s="326">
        <f t="shared" ref="K1088" si="1323">+K1077+K1087</f>
        <v>39700</v>
      </c>
      <c r="L1088" s="324">
        <f>+L1077+L1087</f>
        <v>39600</v>
      </c>
      <c r="M1088" s="325">
        <f t="shared" ref="M1088" si="1324">+M1077+M1087</f>
        <v>100</v>
      </c>
      <c r="N1088" s="341">
        <f t="shared" si="1300"/>
        <v>0.20306905370843989</v>
      </c>
      <c r="O1088" s="349">
        <f t="shared" si="1277"/>
        <v>2.5188916876574307E-3</v>
      </c>
    </row>
    <row r="1089" spans="1:15" ht="23.25" thickBot="1" x14ac:dyDescent="0.3">
      <c r="A1089" s="274" t="s">
        <v>103</v>
      </c>
      <c r="B1089" s="963" t="s">
        <v>172</v>
      </c>
      <c r="C1089" s="941"/>
      <c r="D1089" s="968"/>
      <c r="E1089" s="330">
        <f>+E1072+E1088</f>
        <v>3965500</v>
      </c>
      <c r="F1089" s="331">
        <f t="shared" ref="F1089:I1089" si="1325">+F1072+F1088</f>
        <v>559000</v>
      </c>
      <c r="G1089" s="330">
        <f t="shared" si="1325"/>
        <v>249301</v>
      </c>
      <c r="H1089" s="328">
        <f t="shared" si="1325"/>
        <v>247902</v>
      </c>
      <c r="I1089" s="328">
        <f t="shared" si="1325"/>
        <v>1399</v>
      </c>
      <c r="J1089" s="350">
        <f>+G1089/F1089</f>
        <v>0.44597674418604649</v>
      </c>
      <c r="K1089" s="330">
        <f>+K1072+K1088</f>
        <v>1995581</v>
      </c>
      <c r="L1089" s="328">
        <f t="shared" ref="L1089:M1089" si="1326">+L1072+L1088</f>
        <v>1987738</v>
      </c>
      <c r="M1089" s="329">
        <f t="shared" si="1326"/>
        <v>7843</v>
      </c>
      <c r="N1089" s="342">
        <f>IFERROR(K1089/E1089,"-")</f>
        <v>0.50323565754633715</v>
      </c>
      <c r="O1089" s="350">
        <f t="shared" si="1277"/>
        <v>3.9301837409756856E-3</v>
      </c>
    </row>
    <row r="1090" spans="1:15" ht="24" x14ac:dyDescent="0.25">
      <c r="A1090" s="268" t="s">
        <v>101</v>
      </c>
      <c r="B1090" s="956" t="s">
        <v>26</v>
      </c>
      <c r="C1090" s="893" t="s">
        <v>297</v>
      </c>
      <c r="D1090" s="898" t="s">
        <v>177</v>
      </c>
      <c r="E1090" s="895"/>
      <c r="F1090" s="271"/>
      <c r="G1090" s="332">
        <f t="shared" ref="G1090:G1099" si="1327">+H1090+I1090</f>
        <v>0</v>
      </c>
      <c r="H1090" s="272"/>
      <c r="I1090" s="272"/>
      <c r="J1090" s="351" t="str">
        <f>IFERROR(G1090/F1090,"-")</f>
        <v>-</v>
      </c>
      <c r="K1090" s="332">
        <f t="shared" ref="K1090:K1099" si="1328">+L1090+M1090</f>
        <v>0</v>
      </c>
      <c r="L1090" s="272">
        <f t="shared" ref="L1090:M1090" si="1329">+H1090+L973</f>
        <v>0</v>
      </c>
      <c r="M1090" s="273">
        <f t="shared" si="1329"/>
        <v>0</v>
      </c>
      <c r="N1090" s="336" t="str">
        <f t="shared" ref="N1090:N1108" si="1330">IFERROR(K1090/E1090,"-")</f>
        <v>-</v>
      </c>
      <c r="O1090" s="346" t="str">
        <f t="shared" si="1277"/>
        <v>-</v>
      </c>
    </row>
    <row r="1091" spans="1:15" ht="24" x14ac:dyDescent="0.25">
      <c r="A1091" s="274" t="s">
        <v>101</v>
      </c>
      <c r="B1091" s="956"/>
      <c r="C1091" s="253" t="s">
        <v>424</v>
      </c>
      <c r="D1091" s="899" t="s">
        <v>423</v>
      </c>
      <c r="E1091" s="511">
        <v>314432</v>
      </c>
      <c r="F1091" s="277"/>
      <c r="G1091" s="333">
        <f t="shared" si="1327"/>
        <v>0</v>
      </c>
      <c r="H1091" s="278"/>
      <c r="I1091" s="278"/>
      <c r="J1091" s="351" t="str">
        <f t="shared" ref="J1091:J1099" si="1331">IFERROR(G1091/F1091,"-")</f>
        <v>-</v>
      </c>
      <c r="K1091" s="333">
        <f t="shared" si="1328"/>
        <v>265434</v>
      </c>
      <c r="L1091" s="272">
        <f t="shared" ref="L1091:M1091" si="1332">+H1091+L974</f>
        <v>262548</v>
      </c>
      <c r="M1091" s="273">
        <f t="shared" si="1332"/>
        <v>2886</v>
      </c>
      <c r="N1091" s="337">
        <f t="shared" si="1330"/>
        <v>0.84416980460004076</v>
      </c>
      <c r="O1091" s="263">
        <f t="shared" si="1277"/>
        <v>1.0872759330002939E-2</v>
      </c>
    </row>
    <row r="1092" spans="1:15" ht="24" x14ac:dyDescent="0.25">
      <c r="A1092" s="274" t="s">
        <v>101</v>
      </c>
      <c r="B1092" s="956"/>
      <c r="C1092" s="813" t="s">
        <v>27</v>
      </c>
      <c r="D1092" s="899" t="s">
        <v>334</v>
      </c>
      <c r="E1092" s="896">
        <v>932448</v>
      </c>
      <c r="F1092" s="281"/>
      <c r="G1092" s="333">
        <f t="shared" si="1327"/>
        <v>0</v>
      </c>
      <c r="H1092" s="282"/>
      <c r="I1092" s="282"/>
      <c r="J1092" s="351" t="str">
        <f t="shared" si="1331"/>
        <v>-</v>
      </c>
      <c r="K1092" s="333">
        <f t="shared" si="1328"/>
        <v>29523</v>
      </c>
      <c r="L1092" s="272">
        <f t="shared" ref="L1092:M1092" si="1333">+H1092+L975</f>
        <v>27846</v>
      </c>
      <c r="M1092" s="273">
        <f t="shared" si="1333"/>
        <v>1677</v>
      </c>
      <c r="N1092" s="337">
        <f t="shared" si="1330"/>
        <v>3.166181921136621E-2</v>
      </c>
      <c r="O1092" s="263">
        <f t="shared" si="1277"/>
        <v>5.6803170409511231E-2</v>
      </c>
    </row>
    <row r="1093" spans="1:15" ht="24" x14ac:dyDescent="0.25">
      <c r="A1093" s="274" t="s">
        <v>101</v>
      </c>
      <c r="B1093" s="956"/>
      <c r="C1093" s="813" t="s">
        <v>27</v>
      </c>
      <c r="D1093" s="900" t="s">
        <v>492</v>
      </c>
      <c r="E1093" s="896"/>
      <c r="F1093" s="281"/>
      <c r="G1093" s="333">
        <f t="shared" si="1327"/>
        <v>0</v>
      </c>
      <c r="H1093" s="282"/>
      <c r="I1093" s="282"/>
      <c r="J1093" s="351" t="str">
        <f t="shared" si="1331"/>
        <v>-</v>
      </c>
      <c r="K1093" s="333">
        <f t="shared" si="1328"/>
        <v>274869</v>
      </c>
      <c r="L1093" s="272">
        <f t="shared" ref="L1093:M1093" si="1334">+H1093+L976</f>
        <v>270504</v>
      </c>
      <c r="M1093" s="273">
        <f t="shared" si="1334"/>
        <v>4365</v>
      </c>
      <c r="N1093" s="337" t="str">
        <f t="shared" si="1330"/>
        <v>-</v>
      </c>
      <c r="O1093" s="263">
        <f t="shared" si="1277"/>
        <v>1.588029206640254E-2</v>
      </c>
    </row>
    <row r="1094" spans="1:15" ht="24" x14ac:dyDescent="0.25">
      <c r="A1094" s="274" t="s">
        <v>101</v>
      </c>
      <c r="B1094" s="956"/>
      <c r="C1094" s="893" t="s">
        <v>521</v>
      </c>
      <c r="D1094" s="899" t="s">
        <v>234</v>
      </c>
      <c r="E1094" s="896">
        <v>136768</v>
      </c>
      <c r="F1094" s="281"/>
      <c r="G1094" s="333">
        <f t="shared" si="1327"/>
        <v>0</v>
      </c>
      <c r="H1094" s="282"/>
      <c r="I1094" s="282"/>
      <c r="J1094" s="351" t="str">
        <f t="shared" si="1331"/>
        <v>-</v>
      </c>
      <c r="K1094" s="333">
        <f t="shared" si="1328"/>
        <v>57116</v>
      </c>
      <c r="L1094" s="272">
        <f t="shared" ref="L1094:M1094" si="1335">+H1094+L977</f>
        <v>55692</v>
      </c>
      <c r="M1094" s="273">
        <f t="shared" si="1335"/>
        <v>1424</v>
      </c>
      <c r="N1094" s="337">
        <f t="shared" si="1330"/>
        <v>0.41761230697239121</v>
      </c>
      <c r="O1094" s="263">
        <f t="shared" si="1277"/>
        <v>2.4931717907416485E-2</v>
      </c>
    </row>
    <row r="1095" spans="1:15" ht="22.5" customHeight="1" x14ac:dyDescent="0.25">
      <c r="A1095" s="274"/>
      <c r="B1095" s="956"/>
      <c r="C1095" s="813" t="s">
        <v>432</v>
      </c>
      <c r="D1095" s="899" t="s">
        <v>178</v>
      </c>
      <c r="E1095" s="896"/>
      <c r="F1095" s="281"/>
      <c r="G1095" s="334">
        <f t="shared" si="1327"/>
        <v>0</v>
      </c>
      <c r="H1095" s="282"/>
      <c r="I1095" s="282"/>
      <c r="J1095" s="351" t="str">
        <f t="shared" si="1331"/>
        <v>-</v>
      </c>
      <c r="K1095" s="334">
        <f t="shared" si="1328"/>
        <v>0</v>
      </c>
      <c r="L1095" s="272">
        <f t="shared" ref="L1095:M1095" si="1336">+H1095+L978</f>
        <v>0</v>
      </c>
      <c r="M1095" s="273">
        <f t="shared" si="1336"/>
        <v>0</v>
      </c>
      <c r="N1095" s="337" t="str">
        <f t="shared" si="1330"/>
        <v>-</v>
      </c>
      <c r="O1095" s="263" t="str">
        <f t="shared" si="1277"/>
        <v>-</v>
      </c>
    </row>
    <row r="1096" spans="1:15" ht="24" x14ac:dyDescent="0.25">
      <c r="A1096" s="274"/>
      <c r="B1096" s="956"/>
      <c r="C1096" s="813" t="s">
        <v>333</v>
      </c>
      <c r="D1096" s="899" t="s">
        <v>94</v>
      </c>
      <c r="E1096" s="896">
        <v>32016</v>
      </c>
      <c r="F1096" s="281"/>
      <c r="G1096" s="334">
        <f t="shared" si="1327"/>
        <v>0</v>
      </c>
      <c r="H1096" s="282"/>
      <c r="I1096" s="282"/>
      <c r="J1096" s="351" t="str">
        <f t="shared" si="1331"/>
        <v>-</v>
      </c>
      <c r="K1096" s="334">
        <f t="shared" si="1328"/>
        <v>0</v>
      </c>
      <c r="L1096" s="272">
        <f t="shared" ref="L1096:M1096" si="1337">+H1096+L979</f>
        <v>0</v>
      </c>
      <c r="M1096" s="273">
        <f t="shared" si="1337"/>
        <v>0</v>
      </c>
      <c r="N1096" s="337">
        <f t="shared" si="1330"/>
        <v>0</v>
      </c>
      <c r="O1096" s="263" t="str">
        <f t="shared" si="1277"/>
        <v>-</v>
      </c>
    </row>
    <row r="1097" spans="1:15" ht="24" x14ac:dyDescent="0.25">
      <c r="A1097" s="274"/>
      <c r="B1097" s="956"/>
      <c r="C1097" s="813" t="s">
        <v>433</v>
      </c>
      <c r="D1097" s="899" t="s">
        <v>540</v>
      </c>
      <c r="E1097" s="896"/>
      <c r="F1097" s="281"/>
      <c r="G1097" s="334">
        <f t="shared" si="1327"/>
        <v>161317</v>
      </c>
      <c r="H1097" s="282">
        <v>159120</v>
      </c>
      <c r="I1097" s="282">
        <v>2197</v>
      </c>
      <c r="J1097" s="351" t="str">
        <f t="shared" si="1331"/>
        <v>-</v>
      </c>
      <c r="K1097" s="334">
        <f t="shared" si="1328"/>
        <v>253855</v>
      </c>
      <c r="L1097" s="272">
        <f t="shared" ref="L1097:M1097" si="1338">+H1097+L980</f>
        <v>250614</v>
      </c>
      <c r="M1097" s="272">
        <f t="shared" si="1338"/>
        <v>3241</v>
      </c>
      <c r="N1097" s="337" t="str">
        <f t="shared" si="1330"/>
        <v>-</v>
      </c>
      <c r="O1097" s="263">
        <f t="shared" si="1277"/>
        <v>1.2767130842410037E-2</v>
      </c>
    </row>
    <row r="1098" spans="1:15" ht="24" x14ac:dyDescent="0.25">
      <c r="A1098" s="274"/>
      <c r="B1098" s="956"/>
      <c r="C1098" s="813" t="s">
        <v>382</v>
      </c>
      <c r="D1098" s="899" t="s">
        <v>366</v>
      </c>
      <c r="E1098" s="896"/>
      <c r="F1098" s="281"/>
      <c r="G1098" s="334">
        <f t="shared" si="1327"/>
        <v>0</v>
      </c>
      <c r="H1098" s="282"/>
      <c r="I1098" s="282"/>
      <c r="J1098" s="351" t="str">
        <f t="shared" si="1331"/>
        <v>-</v>
      </c>
      <c r="K1098" s="334">
        <f t="shared" si="1328"/>
        <v>0</v>
      </c>
      <c r="L1098" s="272">
        <f t="shared" ref="L1098:M1098" si="1339">+H1098+L981</f>
        <v>0</v>
      </c>
      <c r="M1098" s="273">
        <f t="shared" si="1339"/>
        <v>0</v>
      </c>
      <c r="N1098" s="337" t="str">
        <f t="shared" si="1330"/>
        <v>-</v>
      </c>
      <c r="O1098" s="263" t="str">
        <f t="shared" si="1277"/>
        <v>-</v>
      </c>
    </row>
    <row r="1099" spans="1:15" ht="24.75" thickBot="1" x14ac:dyDescent="0.3">
      <c r="A1099" s="274" t="s">
        <v>101</v>
      </c>
      <c r="B1099" s="956"/>
      <c r="C1099" s="894" t="s">
        <v>290</v>
      </c>
      <c r="D1099" s="901" t="s">
        <v>289</v>
      </c>
      <c r="E1099" s="896"/>
      <c r="F1099" s="281"/>
      <c r="G1099" s="334">
        <f t="shared" si="1327"/>
        <v>0</v>
      </c>
      <c r="H1099" s="282"/>
      <c r="I1099" s="282"/>
      <c r="J1099" s="351" t="str">
        <f t="shared" si="1331"/>
        <v>-</v>
      </c>
      <c r="K1099" s="334">
        <f t="shared" si="1328"/>
        <v>0</v>
      </c>
      <c r="L1099" s="272">
        <f t="shared" ref="L1099:M1099" si="1340">+H1099+L982</f>
        <v>0</v>
      </c>
      <c r="M1099" s="273">
        <f t="shared" si="1340"/>
        <v>0</v>
      </c>
      <c r="N1099" s="337" t="str">
        <f t="shared" si="1330"/>
        <v>-</v>
      </c>
      <c r="O1099" s="347" t="str">
        <f t="shared" si="1277"/>
        <v>-</v>
      </c>
    </row>
    <row r="1100" spans="1:15" ht="23.25" thickBot="1" x14ac:dyDescent="0.3">
      <c r="A1100" s="274" t="s">
        <v>101</v>
      </c>
      <c r="B1100" s="969"/>
      <c r="C1100" s="301"/>
      <c r="D1100" s="897" t="s">
        <v>52</v>
      </c>
      <c r="E1100" s="284">
        <f>SUM(E1090:E1099)</f>
        <v>1415664</v>
      </c>
      <c r="F1100" s="285">
        <v>80000</v>
      </c>
      <c r="G1100" s="320">
        <f>SUM(G1090:G1099)</f>
        <v>161317</v>
      </c>
      <c r="H1100" s="321">
        <f>SUM(H1090:H1099)</f>
        <v>159120</v>
      </c>
      <c r="I1100" s="321">
        <f>SUM(I1090:I1099)</f>
        <v>2197</v>
      </c>
      <c r="J1100" s="345">
        <f>+G1100/F1100</f>
        <v>2.0164624999999998</v>
      </c>
      <c r="K1100" s="320">
        <f>SUM(K1090:K1099)</f>
        <v>880797</v>
      </c>
      <c r="L1100" s="321">
        <f>SUM(L1090:L1099)</f>
        <v>867204</v>
      </c>
      <c r="M1100" s="322">
        <f>SUM(M1090:M1099)</f>
        <v>13593</v>
      </c>
      <c r="N1100" s="339">
        <f t="shared" si="1330"/>
        <v>0.62217941545451461</v>
      </c>
      <c r="O1100" s="345">
        <f t="shared" si="1277"/>
        <v>1.5432613871300651E-2</v>
      </c>
    </row>
    <row r="1101" spans="1:15" ht="24" x14ac:dyDescent="0.25">
      <c r="A1101" s="274" t="s">
        <v>101</v>
      </c>
      <c r="B1101" s="955" t="s">
        <v>28</v>
      </c>
      <c r="C1101" s="299" t="s">
        <v>27</v>
      </c>
      <c r="D1101" s="297" t="s">
        <v>492</v>
      </c>
      <c r="E1101" s="270"/>
      <c r="F1101" s="271"/>
      <c r="G1101" s="332">
        <f t="shared" ref="G1101:G1105" si="1341">+H1101+I1101</f>
        <v>0</v>
      </c>
      <c r="H1101" s="272"/>
      <c r="I1101" s="272"/>
      <c r="J1101" s="351" t="str">
        <f>IFERROR(G1101/F1101,"-")</f>
        <v>-</v>
      </c>
      <c r="K1101" s="332">
        <f t="shared" ref="K1101:K1107" si="1342">+L1101+M1101</f>
        <v>170343</v>
      </c>
      <c r="L1101" s="272">
        <f t="shared" ref="L1101:M1101" si="1343">+H1101+L984</f>
        <v>167076</v>
      </c>
      <c r="M1101" s="273">
        <f t="shared" si="1343"/>
        <v>3267</v>
      </c>
      <c r="N1101" s="336" t="str">
        <f t="shared" si="1330"/>
        <v>-</v>
      </c>
      <c r="O1101" s="346">
        <f t="shared" si="1277"/>
        <v>1.9178950705341577E-2</v>
      </c>
    </row>
    <row r="1102" spans="1:15" ht="24" x14ac:dyDescent="0.25">
      <c r="A1102" s="274" t="s">
        <v>101</v>
      </c>
      <c r="B1102" s="956"/>
      <c r="C1102" s="299" t="s">
        <v>385</v>
      </c>
      <c r="D1102" s="299" t="s">
        <v>334</v>
      </c>
      <c r="E1102" s="276"/>
      <c r="F1102" s="277"/>
      <c r="G1102" s="333">
        <f t="shared" si="1341"/>
        <v>0</v>
      </c>
      <c r="H1102" s="278"/>
      <c r="I1102" s="278"/>
      <c r="J1102" s="351" t="str">
        <f t="shared" ref="J1102:J1107" si="1344">IFERROR(G1102/F1102,"-")</f>
        <v>-</v>
      </c>
      <c r="K1102" s="333">
        <f t="shared" si="1342"/>
        <v>96975</v>
      </c>
      <c r="L1102" s="272">
        <f t="shared" ref="L1102:M1102" si="1345">+H1102+L985</f>
        <v>95472</v>
      </c>
      <c r="M1102" s="273">
        <f t="shared" si="1345"/>
        <v>1503</v>
      </c>
      <c r="N1102" s="337" t="str">
        <f t="shared" si="1330"/>
        <v>-</v>
      </c>
      <c r="O1102" s="263">
        <f t="shared" si="1277"/>
        <v>1.5498839907192575E-2</v>
      </c>
    </row>
    <row r="1103" spans="1:15" ht="24" x14ac:dyDescent="0.25">
      <c r="A1103" s="274" t="s">
        <v>101</v>
      </c>
      <c r="B1103" s="956"/>
      <c r="C1103" s="299" t="s">
        <v>27</v>
      </c>
      <c r="D1103" s="299" t="s">
        <v>334</v>
      </c>
      <c r="E1103" s="276"/>
      <c r="F1103" s="277"/>
      <c r="G1103" s="333">
        <f t="shared" si="1341"/>
        <v>0</v>
      </c>
      <c r="H1103" s="278"/>
      <c r="I1103" s="278"/>
      <c r="J1103" s="351" t="str">
        <f t="shared" si="1344"/>
        <v>-</v>
      </c>
      <c r="K1103" s="333">
        <f t="shared" si="1342"/>
        <v>0</v>
      </c>
      <c r="L1103" s="272">
        <f t="shared" ref="L1103:M1103" si="1346">+H1103+L986</f>
        <v>0</v>
      </c>
      <c r="M1103" s="273">
        <f t="shared" si="1346"/>
        <v>0</v>
      </c>
      <c r="N1103" s="337" t="str">
        <f t="shared" si="1330"/>
        <v>-</v>
      </c>
      <c r="O1103" s="263" t="str">
        <f t="shared" si="1277"/>
        <v>-</v>
      </c>
    </row>
    <row r="1104" spans="1:15" ht="24" x14ac:dyDescent="0.25">
      <c r="A1104" s="274"/>
      <c r="B1104" s="956"/>
      <c r="C1104" s="299" t="s">
        <v>460</v>
      </c>
      <c r="D1104" s="299" t="s">
        <v>334</v>
      </c>
      <c r="E1104" s="280"/>
      <c r="F1104" s="281"/>
      <c r="G1104" s="333">
        <f t="shared" si="1341"/>
        <v>0</v>
      </c>
      <c r="H1104" s="282"/>
      <c r="I1104" s="282"/>
      <c r="J1104" s="351" t="str">
        <f t="shared" si="1344"/>
        <v>-</v>
      </c>
      <c r="K1104" s="333">
        <f t="shared" si="1342"/>
        <v>4348</v>
      </c>
      <c r="L1104" s="272">
        <f t="shared" ref="L1104:M1104" si="1347">+H1104+L987</f>
        <v>3978</v>
      </c>
      <c r="M1104" s="273">
        <f t="shared" si="1347"/>
        <v>370</v>
      </c>
      <c r="N1104" s="337" t="str">
        <f t="shared" si="1330"/>
        <v>-</v>
      </c>
      <c r="O1104" s="263">
        <f t="shared" si="1277"/>
        <v>8.5096596136154556E-2</v>
      </c>
    </row>
    <row r="1105" spans="1:15" ht="24" x14ac:dyDescent="0.25">
      <c r="A1105" s="274" t="s">
        <v>101</v>
      </c>
      <c r="B1105" s="956"/>
      <c r="C1105" s="299" t="s">
        <v>433</v>
      </c>
      <c r="D1105" s="299" t="s">
        <v>540</v>
      </c>
      <c r="E1105" s="280"/>
      <c r="F1105" s="281"/>
      <c r="G1105" s="334">
        <f t="shared" si="1341"/>
        <v>56286</v>
      </c>
      <c r="H1105" s="282">
        <v>55692</v>
      </c>
      <c r="I1105" s="282">
        <v>594</v>
      </c>
      <c r="J1105" s="351" t="str">
        <f t="shared" si="1344"/>
        <v>-</v>
      </c>
      <c r="K1105" s="334">
        <f t="shared" si="1342"/>
        <v>128335</v>
      </c>
      <c r="L1105" s="272">
        <f t="shared" ref="L1105:M1105" si="1348">+H1105+L988</f>
        <v>127296</v>
      </c>
      <c r="M1105" s="702">
        <f t="shared" si="1348"/>
        <v>1039</v>
      </c>
      <c r="N1105" s="338" t="str">
        <f t="shared" si="1330"/>
        <v>-</v>
      </c>
      <c r="O1105" s="347">
        <f t="shared" si="1277"/>
        <v>8.0959987532629452E-3</v>
      </c>
    </row>
    <row r="1106" spans="1:15" ht="24" x14ac:dyDescent="0.25">
      <c r="A1106" s="274"/>
      <c r="B1106" s="956"/>
      <c r="C1106" s="299" t="s">
        <v>458</v>
      </c>
      <c r="D1106" s="300" t="s">
        <v>280</v>
      </c>
      <c r="E1106" s="280">
        <v>200000</v>
      </c>
      <c r="F1106" s="281"/>
      <c r="G1106" s="334"/>
      <c r="H1106" s="282"/>
      <c r="I1106" s="282"/>
      <c r="J1106" s="351" t="str">
        <f t="shared" si="1344"/>
        <v>-</v>
      </c>
      <c r="K1106" s="334">
        <f t="shared" si="1342"/>
        <v>0</v>
      </c>
      <c r="L1106" s="272">
        <f t="shared" ref="L1106:M1106" si="1349">+H1106+L989</f>
        <v>0</v>
      </c>
      <c r="M1106" s="272">
        <f t="shared" si="1349"/>
        <v>0</v>
      </c>
      <c r="N1106" s="338">
        <f t="shared" si="1330"/>
        <v>0</v>
      </c>
      <c r="O1106" s="347" t="str">
        <f t="shared" si="1277"/>
        <v>-</v>
      </c>
    </row>
    <row r="1107" spans="1:15" ht="24.75" thickBot="1" x14ac:dyDescent="0.3">
      <c r="A1107" s="274" t="s">
        <v>101</v>
      </c>
      <c r="B1107" s="956"/>
      <c r="C1107" s="299" t="s">
        <v>27</v>
      </c>
      <c r="D1107" s="300" t="s">
        <v>234</v>
      </c>
      <c r="E1107" s="280">
        <v>250000</v>
      </c>
      <c r="F1107" s="281"/>
      <c r="G1107" s="334">
        <f t="shared" ref="G1107" si="1350">+H1107+I1107</f>
        <v>0</v>
      </c>
      <c r="H1107" s="282"/>
      <c r="I1107" s="282"/>
      <c r="J1107" s="351" t="str">
        <f t="shared" si="1344"/>
        <v>-</v>
      </c>
      <c r="K1107" s="334">
        <f t="shared" si="1342"/>
        <v>0</v>
      </c>
      <c r="L1107" s="272">
        <f t="shared" ref="L1107:M1107" si="1351">+H1107+L990</f>
        <v>0</v>
      </c>
      <c r="M1107" s="702">
        <f t="shared" si="1351"/>
        <v>0</v>
      </c>
      <c r="N1107" s="338">
        <f t="shared" si="1330"/>
        <v>0</v>
      </c>
      <c r="O1107" s="347" t="str">
        <f t="shared" si="1277"/>
        <v>-</v>
      </c>
    </row>
    <row r="1108" spans="1:15" ht="23.25" thickBot="1" x14ac:dyDescent="0.3">
      <c r="A1108" s="274" t="s">
        <v>101</v>
      </c>
      <c r="B1108" s="956"/>
      <c r="C1108" s="304"/>
      <c r="D1108" s="305" t="s">
        <v>52</v>
      </c>
      <c r="E1108" s="306">
        <f>SUM(E1101:E1107)</f>
        <v>450000</v>
      </c>
      <c r="F1108" s="307">
        <v>160000</v>
      </c>
      <c r="G1108" s="366">
        <f>SUM(G1101:G1107)</f>
        <v>56286</v>
      </c>
      <c r="H1108" s="365">
        <f>SUM(H1101:H1107)</f>
        <v>55692</v>
      </c>
      <c r="I1108" s="365">
        <f>SUM(I1101:I1107)</f>
        <v>594</v>
      </c>
      <c r="J1108" s="356">
        <f>+G1108/F1108</f>
        <v>0.35178749999999998</v>
      </c>
      <c r="K1108" s="366">
        <f>SUM(K1101:K1107)</f>
        <v>400001</v>
      </c>
      <c r="L1108" s="365">
        <f>SUM(L1101:L1107)</f>
        <v>393822</v>
      </c>
      <c r="M1108" s="367">
        <f>SUM(M1101:M1107)</f>
        <v>6179</v>
      </c>
      <c r="N1108" s="355">
        <f t="shared" si="1330"/>
        <v>0.88889111111111108</v>
      </c>
      <c r="O1108" s="356">
        <f t="shared" si="1277"/>
        <v>1.5447461381346547E-2</v>
      </c>
    </row>
    <row r="1109" spans="1:15" ht="23.25" thickBot="1" x14ac:dyDescent="0.3">
      <c r="A1109" s="892" t="s">
        <v>101</v>
      </c>
      <c r="B1109" s="957" t="s">
        <v>162</v>
      </c>
      <c r="C1109" s="958"/>
      <c r="D1109" s="959"/>
      <c r="E1109" s="308">
        <f>+E1108+E1100</f>
        <v>1865664</v>
      </c>
      <c r="F1109" s="309">
        <v>240000</v>
      </c>
      <c r="G1109" s="369">
        <f>+G1100+G1108</f>
        <v>217603</v>
      </c>
      <c r="H1109" s="368">
        <f>+H1100+H1108</f>
        <v>214812</v>
      </c>
      <c r="I1109" s="368">
        <f>+I1100+I1108</f>
        <v>2791</v>
      </c>
      <c r="J1109" s="358">
        <f>+G1109/F1109</f>
        <v>0.9066791666666667</v>
      </c>
      <c r="K1109" s="369">
        <f>+K1100+K1108</f>
        <v>1280798</v>
      </c>
      <c r="L1109" s="368">
        <f>+L1100+L1108</f>
        <v>1261026</v>
      </c>
      <c r="M1109" s="370">
        <f>+M1100+M1108</f>
        <v>19772</v>
      </c>
      <c r="N1109" s="357">
        <f>IFERROR(K1109/E1109,"-")</f>
        <v>0.68651053994717159</v>
      </c>
      <c r="O1109" s="358">
        <f t="shared" si="1277"/>
        <v>1.5437250838930104E-2</v>
      </c>
    </row>
    <row r="1110" spans="1:15" ht="24" x14ac:dyDescent="0.25">
      <c r="A1110" s="274" t="s">
        <v>101</v>
      </c>
      <c r="B1110" s="956" t="s">
        <v>30</v>
      </c>
      <c r="C1110" s="303" t="s">
        <v>446</v>
      </c>
      <c r="D1110" s="299" t="s">
        <v>522</v>
      </c>
      <c r="E1110" s="270">
        <v>225000</v>
      </c>
      <c r="F1110" s="271"/>
      <c r="G1110" s="332">
        <f t="shared" ref="G1110:G1112" si="1352">+H1110+I1110</f>
        <v>0</v>
      </c>
      <c r="H1110" s="272"/>
      <c r="I1110" s="272"/>
      <c r="J1110" s="351" t="str">
        <f>IFERROR(G1110/F1110,"-")</f>
        <v>-</v>
      </c>
      <c r="K1110" s="332">
        <f t="shared" ref="K1110:K1112" si="1353">+L1110+M1110</f>
        <v>0</v>
      </c>
      <c r="L1110" s="272">
        <f t="shared" ref="L1110:M1110" si="1354">+H1110+L993</f>
        <v>0</v>
      </c>
      <c r="M1110" s="273">
        <f t="shared" si="1354"/>
        <v>0</v>
      </c>
      <c r="N1110" s="336">
        <f t="shared" ref="N1110:N1123" si="1355">IFERROR(K1110/E1110,"-")</f>
        <v>0</v>
      </c>
      <c r="O1110" s="346" t="str">
        <f t="shared" si="1277"/>
        <v>-</v>
      </c>
    </row>
    <row r="1111" spans="1:15" ht="24" x14ac:dyDescent="0.25">
      <c r="A1111" s="274" t="s">
        <v>101</v>
      </c>
      <c r="B1111" s="956"/>
      <c r="C1111" s="300" t="s">
        <v>548</v>
      </c>
      <c r="D1111" s="303" t="s">
        <v>522</v>
      </c>
      <c r="E1111" s="276">
        <v>125000</v>
      </c>
      <c r="F1111" s="277"/>
      <c r="G1111" s="333">
        <f t="shared" si="1352"/>
        <v>0</v>
      </c>
      <c r="H1111" s="278"/>
      <c r="I1111" s="278"/>
      <c r="J1111" s="351" t="str">
        <f t="shared" ref="J1111:J1112" si="1356">IFERROR(G1111/F1111,"-")</f>
        <v>-</v>
      </c>
      <c r="K1111" s="333">
        <f t="shared" si="1353"/>
        <v>0</v>
      </c>
      <c r="L1111" s="272">
        <f t="shared" ref="L1111:M1111" si="1357">+H1111+L994</f>
        <v>0</v>
      </c>
      <c r="M1111" s="273">
        <f t="shared" si="1357"/>
        <v>0</v>
      </c>
      <c r="N1111" s="337">
        <f t="shared" si="1355"/>
        <v>0</v>
      </c>
      <c r="O1111" s="263" t="str">
        <f t="shared" si="1277"/>
        <v>-</v>
      </c>
    </row>
    <row r="1112" spans="1:15" ht="24.75" thickBot="1" x14ac:dyDescent="0.3">
      <c r="A1112" s="274" t="s">
        <v>101</v>
      </c>
      <c r="B1112" s="956"/>
      <c r="C1112" s="300" t="s">
        <v>291</v>
      </c>
      <c r="D1112" s="300" t="s">
        <v>366</v>
      </c>
      <c r="E1112" s="280"/>
      <c r="F1112" s="281"/>
      <c r="G1112" s="334">
        <f t="shared" si="1352"/>
        <v>0</v>
      </c>
      <c r="H1112" s="282"/>
      <c r="I1112" s="282"/>
      <c r="J1112" s="351" t="str">
        <f t="shared" si="1356"/>
        <v>-</v>
      </c>
      <c r="K1112" s="334">
        <f t="shared" si="1353"/>
        <v>0</v>
      </c>
      <c r="L1112" s="272">
        <f t="shared" ref="L1112:M1112" si="1358">+H1112+L995</f>
        <v>0</v>
      </c>
      <c r="M1112" s="273">
        <f t="shared" si="1358"/>
        <v>0</v>
      </c>
      <c r="N1112" s="338" t="str">
        <f t="shared" si="1355"/>
        <v>-</v>
      </c>
      <c r="O1112" s="347" t="str">
        <f t="shared" si="1277"/>
        <v>-</v>
      </c>
    </row>
    <row r="1113" spans="1:15" ht="23.25" thickBot="1" x14ac:dyDescent="0.3">
      <c r="A1113" s="274" t="s">
        <v>101</v>
      </c>
      <c r="B1113" s="956"/>
      <c r="C1113" s="301"/>
      <c r="D1113" s="302" t="s">
        <v>50</v>
      </c>
      <c r="E1113" s="284">
        <f>SUM(E1110:E1112)</f>
        <v>350000</v>
      </c>
      <c r="F1113" s="285">
        <v>50000</v>
      </c>
      <c r="G1113" s="320">
        <f>SUM(G1110:G1112)</f>
        <v>0</v>
      </c>
      <c r="H1113" s="321">
        <f>SUM(H1110:H1112)</f>
        <v>0</v>
      </c>
      <c r="I1113" s="321">
        <f>SUM(I1110:I1112)</f>
        <v>0</v>
      </c>
      <c r="J1113" s="345">
        <f>+G1113/F1113</f>
        <v>0</v>
      </c>
      <c r="K1113" s="320">
        <f>SUM(K1110:K1112)</f>
        <v>0</v>
      </c>
      <c r="L1113" s="321">
        <f>SUM(L1110:L1112)</f>
        <v>0</v>
      </c>
      <c r="M1113" s="322">
        <f>SUM(M1110:M1112)</f>
        <v>0</v>
      </c>
      <c r="N1113" s="339">
        <f t="shared" si="1355"/>
        <v>0</v>
      </c>
      <c r="O1113" s="345" t="str">
        <f t="shared" si="1277"/>
        <v>-</v>
      </c>
    </row>
    <row r="1114" spans="1:15" ht="24" x14ac:dyDescent="0.25">
      <c r="A1114" s="274" t="s">
        <v>101</v>
      </c>
      <c r="B1114" s="956"/>
      <c r="C1114" s="297" t="s">
        <v>434</v>
      </c>
      <c r="D1114" s="297" t="s">
        <v>92</v>
      </c>
      <c r="E1114" s="270"/>
      <c r="F1114" s="271"/>
      <c r="G1114" s="332">
        <f t="shared" ref="G1114:G1115" si="1359">+H1114+I1114</f>
        <v>0</v>
      </c>
      <c r="H1114" s="272"/>
      <c r="I1114" s="272"/>
      <c r="J1114" s="351" t="str">
        <f>IFERROR(G1114/F1114,"-")</f>
        <v>-</v>
      </c>
      <c r="K1114" s="332">
        <f t="shared" ref="K1114:K1119" si="1360">+L1114+M1114</f>
        <v>0</v>
      </c>
      <c r="L1114" s="272">
        <f t="shared" ref="L1114:M1114" si="1361">+H1114+L997</f>
        <v>0</v>
      </c>
      <c r="M1114" s="273">
        <f t="shared" si="1361"/>
        <v>0</v>
      </c>
      <c r="N1114" s="336" t="str">
        <f t="shared" si="1355"/>
        <v>-</v>
      </c>
      <c r="O1114" s="346" t="str">
        <f t="shared" si="1277"/>
        <v>-</v>
      </c>
    </row>
    <row r="1115" spans="1:15" ht="24" x14ac:dyDescent="0.25">
      <c r="A1115" s="274"/>
      <c r="B1115" s="956"/>
      <c r="C1115" s="303" t="s">
        <v>449</v>
      </c>
      <c r="D1115" s="299" t="s">
        <v>334</v>
      </c>
      <c r="E1115" s="270"/>
      <c r="F1115" s="271"/>
      <c r="G1115" s="332">
        <f t="shared" si="1359"/>
        <v>0</v>
      </c>
      <c r="H1115" s="272"/>
      <c r="I1115" s="272"/>
      <c r="J1115" s="351" t="str">
        <f t="shared" ref="J1115:J1119" si="1362">IFERROR(G1115/F1115,"-")</f>
        <v>-</v>
      </c>
      <c r="K1115" s="332">
        <f t="shared" si="1360"/>
        <v>0</v>
      </c>
      <c r="L1115" s="272">
        <f t="shared" ref="L1115:M1115" si="1363">+H1115+L998</f>
        <v>0</v>
      </c>
      <c r="M1115" s="273">
        <f t="shared" si="1363"/>
        <v>0</v>
      </c>
      <c r="N1115" s="337" t="str">
        <f t="shared" si="1355"/>
        <v>-</v>
      </c>
      <c r="O1115" s="346" t="str">
        <f t="shared" si="1277"/>
        <v>-</v>
      </c>
    </row>
    <row r="1116" spans="1:15" ht="24" x14ac:dyDescent="0.25">
      <c r="A1116" s="274"/>
      <c r="B1116" s="956"/>
      <c r="C1116" s="303" t="s">
        <v>452</v>
      </c>
      <c r="D1116" s="299" t="s">
        <v>334</v>
      </c>
      <c r="E1116" s="270"/>
      <c r="F1116" s="271"/>
      <c r="G1116" s="332"/>
      <c r="H1116" s="272"/>
      <c r="I1116" s="272"/>
      <c r="J1116" s="351" t="str">
        <f t="shared" si="1362"/>
        <v>-</v>
      </c>
      <c r="K1116" s="332">
        <f t="shared" si="1360"/>
        <v>0</v>
      </c>
      <c r="L1116" s="272">
        <f t="shared" ref="L1116:M1116" si="1364">+H1116+L999</f>
        <v>0</v>
      </c>
      <c r="M1116" s="273">
        <f t="shared" si="1364"/>
        <v>0</v>
      </c>
      <c r="N1116" s="337" t="str">
        <f t="shared" si="1355"/>
        <v>-</v>
      </c>
      <c r="O1116" s="346" t="str">
        <f t="shared" si="1277"/>
        <v>-</v>
      </c>
    </row>
    <row r="1117" spans="1:15" ht="24" x14ac:dyDescent="0.25">
      <c r="A1117" s="274" t="s">
        <v>101</v>
      </c>
      <c r="B1117" s="956"/>
      <c r="C1117" s="303" t="s">
        <v>501</v>
      </c>
      <c r="D1117" s="300" t="s">
        <v>423</v>
      </c>
      <c r="E1117" s="276"/>
      <c r="F1117" s="277"/>
      <c r="G1117" s="333">
        <f t="shared" ref="G1117" si="1365">+H1117+I1117</f>
        <v>0</v>
      </c>
      <c r="H1117" s="278"/>
      <c r="I1117" s="278"/>
      <c r="J1117" s="351" t="str">
        <f t="shared" si="1362"/>
        <v>-</v>
      </c>
      <c r="K1117" s="333">
        <f t="shared" si="1360"/>
        <v>8116</v>
      </c>
      <c r="L1117" s="272">
        <f t="shared" ref="L1117:M1117" si="1366">+H1117+L1000</f>
        <v>7488</v>
      </c>
      <c r="M1117" s="273">
        <f t="shared" si="1366"/>
        <v>628</v>
      </c>
      <c r="N1117" s="337" t="str">
        <f t="shared" si="1355"/>
        <v>-</v>
      </c>
      <c r="O1117" s="263">
        <f t="shared" si="1277"/>
        <v>7.737801872843765E-2</v>
      </c>
    </row>
    <row r="1118" spans="1:15" ht="24" x14ac:dyDescent="0.25">
      <c r="A1118" s="274"/>
      <c r="B1118" s="956"/>
      <c r="C1118" s="300" t="s">
        <v>459</v>
      </c>
      <c r="D1118" s="300" t="s">
        <v>366</v>
      </c>
      <c r="E1118" s="280"/>
      <c r="F1118" s="281"/>
      <c r="G1118" s="334"/>
      <c r="H1118" s="282"/>
      <c r="I1118" s="282"/>
      <c r="J1118" s="351" t="str">
        <f t="shared" si="1362"/>
        <v>-</v>
      </c>
      <c r="K1118" s="333">
        <f t="shared" si="1360"/>
        <v>0</v>
      </c>
      <c r="L1118" s="272">
        <f t="shared" ref="L1118:M1118" si="1367">+H1118+L1001</f>
        <v>0</v>
      </c>
      <c r="M1118" s="272">
        <f t="shared" si="1367"/>
        <v>0</v>
      </c>
      <c r="N1118" s="337" t="str">
        <f t="shared" si="1355"/>
        <v>-</v>
      </c>
      <c r="O1118" s="263" t="str">
        <f t="shared" si="1277"/>
        <v>-</v>
      </c>
    </row>
    <row r="1119" spans="1:15" ht="24.75" thickBot="1" x14ac:dyDescent="0.3">
      <c r="A1119" s="274" t="s">
        <v>101</v>
      </c>
      <c r="B1119" s="956"/>
      <c r="C1119" s="300" t="s">
        <v>435</v>
      </c>
      <c r="D1119" s="300" t="s">
        <v>423</v>
      </c>
      <c r="E1119" s="280"/>
      <c r="F1119" s="281"/>
      <c r="G1119" s="334">
        <f t="shared" ref="G1119" si="1368">+H1119+I1119</f>
        <v>0</v>
      </c>
      <c r="H1119" s="282"/>
      <c r="I1119" s="282"/>
      <c r="J1119" s="351" t="str">
        <f t="shared" si="1362"/>
        <v>-</v>
      </c>
      <c r="K1119" s="334">
        <f t="shared" si="1360"/>
        <v>0</v>
      </c>
      <c r="L1119" s="272">
        <f t="shared" ref="L1119:M1119" si="1369">+H1119+L1002</f>
        <v>0</v>
      </c>
      <c r="M1119" s="273">
        <f t="shared" si="1369"/>
        <v>0</v>
      </c>
      <c r="N1119" s="338" t="str">
        <f t="shared" si="1355"/>
        <v>-</v>
      </c>
      <c r="O1119" s="347" t="str">
        <f t="shared" si="1277"/>
        <v>-</v>
      </c>
    </row>
    <row r="1120" spans="1:15" ht="23.25" thickBot="1" x14ac:dyDescent="0.3">
      <c r="A1120" s="274" t="s">
        <v>101</v>
      </c>
      <c r="B1120" s="956"/>
      <c r="C1120" s="304"/>
      <c r="D1120" s="305" t="s">
        <v>51</v>
      </c>
      <c r="E1120" s="306">
        <f>SUM(E1114:E1119)</f>
        <v>0</v>
      </c>
      <c r="F1120" s="307">
        <v>50000</v>
      </c>
      <c r="G1120" s="366">
        <f>SUM(G1114:G1119)</f>
        <v>0</v>
      </c>
      <c r="H1120" s="365">
        <f t="shared" ref="H1120:I1120" si="1370">SUM(H1114:H1119)</f>
        <v>0</v>
      </c>
      <c r="I1120" s="365">
        <f t="shared" si="1370"/>
        <v>0</v>
      </c>
      <c r="J1120" s="356">
        <f>+G1120/F1120</f>
        <v>0</v>
      </c>
      <c r="K1120" s="366">
        <f t="shared" ref="K1120:M1120" si="1371">SUM(K1114:K1119)</f>
        <v>8116</v>
      </c>
      <c r="L1120" s="365">
        <f t="shared" si="1371"/>
        <v>7488</v>
      </c>
      <c r="M1120" s="367">
        <f t="shared" si="1371"/>
        <v>628</v>
      </c>
      <c r="N1120" s="355" t="str">
        <f t="shared" si="1355"/>
        <v>-</v>
      </c>
      <c r="O1120" s="356">
        <f t="shared" si="1277"/>
        <v>7.737801872843765E-2</v>
      </c>
    </row>
    <row r="1121" spans="1:15" ht="23.25" thickBot="1" x14ac:dyDescent="0.3">
      <c r="A1121" s="274" t="s">
        <v>101</v>
      </c>
      <c r="B1121" s="957" t="s">
        <v>163</v>
      </c>
      <c r="C1121" s="958"/>
      <c r="D1121" s="959"/>
      <c r="E1121" s="308">
        <f>+E1120+E1113</f>
        <v>350000</v>
      </c>
      <c r="F1121" s="309">
        <v>50000</v>
      </c>
      <c r="G1121" s="369">
        <f>+G1113+G1120</f>
        <v>0</v>
      </c>
      <c r="H1121" s="368">
        <f t="shared" ref="H1121:I1121" si="1372">+H1113+H1120</f>
        <v>0</v>
      </c>
      <c r="I1121" s="368">
        <f t="shared" si="1372"/>
        <v>0</v>
      </c>
      <c r="J1121" s="358">
        <f>+G1121/F1121</f>
        <v>0</v>
      </c>
      <c r="K1121" s="369">
        <f t="shared" ref="K1121:M1121" si="1373">+K1113+K1120</f>
        <v>8116</v>
      </c>
      <c r="L1121" s="368">
        <f t="shared" si="1373"/>
        <v>7488</v>
      </c>
      <c r="M1121" s="370">
        <f t="shared" si="1373"/>
        <v>628</v>
      </c>
      <c r="N1121" s="357">
        <f t="shared" si="1355"/>
        <v>2.318857142857143E-2</v>
      </c>
      <c r="O1121" s="358">
        <f t="shared" si="1277"/>
        <v>7.737801872843765E-2</v>
      </c>
    </row>
    <row r="1122" spans="1:15" ht="24.75" thickBot="1" x14ac:dyDescent="0.3">
      <c r="A1122" s="274" t="s">
        <v>101</v>
      </c>
      <c r="B1122" s="598" t="s">
        <v>32</v>
      </c>
      <c r="C1122" s="888"/>
      <c r="D1122" s="310" t="s">
        <v>32</v>
      </c>
      <c r="E1122" s="287">
        <v>0</v>
      </c>
      <c r="F1122" s="288">
        <v>110000</v>
      </c>
      <c r="G1122" s="335">
        <f t="shared" ref="G1122" si="1374">+H1122+I1122</f>
        <v>0</v>
      </c>
      <c r="H1122" s="289"/>
      <c r="I1122" s="289"/>
      <c r="J1122" s="354">
        <f>IFERROR(G1122/F1122,"-")</f>
        <v>0</v>
      </c>
      <c r="K1122" s="335">
        <f>+L1122+M1122</f>
        <v>0</v>
      </c>
      <c r="L1122" s="289">
        <f>+H1122+L1005</f>
        <v>0</v>
      </c>
      <c r="M1122" s="290">
        <f>+I1122+M1005</f>
        <v>0</v>
      </c>
      <c r="N1122" s="340" t="str">
        <f t="shared" si="1355"/>
        <v>-</v>
      </c>
      <c r="O1122" s="348" t="str">
        <f t="shared" si="1277"/>
        <v>-</v>
      </c>
    </row>
    <row r="1123" spans="1:15" ht="23.25" thickBot="1" x14ac:dyDescent="0.3">
      <c r="A1123" s="274" t="s">
        <v>101</v>
      </c>
      <c r="B1123" s="960" t="s">
        <v>21</v>
      </c>
      <c r="C1123" s="961"/>
      <c r="D1123" s="962"/>
      <c r="E1123" s="326">
        <f>+E1109+E1121+E1122</f>
        <v>2215664</v>
      </c>
      <c r="F1123" s="327">
        <f>+F1109+F1121+F1122</f>
        <v>400000</v>
      </c>
      <c r="G1123" s="326">
        <f>+G1109+G1121+G1122</f>
        <v>217603</v>
      </c>
      <c r="H1123" s="324">
        <f>+H1109+H1121+H1122</f>
        <v>214812</v>
      </c>
      <c r="I1123" s="324">
        <f>+I1109+I1121+I1122</f>
        <v>2791</v>
      </c>
      <c r="J1123" s="349">
        <f>+G1123/F1123</f>
        <v>0.54400749999999998</v>
      </c>
      <c r="K1123" s="326">
        <f>+K1109+K1121+K1122</f>
        <v>1288914</v>
      </c>
      <c r="L1123" s="324">
        <f>+L1109+L1121+L1122</f>
        <v>1268514</v>
      </c>
      <c r="M1123" s="325">
        <f>+M1109+M1121+M1122</f>
        <v>20400</v>
      </c>
      <c r="N1123" s="341">
        <f t="shared" si="1355"/>
        <v>0.58172809595678765</v>
      </c>
      <c r="O1123" s="349">
        <f t="shared" si="1277"/>
        <v>1.5827277847862618E-2</v>
      </c>
    </row>
    <row r="1124" spans="1:15" ht="23.25" thickBot="1" x14ac:dyDescent="0.3">
      <c r="A1124" s="274" t="s">
        <v>101</v>
      </c>
      <c r="B1124" s="963" t="s">
        <v>171</v>
      </c>
      <c r="C1124" s="941"/>
      <c r="D1124" s="942"/>
      <c r="E1124" s="330">
        <f>+E1123</f>
        <v>2215664</v>
      </c>
      <c r="F1124" s="331">
        <f t="shared" ref="F1124:I1124" si="1375">+F1123</f>
        <v>400000</v>
      </c>
      <c r="G1124" s="330">
        <f t="shared" si="1375"/>
        <v>217603</v>
      </c>
      <c r="H1124" s="328">
        <f t="shared" si="1375"/>
        <v>214812</v>
      </c>
      <c r="I1124" s="328">
        <f t="shared" si="1375"/>
        <v>2791</v>
      </c>
      <c r="J1124" s="872">
        <f>+G1124/F1124</f>
        <v>0.54400749999999998</v>
      </c>
      <c r="K1124" s="330">
        <f>+K1123</f>
        <v>1288914</v>
      </c>
      <c r="L1124" s="328">
        <f t="shared" ref="L1124" si="1376">+L1123</f>
        <v>1268514</v>
      </c>
      <c r="M1124" s="329">
        <f>+M1123</f>
        <v>20400</v>
      </c>
      <c r="N1124" s="342">
        <f t="shared" ref="N1124:O1124" si="1377">+N1123</f>
        <v>0.58172809595678765</v>
      </c>
      <c r="O1124" s="350">
        <f t="shared" si="1377"/>
        <v>1.5827277847862618E-2</v>
      </c>
    </row>
    <row r="1125" spans="1:15" ht="24" x14ac:dyDescent="0.25">
      <c r="A1125" s="268" t="s">
        <v>102</v>
      </c>
      <c r="B1125" s="949" t="s">
        <v>401</v>
      </c>
      <c r="C1125" s="311" t="s">
        <v>113</v>
      </c>
      <c r="D1125" s="311"/>
      <c r="E1125" s="270"/>
      <c r="F1125" s="271"/>
      <c r="G1125" s="332">
        <f t="shared" ref="G1125:G1127" si="1378">+H1125+I1125</f>
        <v>0</v>
      </c>
      <c r="H1125" s="272"/>
      <c r="I1125" s="272"/>
      <c r="J1125" s="351" t="str">
        <f>IFERROR(G1125/F1125,"-")</f>
        <v>-</v>
      </c>
      <c r="K1125" s="332">
        <f t="shared" ref="K1125:K1127" si="1379">+L1125+M1125</f>
        <v>0</v>
      </c>
      <c r="L1125" s="272">
        <f t="shared" ref="L1125:M1125" si="1380">+H1125+L1008</f>
        <v>0</v>
      </c>
      <c r="M1125" s="273">
        <f t="shared" si="1380"/>
        <v>0</v>
      </c>
      <c r="N1125" s="336" t="str">
        <f t="shared" ref="N1125:N1132" si="1381">IFERROR(K1125/E1125,"-")</f>
        <v>-</v>
      </c>
      <c r="O1125" s="346" t="str">
        <f t="shared" ref="O1125:O1150" si="1382">IFERROR(M1125/K1125,"-")</f>
        <v>-</v>
      </c>
    </row>
    <row r="1126" spans="1:15" ht="24" x14ac:dyDescent="0.25">
      <c r="A1126" s="274" t="s">
        <v>102</v>
      </c>
      <c r="B1126" s="951"/>
      <c r="C1126" s="312" t="s">
        <v>247</v>
      </c>
      <c r="D1126" s="312"/>
      <c r="E1126" s="276">
        <v>2000</v>
      </c>
      <c r="F1126" s="277"/>
      <c r="G1126" s="333">
        <f t="shared" si="1378"/>
        <v>0</v>
      </c>
      <c r="H1126" s="278"/>
      <c r="I1126" s="278"/>
      <c r="J1126" s="351" t="str">
        <f t="shared" ref="J1126:J1127" si="1383">IFERROR(G1126/F1126,"-")</f>
        <v>-</v>
      </c>
      <c r="K1126" s="333">
        <f t="shared" si="1379"/>
        <v>9638</v>
      </c>
      <c r="L1126" s="272">
        <f t="shared" ref="L1126:M1126" si="1384">+H1126+L1009</f>
        <v>9149</v>
      </c>
      <c r="M1126" s="273">
        <f t="shared" si="1384"/>
        <v>489</v>
      </c>
      <c r="N1126" s="337">
        <f t="shared" si="1381"/>
        <v>4.819</v>
      </c>
      <c r="O1126" s="263">
        <f t="shared" si="1382"/>
        <v>5.0736667358373108E-2</v>
      </c>
    </row>
    <row r="1127" spans="1:15" ht="24.75" thickBot="1" x14ac:dyDescent="0.3">
      <c r="A1127" s="274" t="s">
        <v>102</v>
      </c>
      <c r="B1127" s="950"/>
      <c r="C1127" s="313" t="s">
        <v>33</v>
      </c>
      <c r="D1127" s="313"/>
      <c r="E1127" s="280"/>
      <c r="F1127" s="281"/>
      <c r="G1127" s="334">
        <f t="shared" si="1378"/>
        <v>0</v>
      </c>
      <c r="H1127" s="282"/>
      <c r="I1127" s="282"/>
      <c r="J1127" s="351" t="str">
        <f t="shared" si="1383"/>
        <v>-</v>
      </c>
      <c r="K1127" s="334">
        <f t="shared" si="1379"/>
        <v>0</v>
      </c>
      <c r="L1127" s="272">
        <f t="shared" ref="L1127:M1127" si="1385">+H1127+L1010</f>
        <v>0</v>
      </c>
      <c r="M1127" s="273">
        <f t="shared" si="1385"/>
        <v>0</v>
      </c>
      <c r="N1127" s="338" t="str">
        <f t="shared" si="1381"/>
        <v>-</v>
      </c>
      <c r="O1127" s="347" t="str">
        <f t="shared" si="1382"/>
        <v>-</v>
      </c>
    </row>
    <row r="1128" spans="1:15" ht="23.25" thickBot="1" x14ac:dyDescent="0.3">
      <c r="A1128" s="274" t="s">
        <v>102</v>
      </c>
      <c r="B1128" s="946" t="s">
        <v>34</v>
      </c>
      <c r="C1128" s="947"/>
      <c r="D1128" s="948"/>
      <c r="E1128" s="284">
        <f>SUM(E1125:E1127)</f>
        <v>2000</v>
      </c>
      <c r="F1128" s="285">
        <v>6500</v>
      </c>
      <c r="G1128" s="320">
        <f>SUM(G1125:G1127)</f>
        <v>0</v>
      </c>
      <c r="H1128" s="321">
        <f t="shared" ref="H1128:I1128" si="1386">SUM(H1125:H1127)</f>
        <v>0</v>
      </c>
      <c r="I1128" s="321">
        <f t="shared" si="1386"/>
        <v>0</v>
      </c>
      <c r="J1128" s="345">
        <f>IFERROR(G1128/F1128,"-")</f>
        <v>0</v>
      </c>
      <c r="K1128" s="320">
        <f t="shared" ref="K1128:M1128" si="1387">SUM(K1125:K1127)</f>
        <v>9638</v>
      </c>
      <c r="L1128" s="321">
        <f t="shared" si="1387"/>
        <v>9149</v>
      </c>
      <c r="M1128" s="322">
        <f t="shared" si="1387"/>
        <v>489</v>
      </c>
      <c r="N1128" s="339">
        <f t="shared" si="1381"/>
        <v>4.819</v>
      </c>
      <c r="O1128" s="345">
        <f t="shared" si="1382"/>
        <v>5.0736667358373108E-2</v>
      </c>
    </row>
    <row r="1129" spans="1:15" ht="24" x14ac:dyDescent="0.25">
      <c r="A1129" s="274" t="s">
        <v>102</v>
      </c>
      <c r="B1129" s="949" t="s">
        <v>35</v>
      </c>
      <c r="C1129" s="311" t="s">
        <v>113</v>
      </c>
      <c r="D1129" s="311"/>
      <c r="E1129" s="270">
        <v>116160</v>
      </c>
      <c r="F1129" s="271"/>
      <c r="G1129" s="332">
        <f t="shared" ref="G1129:G1132" si="1388">+H1129+I1129</f>
        <v>0</v>
      </c>
      <c r="H1129" s="272"/>
      <c r="I1129" s="272"/>
      <c r="J1129" s="351" t="str">
        <f>IFERROR(G1129/F1129,"-")</f>
        <v>-</v>
      </c>
      <c r="K1129" s="332">
        <f t="shared" ref="K1129:K1132" si="1389">+L1129+M1129</f>
        <v>0</v>
      </c>
      <c r="L1129" s="272">
        <f t="shared" ref="L1129:M1129" si="1390">+H1129+L1012</f>
        <v>0</v>
      </c>
      <c r="M1129" s="273">
        <f t="shared" si="1390"/>
        <v>0</v>
      </c>
      <c r="N1129" s="336">
        <f t="shared" si="1381"/>
        <v>0</v>
      </c>
      <c r="O1129" s="346" t="str">
        <f t="shared" si="1382"/>
        <v>-</v>
      </c>
    </row>
    <row r="1130" spans="1:15" ht="24" x14ac:dyDescent="0.25">
      <c r="A1130" s="274" t="s">
        <v>102</v>
      </c>
      <c r="B1130" s="951"/>
      <c r="C1130" s="312" t="s">
        <v>247</v>
      </c>
      <c r="D1130" s="312"/>
      <c r="E1130" s="276"/>
      <c r="F1130" s="277"/>
      <c r="G1130" s="333">
        <f t="shared" si="1388"/>
        <v>0</v>
      </c>
      <c r="H1130" s="278"/>
      <c r="I1130" s="278"/>
      <c r="J1130" s="351" t="str">
        <f t="shared" ref="J1130:J1132" si="1391">IFERROR(G1130/F1130,"-")</f>
        <v>-</v>
      </c>
      <c r="K1130" s="333">
        <f t="shared" si="1389"/>
        <v>0</v>
      </c>
      <c r="L1130" s="272">
        <f t="shared" ref="L1130:M1130" si="1392">+H1130+L1013</f>
        <v>0</v>
      </c>
      <c r="M1130" s="273">
        <f t="shared" si="1392"/>
        <v>0</v>
      </c>
      <c r="N1130" s="337" t="str">
        <f t="shared" si="1381"/>
        <v>-</v>
      </c>
      <c r="O1130" s="263" t="str">
        <f t="shared" si="1382"/>
        <v>-</v>
      </c>
    </row>
    <row r="1131" spans="1:15" ht="24" x14ac:dyDescent="0.25">
      <c r="A1131" s="274" t="s">
        <v>102</v>
      </c>
      <c r="B1131" s="951"/>
      <c r="C1131" s="312" t="s">
        <v>496</v>
      </c>
      <c r="D1131" s="312"/>
      <c r="E1131" s="276">
        <v>20000</v>
      </c>
      <c r="F1131" s="277"/>
      <c r="G1131" s="333">
        <f t="shared" si="1388"/>
        <v>0</v>
      </c>
      <c r="H1131" s="278"/>
      <c r="I1131" s="278"/>
      <c r="J1131" s="351" t="str">
        <f t="shared" si="1391"/>
        <v>-</v>
      </c>
      <c r="K1131" s="333">
        <f t="shared" si="1389"/>
        <v>0</v>
      </c>
      <c r="L1131" s="272">
        <f t="shared" ref="L1131:M1131" si="1393">+H1131+L1014</f>
        <v>0</v>
      </c>
      <c r="M1131" s="273">
        <f t="shared" si="1393"/>
        <v>0</v>
      </c>
      <c r="N1131" s="337">
        <f t="shared" si="1381"/>
        <v>0</v>
      </c>
      <c r="O1131" s="263" t="str">
        <f t="shared" si="1382"/>
        <v>-</v>
      </c>
    </row>
    <row r="1132" spans="1:15" ht="24.75" thickBot="1" x14ac:dyDescent="0.3">
      <c r="A1132" s="274" t="s">
        <v>102</v>
      </c>
      <c r="B1132" s="950"/>
      <c r="C1132" s="313" t="s">
        <v>36</v>
      </c>
      <c r="D1132" s="313"/>
      <c r="E1132" s="280"/>
      <c r="F1132" s="281"/>
      <c r="G1132" s="334">
        <f t="shared" si="1388"/>
        <v>0</v>
      </c>
      <c r="H1132" s="282"/>
      <c r="I1132" s="282"/>
      <c r="J1132" s="351" t="str">
        <f t="shared" si="1391"/>
        <v>-</v>
      </c>
      <c r="K1132" s="334">
        <f t="shared" si="1389"/>
        <v>0</v>
      </c>
      <c r="L1132" s="272">
        <f t="shared" ref="L1132:M1132" si="1394">+H1132+L1015</f>
        <v>0</v>
      </c>
      <c r="M1132" s="273">
        <f t="shared" si="1394"/>
        <v>0</v>
      </c>
      <c r="N1132" s="338" t="str">
        <f t="shared" si="1381"/>
        <v>-</v>
      </c>
      <c r="O1132" s="347" t="str">
        <f t="shared" si="1382"/>
        <v>-</v>
      </c>
    </row>
    <row r="1133" spans="1:15" ht="23.25" thickBot="1" x14ac:dyDescent="0.3">
      <c r="A1133" s="274" t="s">
        <v>102</v>
      </c>
      <c r="B1133" s="946" t="s">
        <v>37</v>
      </c>
      <c r="C1133" s="947"/>
      <c r="D1133" s="948"/>
      <c r="E1133" s="284">
        <f>SUM(E1129:E1132)</f>
        <v>136160</v>
      </c>
      <c r="F1133" s="285">
        <v>6500</v>
      </c>
      <c r="G1133" s="320">
        <f>SUM(G1129:G1132)</f>
        <v>0</v>
      </c>
      <c r="H1133" s="321">
        <f t="shared" ref="H1133:I1133" si="1395">SUM(H1129:H1132)</f>
        <v>0</v>
      </c>
      <c r="I1133" s="321">
        <f t="shared" si="1395"/>
        <v>0</v>
      </c>
      <c r="J1133" s="345">
        <f>IFERROR(G1133/F1133,"-")</f>
        <v>0</v>
      </c>
      <c r="K1133" s="320">
        <f t="shared" ref="K1133:M1133" si="1396">SUM(K1129:K1132)</f>
        <v>0</v>
      </c>
      <c r="L1133" s="321">
        <f t="shared" si="1396"/>
        <v>0</v>
      </c>
      <c r="M1133" s="322">
        <f t="shared" si="1396"/>
        <v>0</v>
      </c>
      <c r="N1133" s="339">
        <f>IFERROR(K1133/E1133,"-")</f>
        <v>0</v>
      </c>
      <c r="O1133" s="345" t="str">
        <f t="shared" si="1382"/>
        <v>-</v>
      </c>
    </row>
    <row r="1134" spans="1:15" ht="24" x14ac:dyDescent="0.25">
      <c r="A1134" s="274" t="s">
        <v>102</v>
      </c>
      <c r="B1134" s="949" t="s">
        <v>402</v>
      </c>
      <c r="C1134" s="314" t="s">
        <v>116</v>
      </c>
      <c r="D1134" s="314"/>
      <c r="E1134" s="270">
        <v>31000</v>
      </c>
      <c r="F1134" s="271"/>
      <c r="G1134" s="332">
        <f t="shared" ref="G1134:G1135" si="1397">+H1134+I1134</f>
        <v>0</v>
      </c>
      <c r="H1134" s="272"/>
      <c r="I1134" s="272"/>
      <c r="J1134" s="351" t="str">
        <f>IFERROR(G1134/F1134,"-")</f>
        <v>-</v>
      </c>
      <c r="K1134" s="332">
        <f t="shared" ref="K1134:K1135" si="1398">+L1134+M1134</f>
        <v>0</v>
      </c>
      <c r="L1134" s="272">
        <f t="shared" ref="L1134:M1134" si="1399">+H1134+L1017</f>
        <v>0</v>
      </c>
      <c r="M1134" s="273">
        <f t="shared" si="1399"/>
        <v>0</v>
      </c>
      <c r="N1134" s="336">
        <f t="shared" ref="N1134:N1150" si="1400">IFERROR(K1134/E1134,"-")</f>
        <v>0</v>
      </c>
      <c r="O1134" s="346" t="str">
        <f t="shared" si="1382"/>
        <v>-</v>
      </c>
    </row>
    <row r="1135" spans="1:15" ht="24.75" thickBot="1" x14ac:dyDescent="0.3">
      <c r="A1135" s="274" t="s">
        <v>102</v>
      </c>
      <c r="B1135" s="950"/>
      <c r="C1135" s="286" t="s">
        <v>132</v>
      </c>
      <c r="D1135" s="286"/>
      <c r="E1135" s="280"/>
      <c r="F1135" s="281"/>
      <c r="G1135" s="334">
        <f t="shared" si="1397"/>
        <v>2500</v>
      </c>
      <c r="H1135" s="282">
        <v>2500</v>
      </c>
      <c r="I1135" s="282"/>
      <c r="J1135" s="351" t="str">
        <f>IFERROR(G1135/F1135,"-")</f>
        <v>-</v>
      </c>
      <c r="K1135" s="334">
        <f t="shared" si="1398"/>
        <v>22797</v>
      </c>
      <c r="L1135" s="272">
        <f t="shared" ref="L1135:M1135" si="1401">+H1135+L1018</f>
        <v>21790</v>
      </c>
      <c r="M1135" s="273">
        <f t="shared" si="1401"/>
        <v>1007</v>
      </c>
      <c r="N1135" s="338" t="str">
        <f t="shared" si="1400"/>
        <v>-</v>
      </c>
      <c r="O1135" s="347">
        <f t="shared" si="1382"/>
        <v>4.4172478834934421E-2</v>
      </c>
    </row>
    <row r="1136" spans="1:15" ht="23.25" thickBot="1" x14ac:dyDescent="0.3">
      <c r="A1136" s="892" t="s">
        <v>102</v>
      </c>
      <c r="B1136" s="946" t="s">
        <v>38</v>
      </c>
      <c r="C1136" s="947"/>
      <c r="D1136" s="948"/>
      <c r="E1136" s="284">
        <f>SUM(E1134:E1135)</f>
        <v>31000</v>
      </c>
      <c r="F1136" s="285">
        <v>2800</v>
      </c>
      <c r="G1136" s="320">
        <f>SUM(G1134:G1135)</f>
        <v>2500</v>
      </c>
      <c r="H1136" s="321">
        <f t="shared" ref="H1136:I1136" si="1402">SUM(H1134:H1135)</f>
        <v>2500</v>
      </c>
      <c r="I1136" s="321">
        <f t="shared" si="1402"/>
        <v>0</v>
      </c>
      <c r="J1136" s="345" t="str">
        <f>IFERROR(G1136/F1126,"-")</f>
        <v>-</v>
      </c>
      <c r="K1136" s="320">
        <f t="shared" ref="K1136:M1136" si="1403">SUM(K1134:K1135)</f>
        <v>22797</v>
      </c>
      <c r="L1136" s="321">
        <f t="shared" si="1403"/>
        <v>21790</v>
      </c>
      <c r="M1136" s="322">
        <f t="shared" si="1403"/>
        <v>1007</v>
      </c>
      <c r="N1136" s="339">
        <f t="shared" si="1400"/>
        <v>0.73538709677419356</v>
      </c>
      <c r="O1136" s="345">
        <f t="shared" si="1382"/>
        <v>4.4172478834934421E-2</v>
      </c>
    </row>
    <row r="1137" spans="1:15" ht="24" x14ac:dyDescent="0.25">
      <c r="A1137" s="274" t="s">
        <v>102</v>
      </c>
      <c r="B1137" s="949" t="s">
        <v>403</v>
      </c>
      <c r="C1137" s="269" t="s">
        <v>306</v>
      </c>
      <c r="D1137" s="269"/>
      <c r="E1137" s="270">
        <v>978200</v>
      </c>
      <c r="F1137" s="315"/>
      <c r="G1137" s="332">
        <f t="shared" ref="G1137:G1141" si="1404">+H1137+I1137</f>
        <v>47405</v>
      </c>
      <c r="H1137" s="272">
        <v>47040</v>
      </c>
      <c r="I1137" s="272">
        <v>365</v>
      </c>
      <c r="J1137" s="371" t="str">
        <f>IFERROR(G1137/F1137,"-")</f>
        <v>-</v>
      </c>
      <c r="K1137" s="332">
        <f t="shared" ref="K1137:K1141" si="1405">+L1137+M1137</f>
        <v>254458</v>
      </c>
      <c r="L1137" s="272">
        <f t="shared" ref="L1137:M1137" si="1406">+H1137+L1020</f>
        <v>252828</v>
      </c>
      <c r="M1137" s="272">
        <f t="shared" si="1406"/>
        <v>1630</v>
      </c>
      <c r="N1137" s="359">
        <f t="shared" si="1400"/>
        <v>0.26012880801472094</v>
      </c>
      <c r="O1137" s="360">
        <f t="shared" si="1382"/>
        <v>6.4057722689009585E-3</v>
      </c>
    </row>
    <row r="1138" spans="1:15" ht="24" x14ac:dyDescent="0.25">
      <c r="A1138" s="274" t="s">
        <v>102</v>
      </c>
      <c r="B1138" s="951"/>
      <c r="C1138" s="269" t="s">
        <v>307</v>
      </c>
      <c r="D1138" s="275"/>
      <c r="E1138" s="276"/>
      <c r="F1138" s="316"/>
      <c r="G1138" s="333">
        <f t="shared" si="1404"/>
        <v>0</v>
      </c>
      <c r="H1138" s="278"/>
      <c r="I1138" s="278"/>
      <c r="J1138" s="371" t="str">
        <f t="shared" ref="J1138:J1141" si="1407">IFERROR(G1138/F1138,"-")</f>
        <v>-</v>
      </c>
      <c r="K1138" s="333">
        <f t="shared" si="1405"/>
        <v>0</v>
      </c>
      <c r="L1138" s="272">
        <f t="shared" ref="L1138:M1138" si="1408">+H1138+L1021</f>
        <v>0</v>
      </c>
      <c r="M1138" s="273">
        <f t="shared" si="1408"/>
        <v>0</v>
      </c>
      <c r="N1138" s="361" t="str">
        <f t="shared" si="1400"/>
        <v>-</v>
      </c>
      <c r="O1138" s="362" t="str">
        <f t="shared" si="1382"/>
        <v>-</v>
      </c>
    </row>
    <row r="1139" spans="1:15" ht="24" x14ac:dyDescent="0.25">
      <c r="A1139" s="274" t="s">
        <v>102</v>
      </c>
      <c r="B1139" s="951"/>
      <c r="C1139" s="275" t="s">
        <v>499</v>
      </c>
      <c r="D1139" s="275"/>
      <c r="E1139" s="276">
        <f>70000+15000</f>
        <v>85000</v>
      </c>
      <c r="F1139" s="316"/>
      <c r="G1139" s="333">
        <f t="shared" si="1404"/>
        <v>0</v>
      </c>
      <c r="H1139" s="278"/>
      <c r="I1139" s="278"/>
      <c r="J1139" s="371" t="str">
        <f t="shared" si="1407"/>
        <v>-</v>
      </c>
      <c r="K1139" s="333">
        <f t="shared" si="1405"/>
        <v>49665</v>
      </c>
      <c r="L1139" s="272">
        <f t="shared" ref="L1139:M1139" si="1409">+H1139+L1022</f>
        <v>49032</v>
      </c>
      <c r="M1139" s="273">
        <f t="shared" si="1409"/>
        <v>633</v>
      </c>
      <c r="N1139" s="361">
        <f t="shared" si="1400"/>
        <v>0.58429411764705885</v>
      </c>
      <c r="O1139" s="362">
        <f t="shared" si="1382"/>
        <v>1.2745394140742978E-2</v>
      </c>
    </row>
    <row r="1140" spans="1:15" ht="24" x14ac:dyDescent="0.25">
      <c r="A1140" s="274" t="s">
        <v>102</v>
      </c>
      <c r="B1140" s="951"/>
      <c r="C1140" s="275" t="s">
        <v>157</v>
      </c>
      <c r="D1140" s="275"/>
      <c r="E1140" s="276">
        <v>60040</v>
      </c>
      <c r="F1140" s="316"/>
      <c r="G1140" s="333">
        <f t="shared" si="1404"/>
        <v>0</v>
      </c>
      <c r="H1140" s="278"/>
      <c r="I1140" s="278"/>
      <c r="J1140" s="371" t="str">
        <f t="shared" si="1407"/>
        <v>-</v>
      </c>
      <c r="K1140" s="333">
        <f t="shared" si="1405"/>
        <v>0</v>
      </c>
      <c r="L1140" s="272">
        <f t="shared" ref="L1140:M1140" si="1410">+H1140+L1023</f>
        <v>0</v>
      </c>
      <c r="M1140" s="273">
        <f t="shared" si="1410"/>
        <v>0</v>
      </c>
      <c r="N1140" s="361">
        <f t="shared" si="1400"/>
        <v>0</v>
      </c>
      <c r="O1140" s="362" t="str">
        <f t="shared" si="1382"/>
        <v>-</v>
      </c>
    </row>
    <row r="1141" spans="1:15" ht="24.75" thickBot="1" x14ac:dyDescent="0.3">
      <c r="A1141" s="274" t="s">
        <v>102</v>
      </c>
      <c r="B1141" s="950"/>
      <c r="C1141" s="279" t="s">
        <v>158</v>
      </c>
      <c r="D1141" s="279"/>
      <c r="E1141" s="280"/>
      <c r="F1141" s="317"/>
      <c r="G1141" s="334">
        <f t="shared" si="1404"/>
        <v>0</v>
      </c>
      <c r="H1141" s="282"/>
      <c r="I1141" s="282"/>
      <c r="J1141" s="371" t="str">
        <f t="shared" si="1407"/>
        <v>-</v>
      </c>
      <c r="K1141" s="334">
        <f t="shared" si="1405"/>
        <v>0</v>
      </c>
      <c r="L1141" s="272">
        <f t="shared" ref="L1141:M1141" si="1411">+H1141+L1024</f>
        <v>0</v>
      </c>
      <c r="M1141" s="273">
        <f t="shared" si="1411"/>
        <v>0</v>
      </c>
      <c r="N1141" s="363" t="str">
        <f t="shared" si="1400"/>
        <v>-</v>
      </c>
      <c r="O1141" s="364" t="str">
        <f t="shared" si="1382"/>
        <v>-</v>
      </c>
    </row>
    <row r="1142" spans="1:15" ht="23.25" thickBot="1" x14ac:dyDescent="0.3">
      <c r="A1142" s="274" t="s">
        <v>102</v>
      </c>
      <c r="B1142" s="946" t="s">
        <v>39</v>
      </c>
      <c r="C1142" s="947"/>
      <c r="D1142" s="948"/>
      <c r="E1142" s="320">
        <f>SUM(E1137:E1141)</f>
        <v>1123240</v>
      </c>
      <c r="F1142" s="285">
        <v>25000</v>
      </c>
      <c r="G1142" s="320">
        <f>SUM(G1137:G1141)</f>
        <v>47405</v>
      </c>
      <c r="H1142" s="321">
        <f>SUM(H1137:H1141)</f>
        <v>47040</v>
      </c>
      <c r="I1142" s="321">
        <f>SUM(I1137:I1141)</f>
        <v>365</v>
      </c>
      <c r="J1142" s="345">
        <f>IFERROR(G1142/F1142,"-")</f>
        <v>1.8962000000000001</v>
      </c>
      <c r="K1142" s="320">
        <f>SUM(K1137:K1141)</f>
        <v>304123</v>
      </c>
      <c r="L1142" s="321">
        <f>SUM(L1137:L1141)</f>
        <v>301860</v>
      </c>
      <c r="M1142" s="322">
        <f>SUM(M1137:M1141)</f>
        <v>2263</v>
      </c>
      <c r="N1142" s="339">
        <f t="shared" si="1400"/>
        <v>0.27075513692532316</v>
      </c>
      <c r="O1142" s="345">
        <f t="shared" si="1382"/>
        <v>7.4410682519901487E-3</v>
      </c>
    </row>
    <row r="1143" spans="1:15" ht="24" x14ac:dyDescent="0.25">
      <c r="A1143" s="274" t="s">
        <v>102</v>
      </c>
      <c r="B1143" s="949" t="s">
        <v>404</v>
      </c>
      <c r="C1143" s="269" t="s">
        <v>186</v>
      </c>
      <c r="D1143" s="269"/>
      <c r="E1143" s="270"/>
      <c r="F1143" s="271"/>
      <c r="G1143" s="332">
        <f t="shared" ref="G1143:G1145" si="1412">+H1143+I1143</f>
        <v>0</v>
      </c>
      <c r="H1143" s="272"/>
      <c r="I1143" s="272"/>
      <c r="J1143" s="351" t="str">
        <f>IFERROR(G1143/F1143,"-")</f>
        <v>-</v>
      </c>
      <c r="K1143" s="332">
        <f t="shared" ref="K1143:K1145" si="1413">+L1143+M1143</f>
        <v>0</v>
      </c>
      <c r="L1143" s="272">
        <f t="shared" ref="L1143:M1143" si="1414">+H1143+L1026</f>
        <v>0</v>
      </c>
      <c r="M1143" s="273">
        <f t="shared" si="1414"/>
        <v>0</v>
      </c>
      <c r="N1143" s="336" t="str">
        <f t="shared" si="1400"/>
        <v>-</v>
      </c>
      <c r="O1143" s="346" t="str">
        <f t="shared" si="1382"/>
        <v>-</v>
      </c>
    </row>
    <row r="1144" spans="1:15" ht="24" x14ac:dyDescent="0.25">
      <c r="A1144" s="274" t="s">
        <v>102</v>
      </c>
      <c r="B1144" s="951"/>
      <c r="C1144" s="275" t="s">
        <v>497</v>
      </c>
      <c r="D1144" s="275"/>
      <c r="E1144" s="276"/>
      <c r="F1144" s="277"/>
      <c r="G1144" s="333">
        <f t="shared" si="1412"/>
        <v>0</v>
      </c>
      <c r="H1144" s="278"/>
      <c r="I1144" s="278"/>
      <c r="J1144" s="351" t="str">
        <f t="shared" ref="J1144:J1145" si="1415">IFERROR(G1144/F1144,"-")</f>
        <v>-</v>
      </c>
      <c r="K1144" s="333">
        <f t="shared" si="1413"/>
        <v>11826</v>
      </c>
      <c r="L1144" s="714">
        <f t="shared" ref="L1144:M1144" si="1416">+H1144+L1027</f>
        <v>11400</v>
      </c>
      <c r="M1144" s="273">
        <f t="shared" si="1416"/>
        <v>426</v>
      </c>
      <c r="N1144" s="361" t="str">
        <f t="shared" si="1400"/>
        <v>-</v>
      </c>
      <c r="O1144" s="362">
        <f t="shared" si="1382"/>
        <v>3.6022323693556568E-2</v>
      </c>
    </row>
    <row r="1145" spans="1:15" ht="24.75" thickBot="1" x14ac:dyDescent="0.3">
      <c r="A1145" s="274" t="s">
        <v>102</v>
      </c>
      <c r="B1145" s="950"/>
      <c r="C1145" s="279" t="s">
        <v>498</v>
      </c>
      <c r="D1145" s="279"/>
      <c r="E1145" s="280"/>
      <c r="F1145" s="281"/>
      <c r="G1145" s="334">
        <f t="shared" si="1412"/>
        <v>0</v>
      </c>
      <c r="H1145" s="282"/>
      <c r="I1145" s="282"/>
      <c r="J1145" s="351" t="str">
        <f t="shared" si="1415"/>
        <v>-</v>
      </c>
      <c r="K1145" s="334">
        <f t="shared" si="1413"/>
        <v>0</v>
      </c>
      <c r="L1145" s="272">
        <f t="shared" ref="L1145:M1145" si="1417">+H1145+L1028</f>
        <v>0</v>
      </c>
      <c r="M1145" s="273">
        <f t="shared" si="1417"/>
        <v>0</v>
      </c>
      <c r="N1145" s="363" t="str">
        <f t="shared" si="1400"/>
        <v>-</v>
      </c>
      <c r="O1145" s="364" t="str">
        <f t="shared" si="1382"/>
        <v>-</v>
      </c>
    </row>
    <row r="1146" spans="1:15" ht="23.25" thickBot="1" x14ac:dyDescent="0.3">
      <c r="A1146" s="274" t="s">
        <v>102</v>
      </c>
      <c r="B1146" s="952" t="s">
        <v>41</v>
      </c>
      <c r="C1146" s="953"/>
      <c r="D1146" s="954"/>
      <c r="E1146" s="320">
        <f>SUM(E1143:E1145)</f>
        <v>0</v>
      </c>
      <c r="F1146" s="285"/>
      <c r="G1146" s="320">
        <f>SUM(G1143:G1145)</f>
        <v>0</v>
      </c>
      <c r="H1146" s="321">
        <f t="shared" ref="H1146:I1146" si="1418">SUM(H1143:H1145)</f>
        <v>0</v>
      </c>
      <c r="I1146" s="321">
        <f t="shared" si="1418"/>
        <v>0</v>
      </c>
      <c r="J1146" s="345" t="str">
        <f>IFERROR(G1146/F1146,"-")</f>
        <v>-</v>
      </c>
      <c r="K1146" s="320">
        <f t="shared" ref="K1146:M1146" si="1419">SUM(K1143:K1145)</f>
        <v>11826</v>
      </c>
      <c r="L1146" s="365">
        <f t="shared" si="1419"/>
        <v>11400</v>
      </c>
      <c r="M1146" s="367">
        <f t="shared" si="1419"/>
        <v>426</v>
      </c>
      <c r="N1146" s="339" t="str">
        <f t="shared" si="1400"/>
        <v>-</v>
      </c>
      <c r="O1146" s="345">
        <f t="shared" si="1382"/>
        <v>3.6022323693556568E-2</v>
      </c>
    </row>
    <row r="1147" spans="1:15" ht="24.75" thickBot="1" x14ac:dyDescent="0.3">
      <c r="A1147" s="274" t="s">
        <v>102</v>
      </c>
      <c r="B1147" s="949" t="s">
        <v>42</v>
      </c>
      <c r="C1147" s="269" t="s">
        <v>160</v>
      </c>
      <c r="D1147" s="269"/>
      <c r="E1147" s="270"/>
      <c r="F1147" s="271"/>
      <c r="G1147" s="332">
        <f t="shared" ref="G1147:G1148" si="1420">+H1147+I1147</f>
        <v>0</v>
      </c>
      <c r="H1147" s="272"/>
      <c r="I1147" s="272"/>
      <c r="J1147" s="371" t="str">
        <f>IFERROR(G1147/F1147,"-")</f>
        <v>-</v>
      </c>
      <c r="K1147" s="695">
        <f t="shared" ref="K1147:K1148" si="1421">+L1147+M1147</f>
        <v>0</v>
      </c>
      <c r="L1147" s="688">
        <f t="shared" ref="L1147:M1147" si="1422">+H1147+L1030</f>
        <v>0</v>
      </c>
      <c r="M1147" s="688">
        <f t="shared" si="1422"/>
        <v>0</v>
      </c>
      <c r="N1147" s="359" t="str">
        <f t="shared" si="1400"/>
        <v>-</v>
      </c>
      <c r="O1147" s="360" t="str">
        <f t="shared" si="1382"/>
        <v>-</v>
      </c>
    </row>
    <row r="1148" spans="1:15" ht="24.75" thickBot="1" x14ac:dyDescent="0.3">
      <c r="A1148" s="274" t="s">
        <v>102</v>
      </c>
      <c r="B1148" s="950"/>
      <c r="C1148" s="279" t="s">
        <v>161</v>
      </c>
      <c r="D1148" s="279"/>
      <c r="E1148" s="280"/>
      <c r="F1148" s="281"/>
      <c r="G1148" s="334">
        <f t="shared" si="1420"/>
        <v>0</v>
      </c>
      <c r="H1148" s="282"/>
      <c r="I1148" s="282"/>
      <c r="J1148" s="373" t="str">
        <f>IFERROR(G1148/F1148,"-")</f>
        <v>-</v>
      </c>
      <c r="K1148" s="696">
        <f t="shared" si="1421"/>
        <v>0</v>
      </c>
      <c r="L1148" s="688">
        <f t="shared" ref="L1148:M1148" si="1423">+H1148+L1031</f>
        <v>0</v>
      </c>
      <c r="M1148" s="688">
        <f t="shared" si="1423"/>
        <v>0</v>
      </c>
      <c r="N1148" s="363" t="str">
        <f t="shared" si="1400"/>
        <v>-</v>
      </c>
      <c r="O1148" s="364" t="str">
        <f t="shared" si="1382"/>
        <v>-</v>
      </c>
    </row>
    <row r="1149" spans="1:15" ht="23.25" thickBot="1" x14ac:dyDescent="0.3">
      <c r="A1149" s="274" t="s">
        <v>102</v>
      </c>
      <c r="B1149" s="952" t="s">
        <v>43</v>
      </c>
      <c r="C1149" s="953"/>
      <c r="D1149" s="954"/>
      <c r="E1149" s="284">
        <f>SUM(E1147:E1148)</f>
        <v>0</v>
      </c>
      <c r="F1149" s="285">
        <v>25000</v>
      </c>
      <c r="G1149" s="320">
        <f>SUM(G1147:G1148)</f>
        <v>0</v>
      </c>
      <c r="H1149" s="321">
        <f t="shared" ref="H1149:I1149" si="1424">SUM(H1147:H1148)</f>
        <v>0</v>
      </c>
      <c r="I1149" s="321">
        <f t="shared" si="1424"/>
        <v>0</v>
      </c>
      <c r="J1149" s="345">
        <f>IFERROR(G1149/F1149,"-")</f>
        <v>0</v>
      </c>
      <c r="K1149" s="760">
        <f t="shared" ref="K1149:M1149" si="1425">SUM(K1147:K1148)</f>
        <v>0</v>
      </c>
      <c r="L1149" s="761">
        <f t="shared" si="1425"/>
        <v>0</v>
      </c>
      <c r="M1149" s="761">
        <f t="shared" si="1425"/>
        <v>0</v>
      </c>
      <c r="N1149" s="339" t="str">
        <f t="shared" si="1400"/>
        <v>-</v>
      </c>
      <c r="O1149" s="345" t="str">
        <f t="shared" si="1382"/>
        <v>-</v>
      </c>
    </row>
    <row r="1150" spans="1:15" ht="23.25" thickBot="1" x14ac:dyDescent="0.3">
      <c r="A1150" s="274" t="s">
        <v>102</v>
      </c>
      <c r="B1150" s="938" t="s">
        <v>25</v>
      </c>
      <c r="C1150" s="939"/>
      <c r="D1150" s="940"/>
      <c r="E1150" s="326">
        <f t="shared" ref="E1150:F1150" si="1426">+E1128+E1133+E1136+E1142+E1146+E1149</f>
        <v>1292400</v>
      </c>
      <c r="F1150" s="327">
        <f t="shared" si="1426"/>
        <v>65800</v>
      </c>
      <c r="G1150" s="326">
        <f>+G1128+G1133+G1136+G1142+G1146+G1149</f>
        <v>49905</v>
      </c>
      <c r="H1150" s="324">
        <f>+H1128+H1133+H1136+H1142+H1146+H1149</f>
        <v>49540</v>
      </c>
      <c r="I1150" s="324">
        <f t="shared" ref="I1150" si="1427">+I1128+I1133+I1136+I1142+I1146+I1149</f>
        <v>365</v>
      </c>
      <c r="J1150" s="349">
        <f>IFERROR(G1150/F1150,"-")</f>
        <v>0.75843465045592706</v>
      </c>
      <c r="K1150" s="326">
        <f>+K1128+K1133+K1136+K1142+K1146+K1149</f>
        <v>348384</v>
      </c>
      <c r="L1150" s="759">
        <f t="shared" ref="L1150:M1150" si="1428">+L1128+L1133+L1136+L1142+L1146+L1149</f>
        <v>344199</v>
      </c>
      <c r="M1150" s="325">
        <f t="shared" si="1428"/>
        <v>4185</v>
      </c>
      <c r="N1150" s="341">
        <f t="shared" si="1400"/>
        <v>0.26956360259981432</v>
      </c>
      <c r="O1150" s="349">
        <f t="shared" si="1382"/>
        <v>1.2012606778726922E-2</v>
      </c>
    </row>
    <row r="1151" spans="1:15" ht="23.25" thickBot="1" x14ac:dyDescent="0.3">
      <c r="A1151" s="318" t="s">
        <v>102</v>
      </c>
      <c r="B1151" s="941" t="s">
        <v>173</v>
      </c>
      <c r="C1151" s="941"/>
      <c r="D1151" s="942"/>
      <c r="E1151" s="330">
        <f>+E1150</f>
        <v>1292400</v>
      </c>
      <c r="F1151" s="331">
        <f t="shared" ref="F1151:I1151" si="1429">+F1150</f>
        <v>65800</v>
      </c>
      <c r="G1151" s="330">
        <f t="shared" si="1429"/>
        <v>49905</v>
      </c>
      <c r="H1151" s="328">
        <f t="shared" si="1429"/>
        <v>49540</v>
      </c>
      <c r="I1151" s="328">
        <f t="shared" si="1429"/>
        <v>365</v>
      </c>
      <c r="J1151" s="350">
        <f>+G1151/F1151</f>
        <v>0.75843465045592706</v>
      </c>
      <c r="K1151" s="330">
        <f t="shared" ref="K1151:O1151" si="1430">+K1150</f>
        <v>348384</v>
      </c>
      <c r="L1151" s="328">
        <f t="shared" si="1430"/>
        <v>344199</v>
      </c>
      <c r="M1151" s="329">
        <f t="shared" si="1430"/>
        <v>4185</v>
      </c>
      <c r="N1151" s="342">
        <f t="shared" si="1430"/>
        <v>0.26956360259981432</v>
      </c>
      <c r="O1151" s="350">
        <f t="shared" si="1430"/>
        <v>1.2012606778726922E-2</v>
      </c>
    </row>
    <row r="1152" spans="1:15" ht="26.25" thickBot="1" x14ac:dyDescent="0.3">
      <c r="A1152" s="319"/>
      <c r="B1152" s="943" t="s">
        <v>174</v>
      </c>
      <c r="C1152" s="944"/>
      <c r="D1152" s="945"/>
      <c r="E1152" s="374">
        <f>+E1089+E1124+E1151</f>
        <v>7473564</v>
      </c>
      <c r="F1152" s="374">
        <f>+F1089+F1124+F1151</f>
        <v>1024800</v>
      </c>
      <c r="G1152" s="374">
        <f>+G1089+G1124+G1151</f>
        <v>516809</v>
      </c>
      <c r="H1152" s="374">
        <f>+H1089+H1124+H1151</f>
        <v>512254</v>
      </c>
      <c r="I1152" s="374">
        <f>+I1089+I1124+I1151</f>
        <v>4555</v>
      </c>
      <c r="J1152" s="375">
        <f>IFERROR(G1152/F1152,"-")</f>
        <v>0.50430230288836841</v>
      </c>
      <c r="K1152" s="374">
        <f>+K1089+K1124+K1151</f>
        <v>3632879</v>
      </c>
      <c r="L1152" s="374">
        <f>+L1089+L1124+L1151</f>
        <v>3600451</v>
      </c>
      <c r="M1152" s="374">
        <f>+M1089+M1124+M1151</f>
        <v>32428</v>
      </c>
      <c r="N1152" s="375">
        <f>IFERROR(K1152/E1152,"-")</f>
        <v>0.48609726229681044</v>
      </c>
      <c r="O1152" s="375">
        <f>IFERROR(M1152/K1152,"-")</f>
        <v>8.9262538058658154E-3</v>
      </c>
    </row>
    <row r="1153" spans="1:15" ht="22.5" x14ac:dyDescent="0.25">
      <c r="A1153" s="978" t="s">
        <v>1</v>
      </c>
      <c r="B1153" s="981" t="s">
        <v>2</v>
      </c>
      <c r="C1153" s="984" t="s">
        <v>396</v>
      </c>
      <c r="D1153" s="984" t="s">
        <v>397</v>
      </c>
      <c r="E1153" s="987" t="s">
        <v>4</v>
      </c>
      <c r="F1153" s="988"/>
      <c r="G1153" s="988"/>
      <c r="H1153" s="988"/>
      <c r="I1153" s="988"/>
      <c r="J1153" s="988"/>
      <c r="K1153" s="988"/>
      <c r="L1153" s="988"/>
      <c r="M1153" s="988"/>
      <c r="N1153" s="988"/>
      <c r="O1153" s="989"/>
    </row>
    <row r="1154" spans="1:15" ht="22.5" x14ac:dyDescent="0.25">
      <c r="A1154" s="979"/>
      <c r="B1154" s="982"/>
      <c r="C1154" s="985"/>
      <c r="D1154" s="985"/>
      <c r="E1154" s="990" t="s">
        <v>7</v>
      </c>
      <c r="F1154" s="992" t="s">
        <v>108</v>
      </c>
      <c r="G1154" s="994" t="s">
        <v>552</v>
      </c>
      <c r="H1154" s="995"/>
      <c r="I1154" s="995"/>
      <c r="J1154" s="996"/>
      <c r="K1154" s="997" t="s">
        <v>398</v>
      </c>
      <c r="L1154" s="998"/>
      <c r="M1154" s="999"/>
      <c r="N1154" s="1000" t="s">
        <v>399</v>
      </c>
      <c r="O1154" s="1002" t="s">
        <v>164</v>
      </c>
    </row>
    <row r="1155" spans="1:15" ht="41.25" thickBot="1" x14ac:dyDescent="0.3">
      <c r="A1155" s="980"/>
      <c r="B1155" s="983"/>
      <c r="C1155" s="986"/>
      <c r="D1155" s="986"/>
      <c r="E1155" s="991"/>
      <c r="F1155" s="993"/>
      <c r="G1155" s="452" t="s">
        <v>13</v>
      </c>
      <c r="H1155" s="453" t="s">
        <v>14</v>
      </c>
      <c r="I1155" s="453" t="s">
        <v>15</v>
      </c>
      <c r="J1155" s="454" t="s">
        <v>166</v>
      </c>
      <c r="K1155" s="680" t="s">
        <v>13</v>
      </c>
      <c r="L1155" s="678" t="s">
        <v>14</v>
      </c>
      <c r="M1155" s="679" t="s">
        <v>15</v>
      </c>
      <c r="N1155" s="1001"/>
      <c r="O1155" s="1003"/>
    </row>
    <row r="1156" spans="1:15" ht="24" x14ac:dyDescent="0.25">
      <c r="A1156" s="268" t="s">
        <v>103</v>
      </c>
      <c r="B1156" s="965" t="s">
        <v>16</v>
      </c>
      <c r="C1156" s="269" t="s">
        <v>549</v>
      </c>
      <c r="D1156" s="269" t="s">
        <v>369</v>
      </c>
      <c r="E1156" s="270">
        <v>20000</v>
      </c>
      <c r="F1156" s="271"/>
      <c r="G1156" s="332">
        <f>+H1156+I1156</f>
        <v>5690</v>
      </c>
      <c r="H1156" s="272">
        <v>5440</v>
      </c>
      <c r="I1156" s="272">
        <v>250</v>
      </c>
      <c r="J1156" s="352" t="str">
        <f>IFERROR(G1156/F1156,"-")</f>
        <v>-</v>
      </c>
      <c r="K1156" s="694">
        <f>+L1156+M1156</f>
        <v>8442</v>
      </c>
      <c r="L1156" s="527">
        <f>+H1156+L1039</f>
        <v>7680</v>
      </c>
      <c r="M1156" s="459">
        <f>+I1156+M1039</f>
        <v>762</v>
      </c>
      <c r="N1156" s="336">
        <f>IFERROR(K1156/E1156,"-")</f>
        <v>0.42209999999999998</v>
      </c>
      <c r="O1156" s="343">
        <f t="shared" ref="O1156:O1157" si="1431">IFERROR(M1156/K1156,"-")</f>
        <v>9.0262970859985789E-2</v>
      </c>
    </row>
    <row r="1157" spans="1:15" ht="24" x14ac:dyDescent="0.25">
      <c r="A1157" s="274" t="s">
        <v>103</v>
      </c>
      <c r="B1157" s="966"/>
      <c r="C1157" s="275" t="s">
        <v>376</v>
      </c>
      <c r="D1157" s="275" t="s">
        <v>375</v>
      </c>
      <c r="E1157" s="276"/>
      <c r="F1157" s="277"/>
      <c r="G1157" s="333">
        <f t="shared" ref="G1157:G1159" si="1432">+H1157+I1157</f>
        <v>0</v>
      </c>
      <c r="H1157" s="278"/>
      <c r="I1157" s="278"/>
      <c r="J1157" s="352" t="str">
        <f t="shared" ref="J1157:J1159" si="1433">IFERROR(G1157/F1157,"-")</f>
        <v>-</v>
      </c>
      <c r="K1157" s="690">
        <f t="shared" ref="K1157:K1159" si="1434">+L1157+M1157</f>
        <v>0</v>
      </c>
      <c r="L1157" s="276">
        <f t="shared" ref="L1157:M1157" si="1435">+H1157+L1040</f>
        <v>0</v>
      </c>
      <c r="M1157" s="436">
        <f t="shared" si="1435"/>
        <v>0</v>
      </c>
      <c r="N1157" s="337" t="str">
        <f t="shared" ref="N1157:N1159" si="1436">IFERROR(K1157/E1157,"-")</f>
        <v>-</v>
      </c>
      <c r="O1157" s="265" t="str">
        <f t="shared" si="1431"/>
        <v>-</v>
      </c>
    </row>
    <row r="1158" spans="1:15" s="723" customFormat="1" ht="24" x14ac:dyDescent="0.25">
      <c r="A1158" s="274" t="s">
        <v>103</v>
      </c>
      <c r="B1158" s="966"/>
      <c r="C1158" s="573" t="s">
        <v>431</v>
      </c>
      <c r="D1158" s="573" t="s">
        <v>366</v>
      </c>
      <c r="E1158" s="720"/>
      <c r="F1158" s="721"/>
      <c r="G1158" s="333">
        <f t="shared" si="1432"/>
        <v>0</v>
      </c>
      <c r="H1158" s="722"/>
      <c r="I1158" s="722"/>
      <c r="J1158" s="352" t="str">
        <f t="shared" si="1433"/>
        <v>-</v>
      </c>
      <c r="K1158" s="690">
        <f t="shared" si="1434"/>
        <v>8000</v>
      </c>
      <c r="L1158" s="276">
        <f t="shared" ref="L1158:M1158" si="1437">+H1158+L1041</f>
        <v>8000</v>
      </c>
      <c r="M1158" s="436">
        <f t="shared" si="1437"/>
        <v>0</v>
      </c>
      <c r="N1158" s="337" t="str">
        <f t="shared" si="1436"/>
        <v>-</v>
      </c>
      <c r="O1158" s="265">
        <f>IFERROR(M1158/K1158,"-")</f>
        <v>0</v>
      </c>
    </row>
    <row r="1159" spans="1:15" ht="24.75" thickBot="1" x14ac:dyDescent="0.3">
      <c r="A1159" s="274" t="s">
        <v>103</v>
      </c>
      <c r="B1159" s="967"/>
      <c r="C1159" s="279" t="s">
        <v>428</v>
      </c>
      <c r="D1159" s="279" t="s">
        <v>374</v>
      </c>
      <c r="E1159" s="280"/>
      <c r="F1159" s="281"/>
      <c r="G1159" s="334">
        <f t="shared" si="1432"/>
        <v>0</v>
      </c>
      <c r="H1159" s="272"/>
      <c r="I1159" s="272"/>
      <c r="J1159" s="352" t="str">
        <f t="shared" si="1433"/>
        <v>-</v>
      </c>
      <c r="K1159" s="691">
        <f t="shared" si="1434"/>
        <v>0</v>
      </c>
      <c r="L1159" s="530">
        <f t="shared" ref="L1159:M1159" si="1438">+H1159+L1042</f>
        <v>0</v>
      </c>
      <c r="M1159" s="462">
        <f t="shared" si="1438"/>
        <v>0</v>
      </c>
      <c r="N1159" s="338" t="str">
        <f t="shared" si="1436"/>
        <v>-</v>
      </c>
      <c r="O1159" s="344" t="str">
        <f t="shared" ref="O1159:O1177" si="1439">IFERROR(M1159/K1159,"-")</f>
        <v>-</v>
      </c>
    </row>
    <row r="1160" spans="1:15" ht="23.25" thickBot="1" x14ac:dyDescent="0.3">
      <c r="A1160" s="274" t="s">
        <v>103</v>
      </c>
      <c r="B1160" s="946" t="s">
        <v>44</v>
      </c>
      <c r="C1160" s="947"/>
      <c r="D1160" s="948"/>
      <c r="E1160" s="320">
        <f>SUM(E1156:E1159)</f>
        <v>20000</v>
      </c>
      <c r="F1160" s="285">
        <v>15000</v>
      </c>
      <c r="G1160" s="320">
        <f>SUM(G1156:G1159)</f>
        <v>5690</v>
      </c>
      <c r="H1160" s="321">
        <f t="shared" ref="H1160:I1160" si="1440">SUM(H1156:H1159)</f>
        <v>5440</v>
      </c>
      <c r="I1160" s="321">
        <f t="shared" si="1440"/>
        <v>250</v>
      </c>
      <c r="J1160" s="345">
        <f>+G1160/F1160</f>
        <v>0.37933333333333336</v>
      </c>
      <c r="K1160" s="320">
        <f t="shared" ref="K1160" si="1441">SUM(K1156:K1159)</f>
        <v>16442</v>
      </c>
      <c r="L1160" s="692">
        <f>SUM(L1156:L1159)</f>
        <v>15680</v>
      </c>
      <c r="M1160" s="693">
        <f>SUM(M1156:M1159)</f>
        <v>762</v>
      </c>
      <c r="N1160" s="339">
        <f>IFERROR(K1160/E1160,"-")</f>
        <v>0.82210000000000005</v>
      </c>
      <c r="O1160" s="345">
        <f t="shared" si="1439"/>
        <v>4.6344726918866319E-2</v>
      </c>
    </row>
    <row r="1161" spans="1:15" ht="24" x14ac:dyDescent="0.25">
      <c r="A1161" s="274" t="s">
        <v>103</v>
      </c>
      <c r="B1161" s="965" t="s">
        <v>17</v>
      </c>
      <c r="C1161" s="269" t="s">
        <v>294</v>
      </c>
      <c r="D1161" s="269"/>
      <c r="E1161" s="270"/>
      <c r="F1161" s="271"/>
      <c r="G1161" s="332">
        <f t="shared" ref="G1161:G1167" si="1442">+H1161+I1161</f>
        <v>0</v>
      </c>
      <c r="H1161" s="272"/>
      <c r="I1161" s="272"/>
      <c r="J1161" s="351" t="str">
        <f>IFERROR(G1161/F1161,"-")</f>
        <v>-</v>
      </c>
      <c r="K1161" s="694">
        <f t="shared" ref="K1161:K1167" si="1443">+L1161+M1161</f>
        <v>0</v>
      </c>
      <c r="L1161" s="527">
        <f t="shared" ref="L1161:M1161" si="1444">+H1161+L1044</f>
        <v>0</v>
      </c>
      <c r="M1161" s="459">
        <f t="shared" si="1444"/>
        <v>0</v>
      </c>
      <c r="N1161" s="336" t="str">
        <f t="shared" ref="N1161:N1167" si="1445">IFERROR(K1161/E1161,"-")</f>
        <v>-</v>
      </c>
      <c r="O1161" s="346" t="str">
        <f t="shared" si="1439"/>
        <v>-</v>
      </c>
    </row>
    <row r="1162" spans="1:15" ht="24" x14ac:dyDescent="0.25">
      <c r="A1162" s="274" t="s">
        <v>103</v>
      </c>
      <c r="B1162" s="966"/>
      <c r="C1162" s="275" t="s">
        <v>344</v>
      </c>
      <c r="D1162" s="275" t="s">
        <v>232</v>
      </c>
      <c r="E1162" s="276">
        <v>1600000</v>
      </c>
      <c r="F1162" s="277"/>
      <c r="G1162" s="333">
        <f t="shared" si="1442"/>
        <v>0</v>
      </c>
      <c r="H1162" s="278"/>
      <c r="I1162" s="278"/>
      <c r="J1162" s="351" t="str">
        <f t="shared" ref="J1162:J1167" si="1446">IFERROR(G1162/F1162,"-")</f>
        <v>-</v>
      </c>
      <c r="K1162" s="690">
        <f t="shared" si="1443"/>
        <v>6120</v>
      </c>
      <c r="L1162" s="276">
        <f t="shared" ref="L1162:M1162" si="1447">+H1162+L1045</f>
        <v>5980</v>
      </c>
      <c r="M1162" s="436">
        <f t="shared" si="1447"/>
        <v>140</v>
      </c>
      <c r="N1162" s="337">
        <f t="shared" si="1445"/>
        <v>3.8249999999999998E-3</v>
      </c>
      <c r="O1162" s="263">
        <f t="shared" si="1439"/>
        <v>2.2875816993464051E-2</v>
      </c>
    </row>
    <row r="1163" spans="1:15" ht="24" x14ac:dyDescent="0.25">
      <c r="A1163" s="274" t="s">
        <v>103</v>
      </c>
      <c r="B1163" s="966"/>
      <c r="C1163" s="275" t="s">
        <v>367</v>
      </c>
      <c r="D1163" s="275" t="s">
        <v>187</v>
      </c>
      <c r="E1163" s="276">
        <v>1000000</v>
      </c>
      <c r="F1163" s="277"/>
      <c r="G1163" s="333">
        <f t="shared" si="1442"/>
        <v>106394</v>
      </c>
      <c r="H1163" s="278">
        <v>104040</v>
      </c>
      <c r="I1163" s="278">
        <v>2354</v>
      </c>
      <c r="J1163" s="351" t="str">
        <f t="shared" si="1446"/>
        <v>-</v>
      </c>
      <c r="K1163" s="690">
        <f t="shared" si="1443"/>
        <v>862310</v>
      </c>
      <c r="L1163" s="276">
        <f t="shared" ref="L1163:M1163" si="1448">+H1163+L1046</f>
        <v>856800</v>
      </c>
      <c r="M1163" s="436">
        <f t="shared" si="1448"/>
        <v>5510</v>
      </c>
      <c r="N1163" s="337">
        <f t="shared" si="1445"/>
        <v>0.86231000000000002</v>
      </c>
      <c r="O1163" s="263">
        <f t="shared" si="1439"/>
        <v>6.3898134081710753E-3</v>
      </c>
    </row>
    <row r="1164" spans="1:15" ht="24" x14ac:dyDescent="0.25">
      <c r="A1164" s="274" t="s">
        <v>103</v>
      </c>
      <c r="B1164" s="966"/>
      <c r="C1164" s="275" t="s">
        <v>530</v>
      </c>
      <c r="D1164" s="275" t="s">
        <v>529</v>
      </c>
      <c r="E1164" s="276"/>
      <c r="F1164" s="277"/>
      <c r="G1164" s="333">
        <f t="shared" si="1442"/>
        <v>0</v>
      </c>
      <c r="H1164" s="278"/>
      <c r="I1164" s="278"/>
      <c r="J1164" s="351" t="str">
        <f t="shared" si="1446"/>
        <v>-</v>
      </c>
      <c r="K1164" s="690">
        <f t="shared" si="1443"/>
        <v>41558</v>
      </c>
      <c r="L1164" s="276">
        <f t="shared" ref="L1164:M1164" si="1449">+H1164+L1047</f>
        <v>41350</v>
      </c>
      <c r="M1164" s="436">
        <f t="shared" si="1449"/>
        <v>208</v>
      </c>
      <c r="N1164" s="337" t="str">
        <f t="shared" si="1445"/>
        <v>-</v>
      </c>
      <c r="O1164" s="263">
        <f t="shared" si="1439"/>
        <v>5.0050531786900235E-3</v>
      </c>
    </row>
    <row r="1165" spans="1:15" ht="24" x14ac:dyDescent="0.25">
      <c r="A1165" s="274" t="s">
        <v>103</v>
      </c>
      <c r="B1165" s="966"/>
      <c r="C1165" s="275" t="s">
        <v>323</v>
      </c>
      <c r="D1165" s="275" t="s">
        <v>318</v>
      </c>
      <c r="E1165" s="276"/>
      <c r="F1165" s="277"/>
      <c r="G1165" s="333">
        <f t="shared" si="1442"/>
        <v>0</v>
      </c>
      <c r="H1165" s="278"/>
      <c r="I1165" s="278"/>
      <c r="J1165" s="351" t="str">
        <f t="shared" si="1446"/>
        <v>-</v>
      </c>
      <c r="K1165" s="690">
        <f t="shared" si="1443"/>
        <v>0</v>
      </c>
      <c r="L1165" s="276">
        <f t="shared" ref="L1165:M1165" si="1450">+H1165+L1048</f>
        <v>0</v>
      </c>
      <c r="M1165" s="436">
        <f t="shared" si="1450"/>
        <v>0</v>
      </c>
      <c r="N1165" s="337" t="str">
        <f t="shared" si="1445"/>
        <v>-</v>
      </c>
      <c r="O1165" s="263" t="str">
        <f t="shared" si="1439"/>
        <v>-</v>
      </c>
    </row>
    <row r="1166" spans="1:15" ht="24" x14ac:dyDescent="0.25">
      <c r="A1166" s="274" t="s">
        <v>103</v>
      </c>
      <c r="B1166" s="966"/>
      <c r="C1166" s="275" t="s">
        <v>528</v>
      </c>
      <c r="D1166" s="275" t="s">
        <v>189</v>
      </c>
      <c r="E1166" s="276"/>
      <c r="F1166" s="277"/>
      <c r="G1166" s="333">
        <f t="shared" si="1442"/>
        <v>0</v>
      </c>
      <c r="H1166" s="278"/>
      <c r="I1166" s="278"/>
      <c r="J1166" s="351" t="str">
        <f t="shared" si="1446"/>
        <v>-</v>
      </c>
      <c r="K1166" s="690">
        <f t="shared" si="1443"/>
        <v>33900</v>
      </c>
      <c r="L1166" s="276">
        <f t="shared" ref="L1166:M1166" si="1451">+H1166+L1049</f>
        <v>33760</v>
      </c>
      <c r="M1166" s="436">
        <f t="shared" si="1451"/>
        <v>140</v>
      </c>
      <c r="N1166" s="337" t="str">
        <f t="shared" si="1445"/>
        <v>-</v>
      </c>
      <c r="O1166" s="263">
        <f t="shared" si="1439"/>
        <v>4.1297935103244837E-3</v>
      </c>
    </row>
    <row r="1167" spans="1:15" ht="24.75" thickBot="1" x14ac:dyDescent="0.3">
      <c r="A1167" s="274" t="s">
        <v>103</v>
      </c>
      <c r="B1167" s="967"/>
      <c r="C1167" s="279" t="s">
        <v>341</v>
      </c>
      <c r="D1167" s="279" t="s">
        <v>232</v>
      </c>
      <c r="E1167" s="280"/>
      <c r="F1167" s="281"/>
      <c r="G1167" s="334">
        <f t="shared" si="1442"/>
        <v>0</v>
      </c>
      <c r="H1167" s="282"/>
      <c r="I1167" s="282"/>
      <c r="J1167" s="351" t="str">
        <f t="shared" si="1446"/>
        <v>-</v>
      </c>
      <c r="K1167" s="691">
        <f t="shared" si="1443"/>
        <v>0</v>
      </c>
      <c r="L1167" s="530">
        <f t="shared" ref="L1167:M1167" si="1452">+H1167+L1050</f>
        <v>0</v>
      </c>
      <c r="M1167" s="462">
        <f t="shared" si="1452"/>
        <v>0</v>
      </c>
      <c r="N1167" s="338" t="str">
        <f t="shared" si="1445"/>
        <v>-</v>
      </c>
      <c r="O1167" s="347" t="str">
        <f t="shared" si="1439"/>
        <v>-</v>
      </c>
    </row>
    <row r="1168" spans="1:15" ht="23.25" thickBot="1" x14ac:dyDescent="0.3">
      <c r="A1168" s="274" t="s">
        <v>103</v>
      </c>
      <c r="B1168" s="946" t="s">
        <v>45</v>
      </c>
      <c r="C1168" s="947"/>
      <c r="D1168" s="948"/>
      <c r="E1168" s="320">
        <f>SUM(E1161:E1167)</f>
        <v>2600000</v>
      </c>
      <c r="F1168" s="285">
        <v>100000</v>
      </c>
      <c r="G1168" s="320">
        <f>SUM(G1161:G1167)</f>
        <v>106394</v>
      </c>
      <c r="H1168" s="321">
        <f t="shared" ref="H1168:I1168" si="1453">SUM(H1161:H1167)</f>
        <v>104040</v>
      </c>
      <c r="I1168" s="321">
        <f t="shared" si="1453"/>
        <v>2354</v>
      </c>
      <c r="J1168" s="345">
        <f>+G1168/F1168</f>
        <v>1.0639400000000001</v>
      </c>
      <c r="K1168" s="320">
        <f>SUM(K1161:K1167)</f>
        <v>943888</v>
      </c>
      <c r="L1168" s="519">
        <f>SUM(L1161:L1167)</f>
        <v>937890</v>
      </c>
      <c r="M1168" s="689">
        <f t="shared" ref="M1168" si="1454">SUM(M1161:M1167)</f>
        <v>5998</v>
      </c>
      <c r="N1168" s="339">
        <f>IFERROR(K1168/E1168,"-")</f>
        <v>0.36303384615384615</v>
      </c>
      <c r="O1168" s="345">
        <f t="shared" si="1439"/>
        <v>6.3545674910582611E-3</v>
      </c>
    </row>
    <row r="1169" spans="1:15" ht="24" x14ac:dyDescent="0.25">
      <c r="A1169" s="274" t="s">
        <v>103</v>
      </c>
      <c r="B1169" s="965" t="s">
        <v>18</v>
      </c>
      <c r="C1169" s="269" t="s">
        <v>312</v>
      </c>
      <c r="D1169" s="269" t="s">
        <v>92</v>
      </c>
      <c r="E1169" s="270"/>
      <c r="F1169" s="271"/>
      <c r="G1169" s="332">
        <f t="shared" ref="G1169:G1175" si="1455">+H1169+I1169</f>
        <v>0</v>
      </c>
      <c r="H1169" s="272"/>
      <c r="I1169" s="272"/>
      <c r="J1169" s="351" t="str">
        <f>IFERROR(G1169/F1169,"-")</f>
        <v>-</v>
      </c>
      <c r="K1169" s="332">
        <f t="shared" ref="K1169:K1175" si="1456">+L1169+M1169</f>
        <v>0</v>
      </c>
      <c r="L1169" s="272">
        <f t="shared" ref="L1169:M1169" si="1457">+H1169+L1052</f>
        <v>0</v>
      </c>
      <c r="M1169" s="273">
        <f t="shared" si="1457"/>
        <v>0</v>
      </c>
      <c r="N1169" s="336" t="str">
        <f t="shared" ref="N1169:N1176" si="1458">IFERROR(K1169/E1169,"-")</f>
        <v>-</v>
      </c>
      <c r="O1169" s="346" t="str">
        <f t="shared" si="1439"/>
        <v>-</v>
      </c>
    </row>
    <row r="1170" spans="1:15" ht="24" x14ac:dyDescent="0.25">
      <c r="A1170" s="274" t="s">
        <v>103</v>
      </c>
      <c r="B1170" s="966"/>
      <c r="C1170" s="275" t="s">
        <v>233</v>
      </c>
      <c r="D1170" s="275" t="s">
        <v>234</v>
      </c>
      <c r="E1170" s="276"/>
      <c r="F1170" s="277"/>
      <c r="G1170" s="333">
        <f t="shared" si="1455"/>
        <v>0</v>
      </c>
      <c r="H1170" s="278"/>
      <c r="I1170" s="278"/>
      <c r="J1170" s="351" t="str">
        <f t="shared" ref="J1170:J1175" si="1459">IFERROR(G1170/F1170,"-")</f>
        <v>-</v>
      </c>
      <c r="K1170" s="333">
        <f t="shared" si="1456"/>
        <v>0</v>
      </c>
      <c r="L1170" s="272">
        <f t="shared" ref="L1170:M1170" si="1460">+H1170+L1053</f>
        <v>0</v>
      </c>
      <c r="M1170" s="273">
        <f t="shared" si="1460"/>
        <v>0</v>
      </c>
      <c r="N1170" s="337" t="str">
        <f t="shared" si="1458"/>
        <v>-</v>
      </c>
      <c r="O1170" s="263" t="str">
        <f t="shared" si="1439"/>
        <v>-</v>
      </c>
    </row>
    <row r="1171" spans="1:15" ht="24" x14ac:dyDescent="0.25">
      <c r="A1171" s="274" t="s">
        <v>103</v>
      </c>
      <c r="B1171" s="966"/>
      <c r="C1171" s="275" t="s">
        <v>115</v>
      </c>
      <c r="D1171" s="275"/>
      <c r="E1171" s="276"/>
      <c r="F1171" s="277"/>
      <c r="G1171" s="333">
        <f t="shared" si="1455"/>
        <v>0</v>
      </c>
      <c r="H1171" s="278"/>
      <c r="I1171" s="278"/>
      <c r="J1171" s="351" t="str">
        <f t="shared" si="1459"/>
        <v>-</v>
      </c>
      <c r="K1171" s="333">
        <f t="shared" si="1456"/>
        <v>0</v>
      </c>
      <c r="L1171" s="272">
        <f t="shared" ref="L1171:M1171" si="1461">+H1171+L1054</f>
        <v>0</v>
      </c>
      <c r="M1171" s="273">
        <f t="shared" si="1461"/>
        <v>0</v>
      </c>
      <c r="N1171" s="337" t="str">
        <f t="shared" si="1458"/>
        <v>-</v>
      </c>
      <c r="O1171" s="263" t="str">
        <f t="shared" si="1439"/>
        <v>-</v>
      </c>
    </row>
    <row r="1172" spans="1:15" ht="24" x14ac:dyDescent="0.25">
      <c r="A1172" s="274" t="s">
        <v>103</v>
      </c>
      <c r="B1172" s="966"/>
      <c r="C1172" s="275" t="s">
        <v>122</v>
      </c>
      <c r="D1172" s="275"/>
      <c r="E1172" s="276"/>
      <c r="F1172" s="277"/>
      <c r="G1172" s="333">
        <f t="shared" si="1455"/>
        <v>0</v>
      </c>
      <c r="H1172" s="278"/>
      <c r="I1172" s="278"/>
      <c r="J1172" s="351" t="str">
        <f t="shared" si="1459"/>
        <v>-</v>
      </c>
      <c r="K1172" s="333">
        <f t="shared" si="1456"/>
        <v>0</v>
      </c>
      <c r="L1172" s="272">
        <f t="shared" ref="L1172:M1172" si="1462">+H1172+L1055</f>
        <v>0</v>
      </c>
      <c r="M1172" s="273">
        <f t="shared" si="1462"/>
        <v>0</v>
      </c>
      <c r="N1172" s="337" t="str">
        <f t="shared" si="1458"/>
        <v>-</v>
      </c>
      <c r="O1172" s="263" t="str">
        <f t="shared" si="1439"/>
        <v>-</v>
      </c>
    </row>
    <row r="1173" spans="1:15" ht="24" x14ac:dyDescent="0.25">
      <c r="A1173" s="274" t="s">
        <v>103</v>
      </c>
      <c r="B1173" s="966"/>
      <c r="C1173" s="275" t="s">
        <v>176</v>
      </c>
      <c r="D1173" s="275" t="s">
        <v>177</v>
      </c>
      <c r="E1173" s="276"/>
      <c r="F1173" s="277"/>
      <c r="G1173" s="333">
        <f t="shared" si="1455"/>
        <v>0</v>
      </c>
      <c r="H1173" s="278"/>
      <c r="I1173" s="278"/>
      <c r="J1173" s="351" t="str">
        <f t="shared" si="1459"/>
        <v>-</v>
      </c>
      <c r="K1173" s="333">
        <f t="shared" si="1456"/>
        <v>0</v>
      </c>
      <c r="L1173" s="272">
        <f t="shared" ref="L1173:M1173" si="1463">+H1173+L1056</f>
        <v>0</v>
      </c>
      <c r="M1173" s="273">
        <f t="shared" si="1463"/>
        <v>0</v>
      </c>
      <c r="N1173" s="337" t="str">
        <f t="shared" si="1458"/>
        <v>-</v>
      </c>
      <c r="O1173" s="263" t="str">
        <f t="shared" si="1439"/>
        <v>-</v>
      </c>
    </row>
    <row r="1174" spans="1:15" ht="24" x14ac:dyDescent="0.25">
      <c r="A1174" s="274" t="s">
        <v>103</v>
      </c>
      <c r="B1174" s="966"/>
      <c r="C1174" s="275" t="s">
        <v>179</v>
      </c>
      <c r="D1174" s="275" t="s">
        <v>178</v>
      </c>
      <c r="E1174" s="276"/>
      <c r="F1174" s="277"/>
      <c r="G1174" s="333">
        <f t="shared" si="1455"/>
        <v>0</v>
      </c>
      <c r="H1174" s="278"/>
      <c r="I1174" s="278"/>
      <c r="J1174" s="351" t="str">
        <f t="shared" si="1459"/>
        <v>-</v>
      </c>
      <c r="K1174" s="333">
        <f t="shared" si="1456"/>
        <v>0</v>
      </c>
      <c r="L1174" s="272">
        <f t="shared" ref="L1174:M1174" si="1464">+H1174+L1057</f>
        <v>0</v>
      </c>
      <c r="M1174" s="273">
        <f t="shared" si="1464"/>
        <v>0</v>
      </c>
      <c r="N1174" s="337" t="str">
        <f t="shared" si="1458"/>
        <v>-</v>
      </c>
      <c r="O1174" s="263" t="str">
        <f t="shared" si="1439"/>
        <v>-</v>
      </c>
    </row>
    <row r="1175" spans="1:15" ht="24.75" thickBot="1" x14ac:dyDescent="0.3">
      <c r="A1175" s="274" t="s">
        <v>103</v>
      </c>
      <c r="B1175" s="967"/>
      <c r="C1175" s="286" t="s">
        <v>180</v>
      </c>
      <c r="D1175" s="286" t="s">
        <v>107</v>
      </c>
      <c r="E1175" s="280"/>
      <c r="F1175" s="281"/>
      <c r="G1175" s="334">
        <f t="shared" si="1455"/>
        <v>0</v>
      </c>
      <c r="H1175" s="282"/>
      <c r="I1175" s="282"/>
      <c r="J1175" s="351" t="str">
        <f t="shared" si="1459"/>
        <v>-</v>
      </c>
      <c r="K1175" s="334">
        <f t="shared" si="1456"/>
        <v>0</v>
      </c>
      <c r="L1175" s="272">
        <f t="shared" ref="L1175:M1175" si="1465">+H1175+L1058</f>
        <v>0</v>
      </c>
      <c r="M1175" s="273">
        <f t="shared" si="1465"/>
        <v>0</v>
      </c>
      <c r="N1175" s="338" t="str">
        <f t="shared" si="1458"/>
        <v>-</v>
      </c>
      <c r="O1175" s="347" t="str">
        <f t="shared" si="1439"/>
        <v>-</v>
      </c>
    </row>
    <row r="1176" spans="1:15" ht="23.25" thickBot="1" x14ac:dyDescent="0.3">
      <c r="A1176" s="274" t="s">
        <v>103</v>
      </c>
      <c r="B1176" s="946" t="s">
        <v>29</v>
      </c>
      <c r="C1176" s="970"/>
      <c r="D1176" s="971"/>
      <c r="E1176" s="366">
        <f t="shared" ref="E1176" si="1466">SUM(E1169:E1175)</f>
        <v>0</v>
      </c>
      <c r="F1176" s="307">
        <v>80000</v>
      </c>
      <c r="G1176" s="366">
        <f>SUM(G1169:G1175)</f>
        <v>0</v>
      </c>
      <c r="H1176" s="365">
        <f t="shared" ref="H1176:I1176" si="1467">SUM(H1169:H1175)</f>
        <v>0</v>
      </c>
      <c r="I1176" s="365">
        <f t="shared" si="1467"/>
        <v>0</v>
      </c>
      <c r="J1176" s="356">
        <f>+G1176/F1176</f>
        <v>0</v>
      </c>
      <c r="K1176" s="366">
        <f t="shared" ref="K1176" si="1468">SUM(K1169:K1175)</f>
        <v>0</v>
      </c>
      <c r="L1176" s="365">
        <f>SUM(L1169:L1175)</f>
        <v>0</v>
      </c>
      <c r="M1176" s="367">
        <f t="shared" ref="M1176" si="1469">SUM(M1169:M1175)</f>
        <v>0</v>
      </c>
      <c r="N1176" s="355" t="str">
        <f t="shared" si="1458"/>
        <v>-</v>
      </c>
      <c r="O1176" s="356" t="str">
        <f t="shared" si="1439"/>
        <v>-</v>
      </c>
    </row>
    <row r="1177" spans="1:15" ht="24" x14ac:dyDescent="0.25">
      <c r="A1177" s="252" t="s">
        <v>103</v>
      </c>
      <c r="B1177" s="972" t="s">
        <v>19</v>
      </c>
      <c r="C1177" s="669" t="s">
        <v>235</v>
      </c>
      <c r="D1177" s="883" t="s">
        <v>177</v>
      </c>
      <c r="E1177" s="912"/>
      <c r="F1177" s="838">
        <v>220000</v>
      </c>
      <c r="G1177" s="457">
        <f t="shared" ref="G1177:G1183" si="1470">+H1177+I1177</f>
        <v>0</v>
      </c>
      <c r="H1177" s="458"/>
      <c r="I1177" s="458"/>
      <c r="J1177" s="531">
        <f>IFERROR(G1177/F1177,"-")</f>
        <v>0</v>
      </c>
      <c r="K1177" s="869">
        <f>+L1177+M1177</f>
        <v>0</v>
      </c>
      <c r="L1177" s="527">
        <f t="shared" ref="L1177:M1177" si="1471">+H1177+L1060</f>
        <v>0</v>
      </c>
      <c r="M1177" s="838">
        <f t="shared" si="1471"/>
        <v>0</v>
      </c>
      <c r="N1177" s="646" t="str">
        <f>IFERROR(K1177/E1177,"-")</f>
        <v>-</v>
      </c>
      <c r="O1177" s="647" t="str">
        <f t="shared" si="1439"/>
        <v>-</v>
      </c>
    </row>
    <row r="1178" spans="1:15" ht="24" x14ac:dyDescent="0.25">
      <c r="A1178" s="252"/>
      <c r="B1178" s="973"/>
      <c r="C1178" s="840" t="s">
        <v>377</v>
      </c>
      <c r="D1178" s="876" t="s">
        <v>423</v>
      </c>
      <c r="E1178" s="511">
        <v>1000000</v>
      </c>
      <c r="F1178" s="277"/>
      <c r="G1178" s="333">
        <f t="shared" si="1470"/>
        <v>0</v>
      </c>
      <c r="H1178" s="278"/>
      <c r="I1178" s="278"/>
      <c r="J1178" s="352" t="str">
        <f t="shared" ref="J1178:J1183" si="1472">IFERROR(G1178/F1178,"-")</f>
        <v>-</v>
      </c>
      <c r="K1178" s="870">
        <f>+L1178+M1178</f>
        <v>576188</v>
      </c>
      <c r="L1178" s="276">
        <f t="shared" ref="L1178:M1178" si="1473">+H1178+L1061</f>
        <v>574464</v>
      </c>
      <c r="M1178" s="277">
        <f t="shared" si="1473"/>
        <v>1724</v>
      </c>
      <c r="N1178" s="836">
        <f t="shared" ref="N1178:N1183" si="1474">IFERROR(K1178/E1178,"-")</f>
        <v>0.57618800000000003</v>
      </c>
      <c r="O1178" s="263">
        <f>IFERROR(M1178/K1178,"-")</f>
        <v>2.9920789742236909E-3</v>
      </c>
    </row>
    <row r="1179" spans="1:15" ht="24" x14ac:dyDescent="0.25">
      <c r="A1179" s="252"/>
      <c r="B1179" s="973"/>
      <c r="C1179" s="840" t="s">
        <v>235</v>
      </c>
      <c r="D1179" s="876" t="s">
        <v>522</v>
      </c>
      <c r="E1179" s="511"/>
      <c r="F1179" s="277"/>
      <c r="G1179" s="333">
        <f t="shared" si="1470"/>
        <v>39084</v>
      </c>
      <c r="H1179" s="278">
        <v>38944</v>
      </c>
      <c r="I1179" s="278">
        <v>140</v>
      </c>
      <c r="J1179" s="352" t="str">
        <f t="shared" si="1472"/>
        <v>-</v>
      </c>
      <c r="K1179" s="870">
        <f t="shared" ref="K1179:K1182" si="1475">+L1179+M1179</f>
        <v>214277</v>
      </c>
      <c r="L1179" s="276">
        <f t="shared" ref="L1179:M1179" si="1476">+H1179+L1062</f>
        <v>213712</v>
      </c>
      <c r="M1179" s="277">
        <f t="shared" si="1476"/>
        <v>565</v>
      </c>
      <c r="N1179" s="836" t="str">
        <f t="shared" si="1474"/>
        <v>-</v>
      </c>
      <c r="O1179" s="263">
        <f t="shared" ref="O1179:O1240" si="1477">IFERROR(M1179/K1179,"-")</f>
        <v>2.6367738954717491E-3</v>
      </c>
    </row>
    <row r="1180" spans="1:15" ht="24" x14ac:dyDescent="0.25">
      <c r="A1180" s="252"/>
      <c r="B1180" s="973"/>
      <c r="C1180" s="840" t="s">
        <v>377</v>
      </c>
      <c r="D1180" s="876" t="s">
        <v>522</v>
      </c>
      <c r="E1180" s="511"/>
      <c r="F1180" s="277"/>
      <c r="G1180" s="333">
        <f t="shared" si="1470"/>
        <v>8560</v>
      </c>
      <c r="H1180" s="278">
        <f>6448+2000</f>
        <v>8448</v>
      </c>
      <c r="I1180" s="278">
        <v>112</v>
      </c>
      <c r="J1180" s="352" t="str">
        <f t="shared" si="1472"/>
        <v>-</v>
      </c>
      <c r="K1180" s="870">
        <f t="shared" si="1475"/>
        <v>288207</v>
      </c>
      <c r="L1180" s="276">
        <f t="shared" ref="L1180:M1180" si="1478">+H1180+L1063</f>
        <v>287232</v>
      </c>
      <c r="M1180" s="277">
        <f t="shared" si="1478"/>
        <v>975</v>
      </c>
      <c r="N1180" s="836" t="str">
        <f t="shared" si="1474"/>
        <v>-</v>
      </c>
      <c r="O1180" s="263">
        <f t="shared" si="1477"/>
        <v>3.3829851460929123E-3</v>
      </c>
    </row>
    <row r="1181" spans="1:15" ht="24" x14ac:dyDescent="0.25">
      <c r="A1181" s="252"/>
      <c r="B1181" s="973"/>
      <c r="C1181" s="840" t="s">
        <v>551</v>
      </c>
      <c r="D1181" s="876" t="s">
        <v>522</v>
      </c>
      <c r="E1181" s="511"/>
      <c r="F1181" s="277"/>
      <c r="G1181" s="333">
        <f t="shared" si="1470"/>
        <v>67943</v>
      </c>
      <c r="H1181" s="278">
        <f>33792+33792</f>
        <v>67584</v>
      </c>
      <c r="I1181" s="278">
        <f>140+219</f>
        <v>359</v>
      </c>
      <c r="J1181" s="352" t="str">
        <f t="shared" si="1472"/>
        <v>-</v>
      </c>
      <c r="K1181" s="870">
        <f t="shared" si="1475"/>
        <v>144550</v>
      </c>
      <c r="L1181" s="276">
        <f t="shared" ref="L1181:M1181" si="1479">+H1181+L1064</f>
        <v>143616</v>
      </c>
      <c r="M1181" s="277">
        <f t="shared" si="1479"/>
        <v>934</v>
      </c>
      <c r="N1181" s="836" t="str">
        <f t="shared" si="1474"/>
        <v>-</v>
      </c>
      <c r="O1181" s="263">
        <f t="shared" si="1477"/>
        <v>6.4614320304392948E-3</v>
      </c>
    </row>
    <row r="1182" spans="1:15" ht="24" x14ac:dyDescent="0.25">
      <c r="A1182" s="252"/>
      <c r="B1182" s="973"/>
      <c r="C1182" s="840"/>
      <c r="D1182" s="876"/>
      <c r="E1182" s="511"/>
      <c r="F1182" s="277"/>
      <c r="G1182" s="333">
        <f t="shared" si="1470"/>
        <v>0</v>
      </c>
      <c r="H1182" s="278"/>
      <c r="I1182" s="278"/>
      <c r="J1182" s="352" t="str">
        <f t="shared" si="1472"/>
        <v>-</v>
      </c>
      <c r="K1182" s="870">
        <f t="shared" si="1475"/>
        <v>0</v>
      </c>
      <c r="L1182" s="276">
        <f t="shared" ref="L1182:M1182" si="1480">+H1182+L1065</f>
        <v>0</v>
      </c>
      <c r="M1182" s="277">
        <f t="shared" si="1480"/>
        <v>0</v>
      </c>
      <c r="N1182" s="836" t="str">
        <f t="shared" si="1474"/>
        <v>-</v>
      </c>
      <c r="O1182" s="263" t="str">
        <f t="shared" si="1477"/>
        <v>-</v>
      </c>
    </row>
    <row r="1183" spans="1:15" ht="24.75" thickBot="1" x14ac:dyDescent="0.3">
      <c r="A1183" s="252"/>
      <c r="B1183" s="974"/>
      <c r="C1183" s="670" t="s">
        <v>342</v>
      </c>
      <c r="D1183" s="884"/>
      <c r="E1183" s="913">
        <v>150000</v>
      </c>
      <c r="F1183" s="839"/>
      <c r="G1183" s="460">
        <f t="shared" si="1470"/>
        <v>0</v>
      </c>
      <c r="H1183" s="461"/>
      <c r="I1183" s="461"/>
      <c r="J1183" s="532" t="str">
        <f t="shared" si="1472"/>
        <v>-</v>
      </c>
      <c r="K1183" s="871">
        <f>+L1183+M1183</f>
        <v>0</v>
      </c>
      <c r="L1183" s="530">
        <f t="shared" ref="L1183:M1183" si="1481">+H1183+L1066</f>
        <v>0</v>
      </c>
      <c r="M1183" s="839">
        <f t="shared" si="1481"/>
        <v>0</v>
      </c>
      <c r="N1183" s="837">
        <f t="shared" si="1474"/>
        <v>0</v>
      </c>
      <c r="O1183" s="264" t="str">
        <f t="shared" si="1477"/>
        <v>-</v>
      </c>
    </row>
    <row r="1184" spans="1:15" ht="23.25" thickBot="1" x14ac:dyDescent="0.3">
      <c r="A1184" s="274" t="s">
        <v>103</v>
      </c>
      <c r="B1184" s="975" t="s">
        <v>46</v>
      </c>
      <c r="C1184" s="976"/>
      <c r="D1184" s="977"/>
      <c r="E1184" s="513">
        <f>SUM(E1177:E1183)</f>
        <v>1150000</v>
      </c>
      <c r="F1184" s="859">
        <f t="shared" ref="F1184" si="1482">SUM(F1177)</f>
        <v>220000</v>
      </c>
      <c r="G1184" s="513">
        <f>SUM(G1177:G1183)</f>
        <v>115587</v>
      </c>
      <c r="H1184" s="519">
        <f>SUM(H1177:H1183)</f>
        <v>114976</v>
      </c>
      <c r="I1184" s="519">
        <f>SUM(I1177:I1183)</f>
        <v>611</v>
      </c>
      <c r="J1184" s="520">
        <f>+G1184/F1184</f>
        <v>0.52539545454545455</v>
      </c>
      <c r="K1184" s="835">
        <f>SUM(K1177:K1183)</f>
        <v>1223222</v>
      </c>
      <c r="L1184" s="519">
        <f>SUM(L1177:L1183)</f>
        <v>1219024</v>
      </c>
      <c r="M1184" s="689">
        <f>SUM(M1177:M1183)</f>
        <v>4198</v>
      </c>
      <c r="N1184" s="521">
        <f>IFERROR(K1184/E1184,"-")</f>
        <v>1.0636713043478261</v>
      </c>
      <c r="O1184" s="520">
        <f t="shared" si="1477"/>
        <v>3.4319199621981947E-3</v>
      </c>
    </row>
    <row r="1185" spans="1:15" ht="24" x14ac:dyDescent="0.25">
      <c r="A1185" s="274" t="s">
        <v>103</v>
      </c>
      <c r="B1185" s="965" t="s">
        <v>20</v>
      </c>
      <c r="C1185" s="291" t="s">
        <v>317</v>
      </c>
      <c r="D1185" s="291" t="s">
        <v>289</v>
      </c>
      <c r="E1185" s="270"/>
      <c r="F1185" s="271"/>
      <c r="G1185" s="332">
        <f t="shared" ref="G1185:G1187" si="1483">+H1185+I1185</f>
        <v>0</v>
      </c>
      <c r="H1185" s="272"/>
      <c r="I1185" s="272"/>
      <c r="J1185" s="351" t="str">
        <f>IFERROR(G1185/F1185,"-")</f>
        <v>-</v>
      </c>
      <c r="K1185" s="332">
        <f t="shared" ref="K1185:K1187" si="1484">+L1185+M1185</f>
        <v>0</v>
      </c>
      <c r="L1185" s="272">
        <f t="shared" ref="L1185:M1185" si="1485">+H1185+L1068</f>
        <v>0</v>
      </c>
      <c r="M1185" s="273">
        <f t="shared" si="1485"/>
        <v>0</v>
      </c>
      <c r="N1185" s="336" t="str">
        <f t="shared" ref="N1185:N1188" si="1486">IFERROR(K1185/E1185,"-")</f>
        <v>-</v>
      </c>
      <c r="O1185" s="346" t="str">
        <f t="shared" si="1477"/>
        <v>-</v>
      </c>
    </row>
    <row r="1186" spans="1:15" ht="24" x14ac:dyDescent="0.25">
      <c r="A1186" s="274" t="s">
        <v>103</v>
      </c>
      <c r="B1186" s="966"/>
      <c r="C1186" s="292" t="s">
        <v>114</v>
      </c>
      <c r="D1186" s="292"/>
      <c r="E1186" s="276"/>
      <c r="F1186" s="277"/>
      <c r="G1186" s="333">
        <f t="shared" si="1483"/>
        <v>0</v>
      </c>
      <c r="H1186" s="278"/>
      <c r="I1186" s="278"/>
      <c r="J1186" s="351" t="str">
        <f t="shared" ref="J1186:J1187" si="1487">IFERROR(G1186/F1186,"-")</f>
        <v>-</v>
      </c>
      <c r="K1186" s="333">
        <f t="shared" si="1484"/>
        <v>0</v>
      </c>
      <c r="L1186" s="272">
        <f t="shared" ref="L1186:M1186" si="1488">+H1186+L1069</f>
        <v>0</v>
      </c>
      <c r="M1186" s="273">
        <f t="shared" si="1488"/>
        <v>0</v>
      </c>
      <c r="N1186" s="337" t="str">
        <f t="shared" si="1486"/>
        <v>-</v>
      </c>
      <c r="O1186" s="263" t="str">
        <f t="shared" si="1477"/>
        <v>-</v>
      </c>
    </row>
    <row r="1187" spans="1:15" ht="24.75" thickBot="1" x14ac:dyDescent="0.3">
      <c r="A1187" s="274" t="s">
        <v>103</v>
      </c>
      <c r="B1187" s="967"/>
      <c r="C1187" s="293" t="s">
        <v>120</v>
      </c>
      <c r="D1187" s="293"/>
      <c r="E1187" s="280"/>
      <c r="F1187" s="281"/>
      <c r="G1187" s="334">
        <f t="shared" si="1483"/>
        <v>0</v>
      </c>
      <c r="H1187" s="282"/>
      <c r="I1187" s="282"/>
      <c r="J1187" s="351" t="str">
        <f t="shared" si="1487"/>
        <v>-</v>
      </c>
      <c r="K1187" s="334">
        <f t="shared" si="1484"/>
        <v>0</v>
      </c>
      <c r="L1187" s="272">
        <f t="shared" ref="L1187:M1187" si="1489">+H1187+L1070</f>
        <v>0</v>
      </c>
      <c r="M1187" s="273">
        <f t="shared" si="1489"/>
        <v>0</v>
      </c>
      <c r="N1187" s="338" t="str">
        <f t="shared" si="1486"/>
        <v>-</v>
      </c>
      <c r="O1187" s="347" t="str">
        <f t="shared" si="1477"/>
        <v>-</v>
      </c>
    </row>
    <row r="1188" spans="1:15" ht="23.25" thickBot="1" x14ac:dyDescent="0.3">
      <c r="A1188" s="274" t="s">
        <v>103</v>
      </c>
      <c r="B1188" s="947" t="s">
        <v>47</v>
      </c>
      <c r="C1188" s="947"/>
      <c r="D1188" s="964"/>
      <c r="E1188" s="320">
        <f t="shared" ref="E1188" si="1490">SUM(E1185:E1187)</f>
        <v>0</v>
      </c>
      <c r="F1188" s="285">
        <v>50000</v>
      </c>
      <c r="G1188" s="320">
        <f>SUM(G1185:G1187)</f>
        <v>0</v>
      </c>
      <c r="H1188" s="321">
        <f t="shared" ref="H1188:I1188" si="1491">SUM(H1185:H1187)</f>
        <v>0</v>
      </c>
      <c r="I1188" s="321">
        <f t="shared" si="1491"/>
        <v>0</v>
      </c>
      <c r="J1188" s="345">
        <f>+G1188/F1188</f>
        <v>0</v>
      </c>
      <c r="K1188" s="320">
        <f t="shared" ref="K1188:M1188" si="1492">SUM(K1185:K1187)</f>
        <v>0</v>
      </c>
      <c r="L1188" s="321">
        <f t="shared" si="1492"/>
        <v>0</v>
      </c>
      <c r="M1188" s="322">
        <f t="shared" si="1492"/>
        <v>0</v>
      </c>
      <c r="N1188" s="339" t="str">
        <f t="shared" si="1486"/>
        <v>-</v>
      </c>
      <c r="O1188" s="345" t="str">
        <f t="shared" si="1477"/>
        <v>-</v>
      </c>
    </row>
    <row r="1189" spans="1:15" ht="23.25" thickBot="1" x14ac:dyDescent="0.3">
      <c r="A1189" s="274" t="s">
        <v>103</v>
      </c>
      <c r="B1189" s="960" t="s">
        <v>21</v>
      </c>
      <c r="C1189" s="961"/>
      <c r="D1189" s="962"/>
      <c r="E1189" s="326">
        <f>+E1160+E1168+E1176+E1184+E1188</f>
        <v>3770000</v>
      </c>
      <c r="F1189" s="327">
        <f>+F1160+F1168+F1176+F1184+F1188</f>
        <v>465000</v>
      </c>
      <c r="G1189" s="326">
        <f>+G1160+G1168+G1176+G1184+G1188</f>
        <v>227671</v>
      </c>
      <c r="H1189" s="324">
        <f>+H1160+H1168+H1176+H1184+H1188</f>
        <v>224456</v>
      </c>
      <c r="I1189" s="324">
        <f>+I1160+I1168+I1176+I1184+I1188</f>
        <v>3215</v>
      </c>
      <c r="J1189" s="349">
        <f>+G1189/F1189</f>
        <v>0.48961505376344083</v>
      </c>
      <c r="K1189" s="326">
        <f>+K1160+K1168+K1176+K1184+K1188</f>
        <v>2183552</v>
      </c>
      <c r="L1189" s="324">
        <f>+L1160+L1168+L1176+L1184+L1188</f>
        <v>2172594</v>
      </c>
      <c r="M1189" s="325">
        <f>+M1160+M1168+M1176+M1184+M1188</f>
        <v>10958</v>
      </c>
      <c r="N1189" s="341">
        <f>IFERROR(K1189/E1189,"-")</f>
        <v>0.57919151193633955</v>
      </c>
      <c r="O1189" s="349">
        <f t="shared" si="1477"/>
        <v>5.0184286886687376E-3</v>
      </c>
    </row>
    <row r="1190" spans="1:15" ht="24" x14ac:dyDescent="0.25">
      <c r="A1190" s="274" t="s">
        <v>103</v>
      </c>
      <c r="B1190" s="965" t="s">
        <v>400</v>
      </c>
      <c r="C1190" s="269" t="s">
        <v>125</v>
      </c>
      <c r="D1190" s="269"/>
      <c r="E1190" s="270"/>
      <c r="F1190" s="271"/>
      <c r="G1190" s="332">
        <f t="shared" ref="G1190:G1193" si="1493">+H1190+I1190</f>
        <v>0</v>
      </c>
      <c r="H1190" s="272"/>
      <c r="I1190" s="272"/>
      <c r="J1190" s="351" t="str">
        <f>IFERROR(G1190/F1190,"-")</f>
        <v>-</v>
      </c>
      <c r="K1190" s="332">
        <f t="shared" ref="K1190:K1193" si="1494">+L1190+M1190</f>
        <v>0</v>
      </c>
      <c r="L1190" s="272">
        <f t="shared" ref="L1190:M1190" si="1495">+H1190+L1073</f>
        <v>0</v>
      </c>
      <c r="M1190" s="273">
        <f t="shared" si="1495"/>
        <v>0</v>
      </c>
      <c r="N1190" s="336" t="str">
        <f t="shared" ref="N1190:N1205" si="1496">IFERROR(K1190/E1190,"-")</f>
        <v>-</v>
      </c>
      <c r="O1190" s="346" t="str">
        <f t="shared" si="1477"/>
        <v>-</v>
      </c>
    </row>
    <row r="1191" spans="1:15" ht="24" x14ac:dyDescent="0.25">
      <c r="A1191" s="274" t="s">
        <v>103</v>
      </c>
      <c r="B1191" s="966"/>
      <c r="C1191" s="295" t="s">
        <v>263</v>
      </c>
      <c r="D1191" s="295" t="s">
        <v>181</v>
      </c>
      <c r="E1191" s="276"/>
      <c r="F1191" s="277"/>
      <c r="G1191" s="333">
        <f t="shared" si="1493"/>
        <v>0</v>
      </c>
      <c r="H1191" s="278"/>
      <c r="I1191" s="278"/>
      <c r="J1191" s="351" t="str">
        <f t="shared" ref="J1191:J1193" si="1497">IFERROR(G1191/F1191,"-")</f>
        <v>-</v>
      </c>
      <c r="K1191" s="333">
        <f t="shared" si="1494"/>
        <v>0</v>
      </c>
      <c r="L1191" s="272">
        <f t="shared" ref="L1191:M1191" si="1498">+H1191+L1074</f>
        <v>0</v>
      </c>
      <c r="M1191" s="273">
        <f t="shared" si="1498"/>
        <v>0</v>
      </c>
      <c r="N1191" s="337" t="str">
        <f t="shared" si="1496"/>
        <v>-</v>
      </c>
      <c r="O1191" s="263" t="str">
        <f t="shared" si="1477"/>
        <v>-</v>
      </c>
    </row>
    <row r="1192" spans="1:15" ht="24" x14ac:dyDescent="0.25">
      <c r="A1192" s="274" t="s">
        <v>103</v>
      </c>
      <c r="B1192" s="966"/>
      <c r="C1192" s="295" t="s">
        <v>362</v>
      </c>
      <c r="D1192" s="295" t="s">
        <v>181</v>
      </c>
      <c r="E1192" s="276"/>
      <c r="F1192" s="277"/>
      <c r="G1192" s="333">
        <f t="shared" si="1493"/>
        <v>0</v>
      </c>
      <c r="H1192" s="278"/>
      <c r="I1192" s="278"/>
      <c r="J1192" s="351" t="str">
        <f t="shared" si="1497"/>
        <v>-</v>
      </c>
      <c r="K1192" s="333">
        <f t="shared" si="1494"/>
        <v>0</v>
      </c>
      <c r="L1192" s="272">
        <f t="shared" ref="L1192:M1192" si="1499">+H1192+L1075</f>
        <v>0</v>
      </c>
      <c r="M1192" s="273">
        <f t="shared" si="1499"/>
        <v>0</v>
      </c>
      <c r="N1192" s="337" t="str">
        <f t="shared" si="1496"/>
        <v>-</v>
      </c>
      <c r="O1192" s="263" t="str">
        <f t="shared" si="1477"/>
        <v>-</v>
      </c>
    </row>
    <row r="1193" spans="1:15" ht="24.75" thickBot="1" x14ac:dyDescent="0.3">
      <c r="A1193" s="274" t="s">
        <v>103</v>
      </c>
      <c r="B1193" s="967"/>
      <c r="C1193" s="279" t="s">
        <v>182</v>
      </c>
      <c r="D1193" s="279" t="s">
        <v>93</v>
      </c>
      <c r="E1193" s="280"/>
      <c r="F1193" s="281"/>
      <c r="G1193" s="334">
        <f t="shared" si="1493"/>
        <v>45640</v>
      </c>
      <c r="H1193" s="282">
        <v>45540</v>
      </c>
      <c r="I1193" s="282">
        <v>100</v>
      </c>
      <c r="J1193" s="351" t="str">
        <f t="shared" si="1497"/>
        <v>-</v>
      </c>
      <c r="K1193" s="334">
        <f t="shared" si="1494"/>
        <v>85340</v>
      </c>
      <c r="L1193" s="272">
        <f t="shared" ref="L1193:M1193" si="1500">+H1193+L1076</f>
        <v>85140</v>
      </c>
      <c r="M1193" s="273">
        <f t="shared" si="1500"/>
        <v>200</v>
      </c>
      <c r="N1193" s="338" t="str">
        <f t="shared" si="1496"/>
        <v>-</v>
      </c>
      <c r="O1193" s="347">
        <f t="shared" si="1477"/>
        <v>2.3435669088352471E-3</v>
      </c>
    </row>
    <row r="1194" spans="1:15" ht="23.25" thickBot="1" x14ac:dyDescent="0.3">
      <c r="A1194" s="274" t="s">
        <v>103</v>
      </c>
      <c r="B1194" s="946" t="s">
        <v>48</v>
      </c>
      <c r="C1194" s="947"/>
      <c r="D1194" s="948"/>
      <c r="E1194" s="284">
        <f>SUM(E1190:E1193)</f>
        <v>0</v>
      </c>
      <c r="F1194" s="285">
        <v>80000</v>
      </c>
      <c r="G1194" s="320">
        <f>SUM(G1190:G1193)</f>
        <v>45640</v>
      </c>
      <c r="H1194" s="321">
        <f t="shared" ref="H1194:I1194" si="1501">SUM(H1190:H1193)</f>
        <v>45540</v>
      </c>
      <c r="I1194" s="321">
        <f t="shared" si="1501"/>
        <v>100</v>
      </c>
      <c r="J1194" s="345">
        <f>+G1194/F1194</f>
        <v>0.57050000000000001</v>
      </c>
      <c r="K1194" s="320">
        <f t="shared" ref="K1194" si="1502">SUM(K1190:K1193)</f>
        <v>85340</v>
      </c>
      <c r="L1194" s="321">
        <f>SUM(L1190:L1193)</f>
        <v>85140</v>
      </c>
      <c r="M1194" s="322">
        <f t="shared" ref="M1194" si="1503">SUM(M1190:M1193)</f>
        <v>200</v>
      </c>
      <c r="N1194" s="339" t="str">
        <f t="shared" si="1496"/>
        <v>-</v>
      </c>
      <c r="O1194" s="345">
        <f t="shared" si="1477"/>
        <v>2.3435669088352471E-3</v>
      </c>
    </row>
    <row r="1195" spans="1:15" ht="24" x14ac:dyDescent="0.25">
      <c r="A1195" s="274" t="s">
        <v>103</v>
      </c>
      <c r="B1195" s="965" t="s">
        <v>23</v>
      </c>
      <c r="C1195" s="275" t="s">
        <v>500</v>
      </c>
      <c r="D1195" s="296" t="s">
        <v>238</v>
      </c>
      <c r="E1195" s="270">
        <v>10000</v>
      </c>
      <c r="F1195" s="271"/>
      <c r="G1195" s="332">
        <f t="shared" ref="G1195:G1203" si="1504">+H1195+I1195</f>
        <v>0</v>
      </c>
      <c r="H1195" s="272"/>
      <c r="I1195" s="272"/>
      <c r="J1195" s="351" t="str">
        <f>IFERROR(G1195/F1195,"-")</f>
        <v>-</v>
      </c>
      <c r="K1195" s="332">
        <f t="shared" ref="K1195:K1203" si="1505">+L1195+M1195</f>
        <v>0</v>
      </c>
      <c r="L1195" s="272">
        <f t="shared" ref="L1195:M1195" si="1506">+H1195+L1078</f>
        <v>0</v>
      </c>
      <c r="M1195" s="273">
        <f t="shared" si="1506"/>
        <v>0</v>
      </c>
      <c r="N1195" s="336">
        <f t="shared" si="1496"/>
        <v>0</v>
      </c>
      <c r="O1195" s="346" t="str">
        <f t="shared" si="1477"/>
        <v>-</v>
      </c>
    </row>
    <row r="1196" spans="1:15" ht="24" x14ac:dyDescent="0.25">
      <c r="A1196" s="274" t="s">
        <v>103</v>
      </c>
      <c r="B1196" s="966"/>
      <c r="C1196" s="275" t="s">
        <v>24</v>
      </c>
      <c r="D1196" s="275" t="s">
        <v>238</v>
      </c>
      <c r="E1196" s="276">
        <v>112000</v>
      </c>
      <c r="F1196" s="277"/>
      <c r="G1196" s="333">
        <f t="shared" si="1504"/>
        <v>0</v>
      </c>
      <c r="H1196" s="278"/>
      <c r="I1196" s="278"/>
      <c r="J1196" s="351" t="str">
        <f t="shared" ref="J1196:J1203" si="1507">IFERROR(G1196/F1196,"-")</f>
        <v>-</v>
      </c>
      <c r="K1196" s="333">
        <f t="shared" si="1505"/>
        <v>0</v>
      </c>
      <c r="L1196" s="272">
        <f t="shared" ref="L1196:M1196" si="1508">+H1196+L1079</f>
        <v>0</v>
      </c>
      <c r="M1196" s="273">
        <f t="shared" si="1508"/>
        <v>0</v>
      </c>
      <c r="N1196" s="337">
        <f t="shared" si="1496"/>
        <v>0</v>
      </c>
      <c r="O1196" s="263" t="str">
        <f t="shared" si="1477"/>
        <v>-</v>
      </c>
    </row>
    <row r="1197" spans="1:15" ht="24" x14ac:dyDescent="0.25">
      <c r="A1197" s="274" t="s">
        <v>103</v>
      </c>
      <c r="B1197" s="966"/>
      <c r="C1197" s="275" t="s">
        <v>236</v>
      </c>
      <c r="D1197" s="275" t="s">
        <v>238</v>
      </c>
      <c r="E1197" s="276">
        <v>40000</v>
      </c>
      <c r="F1197" s="277"/>
      <c r="G1197" s="333">
        <f t="shared" si="1504"/>
        <v>0</v>
      </c>
      <c r="H1197" s="278"/>
      <c r="I1197" s="278"/>
      <c r="J1197" s="351" t="str">
        <f t="shared" si="1507"/>
        <v>-</v>
      </c>
      <c r="K1197" s="333">
        <f t="shared" si="1505"/>
        <v>0</v>
      </c>
      <c r="L1197" s="272">
        <f t="shared" ref="L1197:M1197" si="1509">+H1197+L1080</f>
        <v>0</v>
      </c>
      <c r="M1197" s="273">
        <f t="shared" si="1509"/>
        <v>0</v>
      </c>
      <c r="N1197" s="337">
        <f t="shared" si="1496"/>
        <v>0</v>
      </c>
      <c r="O1197" s="263" t="str">
        <f t="shared" si="1477"/>
        <v>-</v>
      </c>
    </row>
    <row r="1198" spans="1:15" ht="24" x14ac:dyDescent="0.25">
      <c r="A1198" s="274" t="s">
        <v>103</v>
      </c>
      <c r="B1198" s="966"/>
      <c r="C1198" s="275" t="s">
        <v>239</v>
      </c>
      <c r="D1198" s="275" t="s">
        <v>238</v>
      </c>
      <c r="E1198" s="276">
        <v>4000</v>
      </c>
      <c r="F1198" s="277"/>
      <c r="G1198" s="333">
        <f t="shared" si="1504"/>
        <v>0</v>
      </c>
      <c r="H1198" s="278"/>
      <c r="I1198" s="278"/>
      <c r="J1198" s="351" t="str">
        <f t="shared" si="1507"/>
        <v>-</v>
      </c>
      <c r="K1198" s="333">
        <f t="shared" si="1505"/>
        <v>0</v>
      </c>
      <c r="L1198" s="272">
        <f t="shared" ref="L1198:M1198" si="1510">+H1198+L1081</f>
        <v>0</v>
      </c>
      <c r="M1198" s="273">
        <f t="shared" si="1510"/>
        <v>0</v>
      </c>
      <c r="N1198" s="337">
        <f t="shared" si="1496"/>
        <v>0</v>
      </c>
      <c r="O1198" s="263" t="str">
        <f t="shared" si="1477"/>
        <v>-</v>
      </c>
    </row>
    <row r="1199" spans="1:15" ht="24" x14ac:dyDescent="0.25">
      <c r="A1199" s="274" t="s">
        <v>103</v>
      </c>
      <c r="B1199" s="966"/>
      <c r="C1199" s="295" t="s">
        <v>394</v>
      </c>
      <c r="D1199" s="275" t="s">
        <v>238</v>
      </c>
      <c r="E1199" s="276">
        <v>8500</v>
      </c>
      <c r="F1199" s="277"/>
      <c r="G1199" s="333">
        <f t="shared" si="1504"/>
        <v>0</v>
      </c>
      <c r="H1199" s="278"/>
      <c r="I1199" s="278"/>
      <c r="J1199" s="351" t="str">
        <f t="shared" si="1507"/>
        <v>-</v>
      </c>
      <c r="K1199" s="333">
        <f t="shared" si="1505"/>
        <v>0</v>
      </c>
      <c r="L1199" s="272">
        <f t="shared" ref="L1199:M1199" si="1511">+H1199+L1082</f>
        <v>0</v>
      </c>
      <c r="M1199" s="273">
        <f t="shared" si="1511"/>
        <v>0</v>
      </c>
      <c r="N1199" s="337">
        <f t="shared" si="1496"/>
        <v>0</v>
      </c>
      <c r="O1199" s="263" t="str">
        <f t="shared" si="1477"/>
        <v>-</v>
      </c>
    </row>
    <row r="1200" spans="1:15" ht="24" x14ac:dyDescent="0.25">
      <c r="A1200" s="274" t="s">
        <v>103</v>
      </c>
      <c r="B1200" s="966"/>
      <c r="C1200" s="295" t="s">
        <v>422</v>
      </c>
      <c r="D1200" s="275" t="s">
        <v>238</v>
      </c>
      <c r="E1200" s="276">
        <v>10000</v>
      </c>
      <c r="F1200" s="277"/>
      <c r="G1200" s="333">
        <f t="shared" si="1504"/>
        <v>0</v>
      </c>
      <c r="H1200" s="278"/>
      <c r="I1200" s="278"/>
      <c r="J1200" s="351" t="str">
        <f t="shared" si="1507"/>
        <v>-</v>
      </c>
      <c r="K1200" s="333">
        <f t="shared" si="1505"/>
        <v>0</v>
      </c>
      <c r="L1200" s="272">
        <f t="shared" ref="L1200:M1200" si="1512">+H1200+L1083</f>
        <v>0</v>
      </c>
      <c r="M1200" s="273">
        <f t="shared" si="1512"/>
        <v>0</v>
      </c>
      <c r="N1200" s="337">
        <f t="shared" si="1496"/>
        <v>0</v>
      </c>
      <c r="O1200" s="263" t="str">
        <f t="shared" si="1477"/>
        <v>-</v>
      </c>
    </row>
    <row r="1201" spans="1:15" ht="24" x14ac:dyDescent="0.25">
      <c r="A1201" s="274" t="s">
        <v>103</v>
      </c>
      <c r="B1201" s="966"/>
      <c r="C1201" s="295" t="s">
        <v>241</v>
      </c>
      <c r="D1201" s="275" t="s">
        <v>243</v>
      </c>
      <c r="E1201" s="276"/>
      <c r="F1201" s="277"/>
      <c r="G1201" s="333">
        <f t="shared" si="1504"/>
        <v>0</v>
      </c>
      <c r="H1201" s="278"/>
      <c r="I1201" s="278"/>
      <c r="J1201" s="351" t="str">
        <f t="shared" si="1507"/>
        <v>-</v>
      </c>
      <c r="K1201" s="333">
        <f t="shared" si="1505"/>
        <v>0</v>
      </c>
      <c r="L1201" s="272">
        <f t="shared" ref="L1201:M1201" si="1513">+H1201+L1084</f>
        <v>0</v>
      </c>
      <c r="M1201" s="273">
        <f t="shared" si="1513"/>
        <v>0</v>
      </c>
      <c r="N1201" s="337" t="str">
        <f t="shared" si="1496"/>
        <v>-</v>
      </c>
      <c r="O1201" s="263" t="str">
        <f t="shared" si="1477"/>
        <v>-</v>
      </c>
    </row>
    <row r="1202" spans="1:15" ht="24" x14ac:dyDescent="0.25">
      <c r="A1202" s="274"/>
      <c r="B1202" s="967"/>
      <c r="C1202" s="295" t="s">
        <v>546</v>
      </c>
      <c r="D1202" s="275" t="s">
        <v>238</v>
      </c>
      <c r="E1202" s="280">
        <v>6000</v>
      </c>
      <c r="F1202" s="281"/>
      <c r="G1202" s="333">
        <f t="shared" si="1504"/>
        <v>0</v>
      </c>
      <c r="H1202" s="282"/>
      <c r="I1202" s="282"/>
      <c r="J1202" s="351" t="str">
        <f t="shared" si="1507"/>
        <v>-</v>
      </c>
      <c r="K1202" s="333">
        <f t="shared" si="1505"/>
        <v>0</v>
      </c>
      <c r="L1202" s="272">
        <f t="shared" ref="L1202:M1202" si="1514">+H1202+L1085</f>
        <v>0</v>
      </c>
      <c r="M1202" s="273">
        <f t="shared" si="1514"/>
        <v>0</v>
      </c>
      <c r="N1202" s="337">
        <f t="shared" si="1496"/>
        <v>0</v>
      </c>
      <c r="O1202" s="263" t="str">
        <f t="shared" si="1477"/>
        <v>-</v>
      </c>
    </row>
    <row r="1203" spans="1:15" ht="24.75" thickBot="1" x14ac:dyDescent="0.3">
      <c r="A1203" s="274" t="s">
        <v>103</v>
      </c>
      <c r="B1203" s="967"/>
      <c r="C1203" s="295" t="s">
        <v>242</v>
      </c>
      <c r="D1203" s="275" t="s">
        <v>238</v>
      </c>
      <c r="E1203" s="280">
        <v>5000</v>
      </c>
      <c r="F1203" s="281"/>
      <c r="G1203" s="334">
        <f t="shared" si="1504"/>
        <v>0</v>
      </c>
      <c r="H1203" s="282"/>
      <c r="I1203" s="282"/>
      <c r="J1203" s="351" t="str">
        <f t="shared" si="1507"/>
        <v>-</v>
      </c>
      <c r="K1203" s="334">
        <f t="shared" si="1505"/>
        <v>0</v>
      </c>
      <c r="L1203" s="272">
        <f t="shared" ref="L1203:M1203" si="1515">+H1203+L1086</f>
        <v>0</v>
      </c>
      <c r="M1203" s="273">
        <f t="shared" si="1515"/>
        <v>0</v>
      </c>
      <c r="N1203" s="338">
        <f t="shared" si="1496"/>
        <v>0</v>
      </c>
      <c r="O1203" s="347" t="str">
        <f t="shared" si="1477"/>
        <v>-</v>
      </c>
    </row>
    <row r="1204" spans="1:15" ht="23.25" thickBot="1" x14ac:dyDescent="0.3">
      <c r="A1204" s="274" t="s">
        <v>103</v>
      </c>
      <c r="B1204" s="946" t="s">
        <v>49</v>
      </c>
      <c r="C1204" s="947"/>
      <c r="D1204" s="948"/>
      <c r="E1204" s="284">
        <f>SUM(E1195:E1203)</f>
        <v>195500</v>
      </c>
      <c r="F1204" s="285">
        <v>14000</v>
      </c>
      <c r="G1204" s="320">
        <f>SUM(G1195:G1203)</f>
        <v>0</v>
      </c>
      <c r="H1204" s="321">
        <f t="shared" ref="H1204:I1204" si="1516">SUM(H1195:H1203)</f>
        <v>0</v>
      </c>
      <c r="I1204" s="321">
        <f t="shared" si="1516"/>
        <v>0</v>
      </c>
      <c r="J1204" s="345">
        <f>+G1205/F1205</f>
        <v>0.48553191489361702</v>
      </c>
      <c r="K1204" s="320">
        <f>SUM(K1195:K1203)</f>
        <v>0</v>
      </c>
      <c r="L1204" s="321">
        <f>+H1204</f>
        <v>0</v>
      </c>
      <c r="M1204" s="322">
        <f>+I1204</f>
        <v>0</v>
      </c>
      <c r="N1204" s="339">
        <f t="shared" si="1496"/>
        <v>0</v>
      </c>
      <c r="O1204" s="345" t="str">
        <f t="shared" si="1477"/>
        <v>-</v>
      </c>
    </row>
    <row r="1205" spans="1:15" ht="23.25" thickBot="1" x14ac:dyDescent="0.3">
      <c r="A1205" s="274" t="s">
        <v>103</v>
      </c>
      <c r="B1205" s="960" t="s">
        <v>25</v>
      </c>
      <c r="C1205" s="961"/>
      <c r="D1205" s="962"/>
      <c r="E1205" s="326">
        <f t="shared" ref="E1205:F1205" si="1517">+E1194+E1204</f>
        <v>195500</v>
      </c>
      <c r="F1205" s="327">
        <f t="shared" si="1517"/>
        <v>94000</v>
      </c>
      <c r="G1205" s="326">
        <f>+G1194+G1204</f>
        <v>45640</v>
      </c>
      <c r="H1205" s="324">
        <f t="shared" ref="H1205:I1205" si="1518">+H1194+H1204</f>
        <v>45540</v>
      </c>
      <c r="I1205" s="324">
        <f t="shared" si="1518"/>
        <v>100</v>
      </c>
      <c r="J1205" s="349" t="str">
        <f>IFERROR(G1205/#REF!,"-")</f>
        <v>-</v>
      </c>
      <c r="K1205" s="326">
        <f t="shared" ref="K1205" si="1519">+K1194+K1204</f>
        <v>85340</v>
      </c>
      <c r="L1205" s="324">
        <f>+L1194+L1204</f>
        <v>85140</v>
      </c>
      <c r="M1205" s="325">
        <f t="shared" ref="M1205" si="1520">+M1194+M1204</f>
        <v>200</v>
      </c>
      <c r="N1205" s="341">
        <f t="shared" si="1496"/>
        <v>0.43652173913043479</v>
      </c>
      <c r="O1205" s="349">
        <f t="shared" si="1477"/>
        <v>2.3435669088352471E-3</v>
      </c>
    </row>
    <row r="1206" spans="1:15" ht="23.25" thickBot="1" x14ac:dyDescent="0.3">
      <c r="A1206" s="274" t="s">
        <v>103</v>
      </c>
      <c r="B1206" s="963" t="s">
        <v>172</v>
      </c>
      <c r="C1206" s="941"/>
      <c r="D1206" s="968"/>
      <c r="E1206" s="330">
        <f>+E1189+E1205</f>
        <v>3965500</v>
      </c>
      <c r="F1206" s="331">
        <f t="shared" ref="F1206:I1206" si="1521">+F1189+F1205</f>
        <v>559000</v>
      </c>
      <c r="G1206" s="330">
        <f t="shared" si="1521"/>
        <v>273311</v>
      </c>
      <c r="H1206" s="328">
        <f t="shared" si="1521"/>
        <v>269996</v>
      </c>
      <c r="I1206" s="328">
        <f t="shared" si="1521"/>
        <v>3315</v>
      </c>
      <c r="J1206" s="350">
        <f>+G1206/F1206</f>
        <v>0.48892844364937388</v>
      </c>
      <c r="K1206" s="330">
        <f>+K1189+K1205</f>
        <v>2268892</v>
      </c>
      <c r="L1206" s="328">
        <f t="shared" ref="L1206:M1206" si="1522">+L1189+L1205</f>
        <v>2257734</v>
      </c>
      <c r="M1206" s="329">
        <f t="shared" si="1522"/>
        <v>11158</v>
      </c>
      <c r="N1206" s="342">
        <f>IFERROR(K1206/E1206,"-")</f>
        <v>0.57215786155591986</v>
      </c>
      <c r="O1206" s="350">
        <f t="shared" si="1477"/>
        <v>4.9178189177801323E-3</v>
      </c>
    </row>
    <row r="1207" spans="1:15" ht="24" x14ac:dyDescent="0.25">
      <c r="A1207" s="268" t="s">
        <v>101</v>
      </c>
      <c r="B1207" s="956" t="s">
        <v>26</v>
      </c>
      <c r="C1207" s="893" t="s">
        <v>297</v>
      </c>
      <c r="D1207" s="898" t="s">
        <v>177</v>
      </c>
      <c r="E1207" s="895"/>
      <c r="F1207" s="271"/>
      <c r="G1207" s="332">
        <f t="shared" ref="G1207:G1216" si="1523">+H1207+I1207</f>
        <v>0</v>
      </c>
      <c r="H1207" s="272"/>
      <c r="I1207" s="272"/>
      <c r="J1207" s="351" t="str">
        <f>IFERROR(G1207/F1207,"-")</f>
        <v>-</v>
      </c>
      <c r="K1207" s="332">
        <f t="shared" ref="K1207:K1216" si="1524">+L1207+M1207</f>
        <v>0</v>
      </c>
      <c r="L1207" s="272">
        <f t="shared" ref="L1207:M1207" si="1525">+H1207+L1090</f>
        <v>0</v>
      </c>
      <c r="M1207" s="273">
        <f t="shared" si="1525"/>
        <v>0</v>
      </c>
      <c r="N1207" s="336" t="str">
        <f t="shared" ref="N1207:N1225" si="1526">IFERROR(K1207/E1207,"-")</f>
        <v>-</v>
      </c>
      <c r="O1207" s="346" t="str">
        <f t="shared" si="1477"/>
        <v>-</v>
      </c>
    </row>
    <row r="1208" spans="1:15" ht="24" x14ac:dyDescent="0.25">
      <c r="A1208" s="274" t="s">
        <v>101</v>
      </c>
      <c r="B1208" s="956"/>
      <c r="C1208" s="253" t="s">
        <v>424</v>
      </c>
      <c r="D1208" s="899" t="s">
        <v>423</v>
      </c>
      <c r="E1208" s="511">
        <v>314432</v>
      </c>
      <c r="F1208" s="277"/>
      <c r="G1208" s="333">
        <f t="shared" si="1523"/>
        <v>0</v>
      </c>
      <c r="H1208" s="278"/>
      <c r="I1208" s="278"/>
      <c r="J1208" s="351" t="str">
        <f t="shared" ref="J1208:J1216" si="1527">IFERROR(G1208/F1208,"-")</f>
        <v>-</v>
      </c>
      <c r="K1208" s="333">
        <f t="shared" si="1524"/>
        <v>265434</v>
      </c>
      <c r="L1208" s="272">
        <f t="shared" ref="L1208:M1208" si="1528">+H1208+L1091</f>
        <v>262548</v>
      </c>
      <c r="M1208" s="273">
        <f t="shared" si="1528"/>
        <v>2886</v>
      </c>
      <c r="N1208" s="337">
        <f t="shared" si="1526"/>
        <v>0.84416980460004076</v>
      </c>
      <c r="O1208" s="263">
        <f t="shared" si="1477"/>
        <v>1.0872759330002939E-2</v>
      </c>
    </row>
    <row r="1209" spans="1:15" ht="24" x14ac:dyDescent="0.25">
      <c r="A1209" s="274" t="s">
        <v>101</v>
      </c>
      <c r="B1209" s="956"/>
      <c r="C1209" s="813" t="s">
        <v>27</v>
      </c>
      <c r="D1209" s="899" t="s">
        <v>334</v>
      </c>
      <c r="E1209" s="896">
        <v>932448</v>
      </c>
      <c r="F1209" s="281"/>
      <c r="G1209" s="333">
        <f t="shared" si="1523"/>
        <v>0</v>
      </c>
      <c r="H1209" s="282"/>
      <c r="I1209" s="282"/>
      <c r="J1209" s="351" t="str">
        <f t="shared" si="1527"/>
        <v>-</v>
      </c>
      <c r="K1209" s="333">
        <f t="shared" si="1524"/>
        <v>29523</v>
      </c>
      <c r="L1209" s="272">
        <f t="shared" ref="L1209:M1209" si="1529">+H1209+L1092</f>
        <v>27846</v>
      </c>
      <c r="M1209" s="273">
        <f t="shared" si="1529"/>
        <v>1677</v>
      </c>
      <c r="N1209" s="337">
        <f t="shared" si="1526"/>
        <v>3.166181921136621E-2</v>
      </c>
      <c r="O1209" s="263">
        <f t="shared" si="1477"/>
        <v>5.6803170409511231E-2</v>
      </c>
    </row>
    <row r="1210" spans="1:15" ht="24" x14ac:dyDescent="0.25">
      <c r="A1210" s="274" t="s">
        <v>101</v>
      </c>
      <c r="B1210" s="956"/>
      <c r="C1210" s="813" t="s">
        <v>27</v>
      </c>
      <c r="D1210" s="900" t="s">
        <v>492</v>
      </c>
      <c r="E1210" s="896"/>
      <c r="F1210" s="281"/>
      <c r="G1210" s="333">
        <f t="shared" si="1523"/>
        <v>0</v>
      </c>
      <c r="H1210" s="282"/>
      <c r="I1210" s="282"/>
      <c r="J1210" s="351" t="str">
        <f t="shared" si="1527"/>
        <v>-</v>
      </c>
      <c r="K1210" s="333">
        <f t="shared" si="1524"/>
        <v>274869</v>
      </c>
      <c r="L1210" s="272">
        <f t="shared" ref="L1210:M1210" si="1530">+H1210+L1093</f>
        <v>270504</v>
      </c>
      <c r="M1210" s="273">
        <f t="shared" si="1530"/>
        <v>4365</v>
      </c>
      <c r="N1210" s="337" t="str">
        <f t="shared" si="1526"/>
        <v>-</v>
      </c>
      <c r="O1210" s="263">
        <f t="shared" si="1477"/>
        <v>1.588029206640254E-2</v>
      </c>
    </row>
    <row r="1211" spans="1:15" ht="24" x14ac:dyDescent="0.25">
      <c r="A1211" s="274" t="s">
        <v>101</v>
      </c>
      <c r="B1211" s="956"/>
      <c r="C1211" s="893" t="s">
        <v>521</v>
      </c>
      <c r="D1211" s="899" t="s">
        <v>234</v>
      </c>
      <c r="E1211" s="896">
        <v>136768</v>
      </c>
      <c r="F1211" s="281"/>
      <c r="G1211" s="333">
        <f t="shared" si="1523"/>
        <v>0</v>
      </c>
      <c r="H1211" s="282"/>
      <c r="I1211" s="282"/>
      <c r="J1211" s="351" t="str">
        <f t="shared" si="1527"/>
        <v>-</v>
      </c>
      <c r="K1211" s="333">
        <f t="shared" si="1524"/>
        <v>57116</v>
      </c>
      <c r="L1211" s="272">
        <f t="shared" ref="L1211:M1211" si="1531">+H1211+L1094</f>
        <v>55692</v>
      </c>
      <c r="M1211" s="273">
        <f t="shared" si="1531"/>
        <v>1424</v>
      </c>
      <c r="N1211" s="337">
        <f t="shared" si="1526"/>
        <v>0.41761230697239121</v>
      </c>
      <c r="O1211" s="263">
        <f t="shared" si="1477"/>
        <v>2.4931717907416485E-2</v>
      </c>
    </row>
    <row r="1212" spans="1:15" ht="22.5" customHeight="1" x14ac:dyDescent="0.25">
      <c r="A1212" s="274"/>
      <c r="B1212" s="956"/>
      <c r="C1212" s="813" t="s">
        <v>432</v>
      </c>
      <c r="D1212" s="899" t="s">
        <v>178</v>
      </c>
      <c r="E1212" s="896"/>
      <c r="F1212" s="281"/>
      <c r="G1212" s="334">
        <f t="shared" si="1523"/>
        <v>0</v>
      </c>
      <c r="H1212" s="282"/>
      <c r="I1212" s="282"/>
      <c r="J1212" s="351" t="str">
        <f t="shared" si="1527"/>
        <v>-</v>
      </c>
      <c r="K1212" s="334">
        <f t="shared" si="1524"/>
        <v>0</v>
      </c>
      <c r="L1212" s="272">
        <f t="shared" ref="L1212:M1212" si="1532">+H1212+L1095</f>
        <v>0</v>
      </c>
      <c r="M1212" s="273">
        <f t="shared" si="1532"/>
        <v>0</v>
      </c>
      <c r="N1212" s="337" t="str">
        <f t="shared" si="1526"/>
        <v>-</v>
      </c>
      <c r="O1212" s="263" t="str">
        <f t="shared" si="1477"/>
        <v>-</v>
      </c>
    </row>
    <row r="1213" spans="1:15" ht="24" x14ac:dyDescent="0.25">
      <c r="A1213" s="274"/>
      <c r="B1213" s="956"/>
      <c r="C1213" s="813" t="s">
        <v>333</v>
      </c>
      <c r="D1213" s="899" t="s">
        <v>94</v>
      </c>
      <c r="E1213" s="896">
        <v>32016</v>
      </c>
      <c r="F1213" s="281"/>
      <c r="G1213" s="334">
        <f t="shared" si="1523"/>
        <v>0</v>
      </c>
      <c r="H1213" s="282"/>
      <c r="I1213" s="282"/>
      <c r="J1213" s="351" t="str">
        <f t="shared" si="1527"/>
        <v>-</v>
      </c>
      <c r="K1213" s="334">
        <f t="shared" si="1524"/>
        <v>0</v>
      </c>
      <c r="L1213" s="272">
        <f t="shared" ref="L1213:M1213" si="1533">+H1213+L1096</f>
        <v>0</v>
      </c>
      <c r="M1213" s="273">
        <f t="shared" si="1533"/>
        <v>0</v>
      </c>
      <c r="N1213" s="337">
        <f t="shared" si="1526"/>
        <v>0</v>
      </c>
      <c r="O1213" s="263" t="str">
        <f t="shared" si="1477"/>
        <v>-</v>
      </c>
    </row>
    <row r="1214" spans="1:15" ht="24" x14ac:dyDescent="0.25">
      <c r="A1214" s="274"/>
      <c r="B1214" s="956"/>
      <c r="C1214" s="813" t="s">
        <v>433</v>
      </c>
      <c r="D1214" s="899" t="s">
        <v>540</v>
      </c>
      <c r="E1214" s="896"/>
      <c r="F1214" s="281"/>
      <c r="G1214" s="334">
        <f t="shared" si="1523"/>
        <v>104564</v>
      </c>
      <c r="H1214" s="282">
        <v>103428</v>
      </c>
      <c r="I1214" s="282">
        <v>1136</v>
      </c>
      <c r="J1214" s="351" t="str">
        <f t="shared" si="1527"/>
        <v>-</v>
      </c>
      <c r="K1214" s="334">
        <f t="shared" si="1524"/>
        <v>358419</v>
      </c>
      <c r="L1214" s="272">
        <f t="shared" ref="L1214:M1214" si="1534">+H1214+L1097</f>
        <v>354042</v>
      </c>
      <c r="M1214" s="272">
        <f t="shared" si="1534"/>
        <v>4377</v>
      </c>
      <c r="N1214" s="337" t="str">
        <f t="shared" si="1526"/>
        <v>-</v>
      </c>
      <c r="O1214" s="263">
        <f t="shared" si="1477"/>
        <v>1.2211964209486663E-2</v>
      </c>
    </row>
    <row r="1215" spans="1:15" ht="24" x14ac:dyDescent="0.25">
      <c r="A1215" s="274"/>
      <c r="B1215" s="956"/>
      <c r="C1215" s="813" t="s">
        <v>382</v>
      </c>
      <c r="D1215" s="899" t="s">
        <v>366</v>
      </c>
      <c r="E1215" s="896"/>
      <c r="F1215" s="281"/>
      <c r="G1215" s="334">
        <f t="shared" si="1523"/>
        <v>0</v>
      </c>
      <c r="H1215" s="282"/>
      <c r="I1215" s="282"/>
      <c r="J1215" s="351" t="str">
        <f t="shared" si="1527"/>
        <v>-</v>
      </c>
      <c r="K1215" s="334">
        <f t="shared" si="1524"/>
        <v>0</v>
      </c>
      <c r="L1215" s="272">
        <f t="shared" ref="L1215:M1215" si="1535">+H1215+L1098</f>
        <v>0</v>
      </c>
      <c r="M1215" s="273">
        <f t="shared" si="1535"/>
        <v>0</v>
      </c>
      <c r="N1215" s="337" t="str">
        <f t="shared" si="1526"/>
        <v>-</v>
      </c>
      <c r="O1215" s="263" t="str">
        <f t="shared" si="1477"/>
        <v>-</v>
      </c>
    </row>
    <row r="1216" spans="1:15" ht="24.75" thickBot="1" x14ac:dyDescent="0.3">
      <c r="A1216" s="274" t="s">
        <v>101</v>
      </c>
      <c r="B1216" s="956"/>
      <c r="C1216" s="894" t="s">
        <v>290</v>
      </c>
      <c r="D1216" s="901" t="s">
        <v>289</v>
      </c>
      <c r="E1216" s="896"/>
      <c r="F1216" s="281"/>
      <c r="G1216" s="334">
        <f t="shared" si="1523"/>
        <v>0</v>
      </c>
      <c r="H1216" s="282"/>
      <c r="I1216" s="282"/>
      <c r="J1216" s="351" t="str">
        <f t="shared" si="1527"/>
        <v>-</v>
      </c>
      <c r="K1216" s="334">
        <f t="shared" si="1524"/>
        <v>0</v>
      </c>
      <c r="L1216" s="272">
        <f t="shared" ref="L1216:M1216" si="1536">+H1216+L1099</f>
        <v>0</v>
      </c>
      <c r="M1216" s="273">
        <f t="shared" si="1536"/>
        <v>0</v>
      </c>
      <c r="N1216" s="337" t="str">
        <f t="shared" si="1526"/>
        <v>-</v>
      </c>
      <c r="O1216" s="347" t="str">
        <f t="shared" si="1477"/>
        <v>-</v>
      </c>
    </row>
    <row r="1217" spans="1:15" ht="23.25" thickBot="1" x14ac:dyDescent="0.3">
      <c r="A1217" s="274" t="s">
        <v>101</v>
      </c>
      <c r="B1217" s="969"/>
      <c r="C1217" s="301"/>
      <c r="D1217" s="897" t="s">
        <v>52</v>
      </c>
      <c r="E1217" s="284">
        <f>SUM(E1207:E1216)</f>
        <v>1415664</v>
      </c>
      <c r="F1217" s="285">
        <v>160000</v>
      </c>
      <c r="G1217" s="320">
        <f>SUM(G1207:G1216)</f>
        <v>104564</v>
      </c>
      <c r="H1217" s="321">
        <f>SUM(H1207:H1216)</f>
        <v>103428</v>
      </c>
      <c r="I1217" s="321">
        <f>SUM(I1207:I1216)</f>
        <v>1136</v>
      </c>
      <c r="J1217" s="345">
        <f>+G1217/F1217</f>
        <v>0.65352500000000002</v>
      </c>
      <c r="K1217" s="320">
        <f>SUM(K1207:K1216)</f>
        <v>985361</v>
      </c>
      <c r="L1217" s="321">
        <f>SUM(L1207:L1216)</f>
        <v>970632</v>
      </c>
      <c r="M1217" s="322">
        <f>SUM(M1207:M1216)</f>
        <v>14729</v>
      </c>
      <c r="N1217" s="339">
        <f t="shared" si="1526"/>
        <v>0.69604157483696694</v>
      </c>
      <c r="O1217" s="345">
        <f t="shared" si="1477"/>
        <v>1.4947821153871525E-2</v>
      </c>
    </row>
    <row r="1218" spans="1:15" ht="24" x14ac:dyDescent="0.25">
      <c r="A1218" s="274" t="s">
        <v>101</v>
      </c>
      <c r="B1218" s="955" t="s">
        <v>28</v>
      </c>
      <c r="C1218" s="299" t="s">
        <v>27</v>
      </c>
      <c r="D1218" s="297" t="s">
        <v>492</v>
      </c>
      <c r="E1218" s="270"/>
      <c r="F1218" s="271"/>
      <c r="G1218" s="332">
        <f t="shared" ref="G1218:G1222" si="1537">+H1218+I1218</f>
        <v>0</v>
      </c>
      <c r="H1218" s="272"/>
      <c r="I1218" s="272"/>
      <c r="J1218" s="351" t="str">
        <f>IFERROR(G1218/F1218,"-")</f>
        <v>-</v>
      </c>
      <c r="K1218" s="332">
        <f t="shared" ref="K1218:K1224" si="1538">+L1218+M1218</f>
        <v>170343</v>
      </c>
      <c r="L1218" s="272">
        <f t="shared" ref="L1218:M1218" si="1539">+H1218+L1101</f>
        <v>167076</v>
      </c>
      <c r="M1218" s="273">
        <f t="shared" si="1539"/>
        <v>3267</v>
      </c>
      <c r="N1218" s="336" t="str">
        <f t="shared" si="1526"/>
        <v>-</v>
      </c>
      <c r="O1218" s="346">
        <f t="shared" si="1477"/>
        <v>1.9178950705341577E-2</v>
      </c>
    </row>
    <row r="1219" spans="1:15" ht="24" x14ac:dyDescent="0.25">
      <c r="A1219" s="274" t="s">
        <v>101</v>
      </c>
      <c r="B1219" s="956"/>
      <c r="C1219" s="299" t="s">
        <v>385</v>
      </c>
      <c r="D1219" s="299" t="s">
        <v>334</v>
      </c>
      <c r="E1219" s="276"/>
      <c r="F1219" s="277"/>
      <c r="G1219" s="333">
        <f t="shared" si="1537"/>
        <v>0</v>
      </c>
      <c r="H1219" s="278"/>
      <c r="I1219" s="278"/>
      <c r="J1219" s="351" t="str">
        <f t="shared" ref="J1219:J1224" si="1540">IFERROR(G1219/F1219,"-")</f>
        <v>-</v>
      </c>
      <c r="K1219" s="333">
        <f t="shared" si="1538"/>
        <v>96975</v>
      </c>
      <c r="L1219" s="272">
        <f t="shared" ref="L1219:M1219" si="1541">+H1219+L1102</f>
        <v>95472</v>
      </c>
      <c r="M1219" s="273">
        <f t="shared" si="1541"/>
        <v>1503</v>
      </c>
      <c r="N1219" s="337" t="str">
        <f t="shared" si="1526"/>
        <v>-</v>
      </c>
      <c r="O1219" s="263">
        <f t="shared" si="1477"/>
        <v>1.5498839907192575E-2</v>
      </c>
    </row>
    <row r="1220" spans="1:15" ht="24" x14ac:dyDescent="0.25">
      <c r="A1220" s="274" t="s">
        <v>101</v>
      </c>
      <c r="B1220" s="956"/>
      <c r="C1220" s="299" t="s">
        <v>27</v>
      </c>
      <c r="D1220" s="299" t="s">
        <v>334</v>
      </c>
      <c r="E1220" s="276"/>
      <c r="F1220" s="277"/>
      <c r="G1220" s="333">
        <f t="shared" si="1537"/>
        <v>0</v>
      </c>
      <c r="H1220" s="278"/>
      <c r="I1220" s="278"/>
      <c r="J1220" s="351" t="str">
        <f t="shared" si="1540"/>
        <v>-</v>
      </c>
      <c r="K1220" s="333">
        <f t="shared" si="1538"/>
        <v>0</v>
      </c>
      <c r="L1220" s="272">
        <f t="shared" ref="L1220:M1220" si="1542">+H1220+L1103</f>
        <v>0</v>
      </c>
      <c r="M1220" s="273">
        <f t="shared" si="1542"/>
        <v>0</v>
      </c>
      <c r="N1220" s="337" t="str">
        <f t="shared" si="1526"/>
        <v>-</v>
      </c>
      <c r="O1220" s="263" t="str">
        <f t="shared" si="1477"/>
        <v>-</v>
      </c>
    </row>
    <row r="1221" spans="1:15" ht="24" x14ac:dyDescent="0.25">
      <c r="A1221" s="274"/>
      <c r="B1221" s="956"/>
      <c r="C1221" s="299" t="s">
        <v>460</v>
      </c>
      <c r="D1221" s="299" t="s">
        <v>334</v>
      </c>
      <c r="E1221" s="280"/>
      <c r="F1221" s="281"/>
      <c r="G1221" s="333">
        <f t="shared" si="1537"/>
        <v>0</v>
      </c>
      <c r="H1221" s="282"/>
      <c r="I1221" s="282"/>
      <c r="J1221" s="351" t="str">
        <f t="shared" si="1540"/>
        <v>-</v>
      </c>
      <c r="K1221" s="333">
        <f t="shared" si="1538"/>
        <v>4348</v>
      </c>
      <c r="L1221" s="272">
        <f t="shared" ref="L1221:M1221" si="1543">+H1221+L1104</f>
        <v>3978</v>
      </c>
      <c r="M1221" s="273">
        <f t="shared" si="1543"/>
        <v>370</v>
      </c>
      <c r="N1221" s="337" t="str">
        <f t="shared" si="1526"/>
        <v>-</v>
      </c>
      <c r="O1221" s="263">
        <f t="shared" si="1477"/>
        <v>8.5096596136154556E-2</v>
      </c>
    </row>
    <row r="1222" spans="1:15" ht="24" x14ac:dyDescent="0.25">
      <c r="A1222" s="274" t="s">
        <v>101</v>
      </c>
      <c r="B1222" s="956"/>
      <c r="C1222" s="299" t="s">
        <v>433</v>
      </c>
      <c r="D1222" s="299" t="s">
        <v>540</v>
      </c>
      <c r="E1222" s="280"/>
      <c r="F1222" s="281"/>
      <c r="G1222" s="334">
        <f t="shared" si="1537"/>
        <v>0</v>
      </c>
      <c r="H1222" s="282"/>
      <c r="I1222" s="282"/>
      <c r="J1222" s="351" t="str">
        <f t="shared" si="1540"/>
        <v>-</v>
      </c>
      <c r="K1222" s="334">
        <f t="shared" si="1538"/>
        <v>128335</v>
      </c>
      <c r="L1222" s="272">
        <f t="shared" ref="L1222:M1222" si="1544">+H1222+L1105</f>
        <v>127296</v>
      </c>
      <c r="M1222" s="702">
        <f t="shared" si="1544"/>
        <v>1039</v>
      </c>
      <c r="N1222" s="338" t="str">
        <f t="shared" si="1526"/>
        <v>-</v>
      </c>
      <c r="O1222" s="347">
        <f t="shared" si="1477"/>
        <v>8.0959987532629452E-3</v>
      </c>
    </row>
    <row r="1223" spans="1:15" ht="24" x14ac:dyDescent="0.25">
      <c r="A1223" s="274"/>
      <c r="B1223" s="956"/>
      <c r="C1223" s="299" t="s">
        <v>458</v>
      </c>
      <c r="D1223" s="300" t="s">
        <v>280</v>
      </c>
      <c r="E1223" s="280">
        <v>200000</v>
      </c>
      <c r="F1223" s="281"/>
      <c r="G1223" s="334"/>
      <c r="H1223" s="282"/>
      <c r="I1223" s="282"/>
      <c r="J1223" s="351" t="str">
        <f t="shared" si="1540"/>
        <v>-</v>
      </c>
      <c r="K1223" s="334">
        <f t="shared" si="1538"/>
        <v>0</v>
      </c>
      <c r="L1223" s="272">
        <f t="shared" ref="L1223:M1223" si="1545">+H1223+L1106</f>
        <v>0</v>
      </c>
      <c r="M1223" s="272">
        <f t="shared" si="1545"/>
        <v>0</v>
      </c>
      <c r="N1223" s="338">
        <f t="shared" si="1526"/>
        <v>0</v>
      </c>
      <c r="O1223" s="347" t="str">
        <f t="shared" si="1477"/>
        <v>-</v>
      </c>
    </row>
    <row r="1224" spans="1:15" ht="24.75" thickBot="1" x14ac:dyDescent="0.3">
      <c r="A1224" s="274" t="s">
        <v>101</v>
      </c>
      <c r="B1224" s="956"/>
      <c r="C1224" s="299" t="s">
        <v>27</v>
      </c>
      <c r="D1224" s="300" t="s">
        <v>234</v>
      </c>
      <c r="E1224" s="280">
        <v>250000</v>
      </c>
      <c r="F1224" s="281"/>
      <c r="G1224" s="334">
        <f t="shared" ref="G1224" si="1546">+H1224+I1224</f>
        <v>0</v>
      </c>
      <c r="H1224" s="282"/>
      <c r="I1224" s="282"/>
      <c r="J1224" s="351" t="str">
        <f t="shared" si="1540"/>
        <v>-</v>
      </c>
      <c r="K1224" s="334">
        <f t="shared" si="1538"/>
        <v>0</v>
      </c>
      <c r="L1224" s="272">
        <f t="shared" ref="L1224:M1224" si="1547">+H1224+L1107</f>
        <v>0</v>
      </c>
      <c r="M1224" s="702">
        <f t="shared" si="1547"/>
        <v>0</v>
      </c>
      <c r="N1224" s="338">
        <f t="shared" si="1526"/>
        <v>0</v>
      </c>
      <c r="O1224" s="347" t="str">
        <f t="shared" si="1477"/>
        <v>-</v>
      </c>
    </row>
    <row r="1225" spans="1:15" ht="23.25" thickBot="1" x14ac:dyDescent="0.3">
      <c r="A1225" s="274" t="s">
        <v>101</v>
      </c>
      <c r="B1225" s="956"/>
      <c r="C1225" s="304"/>
      <c r="D1225" s="305" t="s">
        <v>52</v>
      </c>
      <c r="E1225" s="306">
        <f>SUM(E1218:E1224)</f>
        <v>450000</v>
      </c>
      <c r="F1225" s="307">
        <v>80000</v>
      </c>
      <c r="G1225" s="366">
        <f>SUM(G1218:G1224)</f>
        <v>0</v>
      </c>
      <c r="H1225" s="365">
        <f>SUM(H1218:H1224)</f>
        <v>0</v>
      </c>
      <c r="I1225" s="365">
        <f>SUM(I1218:I1224)</f>
        <v>0</v>
      </c>
      <c r="J1225" s="356">
        <f>+G1225/F1225</f>
        <v>0</v>
      </c>
      <c r="K1225" s="366">
        <f>SUM(K1218:K1224)</f>
        <v>400001</v>
      </c>
      <c r="L1225" s="365">
        <f>SUM(L1218:L1224)</f>
        <v>393822</v>
      </c>
      <c r="M1225" s="367">
        <f>SUM(M1218:M1224)</f>
        <v>6179</v>
      </c>
      <c r="N1225" s="355">
        <f t="shared" si="1526"/>
        <v>0.88889111111111108</v>
      </c>
      <c r="O1225" s="356">
        <f t="shared" si="1477"/>
        <v>1.5447461381346547E-2</v>
      </c>
    </row>
    <row r="1226" spans="1:15" ht="23.25" thickBot="1" x14ac:dyDescent="0.3">
      <c r="A1226" s="909" t="s">
        <v>101</v>
      </c>
      <c r="B1226" s="957" t="s">
        <v>162</v>
      </c>
      <c r="C1226" s="958"/>
      <c r="D1226" s="959"/>
      <c r="E1226" s="308">
        <f>+E1225+E1217</f>
        <v>1865664</v>
      </c>
      <c r="F1226" s="309">
        <f>+F1225+F1217</f>
        <v>240000</v>
      </c>
      <c r="G1226" s="369">
        <f>+G1217+G1225</f>
        <v>104564</v>
      </c>
      <c r="H1226" s="368">
        <f>+H1217+H1225</f>
        <v>103428</v>
      </c>
      <c r="I1226" s="368">
        <f>+I1217+I1225</f>
        <v>1136</v>
      </c>
      <c r="J1226" s="358">
        <f>+G1226/F1226</f>
        <v>0.43568333333333331</v>
      </c>
      <c r="K1226" s="369">
        <f>+K1217+K1225</f>
        <v>1385362</v>
      </c>
      <c r="L1226" s="368">
        <f>+L1217+L1225</f>
        <v>1364454</v>
      </c>
      <c r="M1226" s="370">
        <f>+M1217+M1225</f>
        <v>20908</v>
      </c>
      <c r="N1226" s="357">
        <f>IFERROR(K1226/E1226,"-")</f>
        <v>0.74255707351377309</v>
      </c>
      <c r="O1226" s="358">
        <f t="shared" si="1477"/>
        <v>1.5092084235023048E-2</v>
      </c>
    </row>
    <row r="1227" spans="1:15" ht="24" x14ac:dyDescent="0.25">
      <c r="A1227" s="274" t="s">
        <v>101</v>
      </c>
      <c r="B1227" s="956" t="s">
        <v>30</v>
      </c>
      <c r="C1227" s="303" t="s">
        <v>446</v>
      </c>
      <c r="D1227" s="299" t="s">
        <v>522</v>
      </c>
      <c r="E1227" s="270">
        <v>225000</v>
      </c>
      <c r="F1227" s="271"/>
      <c r="G1227" s="332">
        <f t="shared" ref="G1227:G1229" si="1548">+H1227+I1227</f>
        <v>0</v>
      </c>
      <c r="H1227" s="272"/>
      <c r="I1227" s="272"/>
      <c r="J1227" s="351" t="str">
        <f>IFERROR(G1227/F1227,"-")</f>
        <v>-</v>
      </c>
      <c r="K1227" s="332">
        <f t="shared" ref="K1227:K1229" si="1549">+L1227+M1227</f>
        <v>0</v>
      </c>
      <c r="L1227" s="272">
        <f t="shared" ref="L1227:M1227" si="1550">+H1227+L1110</f>
        <v>0</v>
      </c>
      <c r="M1227" s="273">
        <f t="shared" si="1550"/>
        <v>0</v>
      </c>
      <c r="N1227" s="336">
        <f t="shared" ref="N1227:N1240" si="1551">IFERROR(K1227/E1227,"-")</f>
        <v>0</v>
      </c>
      <c r="O1227" s="346" t="str">
        <f t="shared" si="1477"/>
        <v>-</v>
      </c>
    </row>
    <row r="1228" spans="1:15" ht="24" x14ac:dyDescent="0.25">
      <c r="A1228" s="274" t="s">
        <v>101</v>
      </c>
      <c r="B1228" s="956"/>
      <c r="C1228" s="300" t="s">
        <v>548</v>
      </c>
      <c r="D1228" s="303" t="s">
        <v>522</v>
      </c>
      <c r="E1228" s="276">
        <v>125000</v>
      </c>
      <c r="F1228" s="277"/>
      <c r="G1228" s="333">
        <f t="shared" si="1548"/>
        <v>0</v>
      </c>
      <c r="H1228" s="278"/>
      <c r="I1228" s="278"/>
      <c r="J1228" s="351" t="str">
        <f t="shared" ref="J1228:J1229" si="1552">IFERROR(G1228/F1228,"-")</f>
        <v>-</v>
      </c>
      <c r="K1228" s="333">
        <f t="shared" si="1549"/>
        <v>0</v>
      </c>
      <c r="L1228" s="272">
        <f t="shared" ref="L1228:M1228" si="1553">+H1228+L1111</f>
        <v>0</v>
      </c>
      <c r="M1228" s="273">
        <f t="shared" si="1553"/>
        <v>0</v>
      </c>
      <c r="N1228" s="337">
        <f t="shared" si="1551"/>
        <v>0</v>
      </c>
      <c r="O1228" s="263" t="str">
        <f t="shared" si="1477"/>
        <v>-</v>
      </c>
    </row>
    <row r="1229" spans="1:15" ht="24.75" thickBot="1" x14ac:dyDescent="0.3">
      <c r="A1229" s="274" t="s">
        <v>101</v>
      </c>
      <c r="B1229" s="956"/>
      <c r="C1229" s="300" t="s">
        <v>291</v>
      </c>
      <c r="D1229" s="300" t="s">
        <v>366</v>
      </c>
      <c r="E1229" s="280"/>
      <c r="F1229" s="281"/>
      <c r="G1229" s="334">
        <f t="shared" si="1548"/>
        <v>51611</v>
      </c>
      <c r="H1229" s="282">
        <v>50544</v>
      </c>
      <c r="I1229" s="282">
        <v>1067</v>
      </c>
      <c r="J1229" s="351" t="str">
        <f t="shared" si="1552"/>
        <v>-</v>
      </c>
      <c r="K1229" s="334">
        <f t="shared" si="1549"/>
        <v>51611</v>
      </c>
      <c r="L1229" s="272">
        <f t="shared" ref="L1229:M1229" si="1554">+H1229+L1112</f>
        <v>50544</v>
      </c>
      <c r="M1229" s="273">
        <f t="shared" si="1554"/>
        <v>1067</v>
      </c>
      <c r="N1229" s="338" t="str">
        <f t="shared" si="1551"/>
        <v>-</v>
      </c>
      <c r="O1229" s="347">
        <f t="shared" si="1477"/>
        <v>2.0673887349596017E-2</v>
      </c>
    </row>
    <row r="1230" spans="1:15" ht="23.25" thickBot="1" x14ac:dyDescent="0.3">
      <c r="A1230" s="274" t="s">
        <v>101</v>
      </c>
      <c r="B1230" s="956"/>
      <c r="C1230" s="301"/>
      <c r="D1230" s="302" t="s">
        <v>50</v>
      </c>
      <c r="E1230" s="284">
        <f>SUM(E1227:E1229)</f>
        <v>350000</v>
      </c>
      <c r="F1230" s="285">
        <v>50000</v>
      </c>
      <c r="G1230" s="320">
        <f>SUM(G1227:G1229)</f>
        <v>51611</v>
      </c>
      <c r="H1230" s="321">
        <f>SUM(H1227:H1229)</f>
        <v>50544</v>
      </c>
      <c r="I1230" s="321">
        <f>SUM(I1227:I1229)</f>
        <v>1067</v>
      </c>
      <c r="J1230" s="345">
        <f>+G1230/F1230</f>
        <v>1.0322199999999999</v>
      </c>
      <c r="K1230" s="320">
        <f>SUM(K1227:K1229)</f>
        <v>51611</v>
      </c>
      <c r="L1230" s="321">
        <f>SUM(L1227:L1229)</f>
        <v>50544</v>
      </c>
      <c r="M1230" s="322">
        <f>SUM(M1227:M1229)</f>
        <v>1067</v>
      </c>
      <c r="N1230" s="339">
        <f t="shared" si="1551"/>
        <v>0.14746000000000001</v>
      </c>
      <c r="O1230" s="345">
        <f t="shared" si="1477"/>
        <v>2.0673887349596017E-2</v>
      </c>
    </row>
    <row r="1231" spans="1:15" ht="24" x14ac:dyDescent="0.25">
      <c r="A1231" s="274" t="s">
        <v>101</v>
      </c>
      <c r="B1231" s="956"/>
      <c r="C1231" s="297" t="s">
        <v>434</v>
      </c>
      <c r="D1231" s="297" t="s">
        <v>92</v>
      </c>
      <c r="E1231" s="270"/>
      <c r="F1231" s="271"/>
      <c r="G1231" s="332">
        <f t="shared" ref="G1231:G1232" si="1555">+H1231+I1231</f>
        <v>0</v>
      </c>
      <c r="H1231" s="272"/>
      <c r="I1231" s="272"/>
      <c r="J1231" s="351" t="str">
        <f>IFERROR(G1231/F1231,"-")</f>
        <v>-</v>
      </c>
      <c r="K1231" s="332">
        <f t="shared" ref="K1231:K1236" si="1556">+L1231+M1231</f>
        <v>0</v>
      </c>
      <c r="L1231" s="272">
        <f t="shared" ref="L1231:M1231" si="1557">+H1231+L1114</f>
        <v>0</v>
      </c>
      <c r="M1231" s="273">
        <f t="shared" si="1557"/>
        <v>0</v>
      </c>
      <c r="N1231" s="336" t="str">
        <f t="shared" si="1551"/>
        <v>-</v>
      </c>
      <c r="O1231" s="346" t="str">
        <f t="shared" si="1477"/>
        <v>-</v>
      </c>
    </row>
    <row r="1232" spans="1:15" ht="24" x14ac:dyDescent="0.25">
      <c r="A1232" s="274"/>
      <c r="B1232" s="956"/>
      <c r="C1232" s="303" t="s">
        <v>449</v>
      </c>
      <c r="D1232" s="299" t="s">
        <v>334</v>
      </c>
      <c r="E1232" s="270"/>
      <c r="F1232" s="271"/>
      <c r="G1232" s="332">
        <f t="shared" si="1555"/>
        <v>0</v>
      </c>
      <c r="H1232" s="272"/>
      <c r="I1232" s="272"/>
      <c r="J1232" s="351" t="str">
        <f t="shared" ref="J1232:J1236" si="1558">IFERROR(G1232/F1232,"-")</f>
        <v>-</v>
      </c>
      <c r="K1232" s="332">
        <f t="shared" si="1556"/>
        <v>0</v>
      </c>
      <c r="L1232" s="272">
        <f t="shared" ref="L1232:M1232" si="1559">+H1232+L1115</f>
        <v>0</v>
      </c>
      <c r="M1232" s="273">
        <f t="shared" si="1559"/>
        <v>0</v>
      </c>
      <c r="N1232" s="337" t="str">
        <f t="shared" si="1551"/>
        <v>-</v>
      </c>
      <c r="O1232" s="346" t="str">
        <f t="shared" si="1477"/>
        <v>-</v>
      </c>
    </row>
    <row r="1233" spans="1:15" ht="24" x14ac:dyDescent="0.25">
      <c r="A1233" s="274"/>
      <c r="B1233" s="956"/>
      <c r="C1233" s="303" t="s">
        <v>452</v>
      </c>
      <c r="D1233" s="299" t="s">
        <v>334</v>
      </c>
      <c r="E1233" s="270"/>
      <c r="F1233" s="271"/>
      <c r="G1233" s="332"/>
      <c r="H1233" s="272"/>
      <c r="I1233" s="272"/>
      <c r="J1233" s="351" t="str">
        <f t="shared" si="1558"/>
        <v>-</v>
      </c>
      <c r="K1233" s="332">
        <f t="shared" si="1556"/>
        <v>0</v>
      </c>
      <c r="L1233" s="272">
        <f t="shared" ref="L1233:M1233" si="1560">+H1233+L1116</f>
        <v>0</v>
      </c>
      <c r="M1233" s="273">
        <f t="shared" si="1560"/>
        <v>0</v>
      </c>
      <c r="N1233" s="337" t="str">
        <f t="shared" si="1551"/>
        <v>-</v>
      </c>
      <c r="O1233" s="346" t="str">
        <f t="shared" si="1477"/>
        <v>-</v>
      </c>
    </row>
    <row r="1234" spans="1:15" ht="24" x14ac:dyDescent="0.25">
      <c r="A1234" s="274" t="s">
        <v>101</v>
      </c>
      <c r="B1234" s="956"/>
      <c r="C1234" s="303" t="s">
        <v>501</v>
      </c>
      <c r="D1234" s="300" t="s">
        <v>423</v>
      </c>
      <c r="E1234" s="276"/>
      <c r="F1234" s="277"/>
      <c r="G1234" s="333">
        <f t="shared" ref="G1234" si="1561">+H1234+I1234</f>
        <v>0</v>
      </c>
      <c r="H1234" s="278"/>
      <c r="I1234" s="278"/>
      <c r="J1234" s="351" t="str">
        <f t="shared" si="1558"/>
        <v>-</v>
      </c>
      <c r="K1234" s="333">
        <f t="shared" si="1556"/>
        <v>8116</v>
      </c>
      <c r="L1234" s="272">
        <f t="shared" ref="L1234:M1234" si="1562">+H1234+L1117</f>
        <v>7488</v>
      </c>
      <c r="M1234" s="273">
        <f t="shared" si="1562"/>
        <v>628</v>
      </c>
      <c r="N1234" s="337" t="str">
        <f t="shared" si="1551"/>
        <v>-</v>
      </c>
      <c r="O1234" s="263">
        <f t="shared" si="1477"/>
        <v>7.737801872843765E-2</v>
      </c>
    </row>
    <row r="1235" spans="1:15" ht="24" x14ac:dyDescent="0.25">
      <c r="A1235" s="274"/>
      <c r="B1235" s="956"/>
      <c r="C1235" s="300" t="s">
        <v>459</v>
      </c>
      <c r="D1235" s="300" t="s">
        <v>366</v>
      </c>
      <c r="E1235" s="280"/>
      <c r="F1235" s="281"/>
      <c r="G1235" s="334"/>
      <c r="H1235" s="282"/>
      <c r="I1235" s="282"/>
      <c r="J1235" s="351" t="str">
        <f t="shared" si="1558"/>
        <v>-</v>
      </c>
      <c r="K1235" s="333">
        <f t="shared" si="1556"/>
        <v>0</v>
      </c>
      <c r="L1235" s="272">
        <f t="shared" ref="L1235:M1235" si="1563">+H1235+L1118</f>
        <v>0</v>
      </c>
      <c r="M1235" s="272">
        <f t="shared" si="1563"/>
        <v>0</v>
      </c>
      <c r="N1235" s="337" t="str">
        <f t="shared" si="1551"/>
        <v>-</v>
      </c>
      <c r="O1235" s="263" t="str">
        <f t="shared" si="1477"/>
        <v>-</v>
      </c>
    </row>
    <row r="1236" spans="1:15" ht="24.75" thickBot="1" x14ac:dyDescent="0.3">
      <c r="A1236" s="274" t="s">
        <v>101</v>
      </c>
      <c r="B1236" s="956"/>
      <c r="C1236" s="300" t="s">
        <v>435</v>
      </c>
      <c r="D1236" s="300" t="s">
        <v>423</v>
      </c>
      <c r="E1236" s="280"/>
      <c r="F1236" s="281"/>
      <c r="G1236" s="334">
        <f t="shared" ref="G1236" si="1564">+H1236+I1236</f>
        <v>0</v>
      </c>
      <c r="H1236" s="282"/>
      <c r="I1236" s="282"/>
      <c r="J1236" s="351" t="str">
        <f t="shared" si="1558"/>
        <v>-</v>
      </c>
      <c r="K1236" s="334">
        <f t="shared" si="1556"/>
        <v>0</v>
      </c>
      <c r="L1236" s="272">
        <f t="shared" ref="L1236:M1236" si="1565">+H1236+L1119</f>
        <v>0</v>
      </c>
      <c r="M1236" s="273">
        <f t="shared" si="1565"/>
        <v>0</v>
      </c>
      <c r="N1236" s="338" t="str">
        <f t="shared" si="1551"/>
        <v>-</v>
      </c>
      <c r="O1236" s="347" t="str">
        <f t="shared" si="1477"/>
        <v>-</v>
      </c>
    </row>
    <row r="1237" spans="1:15" ht="23.25" thickBot="1" x14ac:dyDescent="0.3">
      <c r="A1237" s="274" t="s">
        <v>101</v>
      </c>
      <c r="B1237" s="956"/>
      <c r="C1237" s="304"/>
      <c r="D1237" s="305" t="s">
        <v>51</v>
      </c>
      <c r="E1237" s="306">
        <f>SUM(E1231:E1236)</f>
        <v>0</v>
      </c>
      <c r="F1237" s="307">
        <v>50000</v>
      </c>
      <c r="G1237" s="366">
        <f>SUM(G1231:G1236)</f>
        <v>0</v>
      </c>
      <c r="H1237" s="365">
        <f t="shared" ref="H1237:I1237" si="1566">SUM(H1231:H1236)</f>
        <v>0</v>
      </c>
      <c r="I1237" s="365">
        <f t="shared" si="1566"/>
        <v>0</v>
      </c>
      <c r="J1237" s="356">
        <f>+G1237/F1237</f>
        <v>0</v>
      </c>
      <c r="K1237" s="366">
        <f t="shared" ref="K1237:M1237" si="1567">SUM(K1231:K1236)</f>
        <v>8116</v>
      </c>
      <c r="L1237" s="365">
        <f t="shared" si="1567"/>
        <v>7488</v>
      </c>
      <c r="M1237" s="367">
        <f t="shared" si="1567"/>
        <v>628</v>
      </c>
      <c r="N1237" s="355" t="str">
        <f t="shared" si="1551"/>
        <v>-</v>
      </c>
      <c r="O1237" s="356">
        <f t="shared" si="1477"/>
        <v>7.737801872843765E-2</v>
      </c>
    </row>
    <row r="1238" spans="1:15" ht="23.25" thickBot="1" x14ac:dyDescent="0.3">
      <c r="A1238" s="274" t="s">
        <v>101</v>
      </c>
      <c r="B1238" s="957" t="s">
        <v>163</v>
      </c>
      <c r="C1238" s="958"/>
      <c r="D1238" s="959"/>
      <c r="E1238" s="308">
        <f>+E1237+E1230</f>
        <v>350000</v>
      </c>
      <c r="F1238" s="309">
        <v>50000</v>
      </c>
      <c r="G1238" s="369">
        <f>+G1230+G1237</f>
        <v>51611</v>
      </c>
      <c r="H1238" s="368">
        <f t="shared" ref="H1238:I1238" si="1568">+H1230+H1237</f>
        <v>50544</v>
      </c>
      <c r="I1238" s="368">
        <f t="shared" si="1568"/>
        <v>1067</v>
      </c>
      <c r="J1238" s="358">
        <f>+G1238/F1238</f>
        <v>1.0322199999999999</v>
      </c>
      <c r="K1238" s="369">
        <f t="shared" ref="K1238:M1238" si="1569">+K1230+K1237</f>
        <v>59727</v>
      </c>
      <c r="L1238" s="368">
        <f t="shared" si="1569"/>
        <v>58032</v>
      </c>
      <c r="M1238" s="370">
        <f t="shared" si="1569"/>
        <v>1695</v>
      </c>
      <c r="N1238" s="357">
        <f t="shared" si="1551"/>
        <v>0.17064857142857143</v>
      </c>
      <c r="O1238" s="358">
        <f t="shared" si="1477"/>
        <v>2.8379125018835702E-2</v>
      </c>
    </row>
    <row r="1239" spans="1:15" ht="24.75" thickBot="1" x14ac:dyDescent="0.3">
      <c r="A1239" s="274" t="s">
        <v>101</v>
      </c>
      <c r="B1239" s="598" t="s">
        <v>32</v>
      </c>
      <c r="C1239" s="905"/>
      <c r="D1239" s="310" t="s">
        <v>32</v>
      </c>
      <c r="E1239" s="287">
        <v>0</v>
      </c>
      <c r="F1239" s="288">
        <v>110000</v>
      </c>
      <c r="G1239" s="335">
        <f t="shared" ref="G1239" si="1570">+H1239+I1239</f>
        <v>0</v>
      </c>
      <c r="H1239" s="289"/>
      <c r="I1239" s="289"/>
      <c r="J1239" s="354">
        <f>IFERROR(G1239/F1239,"-")</f>
        <v>0</v>
      </c>
      <c r="K1239" s="335">
        <f>+L1239+M1239</f>
        <v>0</v>
      </c>
      <c r="L1239" s="289">
        <f>+H1239+L1122</f>
        <v>0</v>
      </c>
      <c r="M1239" s="290">
        <f>+I1239+M1122</f>
        <v>0</v>
      </c>
      <c r="N1239" s="340" t="str">
        <f t="shared" si="1551"/>
        <v>-</v>
      </c>
      <c r="O1239" s="348" t="str">
        <f t="shared" si="1477"/>
        <v>-</v>
      </c>
    </row>
    <row r="1240" spans="1:15" ht="23.25" thickBot="1" x14ac:dyDescent="0.3">
      <c r="A1240" s="274" t="s">
        <v>101</v>
      </c>
      <c r="B1240" s="960" t="s">
        <v>21</v>
      </c>
      <c r="C1240" s="961"/>
      <c r="D1240" s="962"/>
      <c r="E1240" s="326">
        <f>+E1226+E1238+E1239</f>
        <v>2215664</v>
      </c>
      <c r="F1240" s="327">
        <f>+F1226+F1238+F1239</f>
        <v>400000</v>
      </c>
      <c r="G1240" s="326">
        <f>+G1226+G1238+G1239</f>
        <v>156175</v>
      </c>
      <c r="H1240" s="324">
        <f>+H1226+H1238+H1239</f>
        <v>153972</v>
      </c>
      <c r="I1240" s="324">
        <f>+I1226+I1238+I1239</f>
        <v>2203</v>
      </c>
      <c r="J1240" s="349">
        <f>+G1240/F1240</f>
        <v>0.39043749999999999</v>
      </c>
      <c r="K1240" s="326">
        <f>+K1226+K1238+K1239</f>
        <v>1445089</v>
      </c>
      <c r="L1240" s="324">
        <f>+L1226+L1238+L1239</f>
        <v>1422486</v>
      </c>
      <c r="M1240" s="325">
        <f>+M1226+M1238+M1239</f>
        <v>22603</v>
      </c>
      <c r="N1240" s="341">
        <f t="shared" si="1551"/>
        <v>0.65221486651405625</v>
      </c>
      <c r="O1240" s="349">
        <f t="shared" si="1477"/>
        <v>1.5641251161693154E-2</v>
      </c>
    </row>
    <row r="1241" spans="1:15" ht="23.25" thickBot="1" x14ac:dyDescent="0.3">
      <c r="A1241" s="274" t="s">
        <v>101</v>
      </c>
      <c r="B1241" s="963" t="s">
        <v>171</v>
      </c>
      <c r="C1241" s="941"/>
      <c r="D1241" s="942"/>
      <c r="E1241" s="330">
        <f>+E1240</f>
        <v>2215664</v>
      </c>
      <c r="F1241" s="331">
        <f t="shared" ref="F1241:I1241" si="1571">+F1240</f>
        <v>400000</v>
      </c>
      <c r="G1241" s="330">
        <f t="shared" si="1571"/>
        <v>156175</v>
      </c>
      <c r="H1241" s="328">
        <f t="shared" si="1571"/>
        <v>153972</v>
      </c>
      <c r="I1241" s="328">
        <f t="shared" si="1571"/>
        <v>2203</v>
      </c>
      <c r="J1241" s="872">
        <f>+G1241/F1241</f>
        <v>0.39043749999999999</v>
      </c>
      <c r="K1241" s="330">
        <f>+K1240</f>
        <v>1445089</v>
      </c>
      <c r="L1241" s="328">
        <f t="shared" ref="L1241" si="1572">+L1240</f>
        <v>1422486</v>
      </c>
      <c r="M1241" s="329">
        <f>+M1240</f>
        <v>22603</v>
      </c>
      <c r="N1241" s="342">
        <f t="shared" ref="N1241:O1241" si="1573">+N1240</f>
        <v>0.65221486651405625</v>
      </c>
      <c r="O1241" s="350">
        <f t="shared" si="1573"/>
        <v>1.5641251161693154E-2</v>
      </c>
    </row>
    <row r="1242" spans="1:15" ht="24" x14ac:dyDescent="0.25">
      <c r="A1242" s="268" t="s">
        <v>102</v>
      </c>
      <c r="B1242" s="949" t="s">
        <v>401</v>
      </c>
      <c r="C1242" s="311" t="s">
        <v>113</v>
      </c>
      <c r="D1242" s="311"/>
      <c r="E1242" s="270"/>
      <c r="F1242" s="271"/>
      <c r="G1242" s="332">
        <f t="shared" ref="G1242:G1244" si="1574">+H1242+I1242</f>
        <v>0</v>
      </c>
      <c r="H1242" s="272"/>
      <c r="I1242" s="272"/>
      <c r="J1242" s="351" t="str">
        <f>IFERROR(G1242/F1242,"-")</f>
        <v>-</v>
      </c>
      <c r="K1242" s="332">
        <f t="shared" ref="K1242:K1244" si="1575">+L1242+M1242</f>
        <v>0</v>
      </c>
      <c r="L1242" s="272">
        <f t="shared" ref="L1242:M1242" si="1576">+H1242+L1125</f>
        <v>0</v>
      </c>
      <c r="M1242" s="273">
        <f t="shared" si="1576"/>
        <v>0</v>
      </c>
      <c r="N1242" s="336" t="str">
        <f t="shared" ref="N1242:N1249" si="1577">IFERROR(K1242/E1242,"-")</f>
        <v>-</v>
      </c>
      <c r="O1242" s="346" t="str">
        <f t="shared" ref="O1242:O1267" si="1578">IFERROR(M1242/K1242,"-")</f>
        <v>-</v>
      </c>
    </row>
    <row r="1243" spans="1:15" ht="24" x14ac:dyDescent="0.25">
      <c r="A1243" s="274" t="s">
        <v>102</v>
      </c>
      <c r="B1243" s="951"/>
      <c r="C1243" s="312" t="s">
        <v>247</v>
      </c>
      <c r="D1243" s="312"/>
      <c r="E1243" s="276">
        <v>2000</v>
      </c>
      <c r="F1243" s="277"/>
      <c r="G1243" s="333">
        <f t="shared" si="1574"/>
        <v>0</v>
      </c>
      <c r="H1243" s="278"/>
      <c r="I1243" s="278"/>
      <c r="J1243" s="351" t="str">
        <f t="shared" ref="J1243:J1244" si="1579">IFERROR(G1243/F1243,"-")</f>
        <v>-</v>
      </c>
      <c r="K1243" s="333">
        <f t="shared" si="1575"/>
        <v>9638</v>
      </c>
      <c r="L1243" s="272">
        <f t="shared" ref="L1243:M1243" si="1580">+H1243+L1126</f>
        <v>9149</v>
      </c>
      <c r="M1243" s="273">
        <f t="shared" si="1580"/>
        <v>489</v>
      </c>
      <c r="N1243" s="337">
        <f t="shared" si="1577"/>
        <v>4.819</v>
      </c>
      <c r="O1243" s="263">
        <f t="shared" si="1578"/>
        <v>5.0736667358373108E-2</v>
      </c>
    </row>
    <row r="1244" spans="1:15" ht="24.75" thickBot="1" x14ac:dyDescent="0.3">
      <c r="A1244" s="274" t="s">
        <v>102</v>
      </c>
      <c r="B1244" s="950"/>
      <c r="C1244" s="313" t="s">
        <v>33</v>
      </c>
      <c r="D1244" s="313"/>
      <c r="E1244" s="280"/>
      <c r="F1244" s="281"/>
      <c r="G1244" s="334">
        <f t="shared" si="1574"/>
        <v>0</v>
      </c>
      <c r="H1244" s="282"/>
      <c r="I1244" s="282"/>
      <c r="J1244" s="351" t="str">
        <f t="shared" si="1579"/>
        <v>-</v>
      </c>
      <c r="K1244" s="334">
        <f t="shared" si="1575"/>
        <v>0</v>
      </c>
      <c r="L1244" s="272">
        <f t="shared" ref="L1244:M1244" si="1581">+H1244+L1127</f>
        <v>0</v>
      </c>
      <c r="M1244" s="273">
        <f t="shared" si="1581"/>
        <v>0</v>
      </c>
      <c r="N1244" s="338" t="str">
        <f t="shared" si="1577"/>
        <v>-</v>
      </c>
      <c r="O1244" s="347" t="str">
        <f t="shared" si="1578"/>
        <v>-</v>
      </c>
    </row>
    <row r="1245" spans="1:15" ht="23.25" thickBot="1" x14ac:dyDescent="0.3">
      <c r="A1245" s="274" t="s">
        <v>102</v>
      </c>
      <c r="B1245" s="946" t="s">
        <v>34</v>
      </c>
      <c r="C1245" s="947"/>
      <c r="D1245" s="948"/>
      <c r="E1245" s="284">
        <f>SUM(E1242:E1244)</f>
        <v>2000</v>
      </c>
      <c r="F1245" s="285">
        <v>6500</v>
      </c>
      <c r="G1245" s="320">
        <f>SUM(G1242:G1244)</f>
        <v>0</v>
      </c>
      <c r="H1245" s="321">
        <f t="shared" ref="H1245:I1245" si="1582">SUM(H1242:H1244)</f>
        <v>0</v>
      </c>
      <c r="I1245" s="321">
        <f t="shared" si="1582"/>
        <v>0</v>
      </c>
      <c r="J1245" s="345">
        <f>IFERROR(G1245/F1245,"-")</f>
        <v>0</v>
      </c>
      <c r="K1245" s="320">
        <f t="shared" ref="K1245:M1245" si="1583">SUM(K1242:K1244)</f>
        <v>9638</v>
      </c>
      <c r="L1245" s="321">
        <f t="shared" si="1583"/>
        <v>9149</v>
      </c>
      <c r="M1245" s="322">
        <f t="shared" si="1583"/>
        <v>489</v>
      </c>
      <c r="N1245" s="339">
        <f t="shared" si="1577"/>
        <v>4.819</v>
      </c>
      <c r="O1245" s="345">
        <f t="shared" si="1578"/>
        <v>5.0736667358373108E-2</v>
      </c>
    </row>
    <row r="1246" spans="1:15" ht="24" x14ac:dyDescent="0.25">
      <c r="A1246" s="274" t="s">
        <v>102</v>
      </c>
      <c r="B1246" s="949" t="s">
        <v>35</v>
      </c>
      <c r="C1246" s="311" t="s">
        <v>113</v>
      </c>
      <c r="D1246" s="311"/>
      <c r="E1246" s="270">
        <v>116160</v>
      </c>
      <c r="F1246" s="271"/>
      <c r="G1246" s="332">
        <f t="shared" ref="G1246:G1249" si="1584">+H1246+I1246</f>
        <v>0</v>
      </c>
      <c r="H1246" s="272"/>
      <c r="I1246" s="272"/>
      <c r="J1246" s="351" t="str">
        <f>IFERROR(G1246/F1246,"-")</f>
        <v>-</v>
      </c>
      <c r="K1246" s="332">
        <f t="shared" ref="K1246:K1249" si="1585">+L1246+M1246</f>
        <v>0</v>
      </c>
      <c r="L1246" s="272">
        <f t="shared" ref="L1246:M1246" si="1586">+H1246+L1129</f>
        <v>0</v>
      </c>
      <c r="M1246" s="273">
        <f t="shared" si="1586"/>
        <v>0</v>
      </c>
      <c r="N1246" s="336">
        <f t="shared" si="1577"/>
        <v>0</v>
      </c>
      <c r="O1246" s="346" t="str">
        <f t="shared" si="1578"/>
        <v>-</v>
      </c>
    </row>
    <row r="1247" spans="1:15" ht="24" x14ac:dyDescent="0.25">
      <c r="A1247" s="274" t="s">
        <v>102</v>
      </c>
      <c r="B1247" s="951"/>
      <c r="C1247" s="312" t="s">
        <v>247</v>
      </c>
      <c r="D1247" s="312"/>
      <c r="E1247" s="276"/>
      <c r="F1247" s="277"/>
      <c r="G1247" s="333">
        <f t="shared" si="1584"/>
        <v>0</v>
      </c>
      <c r="H1247" s="278"/>
      <c r="I1247" s="278"/>
      <c r="J1247" s="351" t="str">
        <f t="shared" ref="J1247:J1249" si="1587">IFERROR(G1247/F1247,"-")</f>
        <v>-</v>
      </c>
      <c r="K1247" s="333">
        <f t="shared" si="1585"/>
        <v>0</v>
      </c>
      <c r="L1247" s="272">
        <f t="shared" ref="L1247:M1247" si="1588">+H1247+L1130</f>
        <v>0</v>
      </c>
      <c r="M1247" s="273">
        <f t="shared" si="1588"/>
        <v>0</v>
      </c>
      <c r="N1247" s="337" t="str">
        <f t="shared" si="1577"/>
        <v>-</v>
      </c>
      <c r="O1247" s="263" t="str">
        <f t="shared" si="1578"/>
        <v>-</v>
      </c>
    </row>
    <row r="1248" spans="1:15" ht="24" x14ac:dyDescent="0.25">
      <c r="A1248" s="274" t="s">
        <v>102</v>
      </c>
      <c r="B1248" s="951"/>
      <c r="C1248" s="312" t="s">
        <v>496</v>
      </c>
      <c r="D1248" s="312"/>
      <c r="E1248" s="276">
        <v>20000</v>
      </c>
      <c r="F1248" s="277"/>
      <c r="G1248" s="333">
        <f t="shared" si="1584"/>
        <v>0</v>
      </c>
      <c r="H1248" s="278"/>
      <c r="I1248" s="278"/>
      <c r="J1248" s="351" t="str">
        <f t="shared" si="1587"/>
        <v>-</v>
      </c>
      <c r="K1248" s="333">
        <f t="shared" si="1585"/>
        <v>0</v>
      </c>
      <c r="L1248" s="272">
        <f t="shared" ref="L1248:M1248" si="1589">+H1248+L1131</f>
        <v>0</v>
      </c>
      <c r="M1248" s="273">
        <f t="shared" si="1589"/>
        <v>0</v>
      </c>
      <c r="N1248" s="337">
        <f t="shared" si="1577"/>
        <v>0</v>
      </c>
      <c r="O1248" s="263" t="str">
        <f t="shared" si="1578"/>
        <v>-</v>
      </c>
    </row>
    <row r="1249" spans="1:15" ht="24.75" thickBot="1" x14ac:dyDescent="0.3">
      <c r="A1249" s="274" t="s">
        <v>102</v>
      </c>
      <c r="B1249" s="950"/>
      <c r="C1249" s="313" t="s">
        <v>36</v>
      </c>
      <c r="D1249" s="313"/>
      <c r="E1249" s="280"/>
      <c r="F1249" s="281"/>
      <c r="G1249" s="334">
        <f t="shared" si="1584"/>
        <v>0</v>
      </c>
      <c r="H1249" s="282"/>
      <c r="I1249" s="282"/>
      <c r="J1249" s="351" t="str">
        <f t="shared" si="1587"/>
        <v>-</v>
      </c>
      <c r="K1249" s="334">
        <f t="shared" si="1585"/>
        <v>0</v>
      </c>
      <c r="L1249" s="272">
        <f t="shared" ref="L1249:M1249" si="1590">+H1249+L1132</f>
        <v>0</v>
      </c>
      <c r="M1249" s="273">
        <f t="shared" si="1590"/>
        <v>0</v>
      </c>
      <c r="N1249" s="338" t="str">
        <f t="shared" si="1577"/>
        <v>-</v>
      </c>
      <c r="O1249" s="347" t="str">
        <f t="shared" si="1578"/>
        <v>-</v>
      </c>
    </row>
    <row r="1250" spans="1:15" ht="23.25" thickBot="1" x14ac:dyDescent="0.3">
      <c r="A1250" s="274" t="s">
        <v>102</v>
      </c>
      <c r="B1250" s="946" t="s">
        <v>37</v>
      </c>
      <c r="C1250" s="947"/>
      <c r="D1250" s="948"/>
      <c r="E1250" s="284">
        <f>SUM(E1246:E1249)</f>
        <v>136160</v>
      </c>
      <c r="F1250" s="285">
        <v>6500</v>
      </c>
      <c r="G1250" s="320">
        <f>SUM(G1246:G1249)</f>
        <v>0</v>
      </c>
      <c r="H1250" s="321">
        <f t="shared" ref="H1250:I1250" si="1591">SUM(H1246:H1249)</f>
        <v>0</v>
      </c>
      <c r="I1250" s="321">
        <f t="shared" si="1591"/>
        <v>0</v>
      </c>
      <c r="J1250" s="345">
        <f>IFERROR(G1250/F1250,"-")</f>
        <v>0</v>
      </c>
      <c r="K1250" s="320">
        <f t="shared" ref="K1250:M1250" si="1592">SUM(K1246:K1249)</f>
        <v>0</v>
      </c>
      <c r="L1250" s="321">
        <f t="shared" si="1592"/>
        <v>0</v>
      </c>
      <c r="M1250" s="322">
        <f t="shared" si="1592"/>
        <v>0</v>
      </c>
      <c r="N1250" s="339">
        <f>IFERROR(K1250/E1250,"-")</f>
        <v>0</v>
      </c>
      <c r="O1250" s="345" t="str">
        <f t="shared" si="1578"/>
        <v>-</v>
      </c>
    </row>
    <row r="1251" spans="1:15" ht="24" x14ac:dyDescent="0.25">
      <c r="A1251" s="274" t="s">
        <v>102</v>
      </c>
      <c r="B1251" s="949" t="s">
        <v>402</v>
      </c>
      <c r="C1251" s="314" t="s">
        <v>116</v>
      </c>
      <c r="D1251" s="314"/>
      <c r="E1251" s="270">
        <v>31000</v>
      </c>
      <c r="F1251" s="271"/>
      <c r="G1251" s="332">
        <f t="shared" ref="G1251:G1252" si="1593">+H1251+I1251</f>
        <v>0</v>
      </c>
      <c r="H1251" s="272"/>
      <c r="I1251" s="272"/>
      <c r="J1251" s="351" t="str">
        <f>IFERROR(G1251/F1251,"-")</f>
        <v>-</v>
      </c>
      <c r="K1251" s="332">
        <f t="shared" ref="K1251:K1252" si="1594">+L1251+M1251</f>
        <v>0</v>
      </c>
      <c r="L1251" s="272">
        <f t="shared" ref="L1251:M1251" si="1595">+H1251+L1134</f>
        <v>0</v>
      </c>
      <c r="M1251" s="273">
        <f t="shared" si="1595"/>
        <v>0</v>
      </c>
      <c r="N1251" s="336">
        <f t="shared" ref="N1251:N1267" si="1596">IFERROR(K1251/E1251,"-")</f>
        <v>0</v>
      </c>
      <c r="O1251" s="346" t="str">
        <f t="shared" si="1578"/>
        <v>-</v>
      </c>
    </row>
    <row r="1252" spans="1:15" ht="24.75" thickBot="1" x14ac:dyDescent="0.3">
      <c r="A1252" s="274" t="s">
        <v>102</v>
      </c>
      <c r="B1252" s="950"/>
      <c r="C1252" s="286" t="s">
        <v>132</v>
      </c>
      <c r="D1252" s="286"/>
      <c r="E1252" s="280"/>
      <c r="F1252" s="281"/>
      <c r="G1252" s="334">
        <f t="shared" si="1593"/>
        <v>0</v>
      </c>
      <c r="H1252" s="282"/>
      <c r="I1252" s="282"/>
      <c r="J1252" s="351" t="str">
        <f>IFERROR(G1252/F1252,"-")</f>
        <v>-</v>
      </c>
      <c r="K1252" s="334">
        <f t="shared" si="1594"/>
        <v>22797</v>
      </c>
      <c r="L1252" s="272">
        <f t="shared" ref="L1252:M1252" si="1597">+H1252+L1135</f>
        <v>21790</v>
      </c>
      <c r="M1252" s="273">
        <f t="shared" si="1597"/>
        <v>1007</v>
      </c>
      <c r="N1252" s="338" t="str">
        <f t="shared" si="1596"/>
        <v>-</v>
      </c>
      <c r="O1252" s="347">
        <f t="shared" si="1578"/>
        <v>4.4172478834934421E-2</v>
      </c>
    </row>
    <row r="1253" spans="1:15" ht="23.25" thickBot="1" x14ac:dyDescent="0.3">
      <c r="A1253" s="909" t="s">
        <v>102</v>
      </c>
      <c r="B1253" s="946" t="s">
        <v>38</v>
      </c>
      <c r="C1253" s="947"/>
      <c r="D1253" s="948"/>
      <c r="E1253" s="284">
        <f>SUM(E1251:E1252)</f>
        <v>31000</v>
      </c>
      <c r="F1253" s="285">
        <v>2800</v>
      </c>
      <c r="G1253" s="320">
        <f>SUM(G1251:G1252)</f>
        <v>0</v>
      </c>
      <c r="H1253" s="321">
        <f t="shared" ref="H1253:I1253" si="1598">SUM(H1251:H1252)</f>
        <v>0</v>
      </c>
      <c r="I1253" s="321">
        <f t="shared" si="1598"/>
        <v>0</v>
      </c>
      <c r="J1253" s="345" t="str">
        <f>IFERROR(G1253/F1243,"-")</f>
        <v>-</v>
      </c>
      <c r="K1253" s="320">
        <f t="shared" ref="K1253:M1253" si="1599">SUM(K1251:K1252)</f>
        <v>22797</v>
      </c>
      <c r="L1253" s="321">
        <f t="shared" si="1599"/>
        <v>21790</v>
      </c>
      <c r="M1253" s="322">
        <f t="shared" si="1599"/>
        <v>1007</v>
      </c>
      <c r="N1253" s="339">
        <f t="shared" si="1596"/>
        <v>0.73538709677419356</v>
      </c>
      <c r="O1253" s="345">
        <f t="shared" si="1578"/>
        <v>4.4172478834934421E-2</v>
      </c>
    </row>
    <row r="1254" spans="1:15" ht="24" x14ac:dyDescent="0.25">
      <c r="A1254" s="274" t="s">
        <v>102</v>
      </c>
      <c r="B1254" s="949" t="s">
        <v>403</v>
      </c>
      <c r="C1254" s="269" t="s">
        <v>306</v>
      </c>
      <c r="D1254" s="269"/>
      <c r="E1254" s="270">
        <v>978200</v>
      </c>
      <c r="F1254" s="315"/>
      <c r="G1254" s="332">
        <f t="shared" ref="G1254:G1258" si="1600">+H1254+I1254</f>
        <v>48159</v>
      </c>
      <c r="H1254" s="272">
        <v>47856</v>
      </c>
      <c r="I1254" s="272">
        <v>303</v>
      </c>
      <c r="J1254" s="371" t="str">
        <f>IFERROR(G1254/F1254,"-")</f>
        <v>-</v>
      </c>
      <c r="K1254" s="332">
        <f t="shared" ref="K1254:K1258" si="1601">+L1254+M1254</f>
        <v>302617</v>
      </c>
      <c r="L1254" s="272">
        <f t="shared" ref="L1254:M1254" si="1602">+H1254+L1137</f>
        <v>300684</v>
      </c>
      <c r="M1254" s="272">
        <f t="shared" si="1602"/>
        <v>1933</v>
      </c>
      <c r="N1254" s="359">
        <f t="shared" si="1596"/>
        <v>0.30936107135555102</v>
      </c>
      <c r="O1254" s="360">
        <f t="shared" si="1578"/>
        <v>6.3876120640942178E-3</v>
      </c>
    </row>
    <row r="1255" spans="1:15" ht="24" x14ac:dyDescent="0.25">
      <c r="A1255" s="274" t="s">
        <v>102</v>
      </c>
      <c r="B1255" s="951"/>
      <c r="C1255" s="269" t="s">
        <v>307</v>
      </c>
      <c r="D1255" s="275"/>
      <c r="E1255" s="276"/>
      <c r="F1255" s="316"/>
      <c r="G1255" s="333">
        <f t="shared" si="1600"/>
        <v>0</v>
      </c>
      <c r="H1255" s="278"/>
      <c r="I1255" s="278"/>
      <c r="J1255" s="371" t="str">
        <f t="shared" ref="J1255:J1258" si="1603">IFERROR(G1255/F1255,"-")</f>
        <v>-</v>
      </c>
      <c r="K1255" s="333">
        <f t="shared" si="1601"/>
        <v>0</v>
      </c>
      <c r="L1255" s="272">
        <f t="shared" ref="L1255:M1255" si="1604">+H1255+L1138</f>
        <v>0</v>
      </c>
      <c r="M1255" s="273">
        <f t="shared" si="1604"/>
        <v>0</v>
      </c>
      <c r="N1255" s="361" t="str">
        <f t="shared" si="1596"/>
        <v>-</v>
      </c>
      <c r="O1255" s="362" t="str">
        <f t="shared" si="1578"/>
        <v>-</v>
      </c>
    </row>
    <row r="1256" spans="1:15" ht="24" x14ac:dyDescent="0.25">
      <c r="A1256" s="274" t="s">
        <v>102</v>
      </c>
      <c r="B1256" s="951"/>
      <c r="C1256" s="275" t="s">
        <v>499</v>
      </c>
      <c r="D1256" s="275"/>
      <c r="E1256" s="276">
        <f>70000+15000</f>
        <v>85000</v>
      </c>
      <c r="F1256" s="316"/>
      <c r="G1256" s="333">
        <f t="shared" si="1600"/>
        <v>0</v>
      </c>
      <c r="H1256" s="278"/>
      <c r="I1256" s="278"/>
      <c r="J1256" s="371" t="str">
        <f t="shared" si="1603"/>
        <v>-</v>
      </c>
      <c r="K1256" s="333">
        <f t="shared" si="1601"/>
        <v>49665</v>
      </c>
      <c r="L1256" s="272">
        <f t="shared" ref="L1256:M1256" si="1605">+H1256+L1139</f>
        <v>49032</v>
      </c>
      <c r="M1256" s="273">
        <f t="shared" si="1605"/>
        <v>633</v>
      </c>
      <c r="N1256" s="361">
        <f t="shared" si="1596"/>
        <v>0.58429411764705885</v>
      </c>
      <c r="O1256" s="362">
        <f t="shared" si="1578"/>
        <v>1.2745394140742978E-2</v>
      </c>
    </row>
    <row r="1257" spans="1:15" ht="24" x14ac:dyDescent="0.25">
      <c r="A1257" s="274" t="s">
        <v>102</v>
      </c>
      <c r="B1257" s="951"/>
      <c r="C1257" s="275" t="s">
        <v>157</v>
      </c>
      <c r="D1257" s="275"/>
      <c r="E1257" s="276">
        <v>60040</v>
      </c>
      <c r="F1257" s="316"/>
      <c r="G1257" s="333">
        <f t="shared" si="1600"/>
        <v>0</v>
      </c>
      <c r="H1257" s="278"/>
      <c r="I1257" s="278"/>
      <c r="J1257" s="371" t="str">
        <f t="shared" si="1603"/>
        <v>-</v>
      </c>
      <c r="K1257" s="333">
        <f t="shared" si="1601"/>
        <v>0</v>
      </c>
      <c r="L1257" s="272">
        <f t="shared" ref="L1257:M1257" si="1606">+H1257+L1140</f>
        <v>0</v>
      </c>
      <c r="M1257" s="273">
        <f t="shared" si="1606"/>
        <v>0</v>
      </c>
      <c r="N1257" s="361">
        <f t="shared" si="1596"/>
        <v>0</v>
      </c>
      <c r="O1257" s="362" t="str">
        <f t="shared" si="1578"/>
        <v>-</v>
      </c>
    </row>
    <row r="1258" spans="1:15" ht="24.75" thickBot="1" x14ac:dyDescent="0.3">
      <c r="A1258" s="274" t="s">
        <v>102</v>
      </c>
      <c r="B1258" s="950"/>
      <c r="C1258" s="279" t="s">
        <v>158</v>
      </c>
      <c r="D1258" s="279"/>
      <c r="E1258" s="280"/>
      <c r="F1258" s="317"/>
      <c r="G1258" s="334">
        <f t="shared" si="1600"/>
        <v>0</v>
      </c>
      <c r="H1258" s="282"/>
      <c r="I1258" s="282"/>
      <c r="J1258" s="371" t="str">
        <f t="shared" si="1603"/>
        <v>-</v>
      </c>
      <c r="K1258" s="334">
        <f t="shared" si="1601"/>
        <v>0</v>
      </c>
      <c r="L1258" s="272">
        <f t="shared" ref="L1258:M1258" si="1607">+H1258+L1141</f>
        <v>0</v>
      </c>
      <c r="M1258" s="273">
        <f t="shared" si="1607"/>
        <v>0</v>
      </c>
      <c r="N1258" s="363" t="str">
        <f t="shared" si="1596"/>
        <v>-</v>
      </c>
      <c r="O1258" s="364" t="str">
        <f t="shared" si="1578"/>
        <v>-</v>
      </c>
    </row>
    <row r="1259" spans="1:15" ht="23.25" thickBot="1" x14ac:dyDescent="0.3">
      <c r="A1259" s="274" t="s">
        <v>102</v>
      </c>
      <c r="B1259" s="946" t="s">
        <v>39</v>
      </c>
      <c r="C1259" s="947"/>
      <c r="D1259" s="948"/>
      <c r="E1259" s="320">
        <f>SUM(E1254:E1258)</f>
        <v>1123240</v>
      </c>
      <c r="F1259" s="285">
        <v>25000</v>
      </c>
      <c r="G1259" s="320">
        <f>SUM(G1254:G1258)</f>
        <v>48159</v>
      </c>
      <c r="H1259" s="321">
        <f>SUM(H1254:H1258)</f>
        <v>47856</v>
      </c>
      <c r="I1259" s="321">
        <f>SUM(I1254:I1258)</f>
        <v>303</v>
      </c>
      <c r="J1259" s="345">
        <f>IFERROR(G1259/F1259,"-")</f>
        <v>1.9263600000000001</v>
      </c>
      <c r="K1259" s="320">
        <f>SUM(K1254:K1258)</f>
        <v>352282</v>
      </c>
      <c r="L1259" s="321">
        <f>SUM(L1254:L1258)</f>
        <v>349716</v>
      </c>
      <c r="M1259" s="322">
        <f>SUM(M1254:M1258)</f>
        <v>2566</v>
      </c>
      <c r="N1259" s="339">
        <f t="shared" si="1596"/>
        <v>0.31363021259926643</v>
      </c>
      <c r="O1259" s="345">
        <f t="shared" si="1578"/>
        <v>7.2839373002310647E-3</v>
      </c>
    </row>
    <row r="1260" spans="1:15" ht="24" x14ac:dyDescent="0.25">
      <c r="A1260" s="274" t="s">
        <v>102</v>
      </c>
      <c r="B1260" s="949" t="s">
        <v>404</v>
      </c>
      <c r="C1260" s="269" t="s">
        <v>186</v>
      </c>
      <c r="D1260" s="269"/>
      <c r="E1260" s="270"/>
      <c r="F1260" s="271"/>
      <c r="G1260" s="332">
        <f t="shared" ref="G1260:G1262" si="1608">+H1260+I1260</f>
        <v>0</v>
      </c>
      <c r="H1260" s="272"/>
      <c r="I1260" s="272"/>
      <c r="J1260" s="351" t="str">
        <f>IFERROR(G1260/F1260,"-")</f>
        <v>-</v>
      </c>
      <c r="K1260" s="332">
        <f t="shared" ref="K1260:K1262" si="1609">+L1260+M1260</f>
        <v>0</v>
      </c>
      <c r="L1260" s="272">
        <f t="shared" ref="L1260:M1260" si="1610">+H1260+L1143</f>
        <v>0</v>
      </c>
      <c r="M1260" s="273">
        <f t="shared" si="1610"/>
        <v>0</v>
      </c>
      <c r="N1260" s="336" t="str">
        <f t="shared" si="1596"/>
        <v>-</v>
      </c>
      <c r="O1260" s="346" t="str">
        <f t="shared" si="1578"/>
        <v>-</v>
      </c>
    </row>
    <row r="1261" spans="1:15" ht="24" x14ac:dyDescent="0.25">
      <c r="A1261" s="274" t="s">
        <v>102</v>
      </c>
      <c r="B1261" s="951"/>
      <c r="C1261" s="275" t="s">
        <v>497</v>
      </c>
      <c r="D1261" s="275"/>
      <c r="E1261" s="276"/>
      <c r="F1261" s="277"/>
      <c r="G1261" s="333">
        <f t="shared" si="1608"/>
        <v>0</v>
      </c>
      <c r="H1261" s="278"/>
      <c r="I1261" s="278"/>
      <c r="J1261" s="351" t="str">
        <f t="shared" ref="J1261:J1262" si="1611">IFERROR(G1261/F1261,"-")</f>
        <v>-</v>
      </c>
      <c r="K1261" s="333">
        <f t="shared" si="1609"/>
        <v>11826</v>
      </c>
      <c r="L1261" s="714">
        <f t="shared" ref="L1261:M1261" si="1612">+H1261+L1144</f>
        <v>11400</v>
      </c>
      <c r="M1261" s="273">
        <f t="shared" si="1612"/>
        <v>426</v>
      </c>
      <c r="N1261" s="361" t="str">
        <f t="shared" si="1596"/>
        <v>-</v>
      </c>
      <c r="O1261" s="362">
        <f t="shared" si="1578"/>
        <v>3.6022323693556568E-2</v>
      </c>
    </row>
    <row r="1262" spans="1:15" ht="24.75" thickBot="1" x14ac:dyDescent="0.3">
      <c r="A1262" s="274" t="s">
        <v>102</v>
      </c>
      <c r="B1262" s="950"/>
      <c r="C1262" s="279" t="s">
        <v>498</v>
      </c>
      <c r="D1262" s="279"/>
      <c r="E1262" s="280"/>
      <c r="F1262" s="281"/>
      <c r="G1262" s="334">
        <f t="shared" si="1608"/>
        <v>0</v>
      </c>
      <c r="H1262" s="282"/>
      <c r="I1262" s="282"/>
      <c r="J1262" s="351" t="str">
        <f t="shared" si="1611"/>
        <v>-</v>
      </c>
      <c r="K1262" s="334">
        <f t="shared" si="1609"/>
        <v>0</v>
      </c>
      <c r="L1262" s="272">
        <f t="shared" ref="L1262:M1262" si="1613">+H1262+L1145</f>
        <v>0</v>
      </c>
      <c r="M1262" s="273">
        <f t="shared" si="1613"/>
        <v>0</v>
      </c>
      <c r="N1262" s="363" t="str">
        <f t="shared" si="1596"/>
        <v>-</v>
      </c>
      <c r="O1262" s="364" t="str">
        <f t="shared" si="1578"/>
        <v>-</v>
      </c>
    </row>
    <row r="1263" spans="1:15" ht="23.25" thickBot="1" x14ac:dyDescent="0.3">
      <c r="A1263" s="274" t="s">
        <v>102</v>
      </c>
      <c r="B1263" s="952" t="s">
        <v>41</v>
      </c>
      <c r="C1263" s="953"/>
      <c r="D1263" s="954"/>
      <c r="E1263" s="320">
        <f>SUM(E1260:E1262)</f>
        <v>0</v>
      </c>
      <c r="F1263" s="285"/>
      <c r="G1263" s="320">
        <f>SUM(G1260:G1262)</f>
        <v>0</v>
      </c>
      <c r="H1263" s="321">
        <f t="shared" ref="H1263:I1263" si="1614">SUM(H1260:H1262)</f>
        <v>0</v>
      </c>
      <c r="I1263" s="321">
        <f t="shared" si="1614"/>
        <v>0</v>
      </c>
      <c r="J1263" s="345" t="str">
        <f>IFERROR(G1263/F1263,"-")</f>
        <v>-</v>
      </c>
      <c r="K1263" s="320">
        <f t="shared" ref="K1263:M1263" si="1615">SUM(K1260:K1262)</f>
        <v>11826</v>
      </c>
      <c r="L1263" s="365">
        <f t="shared" si="1615"/>
        <v>11400</v>
      </c>
      <c r="M1263" s="367">
        <f t="shared" si="1615"/>
        <v>426</v>
      </c>
      <c r="N1263" s="339" t="str">
        <f t="shared" si="1596"/>
        <v>-</v>
      </c>
      <c r="O1263" s="345">
        <f t="shared" si="1578"/>
        <v>3.6022323693556568E-2</v>
      </c>
    </row>
    <row r="1264" spans="1:15" ht="24.75" thickBot="1" x14ac:dyDescent="0.3">
      <c r="A1264" s="274" t="s">
        <v>102</v>
      </c>
      <c r="B1264" s="949" t="s">
        <v>42</v>
      </c>
      <c r="C1264" s="269" t="s">
        <v>160</v>
      </c>
      <c r="D1264" s="269"/>
      <c r="E1264" s="270"/>
      <c r="F1264" s="271"/>
      <c r="G1264" s="332">
        <f t="shared" ref="G1264:G1265" si="1616">+H1264+I1264</f>
        <v>0</v>
      </c>
      <c r="H1264" s="272"/>
      <c r="I1264" s="272"/>
      <c r="J1264" s="371" t="str">
        <f>IFERROR(G1264/F1264,"-")</f>
        <v>-</v>
      </c>
      <c r="K1264" s="695">
        <f t="shared" ref="K1264:K1265" si="1617">+L1264+M1264</f>
        <v>0</v>
      </c>
      <c r="L1264" s="688">
        <f t="shared" ref="L1264:M1264" si="1618">+H1264+L1147</f>
        <v>0</v>
      </c>
      <c r="M1264" s="688">
        <f t="shared" si="1618"/>
        <v>0</v>
      </c>
      <c r="N1264" s="359" t="str">
        <f t="shared" si="1596"/>
        <v>-</v>
      </c>
      <c r="O1264" s="360" t="str">
        <f t="shared" si="1578"/>
        <v>-</v>
      </c>
    </row>
    <row r="1265" spans="1:15" ht="24.75" thickBot="1" x14ac:dyDescent="0.3">
      <c r="A1265" s="274" t="s">
        <v>102</v>
      </c>
      <c r="B1265" s="950"/>
      <c r="C1265" s="279" t="s">
        <v>161</v>
      </c>
      <c r="D1265" s="279"/>
      <c r="E1265" s="280"/>
      <c r="F1265" s="281"/>
      <c r="G1265" s="334">
        <f t="shared" si="1616"/>
        <v>0</v>
      </c>
      <c r="H1265" s="282"/>
      <c r="I1265" s="282"/>
      <c r="J1265" s="373" t="str">
        <f>IFERROR(G1265/F1265,"-")</f>
        <v>-</v>
      </c>
      <c r="K1265" s="696">
        <f t="shared" si="1617"/>
        <v>0</v>
      </c>
      <c r="L1265" s="688">
        <f t="shared" ref="L1265:M1265" si="1619">+H1265+L1148</f>
        <v>0</v>
      </c>
      <c r="M1265" s="688">
        <f t="shared" si="1619"/>
        <v>0</v>
      </c>
      <c r="N1265" s="363" t="str">
        <f t="shared" si="1596"/>
        <v>-</v>
      </c>
      <c r="O1265" s="364" t="str">
        <f t="shared" si="1578"/>
        <v>-</v>
      </c>
    </row>
    <row r="1266" spans="1:15" ht="23.25" thickBot="1" x14ac:dyDescent="0.3">
      <c r="A1266" s="274" t="s">
        <v>102</v>
      </c>
      <c r="B1266" s="952" t="s">
        <v>43</v>
      </c>
      <c r="C1266" s="953"/>
      <c r="D1266" s="954"/>
      <c r="E1266" s="284">
        <f>SUM(E1264:E1265)</f>
        <v>0</v>
      </c>
      <c r="F1266" s="285">
        <v>25000</v>
      </c>
      <c r="G1266" s="320">
        <f>SUM(G1264:G1265)</f>
        <v>0</v>
      </c>
      <c r="H1266" s="321">
        <f t="shared" ref="H1266:I1266" si="1620">SUM(H1264:H1265)</f>
        <v>0</v>
      </c>
      <c r="I1266" s="321">
        <f t="shared" si="1620"/>
        <v>0</v>
      </c>
      <c r="J1266" s="345">
        <f>IFERROR(G1266/F1266,"-")</f>
        <v>0</v>
      </c>
      <c r="K1266" s="760">
        <f t="shared" ref="K1266:M1266" si="1621">SUM(K1264:K1265)</f>
        <v>0</v>
      </c>
      <c r="L1266" s="761">
        <f t="shared" si="1621"/>
        <v>0</v>
      </c>
      <c r="M1266" s="761">
        <f t="shared" si="1621"/>
        <v>0</v>
      </c>
      <c r="N1266" s="339" t="str">
        <f t="shared" si="1596"/>
        <v>-</v>
      </c>
      <c r="O1266" s="345" t="str">
        <f t="shared" si="1578"/>
        <v>-</v>
      </c>
    </row>
    <row r="1267" spans="1:15" ht="23.25" thickBot="1" x14ac:dyDescent="0.3">
      <c r="A1267" s="274" t="s">
        <v>102</v>
      </c>
      <c r="B1267" s="938" t="s">
        <v>25</v>
      </c>
      <c r="C1267" s="939"/>
      <c r="D1267" s="940"/>
      <c r="E1267" s="326">
        <f t="shared" ref="E1267:F1267" si="1622">+E1245+E1250+E1253+E1259+E1263+E1266</f>
        <v>1292400</v>
      </c>
      <c r="F1267" s="327">
        <f t="shared" si="1622"/>
        <v>65800</v>
      </c>
      <c r="G1267" s="326">
        <f>+G1245+G1250+G1253+G1259+G1263+G1266</f>
        <v>48159</v>
      </c>
      <c r="H1267" s="324">
        <f>+H1245+H1250+H1253+H1259+H1263+H1266</f>
        <v>47856</v>
      </c>
      <c r="I1267" s="324">
        <f t="shared" ref="I1267" si="1623">+I1245+I1250+I1253+I1259+I1263+I1266</f>
        <v>303</v>
      </c>
      <c r="J1267" s="349">
        <f>IFERROR(G1267/F1267,"-")</f>
        <v>0.73189969604863225</v>
      </c>
      <c r="K1267" s="326">
        <f>+K1245+K1250+K1253+K1259+K1263+K1266</f>
        <v>396543</v>
      </c>
      <c r="L1267" s="759">
        <f t="shared" ref="L1267:M1267" si="1624">+L1245+L1250+L1253+L1259+L1263+L1266</f>
        <v>392055</v>
      </c>
      <c r="M1267" s="325">
        <f t="shared" si="1624"/>
        <v>4488</v>
      </c>
      <c r="N1267" s="341">
        <f t="shared" si="1596"/>
        <v>0.30682683379758591</v>
      </c>
      <c r="O1267" s="349">
        <f t="shared" si="1578"/>
        <v>1.1317814209303908E-2</v>
      </c>
    </row>
    <row r="1268" spans="1:15" ht="23.25" thickBot="1" x14ac:dyDescent="0.3">
      <c r="A1268" s="318" t="s">
        <v>102</v>
      </c>
      <c r="B1268" s="941" t="s">
        <v>173</v>
      </c>
      <c r="C1268" s="941"/>
      <c r="D1268" s="942"/>
      <c r="E1268" s="330">
        <f>+E1267</f>
        <v>1292400</v>
      </c>
      <c r="F1268" s="331">
        <f t="shared" ref="F1268:I1268" si="1625">+F1267</f>
        <v>65800</v>
      </c>
      <c r="G1268" s="330">
        <f t="shared" si="1625"/>
        <v>48159</v>
      </c>
      <c r="H1268" s="328">
        <f t="shared" si="1625"/>
        <v>47856</v>
      </c>
      <c r="I1268" s="328">
        <f t="shared" si="1625"/>
        <v>303</v>
      </c>
      <c r="J1268" s="350">
        <f>+G1268/F1268</f>
        <v>0.73189969604863225</v>
      </c>
      <c r="K1268" s="330">
        <f t="shared" ref="K1268:O1268" si="1626">+K1267</f>
        <v>396543</v>
      </c>
      <c r="L1268" s="328">
        <f t="shared" si="1626"/>
        <v>392055</v>
      </c>
      <c r="M1268" s="329">
        <f t="shared" si="1626"/>
        <v>4488</v>
      </c>
      <c r="N1268" s="342">
        <f t="shared" si="1626"/>
        <v>0.30682683379758591</v>
      </c>
      <c r="O1268" s="350">
        <f t="shared" si="1626"/>
        <v>1.1317814209303908E-2</v>
      </c>
    </row>
    <row r="1269" spans="1:15" ht="26.25" thickBot="1" x14ac:dyDescent="0.3">
      <c r="A1269" s="319"/>
      <c r="B1269" s="943" t="s">
        <v>174</v>
      </c>
      <c r="C1269" s="944"/>
      <c r="D1269" s="945"/>
      <c r="E1269" s="374">
        <f>+E1206+E1241+E1268</f>
        <v>7473564</v>
      </c>
      <c r="F1269" s="374">
        <f>+F1206+F1241+F1268</f>
        <v>1024800</v>
      </c>
      <c r="G1269" s="374">
        <f>+G1206+G1241+G1268</f>
        <v>477645</v>
      </c>
      <c r="H1269" s="374">
        <f>+H1206+H1241+H1268</f>
        <v>471824</v>
      </c>
      <c r="I1269" s="374">
        <f>+I1206+I1241+I1268</f>
        <v>5821</v>
      </c>
      <c r="J1269" s="375">
        <f>IFERROR(G1269/F1269,"-")</f>
        <v>0.46608606557377047</v>
      </c>
      <c r="K1269" s="374">
        <f>+K1206+K1241+K1268</f>
        <v>4110524</v>
      </c>
      <c r="L1269" s="374">
        <f>+L1206+L1241+L1268</f>
        <v>4072275</v>
      </c>
      <c r="M1269" s="374">
        <f>+M1206+M1241+M1268</f>
        <v>38249</v>
      </c>
      <c r="N1269" s="375">
        <f>IFERROR(K1269/E1269,"-")</f>
        <v>0.55000853675702788</v>
      </c>
      <c r="O1269" s="375">
        <f>IFERROR(M1269/K1269,"-")</f>
        <v>9.3051396853539841E-3</v>
      </c>
    </row>
    <row r="1270" spans="1:15" ht="22.5" x14ac:dyDescent="0.25">
      <c r="A1270" s="978" t="s">
        <v>1</v>
      </c>
      <c r="B1270" s="981" t="s">
        <v>2</v>
      </c>
      <c r="C1270" s="984" t="s">
        <v>396</v>
      </c>
      <c r="D1270" s="984" t="s">
        <v>397</v>
      </c>
      <c r="E1270" s="987" t="s">
        <v>4</v>
      </c>
      <c r="F1270" s="988"/>
      <c r="G1270" s="988"/>
      <c r="H1270" s="988"/>
      <c r="I1270" s="988"/>
      <c r="J1270" s="988"/>
      <c r="K1270" s="988"/>
      <c r="L1270" s="988"/>
      <c r="M1270" s="988"/>
      <c r="N1270" s="988"/>
      <c r="O1270" s="989"/>
    </row>
    <row r="1271" spans="1:15" ht="22.5" x14ac:dyDescent="0.25">
      <c r="A1271" s="979"/>
      <c r="B1271" s="982"/>
      <c r="C1271" s="985"/>
      <c r="D1271" s="985"/>
      <c r="E1271" s="990" t="s">
        <v>7</v>
      </c>
      <c r="F1271" s="992" t="s">
        <v>108</v>
      </c>
      <c r="G1271" s="994" t="s">
        <v>556</v>
      </c>
      <c r="H1271" s="995"/>
      <c r="I1271" s="995"/>
      <c r="J1271" s="996"/>
      <c r="K1271" s="997" t="s">
        <v>398</v>
      </c>
      <c r="L1271" s="998"/>
      <c r="M1271" s="999"/>
      <c r="N1271" s="1000" t="s">
        <v>399</v>
      </c>
      <c r="O1271" s="1002" t="s">
        <v>164</v>
      </c>
    </row>
    <row r="1272" spans="1:15" ht="41.25" thickBot="1" x14ac:dyDescent="0.3">
      <c r="A1272" s="980"/>
      <c r="B1272" s="983"/>
      <c r="C1272" s="986"/>
      <c r="D1272" s="986"/>
      <c r="E1272" s="991"/>
      <c r="F1272" s="993"/>
      <c r="G1272" s="452" t="s">
        <v>13</v>
      </c>
      <c r="H1272" s="453" t="s">
        <v>14</v>
      </c>
      <c r="I1272" s="453" t="s">
        <v>15</v>
      </c>
      <c r="J1272" s="454" t="s">
        <v>166</v>
      </c>
      <c r="K1272" s="680" t="s">
        <v>13</v>
      </c>
      <c r="L1272" s="678" t="s">
        <v>14</v>
      </c>
      <c r="M1272" s="679" t="s">
        <v>15</v>
      </c>
      <c r="N1272" s="1001"/>
      <c r="O1272" s="1003"/>
    </row>
    <row r="1273" spans="1:15" ht="24" x14ac:dyDescent="0.25">
      <c r="A1273" s="268" t="s">
        <v>103</v>
      </c>
      <c r="B1273" s="965" t="s">
        <v>16</v>
      </c>
      <c r="C1273" s="269" t="s">
        <v>549</v>
      </c>
      <c r="D1273" s="269" t="s">
        <v>369</v>
      </c>
      <c r="E1273" s="270">
        <v>20000</v>
      </c>
      <c r="F1273" s="271"/>
      <c r="G1273" s="332">
        <f>+H1273+I1273</f>
        <v>7539</v>
      </c>
      <c r="H1273" s="272">
        <v>7360</v>
      </c>
      <c r="I1273" s="272">
        <v>179</v>
      </c>
      <c r="J1273" s="352" t="str">
        <f>IFERROR(G1273/F1273,"-")</f>
        <v>-</v>
      </c>
      <c r="K1273" s="694">
        <f>+L1273+M1273</f>
        <v>15981</v>
      </c>
      <c r="L1273" s="527">
        <f>+H1273+L1156</f>
        <v>15040</v>
      </c>
      <c r="M1273" s="459">
        <f>+I1273+M1156</f>
        <v>941</v>
      </c>
      <c r="N1273" s="336">
        <f>IFERROR(K1273/E1273,"-")</f>
        <v>0.79905000000000004</v>
      </c>
      <c r="O1273" s="343">
        <f t="shared" ref="O1273:O1274" si="1627">IFERROR(M1273/K1273,"-")</f>
        <v>5.8882422877166635E-2</v>
      </c>
    </row>
    <row r="1274" spans="1:15" ht="24" x14ac:dyDescent="0.25">
      <c r="A1274" s="274" t="s">
        <v>103</v>
      </c>
      <c r="B1274" s="966"/>
      <c r="C1274" s="275" t="s">
        <v>376</v>
      </c>
      <c r="D1274" s="275" t="s">
        <v>375</v>
      </c>
      <c r="E1274" s="276"/>
      <c r="F1274" s="277"/>
      <c r="G1274" s="333">
        <f t="shared" ref="G1274:G1276" si="1628">+H1274+I1274</f>
        <v>0</v>
      </c>
      <c r="H1274" s="278"/>
      <c r="I1274" s="278"/>
      <c r="J1274" s="352" t="str">
        <f t="shared" ref="J1274:J1276" si="1629">IFERROR(G1274/F1274,"-")</f>
        <v>-</v>
      </c>
      <c r="K1274" s="690">
        <f t="shared" ref="K1274:K1276" si="1630">+L1274+M1274</f>
        <v>0</v>
      </c>
      <c r="L1274" s="276">
        <f t="shared" ref="L1274:L1276" si="1631">+H1274+L1157</f>
        <v>0</v>
      </c>
      <c r="M1274" s="436">
        <f t="shared" ref="M1274:M1276" si="1632">+I1274+M1157</f>
        <v>0</v>
      </c>
      <c r="N1274" s="337" t="str">
        <f t="shared" ref="N1274:N1276" si="1633">IFERROR(K1274/E1274,"-")</f>
        <v>-</v>
      </c>
      <c r="O1274" s="265" t="str">
        <f t="shared" si="1627"/>
        <v>-</v>
      </c>
    </row>
    <row r="1275" spans="1:15" ht="24" x14ac:dyDescent="0.25">
      <c r="A1275" s="274" t="s">
        <v>103</v>
      </c>
      <c r="B1275" s="966"/>
      <c r="C1275" s="573" t="s">
        <v>431</v>
      </c>
      <c r="D1275" s="573" t="s">
        <v>366</v>
      </c>
      <c r="E1275" s="720"/>
      <c r="F1275" s="721"/>
      <c r="G1275" s="333">
        <f t="shared" si="1628"/>
        <v>0</v>
      </c>
      <c r="H1275" s="722"/>
      <c r="I1275" s="722"/>
      <c r="J1275" s="352" t="str">
        <f t="shared" si="1629"/>
        <v>-</v>
      </c>
      <c r="K1275" s="690">
        <f t="shared" si="1630"/>
        <v>8000</v>
      </c>
      <c r="L1275" s="276">
        <f t="shared" si="1631"/>
        <v>8000</v>
      </c>
      <c r="M1275" s="436">
        <f t="shared" si="1632"/>
        <v>0</v>
      </c>
      <c r="N1275" s="337" t="str">
        <f t="shared" si="1633"/>
        <v>-</v>
      </c>
      <c r="O1275" s="265">
        <f>IFERROR(M1275/K1275,"-")</f>
        <v>0</v>
      </c>
    </row>
    <row r="1276" spans="1:15" ht="24.75" thickBot="1" x14ac:dyDescent="0.3">
      <c r="A1276" s="274" t="s">
        <v>103</v>
      </c>
      <c r="B1276" s="967"/>
      <c r="C1276" s="279" t="s">
        <v>428</v>
      </c>
      <c r="D1276" s="279" t="s">
        <v>374</v>
      </c>
      <c r="E1276" s="280"/>
      <c r="F1276" s="281"/>
      <c r="G1276" s="334">
        <f t="shared" si="1628"/>
        <v>0</v>
      </c>
      <c r="H1276" s="272"/>
      <c r="I1276" s="272"/>
      <c r="J1276" s="352" t="str">
        <f t="shared" si="1629"/>
        <v>-</v>
      </c>
      <c r="K1276" s="691">
        <f t="shared" si="1630"/>
        <v>0</v>
      </c>
      <c r="L1276" s="530">
        <f t="shared" si="1631"/>
        <v>0</v>
      </c>
      <c r="M1276" s="462">
        <f t="shared" si="1632"/>
        <v>0</v>
      </c>
      <c r="N1276" s="338" t="str">
        <f t="shared" si="1633"/>
        <v>-</v>
      </c>
      <c r="O1276" s="344" t="str">
        <f t="shared" ref="O1276:O1294" si="1634">IFERROR(M1276/K1276,"-")</f>
        <v>-</v>
      </c>
    </row>
    <row r="1277" spans="1:15" ht="23.25" thickBot="1" x14ac:dyDescent="0.3">
      <c r="A1277" s="274" t="s">
        <v>103</v>
      </c>
      <c r="B1277" s="946" t="s">
        <v>44</v>
      </c>
      <c r="C1277" s="947"/>
      <c r="D1277" s="948"/>
      <c r="E1277" s="320">
        <f>SUM(E1273:E1276)</f>
        <v>20000</v>
      </c>
      <c r="F1277" s="285">
        <v>15000</v>
      </c>
      <c r="G1277" s="320">
        <f>SUM(G1273:G1276)</f>
        <v>7539</v>
      </c>
      <c r="H1277" s="321">
        <f t="shared" ref="H1277:I1277" si="1635">SUM(H1273:H1276)</f>
        <v>7360</v>
      </c>
      <c r="I1277" s="321">
        <f t="shared" si="1635"/>
        <v>179</v>
      </c>
      <c r="J1277" s="345">
        <f>+G1277/F1277</f>
        <v>0.50260000000000005</v>
      </c>
      <c r="K1277" s="320">
        <f t="shared" ref="K1277" si="1636">SUM(K1273:K1276)</f>
        <v>23981</v>
      </c>
      <c r="L1277" s="692">
        <f>SUM(L1273:L1276)</f>
        <v>23040</v>
      </c>
      <c r="M1277" s="693">
        <f>SUM(M1273:M1276)</f>
        <v>941</v>
      </c>
      <c r="N1277" s="339">
        <f>IFERROR(K1277/E1277,"-")</f>
        <v>1.1990499999999999</v>
      </c>
      <c r="O1277" s="345">
        <f t="shared" si="1634"/>
        <v>3.9239397856636507E-2</v>
      </c>
    </row>
    <row r="1278" spans="1:15" ht="24" x14ac:dyDescent="0.25">
      <c r="A1278" s="274" t="s">
        <v>103</v>
      </c>
      <c r="B1278" s="965" t="s">
        <v>17</v>
      </c>
      <c r="C1278" s="269" t="s">
        <v>294</v>
      </c>
      <c r="D1278" s="269"/>
      <c r="E1278" s="270"/>
      <c r="F1278" s="271"/>
      <c r="G1278" s="332">
        <f t="shared" ref="G1278:G1284" si="1637">+H1278+I1278</f>
        <v>0</v>
      </c>
      <c r="H1278" s="272">
        <v>0</v>
      </c>
      <c r="I1278" s="272">
        <v>0</v>
      </c>
      <c r="J1278" s="351" t="str">
        <f>IFERROR(G1278/F1278,"-")</f>
        <v>-</v>
      </c>
      <c r="K1278" s="694">
        <f t="shared" ref="K1278:K1284" si="1638">+L1278+M1278</f>
        <v>0</v>
      </c>
      <c r="L1278" s="527">
        <f t="shared" ref="L1278:L1284" si="1639">+H1278+L1161</f>
        <v>0</v>
      </c>
      <c r="M1278" s="459">
        <f t="shared" ref="M1278:M1284" si="1640">+I1278+M1161</f>
        <v>0</v>
      </c>
      <c r="N1278" s="336" t="str">
        <f t="shared" ref="N1278:N1284" si="1641">IFERROR(K1278/E1278,"-")</f>
        <v>-</v>
      </c>
      <c r="O1278" s="346" t="str">
        <f t="shared" si="1634"/>
        <v>-</v>
      </c>
    </row>
    <row r="1279" spans="1:15" ht="24" x14ac:dyDescent="0.25">
      <c r="A1279" s="274" t="s">
        <v>103</v>
      </c>
      <c r="B1279" s="966"/>
      <c r="C1279" s="275" t="s">
        <v>344</v>
      </c>
      <c r="D1279" s="275" t="s">
        <v>232</v>
      </c>
      <c r="E1279" s="276">
        <v>1600000</v>
      </c>
      <c r="F1279" s="277"/>
      <c r="G1279" s="333">
        <f t="shared" si="1637"/>
        <v>0</v>
      </c>
      <c r="H1279" s="278">
        <v>0</v>
      </c>
      <c r="I1279" s="278">
        <v>0</v>
      </c>
      <c r="J1279" s="351" t="str">
        <f t="shared" ref="J1279:J1284" si="1642">IFERROR(G1279/F1279,"-")</f>
        <v>-</v>
      </c>
      <c r="K1279" s="690">
        <f t="shared" si="1638"/>
        <v>6120</v>
      </c>
      <c r="L1279" s="276">
        <f t="shared" si="1639"/>
        <v>5980</v>
      </c>
      <c r="M1279" s="436">
        <f t="shared" si="1640"/>
        <v>140</v>
      </c>
      <c r="N1279" s="337">
        <f t="shared" si="1641"/>
        <v>3.8249999999999998E-3</v>
      </c>
      <c r="O1279" s="263">
        <f t="shared" si="1634"/>
        <v>2.2875816993464051E-2</v>
      </c>
    </row>
    <row r="1280" spans="1:15" ht="24" x14ac:dyDescent="0.25">
      <c r="A1280" s="274" t="s">
        <v>103</v>
      </c>
      <c r="B1280" s="966"/>
      <c r="C1280" s="275" t="s">
        <v>367</v>
      </c>
      <c r="D1280" s="275" t="s">
        <v>187</v>
      </c>
      <c r="E1280" s="276">
        <v>1000000</v>
      </c>
      <c r="F1280" s="277"/>
      <c r="G1280" s="333">
        <f t="shared" si="1637"/>
        <v>61524</v>
      </c>
      <c r="H1280" s="278">
        <v>61200</v>
      </c>
      <c r="I1280" s="278">
        <v>324</v>
      </c>
      <c r="J1280" s="351" t="str">
        <f t="shared" si="1642"/>
        <v>-</v>
      </c>
      <c r="K1280" s="690">
        <f t="shared" si="1638"/>
        <v>923834</v>
      </c>
      <c r="L1280" s="276">
        <f t="shared" si="1639"/>
        <v>918000</v>
      </c>
      <c r="M1280" s="436">
        <f t="shared" si="1640"/>
        <v>5834</v>
      </c>
      <c r="N1280" s="337">
        <f t="shared" si="1641"/>
        <v>0.92383400000000004</v>
      </c>
      <c r="O1280" s="263">
        <f t="shared" si="1634"/>
        <v>6.3149873245626383E-3</v>
      </c>
    </row>
    <row r="1281" spans="1:15" ht="24" x14ac:dyDescent="0.25">
      <c r="A1281" s="274" t="s">
        <v>103</v>
      </c>
      <c r="B1281" s="966"/>
      <c r="C1281" s="275" t="s">
        <v>530</v>
      </c>
      <c r="D1281" s="275" t="s">
        <v>529</v>
      </c>
      <c r="E1281" s="276"/>
      <c r="F1281" s="277"/>
      <c r="G1281" s="333">
        <f t="shared" si="1637"/>
        <v>0</v>
      </c>
      <c r="H1281" s="278">
        <v>0</v>
      </c>
      <c r="I1281" s="278">
        <v>0</v>
      </c>
      <c r="J1281" s="351" t="str">
        <f t="shared" si="1642"/>
        <v>-</v>
      </c>
      <c r="K1281" s="690">
        <f t="shared" si="1638"/>
        <v>41558</v>
      </c>
      <c r="L1281" s="276">
        <f t="shared" si="1639"/>
        <v>41350</v>
      </c>
      <c r="M1281" s="436">
        <f t="shared" si="1640"/>
        <v>208</v>
      </c>
      <c r="N1281" s="337" t="str">
        <f t="shared" si="1641"/>
        <v>-</v>
      </c>
      <c r="O1281" s="263">
        <f t="shared" si="1634"/>
        <v>5.0050531786900235E-3</v>
      </c>
    </row>
    <row r="1282" spans="1:15" ht="24" x14ac:dyDescent="0.25">
      <c r="A1282" s="274" t="s">
        <v>103</v>
      </c>
      <c r="B1282" s="966"/>
      <c r="C1282" s="275" t="s">
        <v>323</v>
      </c>
      <c r="D1282" s="275" t="s">
        <v>318</v>
      </c>
      <c r="E1282" s="276"/>
      <c r="F1282" s="277"/>
      <c r="G1282" s="333">
        <f t="shared" si="1637"/>
        <v>0</v>
      </c>
      <c r="H1282" s="278">
        <v>0</v>
      </c>
      <c r="I1282" s="278">
        <v>0</v>
      </c>
      <c r="J1282" s="351" t="str">
        <f t="shared" si="1642"/>
        <v>-</v>
      </c>
      <c r="K1282" s="690">
        <f t="shared" si="1638"/>
        <v>0</v>
      </c>
      <c r="L1282" s="276">
        <f t="shared" si="1639"/>
        <v>0</v>
      </c>
      <c r="M1282" s="436">
        <f t="shared" si="1640"/>
        <v>0</v>
      </c>
      <c r="N1282" s="337" t="str">
        <f t="shared" si="1641"/>
        <v>-</v>
      </c>
      <c r="O1282" s="263" t="str">
        <f t="shared" si="1634"/>
        <v>-</v>
      </c>
    </row>
    <row r="1283" spans="1:15" ht="24" x14ac:dyDescent="0.25">
      <c r="A1283" s="274" t="s">
        <v>103</v>
      </c>
      <c r="B1283" s="966"/>
      <c r="C1283" s="275" t="s">
        <v>528</v>
      </c>
      <c r="D1283" s="275" t="s">
        <v>189</v>
      </c>
      <c r="E1283" s="276"/>
      <c r="F1283" s="277"/>
      <c r="G1283" s="333">
        <f t="shared" si="1637"/>
        <v>0</v>
      </c>
      <c r="H1283" s="278">
        <v>0</v>
      </c>
      <c r="I1283" s="278">
        <v>0</v>
      </c>
      <c r="J1283" s="351" t="str">
        <f t="shared" si="1642"/>
        <v>-</v>
      </c>
      <c r="K1283" s="690">
        <f t="shared" si="1638"/>
        <v>33900</v>
      </c>
      <c r="L1283" s="276">
        <f t="shared" si="1639"/>
        <v>33760</v>
      </c>
      <c r="M1283" s="436">
        <f t="shared" si="1640"/>
        <v>140</v>
      </c>
      <c r="N1283" s="337" t="str">
        <f t="shared" si="1641"/>
        <v>-</v>
      </c>
      <c r="O1283" s="263">
        <f t="shared" si="1634"/>
        <v>4.1297935103244837E-3</v>
      </c>
    </row>
    <row r="1284" spans="1:15" ht="24.75" thickBot="1" x14ac:dyDescent="0.3">
      <c r="A1284" s="274" t="s">
        <v>103</v>
      </c>
      <c r="B1284" s="967"/>
      <c r="C1284" s="279" t="s">
        <v>341</v>
      </c>
      <c r="D1284" s="279" t="s">
        <v>232</v>
      </c>
      <c r="E1284" s="280"/>
      <c r="F1284" s="281"/>
      <c r="G1284" s="334">
        <f t="shared" si="1637"/>
        <v>0</v>
      </c>
      <c r="H1284" s="278">
        <v>0</v>
      </c>
      <c r="I1284" s="278">
        <v>0</v>
      </c>
      <c r="J1284" s="351" t="str">
        <f t="shared" si="1642"/>
        <v>-</v>
      </c>
      <c r="K1284" s="691">
        <f t="shared" si="1638"/>
        <v>0</v>
      </c>
      <c r="L1284" s="530">
        <f t="shared" si="1639"/>
        <v>0</v>
      </c>
      <c r="M1284" s="462">
        <f t="shared" si="1640"/>
        <v>0</v>
      </c>
      <c r="N1284" s="338" t="str">
        <f t="shared" si="1641"/>
        <v>-</v>
      </c>
      <c r="O1284" s="347" t="str">
        <f t="shared" si="1634"/>
        <v>-</v>
      </c>
    </row>
    <row r="1285" spans="1:15" ht="23.25" thickBot="1" x14ac:dyDescent="0.3">
      <c r="A1285" s="274" t="s">
        <v>103</v>
      </c>
      <c r="B1285" s="946" t="s">
        <v>45</v>
      </c>
      <c r="C1285" s="947"/>
      <c r="D1285" s="948"/>
      <c r="E1285" s="320">
        <f>SUM(E1278:E1284)</f>
        <v>2600000</v>
      </c>
      <c r="F1285" s="285">
        <v>100000</v>
      </c>
      <c r="G1285" s="320">
        <f>SUM(G1278:G1284)</f>
        <v>61524</v>
      </c>
      <c r="H1285" s="321">
        <f t="shared" ref="H1285:I1285" si="1643">SUM(H1278:H1284)</f>
        <v>61200</v>
      </c>
      <c r="I1285" s="321">
        <f t="shared" si="1643"/>
        <v>324</v>
      </c>
      <c r="J1285" s="345">
        <f>+G1285/F1285</f>
        <v>0.61524000000000001</v>
      </c>
      <c r="K1285" s="320">
        <f>SUM(K1278:K1284)</f>
        <v>1005412</v>
      </c>
      <c r="L1285" s="519">
        <f>SUM(L1278:L1284)</f>
        <v>999090</v>
      </c>
      <c r="M1285" s="689">
        <f t="shared" ref="M1285" si="1644">SUM(M1278:M1284)</f>
        <v>6322</v>
      </c>
      <c r="N1285" s="339">
        <f>IFERROR(K1285/E1285,"-")</f>
        <v>0.38669692307692305</v>
      </c>
      <c r="O1285" s="345">
        <f t="shared" si="1634"/>
        <v>6.2879695090171991E-3</v>
      </c>
    </row>
    <row r="1286" spans="1:15" ht="24" x14ac:dyDescent="0.25">
      <c r="A1286" s="274" t="s">
        <v>103</v>
      </c>
      <c r="B1286" s="965" t="s">
        <v>18</v>
      </c>
      <c r="C1286" s="269" t="s">
        <v>312</v>
      </c>
      <c r="D1286" s="269" t="s">
        <v>92</v>
      </c>
      <c r="E1286" s="270"/>
      <c r="F1286" s="271"/>
      <c r="G1286" s="332">
        <f t="shared" ref="G1286:G1292" si="1645">+H1286+I1286</f>
        <v>0</v>
      </c>
      <c r="H1286" s="272">
        <v>0</v>
      </c>
      <c r="I1286" s="272">
        <v>0</v>
      </c>
      <c r="J1286" s="351" t="str">
        <f>IFERROR(G1286/F1286,"-")</f>
        <v>-</v>
      </c>
      <c r="K1286" s="332">
        <f t="shared" ref="K1286:K1292" si="1646">+L1286+M1286</f>
        <v>0</v>
      </c>
      <c r="L1286" s="272">
        <f t="shared" ref="L1286:L1292" si="1647">+H1286+L1169</f>
        <v>0</v>
      </c>
      <c r="M1286" s="273">
        <f t="shared" ref="M1286:M1292" si="1648">+I1286+M1169</f>
        <v>0</v>
      </c>
      <c r="N1286" s="336" t="str">
        <f t="shared" ref="N1286:N1293" si="1649">IFERROR(K1286/E1286,"-")</f>
        <v>-</v>
      </c>
      <c r="O1286" s="346" t="str">
        <f t="shared" si="1634"/>
        <v>-</v>
      </c>
    </row>
    <row r="1287" spans="1:15" ht="24" x14ac:dyDescent="0.25">
      <c r="A1287" s="274" t="s">
        <v>103</v>
      </c>
      <c r="B1287" s="966"/>
      <c r="C1287" s="275" t="s">
        <v>233</v>
      </c>
      <c r="D1287" s="275" t="s">
        <v>234</v>
      </c>
      <c r="E1287" s="276"/>
      <c r="F1287" s="277"/>
      <c r="G1287" s="333">
        <f t="shared" si="1645"/>
        <v>0</v>
      </c>
      <c r="H1287" s="278">
        <v>0</v>
      </c>
      <c r="I1287" s="278">
        <v>0</v>
      </c>
      <c r="J1287" s="351" t="str">
        <f t="shared" ref="J1287:J1292" si="1650">IFERROR(G1287/F1287,"-")</f>
        <v>-</v>
      </c>
      <c r="K1287" s="333">
        <f t="shared" si="1646"/>
        <v>0</v>
      </c>
      <c r="L1287" s="272">
        <f t="shared" si="1647"/>
        <v>0</v>
      </c>
      <c r="M1287" s="273">
        <f t="shared" si="1648"/>
        <v>0</v>
      </c>
      <c r="N1287" s="337" t="str">
        <f t="shared" si="1649"/>
        <v>-</v>
      </c>
      <c r="O1287" s="263" t="str">
        <f t="shared" si="1634"/>
        <v>-</v>
      </c>
    </row>
    <row r="1288" spans="1:15" ht="24" x14ac:dyDescent="0.25">
      <c r="A1288" s="274" t="s">
        <v>103</v>
      </c>
      <c r="B1288" s="966"/>
      <c r="C1288" s="275" t="s">
        <v>115</v>
      </c>
      <c r="D1288" s="275"/>
      <c r="E1288" s="276"/>
      <c r="F1288" s="277"/>
      <c r="G1288" s="333">
        <f t="shared" si="1645"/>
        <v>0</v>
      </c>
      <c r="H1288" s="278">
        <v>0</v>
      </c>
      <c r="I1288" s="278">
        <v>0</v>
      </c>
      <c r="J1288" s="351" t="str">
        <f t="shared" si="1650"/>
        <v>-</v>
      </c>
      <c r="K1288" s="333">
        <f t="shared" si="1646"/>
        <v>0</v>
      </c>
      <c r="L1288" s="272">
        <f t="shared" si="1647"/>
        <v>0</v>
      </c>
      <c r="M1288" s="273">
        <f t="shared" si="1648"/>
        <v>0</v>
      </c>
      <c r="N1288" s="337" t="str">
        <f t="shared" si="1649"/>
        <v>-</v>
      </c>
      <c r="O1288" s="263" t="str">
        <f t="shared" si="1634"/>
        <v>-</v>
      </c>
    </row>
    <row r="1289" spans="1:15" ht="24" x14ac:dyDescent="0.25">
      <c r="A1289" s="274" t="s">
        <v>103</v>
      </c>
      <c r="B1289" s="966"/>
      <c r="C1289" s="275" t="s">
        <v>122</v>
      </c>
      <c r="D1289" s="275"/>
      <c r="E1289" s="276"/>
      <c r="F1289" s="277"/>
      <c r="G1289" s="333">
        <f t="shared" si="1645"/>
        <v>0</v>
      </c>
      <c r="H1289" s="278">
        <v>0</v>
      </c>
      <c r="I1289" s="278">
        <v>0</v>
      </c>
      <c r="J1289" s="351" t="str">
        <f t="shared" si="1650"/>
        <v>-</v>
      </c>
      <c r="K1289" s="333">
        <f t="shared" si="1646"/>
        <v>0</v>
      </c>
      <c r="L1289" s="272">
        <f t="shared" si="1647"/>
        <v>0</v>
      </c>
      <c r="M1289" s="273">
        <f t="shared" si="1648"/>
        <v>0</v>
      </c>
      <c r="N1289" s="337" t="str">
        <f t="shared" si="1649"/>
        <v>-</v>
      </c>
      <c r="O1289" s="263" t="str">
        <f t="shared" si="1634"/>
        <v>-</v>
      </c>
    </row>
    <row r="1290" spans="1:15" ht="24" x14ac:dyDescent="0.25">
      <c r="A1290" s="274" t="s">
        <v>103</v>
      </c>
      <c r="B1290" s="966"/>
      <c r="C1290" s="275" t="s">
        <v>176</v>
      </c>
      <c r="D1290" s="275" t="s">
        <v>177</v>
      </c>
      <c r="E1290" s="276"/>
      <c r="F1290" s="277"/>
      <c r="G1290" s="333">
        <f t="shared" si="1645"/>
        <v>0</v>
      </c>
      <c r="H1290" s="278">
        <v>0</v>
      </c>
      <c r="I1290" s="278">
        <v>0</v>
      </c>
      <c r="J1290" s="351" t="str">
        <f t="shared" si="1650"/>
        <v>-</v>
      </c>
      <c r="K1290" s="333">
        <f t="shared" si="1646"/>
        <v>0</v>
      </c>
      <c r="L1290" s="272">
        <f t="shared" si="1647"/>
        <v>0</v>
      </c>
      <c r="M1290" s="273">
        <f t="shared" si="1648"/>
        <v>0</v>
      </c>
      <c r="N1290" s="337" t="str">
        <f t="shared" si="1649"/>
        <v>-</v>
      </c>
      <c r="O1290" s="263" t="str">
        <f t="shared" si="1634"/>
        <v>-</v>
      </c>
    </row>
    <row r="1291" spans="1:15" ht="24" x14ac:dyDescent="0.25">
      <c r="A1291" s="274" t="s">
        <v>103</v>
      </c>
      <c r="B1291" s="966"/>
      <c r="C1291" s="275" t="s">
        <v>179</v>
      </c>
      <c r="D1291" s="275" t="s">
        <v>178</v>
      </c>
      <c r="E1291" s="276"/>
      <c r="F1291" s="277"/>
      <c r="G1291" s="333">
        <f t="shared" si="1645"/>
        <v>0</v>
      </c>
      <c r="H1291" s="278">
        <v>0</v>
      </c>
      <c r="I1291" s="278">
        <v>0</v>
      </c>
      <c r="J1291" s="351" t="str">
        <f t="shared" si="1650"/>
        <v>-</v>
      </c>
      <c r="K1291" s="333">
        <f t="shared" si="1646"/>
        <v>0</v>
      </c>
      <c r="L1291" s="272">
        <f t="shared" si="1647"/>
        <v>0</v>
      </c>
      <c r="M1291" s="273">
        <f t="shared" si="1648"/>
        <v>0</v>
      </c>
      <c r="N1291" s="337" t="str">
        <f t="shared" si="1649"/>
        <v>-</v>
      </c>
      <c r="O1291" s="263" t="str">
        <f t="shared" si="1634"/>
        <v>-</v>
      </c>
    </row>
    <row r="1292" spans="1:15" ht="24.75" thickBot="1" x14ac:dyDescent="0.3">
      <c r="A1292" s="274" t="s">
        <v>103</v>
      </c>
      <c r="B1292" s="967"/>
      <c r="C1292" s="286" t="s">
        <v>180</v>
      </c>
      <c r="D1292" s="286" t="s">
        <v>107</v>
      </c>
      <c r="E1292" s="280"/>
      <c r="F1292" s="281"/>
      <c r="G1292" s="334">
        <f t="shared" si="1645"/>
        <v>0</v>
      </c>
      <c r="H1292" s="282">
        <v>0</v>
      </c>
      <c r="I1292" s="282">
        <v>0</v>
      </c>
      <c r="J1292" s="351" t="str">
        <f t="shared" si="1650"/>
        <v>-</v>
      </c>
      <c r="K1292" s="334">
        <f t="shared" si="1646"/>
        <v>0</v>
      </c>
      <c r="L1292" s="272">
        <f t="shared" si="1647"/>
        <v>0</v>
      </c>
      <c r="M1292" s="273">
        <f t="shared" si="1648"/>
        <v>0</v>
      </c>
      <c r="N1292" s="338" t="str">
        <f t="shared" si="1649"/>
        <v>-</v>
      </c>
      <c r="O1292" s="347" t="str">
        <f t="shared" si="1634"/>
        <v>-</v>
      </c>
    </row>
    <row r="1293" spans="1:15" ht="23.25" thickBot="1" x14ac:dyDescent="0.3">
      <c r="A1293" s="274" t="s">
        <v>103</v>
      </c>
      <c r="B1293" s="946" t="s">
        <v>29</v>
      </c>
      <c r="C1293" s="970"/>
      <c r="D1293" s="971"/>
      <c r="E1293" s="366">
        <f t="shared" ref="E1293" si="1651">SUM(E1286:E1292)</f>
        <v>0</v>
      </c>
      <c r="F1293" s="307">
        <v>80000</v>
      </c>
      <c r="G1293" s="366">
        <f>SUM(G1286:G1292)</f>
        <v>0</v>
      </c>
      <c r="H1293" s="365">
        <f t="shared" ref="H1293:I1293" si="1652">SUM(H1286:H1292)</f>
        <v>0</v>
      </c>
      <c r="I1293" s="365">
        <f t="shared" si="1652"/>
        <v>0</v>
      </c>
      <c r="J1293" s="356">
        <f>+G1293/F1293</f>
        <v>0</v>
      </c>
      <c r="K1293" s="366">
        <f t="shared" ref="K1293" si="1653">SUM(K1286:K1292)</f>
        <v>0</v>
      </c>
      <c r="L1293" s="365">
        <f>SUM(L1286:L1292)</f>
        <v>0</v>
      </c>
      <c r="M1293" s="367">
        <f t="shared" ref="M1293" si="1654">SUM(M1286:M1292)</f>
        <v>0</v>
      </c>
      <c r="N1293" s="355" t="str">
        <f t="shared" si="1649"/>
        <v>-</v>
      </c>
      <c r="O1293" s="356" t="str">
        <f t="shared" si="1634"/>
        <v>-</v>
      </c>
    </row>
    <row r="1294" spans="1:15" ht="24" x14ac:dyDescent="0.25">
      <c r="A1294" s="252" t="s">
        <v>103</v>
      </c>
      <c r="B1294" s="972" t="s">
        <v>19</v>
      </c>
      <c r="C1294" s="669" t="s">
        <v>235</v>
      </c>
      <c r="D1294" s="883" t="s">
        <v>177</v>
      </c>
      <c r="E1294" s="912"/>
      <c r="F1294" s="838">
        <v>220000</v>
      </c>
      <c r="G1294" s="457">
        <f t="shared" ref="G1294:G1300" si="1655">+H1294+I1294</f>
        <v>127111</v>
      </c>
      <c r="H1294" s="458">
        <f>42240+84480</f>
        <v>126720</v>
      </c>
      <c r="I1294" s="458">
        <f>175+216</f>
        <v>391</v>
      </c>
      <c r="J1294" s="531">
        <f>IFERROR(G1294/F1294,"-")</f>
        <v>0.57777727272727275</v>
      </c>
      <c r="K1294" s="869">
        <f>+L1294+M1294</f>
        <v>127111</v>
      </c>
      <c r="L1294" s="527">
        <f t="shared" ref="L1294:L1300" si="1656">+H1294+L1177</f>
        <v>126720</v>
      </c>
      <c r="M1294" s="838">
        <f t="shared" ref="M1294:M1300" si="1657">+I1294+M1177</f>
        <v>391</v>
      </c>
      <c r="N1294" s="646" t="str">
        <f>IFERROR(K1294/E1294,"-")</f>
        <v>-</v>
      </c>
      <c r="O1294" s="647">
        <f t="shared" si="1634"/>
        <v>3.0760516399052796E-3</v>
      </c>
    </row>
    <row r="1295" spans="1:15" ht="24" x14ac:dyDescent="0.25">
      <c r="A1295" s="252"/>
      <c r="B1295" s="973"/>
      <c r="C1295" s="840" t="s">
        <v>377</v>
      </c>
      <c r="D1295" s="876" t="s">
        <v>423</v>
      </c>
      <c r="E1295" s="511">
        <v>1000000</v>
      </c>
      <c r="F1295" s="277"/>
      <c r="G1295" s="333">
        <f t="shared" si="1655"/>
        <v>0</v>
      </c>
      <c r="H1295" s="278">
        <v>0</v>
      </c>
      <c r="I1295" s="278">
        <v>0</v>
      </c>
      <c r="J1295" s="352" t="str">
        <f t="shared" ref="J1295:J1300" si="1658">IFERROR(G1295/F1295,"-")</f>
        <v>-</v>
      </c>
      <c r="K1295" s="870">
        <f>+L1295+M1295</f>
        <v>576188</v>
      </c>
      <c r="L1295" s="276">
        <f t="shared" si="1656"/>
        <v>574464</v>
      </c>
      <c r="M1295" s="277">
        <f t="shared" si="1657"/>
        <v>1724</v>
      </c>
      <c r="N1295" s="836">
        <f t="shared" ref="N1295:N1300" si="1659">IFERROR(K1295/E1295,"-")</f>
        <v>0.57618800000000003</v>
      </c>
      <c r="O1295" s="263">
        <f>IFERROR(M1295/K1295,"-")</f>
        <v>2.9920789742236909E-3</v>
      </c>
    </row>
    <row r="1296" spans="1:15" ht="24" x14ac:dyDescent="0.25">
      <c r="A1296" s="252"/>
      <c r="B1296" s="973"/>
      <c r="C1296" s="840" t="s">
        <v>235</v>
      </c>
      <c r="D1296" s="876" t="s">
        <v>522</v>
      </c>
      <c r="E1296" s="511"/>
      <c r="F1296" s="277"/>
      <c r="G1296" s="333">
        <f t="shared" si="1655"/>
        <v>0</v>
      </c>
      <c r="H1296" s="278">
        <v>0</v>
      </c>
      <c r="I1296" s="278">
        <v>0</v>
      </c>
      <c r="J1296" s="352" t="str">
        <f t="shared" si="1658"/>
        <v>-</v>
      </c>
      <c r="K1296" s="870">
        <f t="shared" ref="K1296:K1299" si="1660">+L1296+M1296</f>
        <v>214277</v>
      </c>
      <c r="L1296" s="276">
        <f t="shared" si="1656"/>
        <v>213712</v>
      </c>
      <c r="M1296" s="277">
        <f t="shared" si="1657"/>
        <v>565</v>
      </c>
      <c r="N1296" s="836" t="str">
        <f t="shared" si="1659"/>
        <v>-</v>
      </c>
      <c r="O1296" s="263">
        <f t="shared" ref="O1296:O1357" si="1661">IFERROR(M1296/K1296,"-")</f>
        <v>2.6367738954717491E-3</v>
      </c>
    </row>
    <row r="1297" spans="1:15" ht="24" x14ac:dyDescent="0.25">
      <c r="A1297" s="252"/>
      <c r="B1297" s="973"/>
      <c r="C1297" s="840" t="s">
        <v>377</v>
      </c>
      <c r="D1297" s="876" t="s">
        <v>522</v>
      </c>
      <c r="E1297" s="511"/>
      <c r="F1297" s="277"/>
      <c r="G1297" s="333">
        <f t="shared" si="1655"/>
        <v>0</v>
      </c>
      <c r="H1297" s="278">
        <v>0</v>
      </c>
      <c r="I1297" s="278">
        <v>0</v>
      </c>
      <c r="J1297" s="352" t="str">
        <f t="shared" si="1658"/>
        <v>-</v>
      </c>
      <c r="K1297" s="870">
        <f t="shared" si="1660"/>
        <v>288207</v>
      </c>
      <c r="L1297" s="276">
        <f t="shared" si="1656"/>
        <v>287232</v>
      </c>
      <c r="M1297" s="277">
        <f t="shared" si="1657"/>
        <v>975</v>
      </c>
      <c r="N1297" s="836" t="str">
        <f t="shared" si="1659"/>
        <v>-</v>
      </c>
      <c r="O1297" s="263">
        <f t="shared" si="1661"/>
        <v>3.3829851460929123E-3</v>
      </c>
    </row>
    <row r="1298" spans="1:15" ht="24" x14ac:dyDescent="0.25">
      <c r="A1298" s="252"/>
      <c r="B1298" s="973"/>
      <c r="C1298" s="840" t="s">
        <v>551</v>
      </c>
      <c r="D1298" s="876" t="s">
        <v>522</v>
      </c>
      <c r="E1298" s="511"/>
      <c r="F1298" s="277"/>
      <c r="G1298" s="333">
        <f t="shared" si="1655"/>
        <v>6976</v>
      </c>
      <c r="H1298" s="278">
        <f>4336+2000</f>
        <v>6336</v>
      </c>
      <c r="I1298" s="278">
        <f>640</f>
        <v>640</v>
      </c>
      <c r="J1298" s="352" t="str">
        <f t="shared" si="1658"/>
        <v>-</v>
      </c>
      <c r="K1298" s="870">
        <f t="shared" si="1660"/>
        <v>151526</v>
      </c>
      <c r="L1298" s="276">
        <f t="shared" si="1656"/>
        <v>149952</v>
      </c>
      <c r="M1298" s="277">
        <f t="shared" si="1657"/>
        <v>1574</v>
      </c>
      <c r="N1298" s="836" t="str">
        <f t="shared" si="1659"/>
        <v>-</v>
      </c>
      <c r="O1298" s="263">
        <f t="shared" si="1661"/>
        <v>1.0387656243812942E-2</v>
      </c>
    </row>
    <row r="1299" spans="1:15" ht="24" x14ac:dyDescent="0.25">
      <c r="A1299" s="252"/>
      <c r="B1299" s="973"/>
      <c r="C1299" s="840"/>
      <c r="D1299" s="876"/>
      <c r="E1299" s="511"/>
      <c r="F1299" s="277"/>
      <c r="G1299" s="333">
        <f t="shared" si="1655"/>
        <v>0</v>
      </c>
      <c r="H1299" s="278">
        <v>0</v>
      </c>
      <c r="I1299" s="278">
        <v>0</v>
      </c>
      <c r="J1299" s="352" t="str">
        <f t="shared" si="1658"/>
        <v>-</v>
      </c>
      <c r="K1299" s="870">
        <f t="shared" si="1660"/>
        <v>0</v>
      </c>
      <c r="L1299" s="276">
        <f t="shared" si="1656"/>
        <v>0</v>
      </c>
      <c r="M1299" s="277">
        <f t="shared" si="1657"/>
        <v>0</v>
      </c>
      <c r="N1299" s="836" t="str">
        <f t="shared" si="1659"/>
        <v>-</v>
      </c>
      <c r="O1299" s="263" t="str">
        <f t="shared" si="1661"/>
        <v>-</v>
      </c>
    </row>
    <row r="1300" spans="1:15" ht="24.75" thickBot="1" x14ac:dyDescent="0.3">
      <c r="A1300" s="252"/>
      <c r="B1300" s="974"/>
      <c r="C1300" s="670" t="s">
        <v>342</v>
      </c>
      <c r="D1300" s="884"/>
      <c r="E1300" s="913">
        <v>150000</v>
      </c>
      <c r="F1300" s="839"/>
      <c r="G1300" s="460">
        <f t="shared" si="1655"/>
        <v>0</v>
      </c>
      <c r="H1300" s="461">
        <v>0</v>
      </c>
      <c r="I1300" s="461">
        <v>0</v>
      </c>
      <c r="J1300" s="532" t="str">
        <f t="shared" si="1658"/>
        <v>-</v>
      </c>
      <c r="K1300" s="871">
        <f>+L1300+M1300</f>
        <v>0</v>
      </c>
      <c r="L1300" s="530">
        <f t="shared" si="1656"/>
        <v>0</v>
      </c>
      <c r="M1300" s="839">
        <f t="shared" si="1657"/>
        <v>0</v>
      </c>
      <c r="N1300" s="837">
        <f t="shared" si="1659"/>
        <v>0</v>
      </c>
      <c r="O1300" s="264" t="str">
        <f t="shared" si="1661"/>
        <v>-</v>
      </c>
    </row>
    <row r="1301" spans="1:15" ht="23.25" thickBot="1" x14ac:dyDescent="0.3">
      <c r="A1301" s="274" t="s">
        <v>103</v>
      </c>
      <c r="B1301" s="975" t="s">
        <v>46</v>
      </c>
      <c r="C1301" s="976"/>
      <c r="D1301" s="977"/>
      <c r="E1301" s="513">
        <f>SUM(E1294:E1300)</f>
        <v>1150000</v>
      </c>
      <c r="F1301" s="859">
        <f t="shared" ref="F1301" si="1662">SUM(F1294)</f>
        <v>220000</v>
      </c>
      <c r="G1301" s="513">
        <f>SUM(G1294:G1300)</f>
        <v>134087</v>
      </c>
      <c r="H1301" s="519">
        <f>SUM(H1294:H1300)</f>
        <v>133056</v>
      </c>
      <c r="I1301" s="519">
        <f>SUM(I1294:I1300)</f>
        <v>1031</v>
      </c>
      <c r="J1301" s="520">
        <f>+G1301/F1301</f>
        <v>0.60948636363636366</v>
      </c>
      <c r="K1301" s="835">
        <f>SUM(K1294:K1300)</f>
        <v>1357309</v>
      </c>
      <c r="L1301" s="519">
        <f>SUM(L1294:L1300)</f>
        <v>1352080</v>
      </c>
      <c r="M1301" s="689">
        <f>SUM(M1294:M1300)</f>
        <v>5229</v>
      </c>
      <c r="N1301" s="521">
        <f>IFERROR(K1301/E1301,"-")</f>
        <v>1.180268695652174</v>
      </c>
      <c r="O1301" s="520">
        <f t="shared" si="1661"/>
        <v>3.8524757442851996E-3</v>
      </c>
    </row>
    <row r="1302" spans="1:15" ht="24" x14ac:dyDescent="0.25">
      <c r="A1302" s="274" t="s">
        <v>103</v>
      </c>
      <c r="B1302" s="965" t="s">
        <v>20</v>
      </c>
      <c r="C1302" s="291" t="s">
        <v>317</v>
      </c>
      <c r="D1302" s="291" t="s">
        <v>289</v>
      </c>
      <c r="E1302" s="270"/>
      <c r="F1302" s="271"/>
      <c r="G1302" s="332">
        <f t="shared" ref="G1302:G1304" si="1663">+H1302+I1302</f>
        <v>0</v>
      </c>
      <c r="H1302" s="272">
        <v>0</v>
      </c>
      <c r="I1302" s="272">
        <v>0</v>
      </c>
      <c r="J1302" s="351" t="str">
        <f>IFERROR(G1302/F1302,"-")</f>
        <v>-</v>
      </c>
      <c r="K1302" s="332">
        <f t="shared" ref="K1302:K1304" si="1664">+L1302+M1302</f>
        <v>0</v>
      </c>
      <c r="L1302" s="272">
        <f t="shared" ref="L1302:L1304" si="1665">+H1302+L1185</f>
        <v>0</v>
      </c>
      <c r="M1302" s="273">
        <f t="shared" ref="M1302:M1304" si="1666">+I1302+M1185</f>
        <v>0</v>
      </c>
      <c r="N1302" s="336" t="str">
        <f t="shared" ref="N1302:N1305" si="1667">IFERROR(K1302/E1302,"-")</f>
        <v>-</v>
      </c>
      <c r="O1302" s="346" t="str">
        <f t="shared" si="1661"/>
        <v>-</v>
      </c>
    </row>
    <row r="1303" spans="1:15" ht="24" x14ac:dyDescent="0.25">
      <c r="A1303" s="274" t="s">
        <v>103</v>
      </c>
      <c r="B1303" s="966"/>
      <c r="C1303" s="292" t="s">
        <v>114</v>
      </c>
      <c r="D1303" s="292"/>
      <c r="E1303" s="276"/>
      <c r="F1303" s="277"/>
      <c r="G1303" s="333">
        <f t="shared" si="1663"/>
        <v>0</v>
      </c>
      <c r="H1303" s="278">
        <v>0</v>
      </c>
      <c r="I1303" s="278">
        <v>0</v>
      </c>
      <c r="J1303" s="351" t="str">
        <f t="shared" ref="J1303:J1304" si="1668">IFERROR(G1303/F1303,"-")</f>
        <v>-</v>
      </c>
      <c r="K1303" s="333">
        <f t="shared" si="1664"/>
        <v>0</v>
      </c>
      <c r="L1303" s="272">
        <f t="shared" si="1665"/>
        <v>0</v>
      </c>
      <c r="M1303" s="273">
        <f t="shared" si="1666"/>
        <v>0</v>
      </c>
      <c r="N1303" s="337" t="str">
        <f t="shared" si="1667"/>
        <v>-</v>
      </c>
      <c r="O1303" s="263" t="str">
        <f t="shared" si="1661"/>
        <v>-</v>
      </c>
    </row>
    <row r="1304" spans="1:15" ht="24.75" thickBot="1" x14ac:dyDescent="0.3">
      <c r="A1304" s="274" t="s">
        <v>103</v>
      </c>
      <c r="B1304" s="967"/>
      <c r="C1304" s="293" t="s">
        <v>120</v>
      </c>
      <c r="D1304" s="293"/>
      <c r="E1304" s="280"/>
      <c r="F1304" s="281"/>
      <c r="G1304" s="334">
        <f t="shared" si="1663"/>
        <v>0</v>
      </c>
      <c r="H1304" s="282">
        <v>0</v>
      </c>
      <c r="I1304" s="282">
        <v>0</v>
      </c>
      <c r="J1304" s="351" t="str">
        <f t="shared" si="1668"/>
        <v>-</v>
      </c>
      <c r="K1304" s="334">
        <f t="shared" si="1664"/>
        <v>0</v>
      </c>
      <c r="L1304" s="272">
        <f t="shared" si="1665"/>
        <v>0</v>
      </c>
      <c r="M1304" s="273">
        <f t="shared" si="1666"/>
        <v>0</v>
      </c>
      <c r="N1304" s="338" t="str">
        <f t="shared" si="1667"/>
        <v>-</v>
      </c>
      <c r="O1304" s="347" t="str">
        <f t="shared" si="1661"/>
        <v>-</v>
      </c>
    </row>
    <row r="1305" spans="1:15" ht="23.25" thickBot="1" x14ac:dyDescent="0.3">
      <c r="A1305" s="274" t="s">
        <v>103</v>
      </c>
      <c r="B1305" s="947" t="s">
        <v>47</v>
      </c>
      <c r="C1305" s="947"/>
      <c r="D1305" s="964"/>
      <c r="E1305" s="320">
        <f t="shared" ref="E1305" si="1669">SUM(E1302:E1304)</f>
        <v>0</v>
      </c>
      <c r="F1305" s="285">
        <v>50000</v>
      </c>
      <c r="G1305" s="320">
        <f>SUM(G1302:G1304)</f>
        <v>0</v>
      </c>
      <c r="H1305" s="321">
        <f t="shared" ref="H1305:I1305" si="1670">SUM(H1302:H1304)</f>
        <v>0</v>
      </c>
      <c r="I1305" s="321">
        <f t="shared" si="1670"/>
        <v>0</v>
      </c>
      <c r="J1305" s="345">
        <f>+G1305/F1305</f>
        <v>0</v>
      </c>
      <c r="K1305" s="320">
        <f t="shared" ref="K1305:M1305" si="1671">SUM(K1302:K1304)</f>
        <v>0</v>
      </c>
      <c r="L1305" s="321">
        <f t="shared" si="1671"/>
        <v>0</v>
      </c>
      <c r="M1305" s="322">
        <f t="shared" si="1671"/>
        <v>0</v>
      </c>
      <c r="N1305" s="339" t="str">
        <f t="shared" si="1667"/>
        <v>-</v>
      </c>
      <c r="O1305" s="345" t="str">
        <f t="shared" si="1661"/>
        <v>-</v>
      </c>
    </row>
    <row r="1306" spans="1:15" ht="23.25" thickBot="1" x14ac:dyDescent="0.3">
      <c r="A1306" s="274" t="s">
        <v>103</v>
      </c>
      <c r="B1306" s="960" t="s">
        <v>21</v>
      </c>
      <c r="C1306" s="961"/>
      <c r="D1306" s="962"/>
      <c r="E1306" s="326">
        <f>+E1277+E1285+E1293+E1301+E1305</f>
        <v>3770000</v>
      </c>
      <c r="F1306" s="327">
        <f>+F1277+F1285+F1293+F1301+F1305</f>
        <v>465000</v>
      </c>
      <c r="G1306" s="326">
        <f>+G1277+G1285+G1293+G1301+G1305</f>
        <v>203150</v>
      </c>
      <c r="H1306" s="324">
        <f>+H1277+H1285+H1293+H1301+H1305</f>
        <v>201616</v>
      </c>
      <c r="I1306" s="324">
        <f>+I1277+I1285+I1293+I1301+I1305</f>
        <v>1534</v>
      </c>
      <c r="J1306" s="349">
        <f>+G1306/F1306</f>
        <v>0.43688172043010753</v>
      </c>
      <c r="K1306" s="326">
        <f>+K1277+K1285+K1293+K1301+K1305</f>
        <v>2386702</v>
      </c>
      <c r="L1306" s="324">
        <f>+L1277+L1285+L1293+L1301+L1305</f>
        <v>2374210</v>
      </c>
      <c r="M1306" s="325">
        <f>+M1277+M1285+M1293+M1301+M1305</f>
        <v>12492</v>
      </c>
      <c r="N1306" s="341">
        <f>IFERROR(K1306/E1306,"-")</f>
        <v>0.63307745358090184</v>
      </c>
      <c r="O1306" s="349">
        <f t="shared" si="1661"/>
        <v>5.2340007256875803E-3</v>
      </c>
    </row>
    <row r="1307" spans="1:15" ht="24" x14ac:dyDescent="0.25">
      <c r="A1307" s="274" t="s">
        <v>103</v>
      </c>
      <c r="B1307" s="965" t="s">
        <v>400</v>
      </c>
      <c r="C1307" s="269" t="s">
        <v>125</v>
      </c>
      <c r="D1307" s="269"/>
      <c r="E1307" s="270"/>
      <c r="F1307" s="271"/>
      <c r="G1307" s="332">
        <f t="shared" ref="G1307:G1310" si="1672">+H1307+I1307</f>
        <v>0</v>
      </c>
      <c r="H1307" s="272">
        <v>0</v>
      </c>
      <c r="I1307" s="272">
        <v>0</v>
      </c>
      <c r="J1307" s="351" t="str">
        <f>IFERROR(G1307/F1307,"-")</f>
        <v>-</v>
      </c>
      <c r="K1307" s="332">
        <f t="shared" ref="K1307:K1310" si="1673">+L1307+M1307</f>
        <v>0</v>
      </c>
      <c r="L1307" s="272">
        <f t="shared" ref="L1307:L1310" si="1674">+H1307+L1190</f>
        <v>0</v>
      </c>
      <c r="M1307" s="273">
        <f t="shared" ref="M1307:M1310" si="1675">+I1307+M1190</f>
        <v>0</v>
      </c>
      <c r="N1307" s="336" t="str">
        <f t="shared" ref="N1307:N1322" si="1676">IFERROR(K1307/E1307,"-")</f>
        <v>-</v>
      </c>
      <c r="O1307" s="346" t="str">
        <f t="shared" si="1661"/>
        <v>-</v>
      </c>
    </row>
    <row r="1308" spans="1:15" ht="24" x14ac:dyDescent="0.25">
      <c r="A1308" s="274" t="s">
        <v>103</v>
      </c>
      <c r="B1308" s="966"/>
      <c r="C1308" s="295" t="s">
        <v>263</v>
      </c>
      <c r="D1308" s="295" t="s">
        <v>181</v>
      </c>
      <c r="E1308" s="276"/>
      <c r="F1308" s="277"/>
      <c r="G1308" s="333">
        <f t="shared" si="1672"/>
        <v>0</v>
      </c>
      <c r="H1308" s="278">
        <v>0</v>
      </c>
      <c r="I1308" s="278">
        <v>0</v>
      </c>
      <c r="J1308" s="351" t="str">
        <f t="shared" ref="J1308:J1310" si="1677">IFERROR(G1308/F1308,"-")</f>
        <v>-</v>
      </c>
      <c r="K1308" s="333">
        <f t="shared" si="1673"/>
        <v>0</v>
      </c>
      <c r="L1308" s="272">
        <f t="shared" si="1674"/>
        <v>0</v>
      </c>
      <c r="M1308" s="273">
        <f t="shared" si="1675"/>
        <v>0</v>
      </c>
      <c r="N1308" s="337" t="str">
        <f t="shared" si="1676"/>
        <v>-</v>
      </c>
      <c r="O1308" s="263" t="str">
        <f t="shared" si="1661"/>
        <v>-</v>
      </c>
    </row>
    <row r="1309" spans="1:15" ht="24" x14ac:dyDescent="0.25">
      <c r="A1309" s="274" t="s">
        <v>103</v>
      </c>
      <c r="B1309" s="966"/>
      <c r="C1309" s="295" t="s">
        <v>362</v>
      </c>
      <c r="D1309" s="295" t="s">
        <v>181</v>
      </c>
      <c r="E1309" s="276"/>
      <c r="F1309" s="277"/>
      <c r="G1309" s="333">
        <f t="shared" si="1672"/>
        <v>0</v>
      </c>
      <c r="H1309" s="278">
        <v>0</v>
      </c>
      <c r="I1309" s="278">
        <v>0</v>
      </c>
      <c r="J1309" s="351" t="str">
        <f t="shared" si="1677"/>
        <v>-</v>
      </c>
      <c r="K1309" s="333">
        <f t="shared" si="1673"/>
        <v>0</v>
      </c>
      <c r="L1309" s="272">
        <f t="shared" si="1674"/>
        <v>0</v>
      </c>
      <c r="M1309" s="273">
        <f t="shared" si="1675"/>
        <v>0</v>
      </c>
      <c r="N1309" s="337" t="str">
        <f t="shared" si="1676"/>
        <v>-</v>
      </c>
      <c r="O1309" s="263" t="str">
        <f t="shared" si="1661"/>
        <v>-</v>
      </c>
    </row>
    <row r="1310" spans="1:15" ht="24.75" thickBot="1" x14ac:dyDescent="0.3">
      <c r="A1310" s="274" t="s">
        <v>103</v>
      </c>
      <c r="B1310" s="967"/>
      <c r="C1310" s="279" t="s">
        <v>182</v>
      </c>
      <c r="D1310" s="279" t="s">
        <v>93</v>
      </c>
      <c r="E1310" s="280"/>
      <c r="F1310" s="281"/>
      <c r="G1310" s="334">
        <f t="shared" si="1672"/>
        <v>33750</v>
      </c>
      <c r="H1310" s="278">
        <v>33660</v>
      </c>
      <c r="I1310" s="278">
        <v>90</v>
      </c>
      <c r="J1310" s="351" t="str">
        <f t="shared" si="1677"/>
        <v>-</v>
      </c>
      <c r="K1310" s="334">
        <f t="shared" si="1673"/>
        <v>119090</v>
      </c>
      <c r="L1310" s="272">
        <f t="shared" si="1674"/>
        <v>118800</v>
      </c>
      <c r="M1310" s="273">
        <f t="shared" si="1675"/>
        <v>290</v>
      </c>
      <c r="N1310" s="338" t="str">
        <f t="shared" si="1676"/>
        <v>-</v>
      </c>
      <c r="O1310" s="347">
        <f t="shared" si="1661"/>
        <v>2.4351330926190278E-3</v>
      </c>
    </row>
    <row r="1311" spans="1:15" ht="23.25" thickBot="1" x14ac:dyDescent="0.3">
      <c r="A1311" s="274" t="s">
        <v>103</v>
      </c>
      <c r="B1311" s="946" t="s">
        <v>48</v>
      </c>
      <c r="C1311" s="947"/>
      <c r="D1311" s="948"/>
      <c r="E1311" s="284">
        <f>SUM(E1307:E1310)</f>
        <v>0</v>
      </c>
      <c r="F1311" s="285">
        <v>80000</v>
      </c>
      <c r="G1311" s="320">
        <f>SUM(G1307:G1310)</f>
        <v>33750</v>
      </c>
      <c r="H1311" s="321">
        <f t="shared" ref="H1311:I1311" si="1678">SUM(H1307:H1310)</f>
        <v>33660</v>
      </c>
      <c r="I1311" s="321">
        <f t="shared" si="1678"/>
        <v>90</v>
      </c>
      <c r="J1311" s="345">
        <f>+G1311/F1311</f>
        <v>0.421875</v>
      </c>
      <c r="K1311" s="320">
        <f t="shared" ref="K1311" si="1679">SUM(K1307:K1310)</f>
        <v>119090</v>
      </c>
      <c r="L1311" s="321">
        <f>SUM(L1307:L1310)</f>
        <v>118800</v>
      </c>
      <c r="M1311" s="322">
        <f t="shared" ref="M1311" si="1680">SUM(M1307:M1310)</f>
        <v>290</v>
      </c>
      <c r="N1311" s="339" t="str">
        <f t="shared" si="1676"/>
        <v>-</v>
      </c>
      <c r="O1311" s="345">
        <f t="shared" si="1661"/>
        <v>2.4351330926190278E-3</v>
      </c>
    </row>
    <row r="1312" spans="1:15" ht="24" x14ac:dyDescent="0.25">
      <c r="A1312" s="274" t="s">
        <v>103</v>
      </c>
      <c r="B1312" s="965" t="s">
        <v>23</v>
      </c>
      <c r="C1312" s="275" t="s">
        <v>500</v>
      </c>
      <c r="D1312" s="296" t="s">
        <v>238</v>
      </c>
      <c r="E1312" s="270">
        <v>10000</v>
      </c>
      <c r="F1312" s="271"/>
      <c r="G1312" s="332">
        <f t="shared" ref="G1312:G1320" si="1681">+H1312+I1312</f>
        <v>0</v>
      </c>
      <c r="H1312" s="272">
        <v>0</v>
      </c>
      <c r="I1312" s="272">
        <v>0</v>
      </c>
      <c r="J1312" s="351" t="str">
        <f>IFERROR(G1312/F1312,"-")</f>
        <v>-</v>
      </c>
      <c r="K1312" s="332">
        <f t="shared" ref="K1312:K1320" si="1682">+L1312+M1312</f>
        <v>0</v>
      </c>
      <c r="L1312" s="272">
        <f t="shared" ref="L1312:L1320" si="1683">+H1312+L1195</f>
        <v>0</v>
      </c>
      <c r="M1312" s="273">
        <f t="shared" ref="M1312:M1320" si="1684">+I1312+M1195</f>
        <v>0</v>
      </c>
      <c r="N1312" s="336">
        <f t="shared" si="1676"/>
        <v>0</v>
      </c>
      <c r="O1312" s="346" t="str">
        <f t="shared" si="1661"/>
        <v>-</v>
      </c>
    </row>
    <row r="1313" spans="1:15" ht="24" x14ac:dyDescent="0.25">
      <c r="A1313" s="274" t="s">
        <v>103</v>
      </c>
      <c r="B1313" s="966"/>
      <c r="C1313" s="275" t="s">
        <v>24</v>
      </c>
      <c r="D1313" s="275" t="s">
        <v>238</v>
      </c>
      <c r="E1313" s="276">
        <v>112000</v>
      </c>
      <c r="F1313" s="277"/>
      <c r="G1313" s="333">
        <f t="shared" si="1681"/>
        <v>0</v>
      </c>
      <c r="H1313" s="278">
        <v>0</v>
      </c>
      <c r="I1313" s="278">
        <v>0</v>
      </c>
      <c r="J1313" s="351" t="str">
        <f t="shared" ref="J1313:J1320" si="1685">IFERROR(G1313/F1313,"-")</f>
        <v>-</v>
      </c>
      <c r="K1313" s="333">
        <f t="shared" si="1682"/>
        <v>0</v>
      </c>
      <c r="L1313" s="272">
        <f t="shared" si="1683"/>
        <v>0</v>
      </c>
      <c r="M1313" s="273">
        <f t="shared" si="1684"/>
        <v>0</v>
      </c>
      <c r="N1313" s="337">
        <f t="shared" si="1676"/>
        <v>0</v>
      </c>
      <c r="O1313" s="263" t="str">
        <f t="shared" si="1661"/>
        <v>-</v>
      </c>
    </row>
    <row r="1314" spans="1:15" ht="24" x14ac:dyDescent="0.25">
      <c r="A1314" s="274" t="s">
        <v>103</v>
      </c>
      <c r="B1314" s="966"/>
      <c r="C1314" s="275" t="s">
        <v>236</v>
      </c>
      <c r="D1314" s="275" t="s">
        <v>238</v>
      </c>
      <c r="E1314" s="276">
        <v>40000</v>
      </c>
      <c r="F1314" s="277"/>
      <c r="G1314" s="333">
        <f t="shared" si="1681"/>
        <v>0</v>
      </c>
      <c r="H1314" s="278">
        <v>0</v>
      </c>
      <c r="I1314" s="278">
        <v>0</v>
      </c>
      <c r="J1314" s="351" t="str">
        <f t="shared" si="1685"/>
        <v>-</v>
      </c>
      <c r="K1314" s="333">
        <f t="shared" si="1682"/>
        <v>0</v>
      </c>
      <c r="L1314" s="272">
        <f t="shared" si="1683"/>
        <v>0</v>
      </c>
      <c r="M1314" s="273">
        <f t="shared" si="1684"/>
        <v>0</v>
      </c>
      <c r="N1314" s="337">
        <f t="shared" si="1676"/>
        <v>0</v>
      </c>
      <c r="O1314" s="263" t="str">
        <f t="shared" si="1661"/>
        <v>-</v>
      </c>
    </row>
    <row r="1315" spans="1:15" ht="24" x14ac:dyDescent="0.25">
      <c r="A1315" s="274" t="s">
        <v>103</v>
      </c>
      <c r="B1315" s="966"/>
      <c r="C1315" s="275" t="s">
        <v>239</v>
      </c>
      <c r="D1315" s="275" t="s">
        <v>238</v>
      </c>
      <c r="E1315" s="276">
        <v>4000</v>
      </c>
      <c r="F1315" s="277"/>
      <c r="G1315" s="333">
        <f t="shared" si="1681"/>
        <v>0</v>
      </c>
      <c r="H1315" s="278">
        <v>0</v>
      </c>
      <c r="I1315" s="278">
        <v>0</v>
      </c>
      <c r="J1315" s="351" t="str">
        <f t="shared" si="1685"/>
        <v>-</v>
      </c>
      <c r="K1315" s="333">
        <f t="shared" si="1682"/>
        <v>0</v>
      </c>
      <c r="L1315" s="272">
        <f t="shared" si="1683"/>
        <v>0</v>
      </c>
      <c r="M1315" s="273">
        <f t="shared" si="1684"/>
        <v>0</v>
      </c>
      <c r="N1315" s="337">
        <f t="shared" si="1676"/>
        <v>0</v>
      </c>
      <c r="O1315" s="263" t="str">
        <f t="shared" si="1661"/>
        <v>-</v>
      </c>
    </row>
    <row r="1316" spans="1:15" ht="24" x14ac:dyDescent="0.25">
      <c r="A1316" s="274" t="s">
        <v>103</v>
      </c>
      <c r="B1316" s="966"/>
      <c r="C1316" s="295" t="s">
        <v>394</v>
      </c>
      <c r="D1316" s="275" t="s">
        <v>238</v>
      </c>
      <c r="E1316" s="276">
        <v>8500</v>
      </c>
      <c r="F1316" s="277"/>
      <c r="G1316" s="333">
        <f t="shared" si="1681"/>
        <v>0</v>
      </c>
      <c r="H1316" s="278">
        <v>0</v>
      </c>
      <c r="I1316" s="278">
        <v>0</v>
      </c>
      <c r="J1316" s="351" t="str">
        <f t="shared" si="1685"/>
        <v>-</v>
      </c>
      <c r="K1316" s="333">
        <f t="shared" si="1682"/>
        <v>0</v>
      </c>
      <c r="L1316" s="272">
        <f t="shared" si="1683"/>
        <v>0</v>
      </c>
      <c r="M1316" s="273">
        <f t="shared" si="1684"/>
        <v>0</v>
      </c>
      <c r="N1316" s="337">
        <f t="shared" si="1676"/>
        <v>0</v>
      </c>
      <c r="O1316" s="263" t="str">
        <f t="shared" si="1661"/>
        <v>-</v>
      </c>
    </row>
    <row r="1317" spans="1:15" ht="24" x14ac:dyDescent="0.25">
      <c r="A1317" s="274" t="s">
        <v>103</v>
      </c>
      <c r="B1317" s="966"/>
      <c r="C1317" s="295" t="s">
        <v>422</v>
      </c>
      <c r="D1317" s="275" t="s">
        <v>238</v>
      </c>
      <c r="E1317" s="276">
        <v>10000</v>
      </c>
      <c r="F1317" s="277"/>
      <c r="G1317" s="333">
        <f t="shared" si="1681"/>
        <v>0</v>
      </c>
      <c r="H1317" s="278">
        <v>0</v>
      </c>
      <c r="I1317" s="278">
        <v>0</v>
      </c>
      <c r="J1317" s="351" t="str">
        <f t="shared" si="1685"/>
        <v>-</v>
      </c>
      <c r="K1317" s="333">
        <f t="shared" si="1682"/>
        <v>0</v>
      </c>
      <c r="L1317" s="272">
        <f t="shared" si="1683"/>
        <v>0</v>
      </c>
      <c r="M1317" s="273">
        <f t="shared" si="1684"/>
        <v>0</v>
      </c>
      <c r="N1317" s="337">
        <f t="shared" si="1676"/>
        <v>0</v>
      </c>
      <c r="O1317" s="263" t="str">
        <f t="shared" si="1661"/>
        <v>-</v>
      </c>
    </row>
    <row r="1318" spans="1:15" ht="24" x14ac:dyDescent="0.25">
      <c r="A1318" s="274" t="s">
        <v>103</v>
      </c>
      <c r="B1318" s="966"/>
      <c r="C1318" s="295" t="s">
        <v>241</v>
      </c>
      <c r="D1318" s="275" t="s">
        <v>243</v>
      </c>
      <c r="E1318" s="276"/>
      <c r="F1318" s="277"/>
      <c r="G1318" s="333">
        <f t="shared" si="1681"/>
        <v>0</v>
      </c>
      <c r="H1318" s="278">
        <v>0</v>
      </c>
      <c r="I1318" s="278">
        <v>0</v>
      </c>
      <c r="J1318" s="351" t="str">
        <f t="shared" si="1685"/>
        <v>-</v>
      </c>
      <c r="K1318" s="333">
        <f t="shared" si="1682"/>
        <v>0</v>
      </c>
      <c r="L1318" s="272">
        <f t="shared" si="1683"/>
        <v>0</v>
      </c>
      <c r="M1318" s="273">
        <f t="shared" si="1684"/>
        <v>0</v>
      </c>
      <c r="N1318" s="337" t="str">
        <f t="shared" si="1676"/>
        <v>-</v>
      </c>
      <c r="O1318" s="263" t="str">
        <f t="shared" si="1661"/>
        <v>-</v>
      </c>
    </row>
    <row r="1319" spans="1:15" ht="24" x14ac:dyDescent="0.25">
      <c r="A1319" s="274"/>
      <c r="B1319" s="967"/>
      <c r="C1319" s="295" t="s">
        <v>546</v>
      </c>
      <c r="D1319" s="275" t="s">
        <v>238</v>
      </c>
      <c r="E1319" s="280">
        <v>6000</v>
      </c>
      <c r="F1319" s="281"/>
      <c r="G1319" s="333">
        <f t="shared" si="1681"/>
        <v>0</v>
      </c>
      <c r="H1319" s="278">
        <v>0</v>
      </c>
      <c r="I1319" s="278">
        <v>0</v>
      </c>
      <c r="J1319" s="351" t="str">
        <f t="shared" si="1685"/>
        <v>-</v>
      </c>
      <c r="K1319" s="333">
        <f t="shared" si="1682"/>
        <v>0</v>
      </c>
      <c r="L1319" s="272">
        <f t="shared" si="1683"/>
        <v>0</v>
      </c>
      <c r="M1319" s="273">
        <f t="shared" si="1684"/>
        <v>0</v>
      </c>
      <c r="N1319" s="337">
        <f t="shared" si="1676"/>
        <v>0</v>
      </c>
      <c r="O1319" s="263" t="str">
        <f t="shared" si="1661"/>
        <v>-</v>
      </c>
    </row>
    <row r="1320" spans="1:15" ht="24.75" thickBot="1" x14ac:dyDescent="0.3">
      <c r="A1320" s="274" t="s">
        <v>103</v>
      </c>
      <c r="B1320" s="967"/>
      <c r="C1320" s="295" t="s">
        <v>242</v>
      </c>
      <c r="D1320" s="275" t="s">
        <v>238</v>
      </c>
      <c r="E1320" s="280">
        <v>5000</v>
      </c>
      <c r="F1320" s="281"/>
      <c r="G1320" s="334">
        <f t="shared" si="1681"/>
        <v>0</v>
      </c>
      <c r="H1320" s="278">
        <v>0</v>
      </c>
      <c r="I1320" s="278">
        <v>0</v>
      </c>
      <c r="J1320" s="351" t="str">
        <f t="shared" si="1685"/>
        <v>-</v>
      </c>
      <c r="K1320" s="334">
        <f t="shared" si="1682"/>
        <v>0</v>
      </c>
      <c r="L1320" s="272">
        <f t="shared" si="1683"/>
        <v>0</v>
      </c>
      <c r="M1320" s="273">
        <f t="shared" si="1684"/>
        <v>0</v>
      </c>
      <c r="N1320" s="338">
        <f t="shared" si="1676"/>
        <v>0</v>
      </c>
      <c r="O1320" s="347" t="str">
        <f t="shared" si="1661"/>
        <v>-</v>
      </c>
    </row>
    <row r="1321" spans="1:15" ht="23.25" thickBot="1" x14ac:dyDescent="0.3">
      <c r="A1321" s="274" t="s">
        <v>103</v>
      </c>
      <c r="B1321" s="946" t="s">
        <v>49</v>
      </c>
      <c r="C1321" s="947"/>
      <c r="D1321" s="948"/>
      <c r="E1321" s="284">
        <f>SUM(E1312:E1320)</f>
        <v>195500</v>
      </c>
      <c r="F1321" s="285">
        <v>14000</v>
      </c>
      <c r="G1321" s="320">
        <f>SUM(G1312:G1320)</f>
        <v>0</v>
      </c>
      <c r="H1321" s="321">
        <f t="shared" ref="H1321:I1321" si="1686">SUM(H1312:H1320)</f>
        <v>0</v>
      </c>
      <c r="I1321" s="321">
        <f t="shared" si="1686"/>
        <v>0</v>
      </c>
      <c r="J1321" s="345">
        <f>+G1322/F1322</f>
        <v>0.35904255319148937</v>
      </c>
      <c r="K1321" s="320">
        <f>SUM(K1312:K1320)</f>
        <v>0</v>
      </c>
      <c r="L1321" s="321">
        <f>+H1321</f>
        <v>0</v>
      </c>
      <c r="M1321" s="322">
        <f>+I1321</f>
        <v>0</v>
      </c>
      <c r="N1321" s="339">
        <f t="shared" si="1676"/>
        <v>0</v>
      </c>
      <c r="O1321" s="345" t="str">
        <f t="shared" si="1661"/>
        <v>-</v>
      </c>
    </row>
    <row r="1322" spans="1:15" ht="23.25" thickBot="1" x14ac:dyDescent="0.3">
      <c r="A1322" s="274" t="s">
        <v>103</v>
      </c>
      <c r="B1322" s="960" t="s">
        <v>25</v>
      </c>
      <c r="C1322" s="961"/>
      <c r="D1322" s="962"/>
      <c r="E1322" s="326">
        <f t="shared" ref="E1322:F1322" si="1687">+E1311+E1321</f>
        <v>195500</v>
      </c>
      <c r="F1322" s="327">
        <f t="shared" si="1687"/>
        <v>94000</v>
      </c>
      <c r="G1322" s="326">
        <f>+G1311+G1321</f>
        <v>33750</v>
      </c>
      <c r="H1322" s="324">
        <f t="shared" ref="H1322:I1322" si="1688">+H1311+H1321</f>
        <v>33660</v>
      </c>
      <c r="I1322" s="324">
        <f t="shared" si="1688"/>
        <v>90</v>
      </c>
      <c r="J1322" s="349" t="str">
        <f>IFERROR(G1322/#REF!,"-")</f>
        <v>-</v>
      </c>
      <c r="K1322" s="326">
        <f t="shared" ref="K1322" si="1689">+K1311+K1321</f>
        <v>119090</v>
      </c>
      <c r="L1322" s="324">
        <f>+L1311+L1321</f>
        <v>118800</v>
      </c>
      <c r="M1322" s="325">
        <f t="shared" ref="M1322" si="1690">+M1311+M1321</f>
        <v>290</v>
      </c>
      <c r="N1322" s="341">
        <f t="shared" si="1676"/>
        <v>0.60915601023017907</v>
      </c>
      <c r="O1322" s="349">
        <f t="shared" si="1661"/>
        <v>2.4351330926190278E-3</v>
      </c>
    </row>
    <row r="1323" spans="1:15" ht="23.25" thickBot="1" x14ac:dyDescent="0.3">
      <c r="A1323" s="274" t="s">
        <v>103</v>
      </c>
      <c r="B1323" s="963" t="s">
        <v>172</v>
      </c>
      <c r="C1323" s="941"/>
      <c r="D1323" s="968"/>
      <c r="E1323" s="330">
        <f>+E1306+E1322</f>
        <v>3965500</v>
      </c>
      <c r="F1323" s="331">
        <f t="shared" ref="F1323:I1323" si="1691">+F1306+F1322</f>
        <v>559000</v>
      </c>
      <c r="G1323" s="330">
        <f t="shared" si="1691"/>
        <v>236900</v>
      </c>
      <c r="H1323" s="328">
        <f t="shared" si="1691"/>
        <v>235276</v>
      </c>
      <c r="I1323" s="328">
        <f t="shared" si="1691"/>
        <v>1624</v>
      </c>
      <c r="J1323" s="350">
        <f>+G1323/F1323</f>
        <v>0.42379248658318425</v>
      </c>
      <c r="K1323" s="330">
        <f>+K1306+K1322</f>
        <v>2505792</v>
      </c>
      <c r="L1323" s="328">
        <f t="shared" ref="L1323:M1323" si="1692">+L1306+L1322</f>
        <v>2493010</v>
      </c>
      <c r="M1323" s="329">
        <f t="shared" si="1692"/>
        <v>12782</v>
      </c>
      <c r="N1323" s="342">
        <f>IFERROR(K1323/E1323,"-")</f>
        <v>0.6318981212961795</v>
      </c>
      <c r="O1323" s="350">
        <f t="shared" si="1661"/>
        <v>5.1009820447986106E-3</v>
      </c>
    </row>
    <row r="1324" spans="1:15" ht="24" x14ac:dyDescent="0.25">
      <c r="A1324" s="268" t="s">
        <v>101</v>
      </c>
      <c r="B1324" s="956" t="s">
        <v>26</v>
      </c>
      <c r="C1324" s="893" t="s">
        <v>297</v>
      </c>
      <c r="D1324" s="898" t="s">
        <v>177</v>
      </c>
      <c r="E1324" s="895"/>
      <c r="F1324" s="271"/>
      <c r="G1324" s="332">
        <f t="shared" ref="G1324:G1333" si="1693">+H1324+I1324</f>
        <v>0</v>
      </c>
      <c r="H1324" s="272">
        <v>0</v>
      </c>
      <c r="I1324" s="272">
        <v>0</v>
      </c>
      <c r="J1324" s="351" t="str">
        <f>IFERROR(G1324/F1324,"-")</f>
        <v>-</v>
      </c>
      <c r="K1324" s="332">
        <f t="shared" ref="K1324:K1333" si="1694">+L1324+M1324</f>
        <v>0</v>
      </c>
      <c r="L1324" s="272">
        <f t="shared" ref="L1324:L1333" si="1695">+H1324+L1207</f>
        <v>0</v>
      </c>
      <c r="M1324" s="273">
        <f t="shared" ref="M1324:M1333" si="1696">+I1324+M1207</f>
        <v>0</v>
      </c>
      <c r="N1324" s="336" t="str">
        <f t="shared" ref="N1324:N1342" si="1697">IFERROR(K1324/E1324,"-")</f>
        <v>-</v>
      </c>
      <c r="O1324" s="346" t="str">
        <f t="shared" si="1661"/>
        <v>-</v>
      </c>
    </row>
    <row r="1325" spans="1:15" ht="24" x14ac:dyDescent="0.25">
      <c r="A1325" s="274" t="s">
        <v>101</v>
      </c>
      <c r="B1325" s="956"/>
      <c r="C1325" s="253" t="s">
        <v>424</v>
      </c>
      <c r="D1325" s="899" t="s">
        <v>423</v>
      </c>
      <c r="E1325" s="511">
        <v>314432</v>
      </c>
      <c r="F1325" s="277"/>
      <c r="G1325" s="333">
        <f t="shared" si="1693"/>
        <v>0</v>
      </c>
      <c r="H1325" s="278">
        <v>0</v>
      </c>
      <c r="I1325" s="278">
        <v>0</v>
      </c>
      <c r="J1325" s="351" t="str">
        <f t="shared" ref="J1325:J1333" si="1698">IFERROR(G1325/F1325,"-")</f>
        <v>-</v>
      </c>
      <c r="K1325" s="333">
        <f t="shared" si="1694"/>
        <v>265434</v>
      </c>
      <c r="L1325" s="272">
        <f t="shared" si="1695"/>
        <v>262548</v>
      </c>
      <c r="M1325" s="273">
        <f t="shared" si="1696"/>
        <v>2886</v>
      </c>
      <c r="N1325" s="337">
        <f t="shared" si="1697"/>
        <v>0.84416980460004076</v>
      </c>
      <c r="O1325" s="263">
        <f t="shared" si="1661"/>
        <v>1.0872759330002939E-2</v>
      </c>
    </row>
    <row r="1326" spans="1:15" ht="24" x14ac:dyDescent="0.25">
      <c r="A1326" s="274" t="s">
        <v>101</v>
      </c>
      <c r="B1326" s="956"/>
      <c r="C1326" s="813" t="s">
        <v>27</v>
      </c>
      <c r="D1326" s="899" t="s">
        <v>334</v>
      </c>
      <c r="E1326" s="896">
        <v>932448</v>
      </c>
      <c r="F1326" s="281"/>
      <c r="G1326" s="333">
        <f t="shared" si="1693"/>
        <v>8420</v>
      </c>
      <c r="H1326" s="278">
        <v>7956</v>
      </c>
      <c r="I1326" s="278">
        <v>464</v>
      </c>
      <c r="J1326" s="351" t="str">
        <f t="shared" si="1698"/>
        <v>-</v>
      </c>
      <c r="K1326" s="333">
        <f t="shared" si="1694"/>
        <v>37943</v>
      </c>
      <c r="L1326" s="272">
        <f t="shared" si="1695"/>
        <v>35802</v>
      </c>
      <c r="M1326" s="273">
        <f t="shared" si="1696"/>
        <v>2141</v>
      </c>
      <c r="N1326" s="337">
        <f t="shared" si="1697"/>
        <v>4.0691813377260716E-2</v>
      </c>
      <c r="O1326" s="263">
        <f t="shared" si="1661"/>
        <v>5.6426745381229743E-2</v>
      </c>
    </row>
    <row r="1327" spans="1:15" ht="24" x14ac:dyDescent="0.25">
      <c r="A1327" s="274" t="s">
        <v>101</v>
      </c>
      <c r="B1327" s="956"/>
      <c r="C1327" s="813" t="s">
        <v>27</v>
      </c>
      <c r="D1327" s="900" t="s">
        <v>492</v>
      </c>
      <c r="E1327" s="896"/>
      <c r="F1327" s="281"/>
      <c r="G1327" s="333">
        <f t="shared" si="1693"/>
        <v>0</v>
      </c>
      <c r="H1327" s="278">
        <v>0</v>
      </c>
      <c r="I1327" s="278">
        <v>0</v>
      </c>
      <c r="J1327" s="351" t="str">
        <f t="shared" si="1698"/>
        <v>-</v>
      </c>
      <c r="K1327" s="333">
        <f t="shared" si="1694"/>
        <v>274869</v>
      </c>
      <c r="L1327" s="272">
        <f t="shared" si="1695"/>
        <v>270504</v>
      </c>
      <c r="M1327" s="273">
        <f t="shared" si="1696"/>
        <v>4365</v>
      </c>
      <c r="N1327" s="337" t="str">
        <f t="shared" si="1697"/>
        <v>-</v>
      </c>
      <c r="O1327" s="263">
        <f t="shared" si="1661"/>
        <v>1.588029206640254E-2</v>
      </c>
    </row>
    <row r="1328" spans="1:15" ht="24" x14ac:dyDescent="0.25">
      <c r="A1328" s="274" t="s">
        <v>101</v>
      </c>
      <c r="B1328" s="956"/>
      <c r="C1328" s="893" t="s">
        <v>521</v>
      </c>
      <c r="D1328" s="899" t="s">
        <v>234</v>
      </c>
      <c r="E1328" s="896">
        <v>136768</v>
      </c>
      <c r="F1328" s="281"/>
      <c r="G1328" s="333">
        <f t="shared" si="1693"/>
        <v>0</v>
      </c>
      <c r="H1328" s="278">
        <v>0</v>
      </c>
      <c r="I1328" s="278">
        <v>0</v>
      </c>
      <c r="J1328" s="351" t="str">
        <f t="shared" si="1698"/>
        <v>-</v>
      </c>
      <c r="K1328" s="333">
        <f t="shared" si="1694"/>
        <v>57116</v>
      </c>
      <c r="L1328" s="272">
        <f t="shared" si="1695"/>
        <v>55692</v>
      </c>
      <c r="M1328" s="273">
        <f t="shared" si="1696"/>
        <v>1424</v>
      </c>
      <c r="N1328" s="337">
        <f t="shared" si="1697"/>
        <v>0.41761230697239121</v>
      </c>
      <c r="O1328" s="263">
        <f t="shared" si="1661"/>
        <v>2.4931717907416485E-2</v>
      </c>
    </row>
    <row r="1329" spans="1:15" ht="24" x14ac:dyDescent="0.25">
      <c r="A1329" s="274"/>
      <c r="B1329" s="956"/>
      <c r="C1329" s="813" t="s">
        <v>432</v>
      </c>
      <c r="D1329" s="899" t="s">
        <v>178</v>
      </c>
      <c r="E1329" s="896"/>
      <c r="F1329" s="281"/>
      <c r="G1329" s="334">
        <f t="shared" si="1693"/>
        <v>0</v>
      </c>
      <c r="H1329" s="278">
        <v>0</v>
      </c>
      <c r="I1329" s="278">
        <v>0</v>
      </c>
      <c r="J1329" s="351" t="str">
        <f t="shared" si="1698"/>
        <v>-</v>
      </c>
      <c r="K1329" s="334">
        <f t="shared" si="1694"/>
        <v>0</v>
      </c>
      <c r="L1329" s="272">
        <f t="shared" si="1695"/>
        <v>0</v>
      </c>
      <c r="M1329" s="273">
        <f t="shared" si="1696"/>
        <v>0</v>
      </c>
      <c r="N1329" s="337" t="str">
        <f t="shared" si="1697"/>
        <v>-</v>
      </c>
      <c r="O1329" s="263" t="str">
        <f t="shared" si="1661"/>
        <v>-</v>
      </c>
    </row>
    <row r="1330" spans="1:15" ht="24" x14ac:dyDescent="0.25">
      <c r="A1330" s="274"/>
      <c r="B1330" s="956"/>
      <c r="C1330" s="813" t="s">
        <v>333</v>
      </c>
      <c r="D1330" s="899" t="s">
        <v>94</v>
      </c>
      <c r="E1330" s="896">
        <v>32016</v>
      </c>
      <c r="F1330" s="281"/>
      <c r="G1330" s="334">
        <f t="shared" si="1693"/>
        <v>0</v>
      </c>
      <c r="H1330" s="278">
        <v>0</v>
      </c>
      <c r="I1330" s="278">
        <v>0</v>
      </c>
      <c r="J1330" s="351" t="str">
        <f t="shared" si="1698"/>
        <v>-</v>
      </c>
      <c r="K1330" s="334">
        <f t="shared" si="1694"/>
        <v>0</v>
      </c>
      <c r="L1330" s="272">
        <f t="shared" si="1695"/>
        <v>0</v>
      </c>
      <c r="M1330" s="273">
        <f t="shared" si="1696"/>
        <v>0</v>
      </c>
      <c r="N1330" s="337">
        <f t="shared" si="1697"/>
        <v>0</v>
      </c>
      <c r="O1330" s="263" t="str">
        <f t="shared" si="1661"/>
        <v>-</v>
      </c>
    </row>
    <row r="1331" spans="1:15" ht="24" x14ac:dyDescent="0.25">
      <c r="A1331" s="274"/>
      <c r="B1331" s="956"/>
      <c r="C1331" s="813" t="s">
        <v>433</v>
      </c>
      <c r="D1331" s="899" t="s">
        <v>540</v>
      </c>
      <c r="E1331" s="896"/>
      <c r="F1331" s="281"/>
      <c r="G1331" s="334">
        <f t="shared" si="1693"/>
        <v>0</v>
      </c>
      <c r="H1331" s="278">
        <v>0</v>
      </c>
      <c r="I1331" s="278">
        <v>0</v>
      </c>
      <c r="J1331" s="351" t="str">
        <f t="shared" si="1698"/>
        <v>-</v>
      </c>
      <c r="K1331" s="334">
        <f t="shared" si="1694"/>
        <v>358419</v>
      </c>
      <c r="L1331" s="272">
        <f t="shared" si="1695"/>
        <v>354042</v>
      </c>
      <c r="M1331" s="272">
        <f t="shared" si="1696"/>
        <v>4377</v>
      </c>
      <c r="N1331" s="337" t="str">
        <f t="shared" si="1697"/>
        <v>-</v>
      </c>
      <c r="O1331" s="263">
        <f t="shared" si="1661"/>
        <v>1.2211964209486663E-2</v>
      </c>
    </row>
    <row r="1332" spans="1:15" ht="24" x14ac:dyDescent="0.25">
      <c r="A1332" s="274"/>
      <c r="B1332" s="956"/>
      <c r="C1332" s="813" t="s">
        <v>382</v>
      </c>
      <c r="D1332" s="899" t="s">
        <v>366</v>
      </c>
      <c r="E1332" s="896"/>
      <c r="F1332" s="281"/>
      <c r="G1332" s="334">
        <f t="shared" si="1693"/>
        <v>0</v>
      </c>
      <c r="H1332" s="278">
        <v>0</v>
      </c>
      <c r="I1332" s="278">
        <v>0</v>
      </c>
      <c r="J1332" s="351" t="str">
        <f t="shared" si="1698"/>
        <v>-</v>
      </c>
      <c r="K1332" s="334">
        <f t="shared" si="1694"/>
        <v>0</v>
      </c>
      <c r="L1332" s="272">
        <f t="shared" si="1695"/>
        <v>0</v>
      </c>
      <c r="M1332" s="273">
        <f t="shared" si="1696"/>
        <v>0</v>
      </c>
      <c r="N1332" s="337" t="str">
        <f t="shared" si="1697"/>
        <v>-</v>
      </c>
      <c r="O1332" s="263" t="str">
        <f t="shared" si="1661"/>
        <v>-</v>
      </c>
    </row>
    <row r="1333" spans="1:15" ht="24.75" thickBot="1" x14ac:dyDescent="0.3">
      <c r="A1333" s="274" t="s">
        <v>101</v>
      </c>
      <c r="B1333" s="956"/>
      <c r="C1333" s="894" t="s">
        <v>290</v>
      </c>
      <c r="D1333" s="901" t="s">
        <v>289</v>
      </c>
      <c r="E1333" s="896"/>
      <c r="F1333" s="281"/>
      <c r="G1333" s="334">
        <f t="shared" si="1693"/>
        <v>0</v>
      </c>
      <c r="H1333" s="278">
        <v>0</v>
      </c>
      <c r="I1333" s="278">
        <v>0</v>
      </c>
      <c r="J1333" s="351" t="str">
        <f t="shared" si="1698"/>
        <v>-</v>
      </c>
      <c r="K1333" s="334">
        <f t="shared" si="1694"/>
        <v>0</v>
      </c>
      <c r="L1333" s="272">
        <f t="shared" si="1695"/>
        <v>0</v>
      </c>
      <c r="M1333" s="273">
        <f t="shared" si="1696"/>
        <v>0</v>
      </c>
      <c r="N1333" s="337" t="str">
        <f t="shared" si="1697"/>
        <v>-</v>
      </c>
      <c r="O1333" s="347" t="str">
        <f t="shared" si="1661"/>
        <v>-</v>
      </c>
    </row>
    <row r="1334" spans="1:15" ht="23.25" thickBot="1" x14ac:dyDescent="0.3">
      <c r="A1334" s="274" t="s">
        <v>101</v>
      </c>
      <c r="B1334" s="969"/>
      <c r="C1334" s="301"/>
      <c r="D1334" s="897" t="s">
        <v>52</v>
      </c>
      <c r="E1334" s="284">
        <f>SUM(E1324:E1333)</f>
        <v>1415664</v>
      </c>
      <c r="F1334" s="285">
        <v>160000</v>
      </c>
      <c r="G1334" s="320">
        <f>SUM(G1324:G1333)</f>
        <v>8420</v>
      </c>
      <c r="H1334" s="321">
        <f>SUM(H1324:H1333)</f>
        <v>7956</v>
      </c>
      <c r="I1334" s="321">
        <f>SUM(I1324:I1333)</f>
        <v>464</v>
      </c>
      <c r="J1334" s="345">
        <f>+G1334/F1334</f>
        <v>5.2624999999999998E-2</v>
      </c>
      <c r="K1334" s="320">
        <f>SUM(K1324:K1333)</f>
        <v>993781</v>
      </c>
      <c r="L1334" s="321">
        <f>SUM(L1324:L1333)</f>
        <v>978588</v>
      </c>
      <c r="M1334" s="322">
        <f>SUM(M1324:M1333)</f>
        <v>15193</v>
      </c>
      <c r="N1334" s="339">
        <f t="shared" si="1697"/>
        <v>0.70198931384848384</v>
      </c>
      <c r="O1334" s="345">
        <f t="shared" si="1661"/>
        <v>1.5288076548052337E-2</v>
      </c>
    </row>
    <row r="1335" spans="1:15" ht="24" x14ac:dyDescent="0.25">
      <c r="A1335" s="274" t="s">
        <v>101</v>
      </c>
      <c r="B1335" s="955" t="s">
        <v>28</v>
      </c>
      <c r="C1335" s="299" t="s">
        <v>27</v>
      </c>
      <c r="D1335" s="297" t="s">
        <v>492</v>
      </c>
      <c r="E1335" s="270"/>
      <c r="F1335" s="271"/>
      <c r="G1335" s="332">
        <f t="shared" ref="G1335:G1339" si="1699">+H1335+I1335</f>
        <v>0</v>
      </c>
      <c r="H1335" s="272">
        <v>0</v>
      </c>
      <c r="I1335" s="272">
        <v>0</v>
      </c>
      <c r="J1335" s="351" t="str">
        <f>IFERROR(G1335/F1335,"-")</f>
        <v>-</v>
      </c>
      <c r="K1335" s="332">
        <f t="shared" ref="K1335:K1341" si="1700">+L1335+M1335</f>
        <v>170343</v>
      </c>
      <c r="L1335" s="272">
        <f t="shared" ref="L1335:L1341" si="1701">+H1335+L1218</f>
        <v>167076</v>
      </c>
      <c r="M1335" s="273">
        <f t="shared" ref="M1335:M1341" si="1702">+I1335+M1218</f>
        <v>3267</v>
      </c>
      <c r="N1335" s="336" t="str">
        <f t="shared" si="1697"/>
        <v>-</v>
      </c>
      <c r="O1335" s="346">
        <f t="shared" si="1661"/>
        <v>1.9178950705341577E-2</v>
      </c>
    </row>
    <row r="1336" spans="1:15" ht="24" x14ac:dyDescent="0.25">
      <c r="A1336" s="274" t="s">
        <v>101</v>
      </c>
      <c r="B1336" s="956"/>
      <c r="C1336" s="299" t="s">
        <v>385</v>
      </c>
      <c r="D1336" s="299" t="s">
        <v>334</v>
      </c>
      <c r="E1336" s="276"/>
      <c r="F1336" s="277"/>
      <c r="G1336" s="333">
        <f t="shared" si="1699"/>
        <v>0</v>
      </c>
      <c r="H1336" s="278">
        <v>0</v>
      </c>
      <c r="I1336" s="278">
        <v>0</v>
      </c>
      <c r="J1336" s="351" t="str">
        <f t="shared" ref="J1336:J1341" si="1703">IFERROR(G1336/F1336,"-")</f>
        <v>-</v>
      </c>
      <c r="K1336" s="333">
        <f t="shared" si="1700"/>
        <v>96975</v>
      </c>
      <c r="L1336" s="272">
        <f t="shared" si="1701"/>
        <v>95472</v>
      </c>
      <c r="M1336" s="273">
        <f t="shared" si="1702"/>
        <v>1503</v>
      </c>
      <c r="N1336" s="337" t="str">
        <f t="shared" si="1697"/>
        <v>-</v>
      </c>
      <c r="O1336" s="263">
        <f t="shared" si="1661"/>
        <v>1.5498839907192575E-2</v>
      </c>
    </row>
    <row r="1337" spans="1:15" ht="24" x14ac:dyDescent="0.25">
      <c r="A1337" s="274" t="s">
        <v>101</v>
      </c>
      <c r="B1337" s="956"/>
      <c r="C1337" s="299" t="s">
        <v>27</v>
      </c>
      <c r="D1337" s="299" t="s">
        <v>334</v>
      </c>
      <c r="E1337" s="276"/>
      <c r="F1337" s="277"/>
      <c r="G1337" s="333">
        <f t="shared" si="1699"/>
        <v>0</v>
      </c>
      <c r="H1337" s="278">
        <v>0</v>
      </c>
      <c r="I1337" s="278">
        <v>0</v>
      </c>
      <c r="J1337" s="351" t="str">
        <f t="shared" si="1703"/>
        <v>-</v>
      </c>
      <c r="K1337" s="333">
        <f t="shared" si="1700"/>
        <v>0</v>
      </c>
      <c r="L1337" s="272">
        <f t="shared" si="1701"/>
        <v>0</v>
      </c>
      <c r="M1337" s="273">
        <f t="shared" si="1702"/>
        <v>0</v>
      </c>
      <c r="N1337" s="337" t="str">
        <f t="shared" si="1697"/>
        <v>-</v>
      </c>
      <c r="O1337" s="263" t="str">
        <f t="shared" si="1661"/>
        <v>-</v>
      </c>
    </row>
    <row r="1338" spans="1:15" ht="24" x14ac:dyDescent="0.25">
      <c r="A1338" s="274"/>
      <c r="B1338" s="956"/>
      <c r="C1338" s="299" t="s">
        <v>460</v>
      </c>
      <c r="D1338" s="299" t="s">
        <v>334</v>
      </c>
      <c r="E1338" s="280"/>
      <c r="F1338" s="281"/>
      <c r="G1338" s="333">
        <f t="shared" si="1699"/>
        <v>0</v>
      </c>
      <c r="H1338" s="278">
        <v>0</v>
      </c>
      <c r="I1338" s="278">
        <v>0</v>
      </c>
      <c r="J1338" s="351" t="str">
        <f t="shared" si="1703"/>
        <v>-</v>
      </c>
      <c r="K1338" s="333">
        <f t="shared" si="1700"/>
        <v>4348</v>
      </c>
      <c r="L1338" s="272">
        <f t="shared" si="1701"/>
        <v>3978</v>
      </c>
      <c r="M1338" s="273">
        <f t="shared" si="1702"/>
        <v>370</v>
      </c>
      <c r="N1338" s="337" t="str">
        <f t="shared" si="1697"/>
        <v>-</v>
      </c>
      <c r="O1338" s="263">
        <f t="shared" si="1661"/>
        <v>8.5096596136154556E-2</v>
      </c>
    </row>
    <row r="1339" spans="1:15" ht="24" x14ac:dyDescent="0.25">
      <c r="A1339" s="274" t="s">
        <v>101</v>
      </c>
      <c r="B1339" s="956"/>
      <c r="C1339" s="299" t="s">
        <v>433</v>
      </c>
      <c r="D1339" s="299" t="s">
        <v>540</v>
      </c>
      <c r="E1339" s="280"/>
      <c r="F1339" s="281"/>
      <c r="G1339" s="334">
        <f t="shared" si="1699"/>
        <v>0</v>
      </c>
      <c r="H1339" s="278">
        <v>0</v>
      </c>
      <c r="I1339" s="278">
        <v>0</v>
      </c>
      <c r="J1339" s="351" t="str">
        <f t="shared" si="1703"/>
        <v>-</v>
      </c>
      <c r="K1339" s="334">
        <f t="shared" si="1700"/>
        <v>128335</v>
      </c>
      <c r="L1339" s="272">
        <f t="shared" si="1701"/>
        <v>127296</v>
      </c>
      <c r="M1339" s="702">
        <f t="shared" si="1702"/>
        <v>1039</v>
      </c>
      <c r="N1339" s="338" t="str">
        <f t="shared" si="1697"/>
        <v>-</v>
      </c>
      <c r="O1339" s="347">
        <f t="shared" si="1661"/>
        <v>8.0959987532629452E-3</v>
      </c>
    </row>
    <row r="1340" spans="1:15" ht="24" x14ac:dyDescent="0.25">
      <c r="A1340" s="274"/>
      <c r="B1340" s="956"/>
      <c r="C1340" s="299" t="s">
        <v>458</v>
      </c>
      <c r="D1340" s="300" t="s">
        <v>280</v>
      </c>
      <c r="E1340" s="280">
        <v>200000</v>
      </c>
      <c r="F1340" s="281"/>
      <c r="G1340" s="334"/>
      <c r="H1340" s="278">
        <v>0</v>
      </c>
      <c r="I1340" s="278">
        <v>0</v>
      </c>
      <c r="J1340" s="351" t="str">
        <f t="shared" si="1703"/>
        <v>-</v>
      </c>
      <c r="K1340" s="334">
        <f t="shared" si="1700"/>
        <v>0</v>
      </c>
      <c r="L1340" s="272">
        <f t="shared" si="1701"/>
        <v>0</v>
      </c>
      <c r="M1340" s="272">
        <f t="shared" si="1702"/>
        <v>0</v>
      </c>
      <c r="N1340" s="338">
        <f t="shared" si="1697"/>
        <v>0</v>
      </c>
      <c r="O1340" s="347" t="str">
        <f t="shared" si="1661"/>
        <v>-</v>
      </c>
    </row>
    <row r="1341" spans="1:15" ht="24.75" thickBot="1" x14ac:dyDescent="0.3">
      <c r="A1341" s="274" t="s">
        <v>101</v>
      </c>
      <c r="B1341" s="956"/>
      <c r="C1341" s="299" t="s">
        <v>27</v>
      </c>
      <c r="D1341" s="300" t="s">
        <v>234</v>
      </c>
      <c r="E1341" s="280">
        <v>250000</v>
      </c>
      <c r="F1341" s="281"/>
      <c r="G1341" s="334">
        <f t="shared" ref="G1341" si="1704">+H1341+I1341</f>
        <v>0</v>
      </c>
      <c r="H1341" s="278">
        <v>0</v>
      </c>
      <c r="I1341" s="278">
        <v>0</v>
      </c>
      <c r="J1341" s="351" t="str">
        <f t="shared" si="1703"/>
        <v>-</v>
      </c>
      <c r="K1341" s="334">
        <f t="shared" si="1700"/>
        <v>0</v>
      </c>
      <c r="L1341" s="272">
        <f t="shared" si="1701"/>
        <v>0</v>
      </c>
      <c r="M1341" s="702">
        <f t="shared" si="1702"/>
        <v>0</v>
      </c>
      <c r="N1341" s="338">
        <f t="shared" si="1697"/>
        <v>0</v>
      </c>
      <c r="O1341" s="347" t="str">
        <f t="shared" si="1661"/>
        <v>-</v>
      </c>
    </row>
    <row r="1342" spans="1:15" ht="23.25" thickBot="1" x14ac:dyDescent="0.3">
      <c r="A1342" s="274" t="s">
        <v>101</v>
      </c>
      <c r="B1342" s="956"/>
      <c r="C1342" s="304"/>
      <c r="D1342" s="305" t="s">
        <v>52</v>
      </c>
      <c r="E1342" s="306">
        <f>SUM(E1335:E1341)</f>
        <v>450000</v>
      </c>
      <c r="F1342" s="307">
        <v>80000</v>
      </c>
      <c r="G1342" s="366">
        <f>SUM(G1335:G1341)</f>
        <v>0</v>
      </c>
      <c r="H1342" s="365">
        <f>SUM(H1335:H1341)</f>
        <v>0</v>
      </c>
      <c r="I1342" s="365">
        <f>SUM(I1335:I1341)</f>
        <v>0</v>
      </c>
      <c r="J1342" s="356">
        <f>+G1342/F1342</f>
        <v>0</v>
      </c>
      <c r="K1342" s="366">
        <f>SUM(K1335:K1341)</f>
        <v>400001</v>
      </c>
      <c r="L1342" s="365">
        <f>SUM(L1335:L1341)</f>
        <v>393822</v>
      </c>
      <c r="M1342" s="367">
        <f>SUM(M1335:M1341)</f>
        <v>6179</v>
      </c>
      <c r="N1342" s="355">
        <f t="shared" si="1697"/>
        <v>0.88889111111111108</v>
      </c>
      <c r="O1342" s="356">
        <f t="shared" si="1661"/>
        <v>1.5447461381346547E-2</v>
      </c>
    </row>
    <row r="1343" spans="1:15" ht="23.25" thickBot="1" x14ac:dyDescent="0.3">
      <c r="A1343" s="926" t="s">
        <v>101</v>
      </c>
      <c r="B1343" s="957" t="s">
        <v>162</v>
      </c>
      <c r="C1343" s="958"/>
      <c r="D1343" s="959"/>
      <c r="E1343" s="308">
        <f>+E1342+E1334</f>
        <v>1865664</v>
      </c>
      <c r="F1343" s="309">
        <f>+F1342+F1334</f>
        <v>240000</v>
      </c>
      <c r="G1343" s="369">
        <f>+G1334+G1342</f>
        <v>8420</v>
      </c>
      <c r="H1343" s="368">
        <f>+H1334+H1342</f>
        <v>7956</v>
      </c>
      <c r="I1343" s="368">
        <f>+I1334+I1342</f>
        <v>464</v>
      </c>
      <c r="J1343" s="358">
        <f>+G1343/F1343</f>
        <v>3.5083333333333334E-2</v>
      </c>
      <c r="K1343" s="369">
        <f>+K1334+K1342</f>
        <v>1393782</v>
      </c>
      <c r="L1343" s="368">
        <f>+L1334+L1342</f>
        <v>1372410</v>
      </c>
      <c r="M1343" s="370">
        <f>+M1334+M1342</f>
        <v>21372</v>
      </c>
      <c r="N1343" s="357">
        <f>IFERROR(K1343/E1343,"-")</f>
        <v>0.74707021199958834</v>
      </c>
      <c r="O1343" s="358">
        <f t="shared" si="1661"/>
        <v>1.5333818344619173E-2</v>
      </c>
    </row>
    <row r="1344" spans="1:15" ht="24" x14ac:dyDescent="0.25">
      <c r="A1344" s="274" t="s">
        <v>101</v>
      </c>
      <c r="B1344" s="956" t="s">
        <v>30</v>
      </c>
      <c r="C1344" s="303" t="s">
        <v>446</v>
      </c>
      <c r="D1344" s="299" t="s">
        <v>522</v>
      </c>
      <c r="E1344" s="270">
        <v>225000</v>
      </c>
      <c r="F1344" s="271"/>
      <c r="G1344" s="332">
        <f t="shared" ref="G1344:G1346" si="1705">+H1344+I1344</f>
        <v>0</v>
      </c>
      <c r="H1344" s="272">
        <v>0</v>
      </c>
      <c r="I1344" s="272">
        <v>0</v>
      </c>
      <c r="J1344" s="351" t="str">
        <f>IFERROR(G1344/F1344,"-")</f>
        <v>-</v>
      </c>
      <c r="K1344" s="332">
        <f t="shared" ref="K1344:K1346" si="1706">+L1344+M1344</f>
        <v>0</v>
      </c>
      <c r="L1344" s="272">
        <f t="shared" ref="L1344:L1346" si="1707">+H1344+L1227</f>
        <v>0</v>
      </c>
      <c r="M1344" s="273">
        <f t="shared" ref="M1344:M1346" si="1708">+I1344+M1227</f>
        <v>0</v>
      </c>
      <c r="N1344" s="336">
        <f t="shared" ref="N1344:N1357" si="1709">IFERROR(K1344/E1344,"-")</f>
        <v>0</v>
      </c>
      <c r="O1344" s="346" t="str">
        <f t="shared" si="1661"/>
        <v>-</v>
      </c>
    </row>
    <row r="1345" spans="1:15" ht="24" x14ac:dyDescent="0.25">
      <c r="A1345" s="274" t="s">
        <v>101</v>
      </c>
      <c r="B1345" s="956"/>
      <c r="C1345" s="300" t="s">
        <v>548</v>
      </c>
      <c r="D1345" s="303" t="s">
        <v>522</v>
      </c>
      <c r="E1345" s="276">
        <v>125000</v>
      </c>
      <c r="F1345" s="277"/>
      <c r="G1345" s="333">
        <f t="shared" si="1705"/>
        <v>0</v>
      </c>
      <c r="H1345" s="278">
        <v>0</v>
      </c>
      <c r="I1345" s="278">
        <v>0</v>
      </c>
      <c r="J1345" s="351" t="str">
        <f t="shared" ref="J1345:J1346" si="1710">IFERROR(G1345/F1345,"-")</f>
        <v>-</v>
      </c>
      <c r="K1345" s="333">
        <f t="shared" si="1706"/>
        <v>0</v>
      </c>
      <c r="L1345" s="272">
        <f t="shared" si="1707"/>
        <v>0</v>
      </c>
      <c r="M1345" s="273">
        <f t="shared" si="1708"/>
        <v>0</v>
      </c>
      <c r="N1345" s="337">
        <f t="shared" si="1709"/>
        <v>0</v>
      </c>
      <c r="O1345" s="263" t="str">
        <f t="shared" si="1661"/>
        <v>-</v>
      </c>
    </row>
    <row r="1346" spans="1:15" ht="24.75" thickBot="1" x14ac:dyDescent="0.3">
      <c r="A1346" s="274" t="s">
        <v>101</v>
      </c>
      <c r="B1346" s="956"/>
      <c r="C1346" s="300" t="s">
        <v>291</v>
      </c>
      <c r="D1346" s="300" t="s">
        <v>366</v>
      </c>
      <c r="E1346" s="280"/>
      <c r="F1346" s="281"/>
      <c r="G1346" s="334">
        <f t="shared" si="1705"/>
        <v>0</v>
      </c>
      <c r="H1346" s="282">
        <v>0</v>
      </c>
      <c r="I1346" s="282">
        <v>0</v>
      </c>
      <c r="J1346" s="351" t="str">
        <f t="shared" si="1710"/>
        <v>-</v>
      </c>
      <c r="K1346" s="334">
        <f t="shared" si="1706"/>
        <v>51611</v>
      </c>
      <c r="L1346" s="272">
        <f t="shared" si="1707"/>
        <v>50544</v>
      </c>
      <c r="M1346" s="273">
        <f t="shared" si="1708"/>
        <v>1067</v>
      </c>
      <c r="N1346" s="338" t="str">
        <f t="shared" si="1709"/>
        <v>-</v>
      </c>
      <c r="O1346" s="347">
        <f t="shared" si="1661"/>
        <v>2.0673887349596017E-2</v>
      </c>
    </row>
    <row r="1347" spans="1:15" ht="23.25" thickBot="1" x14ac:dyDescent="0.3">
      <c r="A1347" s="274" t="s">
        <v>101</v>
      </c>
      <c r="B1347" s="956"/>
      <c r="C1347" s="301"/>
      <c r="D1347" s="302" t="s">
        <v>50</v>
      </c>
      <c r="E1347" s="284">
        <f>SUM(E1344:E1346)</f>
        <v>350000</v>
      </c>
      <c r="F1347" s="285">
        <v>50000</v>
      </c>
      <c r="G1347" s="320">
        <f>SUM(G1344:G1346)</f>
        <v>0</v>
      </c>
      <c r="H1347" s="321">
        <f>SUM(H1344:H1346)</f>
        <v>0</v>
      </c>
      <c r="I1347" s="321">
        <f>SUM(I1344:I1346)</f>
        <v>0</v>
      </c>
      <c r="J1347" s="345">
        <f>+G1347/F1347</f>
        <v>0</v>
      </c>
      <c r="K1347" s="320">
        <f>SUM(K1344:K1346)</f>
        <v>51611</v>
      </c>
      <c r="L1347" s="321">
        <f>SUM(L1344:L1346)</f>
        <v>50544</v>
      </c>
      <c r="M1347" s="322">
        <f>SUM(M1344:M1346)</f>
        <v>1067</v>
      </c>
      <c r="N1347" s="339">
        <f t="shared" si="1709"/>
        <v>0.14746000000000001</v>
      </c>
      <c r="O1347" s="345">
        <f t="shared" si="1661"/>
        <v>2.0673887349596017E-2</v>
      </c>
    </row>
    <row r="1348" spans="1:15" ht="24" x14ac:dyDescent="0.25">
      <c r="A1348" s="274" t="s">
        <v>101</v>
      </c>
      <c r="B1348" s="956"/>
      <c r="C1348" s="297" t="s">
        <v>434</v>
      </c>
      <c r="D1348" s="297" t="s">
        <v>92</v>
      </c>
      <c r="E1348" s="270"/>
      <c r="F1348" s="271"/>
      <c r="G1348" s="332">
        <f t="shared" ref="G1348:G1350" si="1711">+H1348+I1348</f>
        <v>0</v>
      </c>
      <c r="H1348" s="272">
        <v>0</v>
      </c>
      <c r="I1348" s="272">
        <v>0</v>
      </c>
      <c r="J1348" s="351" t="str">
        <f>IFERROR(G1348/F1348,"-")</f>
        <v>-</v>
      </c>
      <c r="K1348" s="332">
        <f t="shared" ref="K1348:K1353" si="1712">+L1348+M1348</f>
        <v>0</v>
      </c>
      <c r="L1348" s="272">
        <f t="shared" ref="L1348:L1353" si="1713">+H1348+L1231</f>
        <v>0</v>
      </c>
      <c r="M1348" s="273">
        <f t="shared" ref="M1348:M1353" si="1714">+I1348+M1231</f>
        <v>0</v>
      </c>
      <c r="N1348" s="336" t="str">
        <f t="shared" si="1709"/>
        <v>-</v>
      </c>
      <c r="O1348" s="346" t="str">
        <f t="shared" si="1661"/>
        <v>-</v>
      </c>
    </row>
    <row r="1349" spans="1:15" ht="24" x14ac:dyDescent="0.25">
      <c r="A1349" s="274"/>
      <c r="B1349" s="956"/>
      <c r="C1349" s="303" t="s">
        <v>449</v>
      </c>
      <c r="D1349" s="299" t="s">
        <v>334</v>
      </c>
      <c r="E1349" s="270"/>
      <c r="F1349" s="271"/>
      <c r="G1349" s="332">
        <f t="shared" si="1711"/>
        <v>0</v>
      </c>
      <c r="H1349" s="272">
        <v>0</v>
      </c>
      <c r="I1349" s="272">
        <v>0</v>
      </c>
      <c r="J1349" s="351" t="str">
        <f t="shared" ref="J1349:J1353" si="1715">IFERROR(G1349/F1349,"-")</f>
        <v>-</v>
      </c>
      <c r="K1349" s="332">
        <f t="shared" si="1712"/>
        <v>0</v>
      </c>
      <c r="L1349" s="272">
        <f t="shared" si="1713"/>
        <v>0</v>
      </c>
      <c r="M1349" s="273">
        <f t="shared" si="1714"/>
        <v>0</v>
      </c>
      <c r="N1349" s="337" t="str">
        <f t="shared" si="1709"/>
        <v>-</v>
      </c>
      <c r="O1349" s="346" t="str">
        <f t="shared" si="1661"/>
        <v>-</v>
      </c>
    </row>
    <row r="1350" spans="1:15" ht="24" x14ac:dyDescent="0.25">
      <c r="A1350" s="274"/>
      <c r="B1350" s="956"/>
      <c r="C1350" s="303" t="s">
        <v>452</v>
      </c>
      <c r="D1350" s="299" t="s">
        <v>334</v>
      </c>
      <c r="E1350" s="270"/>
      <c r="F1350" s="271"/>
      <c r="G1350" s="332">
        <f t="shared" si="1711"/>
        <v>0</v>
      </c>
      <c r="H1350" s="272">
        <v>0</v>
      </c>
      <c r="I1350" s="272">
        <v>0</v>
      </c>
      <c r="J1350" s="351" t="str">
        <f t="shared" si="1715"/>
        <v>-</v>
      </c>
      <c r="K1350" s="332">
        <f t="shared" si="1712"/>
        <v>0</v>
      </c>
      <c r="L1350" s="272">
        <f t="shared" si="1713"/>
        <v>0</v>
      </c>
      <c r="M1350" s="273">
        <f t="shared" si="1714"/>
        <v>0</v>
      </c>
      <c r="N1350" s="337" t="str">
        <f t="shared" si="1709"/>
        <v>-</v>
      </c>
      <c r="O1350" s="346" t="str">
        <f t="shared" si="1661"/>
        <v>-</v>
      </c>
    </row>
    <row r="1351" spans="1:15" ht="24" x14ac:dyDescent="0.25">
      <c r="A1351" s="274" t="s">
        <v>101</v>
      </c>
      <c r="B1351" s="956"/>
      <c r="C1351" s="303" t="s">
        <v>501</v>
      </c>
      <c r="D1351" s="300" t="s">
        <v>423</v>
      </c>
      <c r="E1351" s="276"/>
      <c r="F1351" s="277"/>
      <c r="G1351" s="333">
        <f t="shared" ref="G1351:G1352" si="1716">+H1351+I1351</f>
        <v>0</v>
      </c>
      <c r="H1351" s="278">
        <v>0</v>
      </c>
      <c r="I1351" s="272">
        <v>0</v>
      </c>
      <c r="J1351" s="351" t="str">
        <f t="shared" si="1715"/>
        <v>-</v>
      </c>
      <c r="K1351" s="333">
        <f t="shared" si="1712"/>
        <v>8116</v>
      </c>
      <c r="L1351" s="272">
        <f t="shared" si="1713"/>
        <v>7488</v>
      </c>
      <c r="M1351" s="273">
        <f t="shared" si="1714"/>
        <v>628</v>
      </c>
      <c r="N1351" s="337" t="str">
        <f t="shared" si="1709"/>
        <v>-</v>
      </c>
      <c r="O1351" s="263">
        <f t="shared" si="1661"/>
        <v>7.737801872843765E-2</v>
      </c>
    </row>
    <row r="1352" spans="1:15" ht="24" x14ac:dyDescent="0.25">
      <c r="A1352" s="274"/>
      <c r="B1352" s="956"/>
      <c r="C1352" s="300" t="s">
        <v>459</v>
      </c>
      <c r="D1352" s="300" t="s">
        <v>366</v>
      </c>
      <c r="E1352" s="280"/>
      <c r="F1352" s="281"/>
      <c r="G1352" s="334">
        <f t="shared" si="1716"/>
        <v>51261</v>
      </c>
      <c r="H1352" s="282">
        <v>50544</v>
      </c>
      <c r="I1352" s="278">
        <v>717</v>
      </c>
      <c r="J1352" s="351" t="str">
        <f t="shared" si="1715"/>
        <v>-</v>
      </c>
      <c r="K1352" s="333">
        <f t="shared" si="1712"/>
        <v>51261</v>
      </c>
      <c r="L1352" s="272">
        <f t="shared" si="1713"/>
        <v>50544</v>
      </c>
      <c r="M1352" s="272">
        <f t="shared" si="1714"/>
        <v>717</v>
      </c>
      <c r="N1352" s="337" t="str">
        <f t="shared" si="1709"/>
        <v>-</v>
      </c>
      <c r="O1352" s="263">
        <f t="shared" si="1661"/>
        <v>1.3987241762743607E-2</v>
      </c>
    </row>
    <row r="1353" spans="1:15" ht="24.75" thickBot="1" x14ac:dyDescent="0.3">
      <c r="A1353" s="274" t="s">
        <v>101</v>
      </c>
      <c r="B1353" s="956"/>
      <c r="C1353" s="300" t="s">
        <v>435</v>
      </c>
      <c r="D1353" s="300" t="s">
        <v>423</v>
      </c>
      <c r="E1353" s="280"/>
      <c r="F1353" s="281"/>
      <c r="G1353" s="334">
        <f t="shared" ref="G1353" si="1717">+H1353+I1353</f>
        <v>0</v>
      </c>
      <c r="H1353" s="282">
        <v>0</v>
      </c>
      <c r="I1353" s="272">
        <v>0</v>
      </c>
      <c r="J1353" s="351" t="str">
        <f t="shared" si="1715"/>
        <v>-</v>
      </c>
      <c r="K1353" s="334">
        <f t="shared" si="1712"/>
        <v>0</v>
      </c>
      <c r="L1353" s="272">
        <f t="shared" si="1713"/>
        <v>0</v>
      </c>
      <c r="M1353" s="273">
        <f t="shared" si="1714"/>
        <v>0</v>
      </c>
      <c r="N1353" s="338" t="str">
        <f t="shared" si="1709"/>
        <v>-</v>
      </c>
      <c r="O1353" s="347" t="str">
        <f t="shared" si="1661"/>
        <v>-</v>
      </c>
    </row>
    <row r="1354" spans="1:15" ht="23.25" thickBot="1" x14ac:dyDescent="0.3">
      <c r="A1354" s="274" t="s">
        <v>101</v>
      </c>
      <c r="B1354" s="956"/>
      <c r="C1354" s="304"/>
      <c r="D1354" s="305" t="s">
        <v>51</v>
      </c>
      <c r="E1354" s="306">
        <f>SUM(E1348:E1353)</f>
        <v>0</v>
      </c>
      <c r="F1354" s="307">
        <v>50000</v>
      </c>
      <c r="G1354" s="366">
        <f>SUM(G1348:G1353)</f>
        <v>51261</v>
      </c>
      <c r="H1354" s="365">
        <f t="shared" ref="H1354:I1354" si="1718">SUM(H1348:H1353)</f>
        <v>50544</v>
      </c>
      <c r="I1354" s="365">
        <f t="shared" si="1718"/>
        <v>717</v>
      </c>
      <c r="J1354" s="356">
        <f>+G1354/F1354</f>
        <v>1.02522</v>
      </c>
      <c r="K1354" s="366">
        <f t="shared" ref="K1354:M1354" si="1719">SUM(K1348:K1353)</f>
        <v>59377</v>
      </c>
      <c r="L1354" s="365">
        <f t="shared" si="1719"/>
        <v>58032</v>
      </c>
      <c r="M1354" s="367">
        <f t="shared" si="1719"/>
        <v>1345</v>
      </c>
      <c r="N1354" s="355" t="str">
        <f t="shared" si="1709"/>
        <v>-</v>
      </c>
      <c r="O1354" s="356">
        <f t="shared" si="1661"/>
        <v>2.2651868568637688E-2</v>
      </c>
    </row>
    <row r="1355" spans="1:15" ht="23.25" thickBot="1" x14ac:dyDescent="0.3">
      <c r="A1355" s="274" t="s">
        <v>101</v>
      </c>
      <c r="B1355" s="957" t="s">
        <v>163</v>
      </c>
      <c r="C1355" s="958"/>
      <c r="D1355" s="959"/>
      <c r="E1355" s="308">
        <f>+E1354+E1347</f>
        <v>350000</v>
      </c>
      <c r="F1355" s="309">
        <v>50000</v>
      </c>
      <c r="G1355" s="369">
        <f>+G1347+G1354</f>
        <v>51261</v>
      </c>
      <c r="H1355" s="368">
        <f t="shared" ref="H1355:I1355" si="1720">+H1347+H1354</f>
        <v>50544</v>
      </c>
      <c r="I1355" s="368">
        <f t="shared" si="1720"/>
        <v>717</v>
      </c>
      <c r="J1355" s="358">
        <f>+G1355/F1355</f>
        <v>1.02522</v>
      </c>
      <c r="K1355" s="369">
        <f t="shared" ref="K1355:M1355" si="1721">+K1347+K1354</f>
        <v>110988</v>
      </c>
      <c r="L1355" s="368">
        <f t="shared" si="1721"/>
        <v>108576</v>
      </c>
      <c r="M1355" s="370">
        <f t="shared" si="1721"/>
        <v>2412</v>
      </c>
      <c r="N1355" s="357">
        <f t="shared" si="1709"/>
        <v>0.31710857142857141</v>
      </c>
      <c r="O1355" s="358">
        <f t="shared" si="1661"/>
        <v>2.173207914369121E-2</v>
      </c>
    </row>
    <row r="1356" spans="1:15" ht="24.75" thickBot="1" x14ac:dyDescent="0.3">
      <c r="A1356" s="274" t="s">
        <v>101</v>
      </c>
      <c r="B1356" s="598" t="s">
        <v>32</v>
      </c>
      <c r="C1356" s="922"/>
      <c r="D1356" s="310" t="s">
        <v>32</v>
      </c>
      <c r="E1356" s="287">
        <v>0</v>
      </c>
      <c r="F1356" s="288">
        <v>110000</v>
      </c>
      <c r="G1356" s="335">
        <f t="shared" ref="G1356" si="1722">+H1356+I1356</f>
        <v>0</v>
      </c>
      <c r="H1356" s="289">
        <v>0</v>
      </c>
      <c r="I1356" s="289">
        <v>0</v>
      </c>
      <c r="J1356" s="354">
        <f>IFERROR(G1356/F1356,"-")</f>
        <v>0</v>
      </c>
      <c r="K1356" s="335">
        <f>+L1356+M1356</f>
        <v>0</v>
      </c>
      <c r="L1356" s="289">
        <f>+H1356+L1239</f>
        <v>0</v>
      </c>
      <c r="M1356" s="290">
        <f>+I1356+M1239</f>
        <v>0</v>
      </c>
      <c r="N1356" s="340" t="str">
        <f t="shared" si="1709"/>
        <v>-</v>
      </c>
      <c r="O1356" s="348" t="str">
        <f t="shared" si="1661"/>
        <v>-</v>
      </c>
    </row>
    <row r="1357" spans="1:15" ht="23.25" thickBot="1" x14ac:dyDescent="0.3">
      <c r="A1357" s="274" t="s">
        <v>101</v>
      </c>
      <c r="B1357" s="960" t="s">
        <v>21</v>
      </c>
      <c r="C1357" s="961"/>
      <c r="D1357" s="962"/>
      <c r="E1357" s="326">
        <f>+E1343+E1355+E1356</f>
        <v>2215664</v>
      </c>
      <c r="F1357" s="327">
        <f>+F1343+F1355+F1356</f>
        <v>400000</v>
      </c>
      <c r="G1357" s="326">
        <f>+G1343+G1355+G1356</f>
        <v>59681</v>
      </c>
      <c r="H1357" s="324">
        <f>+H1343+H1355+H1356</f>
        <v>58500</v>
      </c>
      <c r="I1357" s="324">
        <f>+I1343+I1355+I1356</f>
        <v>1181</v>
      </c>
      <c r="J1357" s="349">
        <f>+G1357/F1357</f>
        <v>0.14920249999999999</v>
      </c>
      <c r="K1357" s="326">
        <f>+K1343+K1355+K1356</f>
        <v>1504770</v>
      </c>
      <c r="L1357" s="324">
        <f>+L1343+L1355+L1356</f>
        <v>1480986</v>
      </c>
      <c r="M1357" s="325">
        <f>+M1343+M1355+M1356</f>
        <v>23784</v>
      </c>
      <c r="N1357" s="341">
        <f t="shared" si="1709"/>
        <v>0.67915080987008858</v>
      </c>
      <c r="O1357" s="349">
        <f t="shared" si="1661"/>
        <v>1.5805737753942464E-2</v>
      </c>
    </row>
    <row r="1358" spans="1:15" ht="23.25" thickBot="1" x14ac:dyDescent="0.3">
      <c r="A1358" s="274" t="s">
        <v>101</v>
      </c>
      <c r="B1358" s="963" t="s">
        <v>171</v>
      </c>
      <c r="C1358" s="941"/>
      <c r="D1358" s="942"/>
      <c r="E1358" s="330">
        <f>+E1357</f>
        <v>2215664</v>
      </c>
      <c r="F1358" s="331">
        <f t="shared" ref="F1358:I1358" si="1723">+F1357</f>
        <v>400000</v>
      </c>
      <c r="G1358" s="330">
        <f t="shared" si="1723"/>
        <v>59681</v>
      </c>
      <c r="H1358" s="328">
        <f t="shared" si="1723"/>
        <v>58500</v>
      </c>
      <c r="I1358" s="328">
        <f t="shared" si="1723"/>
        <v>1181</v>
      </c>
      <c r="J1358" s="872">
        <f>+G1358/F1358</f>
        <v>0.14920249999999999</v>
      </c>
      <c r="K1358" s="330">
        <f>+K1357</f>
        <v>1504770</v>
      </c>
      <c r="L1358" s="328">
        <f t="shared" ref="L1358" si="1724">+L1357</f>
        <v>1480986</v>
      </c>
      <c r="M1358" s="329">
        <f>+M1357</f>
        <v>23784</v>
      </c>
      <c r="N1358" s="342">
        <f t="shared" ref="N1358:O1358" si="1725">+N1357</f>
        <v>0.67915080987008858</v>
      </c>
      <c r="O1358" s="350">
        <f t="shared" si="1725"/>
        <v>1.5805737753942464E-2</v>
      </c>
    </row>
    <row r="1359" spans="1:15" ht="24" x14ac:dyDescent="0.25">
      <c r="A1359" s="268" t="s">
        <v>102</v>
      </c>
      <c r="B1359" s="949" t="s">
        <v>401</v>
      </c>
      <c r="C1359" s="311" t="s">
        <v>113</v>
      </c>
      <c r="D1359" s="311"/>
      <c r="E1359" s="270"/>
      <c r="F1359" s="271"/>
      <c r="G1359" s="332">
        <f t="shared" ref="G1359:G1361" si="1726">+H1359+I1359</f>
        <v>0</v>
      </c>
      <c r="H1359" s="272">
        <v>0</v>
      </c>
      <c r="I1359" s="272">
        <v>0</v>
      </c>
      <c r="J1359" s="351" t="str">
        <f>IFERROR(G1359/F1359,"-")</f>
        <v>-</v>
      </c>
      <c r="K1359" s="332">
        <f t="shared" ref="K1359:K1361" si="1727">+L1359+M1359</f>
        <v>0</v>
      </c>
      <c r="L1359" s="272">
        <f t="shared" ref="L1359:L1361" si="1728">+H1359+L1242</f>
        <v>0</v>
      </c>
      <c r="M1359" s="273">
        <f t="shared" ref="M1359:M1361" si="1729">+I1359+M1242</f>
        <v>0</v>
      </c>
      <c r="N1359" s="336" t="str">
        <f t="shared" ref="N1359:N1366" si="1730">IFERROR(K1359/E1359,"-")</f>
        <v>-</v>
      </c>
      <c r="O1359" s="346" t="str">
        <f t="shared" ref="O1359:O1384" si="1731">IFERROR(M1359/K1359,"-")</f>
        <v>-</v>
      </c>
    </row>
    <row r="1360" spans="1:15" ht="24" x14ac:dyDescent="0.25">
      <c r="A1360" s="274" t="s">
        <v>102</v>
      </c>
      <c r="B1360" s="951"/>
      <c r="C1360" s="312" t="s">
        <v>247</v>
      </c>
      <c r="D1360" s="312"/>
      <c r="E1360" s="276">
        <v>2000</v>
      </c>
      <c r="F1360" s="277"/>
      <c r="G1360" s="333">
        <f t="shared" si="1726"/>
        <v>0</v>
      </c>
      <c r="H1360" s="278">
        <v>0</v>
      </c>
      <c r="I1360" s="278">
        <v>0</v>
      </c>
      <c r="J1360" s="351" t="str">
        <f t="shared" ref="J1360:J1361" si="1732">IFERROR(G1360/F1360,"-")</f>
        <v>-</v>
      </c>
      <c r="K1360" s="333">
        <f t="shared" si="1727"/>
        <v>9638</v>
      </c>
      <c r="L1360" s="272">
        <f t="shared" si="1728"/>
        <v>9149</v>
      </c>
      <c r="M1360" s="273">
        <f t="shared" si="1729"/>
        <v>489</v>
      </c>
      <c r="N1360" s="337">
        <f t="shared" si="1730"/>
        <v>4.819</v>
      </c>
      <c r="O1360" s="263">
        <f t="shared" si="1731"/>
        <v>5.0736667358373108E-2</v>
      </c>
    </row>
    <row r="1361" spans="1:15" ht="24.75" thickBot="1" x14ac:dyDescent="0.3">
      <c r="A1361" s="274" t="s">
        <v>102</v>
      </c>
      <c r="B1361" s="950"/>
      <c r="C1361" s="313" t="s">
        <v>33</v>
      </c>
      <c r="D1361" s="313"/>
      <c r="E1361" s="280"/>
      <c r="F1361" s="281"/>
      <c r="G1361" s="334">
        <f t="shared" si="1726"/>
        <v>0</v>
      </c>
      <c r="H1361" s="282">
        <v>0</v>
      </c>
      <c r="I1361" s="282">
        <v>0</v>
      </c>
      <c r="J1361" s="351" t="str">
        <f t="shared" si="1732"/>
        <v>-</v>
      </c>
      <c r="K1361" s="334">
        <f t="shared" si="1727"/>
        <v>0</v>
      </c>
      <c r="L1361" s="272">
        <f t="shared" si="1728"/>
        <v>0</v>
      </c>
      <c r="M1361" s="273">
        <f t="shared" si="1729"/>
        <v>0</v>
      </c>
      <c r="N1361" s="338" t="str">
        <f t="shared" si="1730"/>
        <v>-</v>
      </c>
      <c r="O1361" s="347" t="str">
        <f t="shared" si="1731"/>
        <v>-</v>
      </c>
    </row>
    <row r="1362" spans="1:15" ht="23.25" thickBot="1" x14ac:dyDescent="0.3">
      <c r="A1362" s="274" t="s">
        <v>102</v>
      </c>
      <c r="B1362" s="946" t="s">
        <v>34</v>
      </c>
      <c r="C1362" s="947"/>
      <c r="D1362" s="948"/>
      <c r="E1362" s="284">
        <f>SUM(E1359:E1361)</f>
        <v>2000</v>
      </c>
      <c r="F1362" s="285">
        <v>6500</v>
      </c>
      <c r="G1362" s="320">
        <f>SUM(G1359:G1361)</f>
        <v>0</v>
      </c>
      <c r="H1362" s="321">
        <f t="shared" ref="H1362:I1362" si="1733">SUM(H1359:H1361)</f>
        <v>0</v>
      </c>
      <c r="I1362" s="321">
        <f t="shared" si="1733"/>
        <v>0</v>
      </c>
      <c r="J1362" s="345">
        <f>IFERROR(G1362/F1362,"-")</f>
        <v>0</v>
      </c>
      <c r="K1362" s="320">
        <f t="shared" ref="K1362:M1362" si="1734">SUM(K1359:K1361)</f>
        <v>9638</v>
      </c>
      <c r="L1362" s="321">
        <f t="shared" si="1734"/>
        <v>9149</v>
      </c>
      <c r="M1362" s="322">
        <f t="shared" si="1734"/>
        <v>489</v>
      </c>
      <c r="N1362" s="339">
        <f t="shared" si="1730"/>
        <v>4.819</v>
      </c>
      <c r="O1362" s="345">
        <f t="shared" si="1731"/>
        <v>5.0736667358373108E-2</v>
      </c>
    </row>
    <row r="1363" spans="1:15" ht="24" x14ac:dyDescent="0.25">
      <c r="A1363" s="274" t="s">
        <v>102</v>
      </c>
      <c r="B1363" s="949" t="s">
        <v>35</v>
      </c>
      <c r="C1363" s="311" t="s">
        <v>113</v>
      </c>
      <c r="D1363" s="311"/>
      <c r="E1363" s="270">
        <v>116160</v>
      </c>
      <c r="F1363" s="271"/>
      <c r="G1363" s="332">
        <f t="shared" ref="G1363:G1366" si="1735">+H1363+I1363</f>
        <v>0</v>
      </c>
      <c r="H1363" s="272">
        <v>0</v>
      </c>
      <c r="I1363" s="272">
        <v>0</v>
      </c>
      <c r="J1363" s="351" t="str">
        <f>IFERROR(G1363/F1363,"-")</f>
        <v>-</v>
      </c>
      <c r="K1363" s="332">
        <f t="shared" ref="K1363:K1366" si="1736">+L1363+M1363</f>
        <v>0</v>
      </c>
      <c r="L1363" s="272">
        <f t="shared" ref="L1363:L1366" si="1737">+H1363+L1246</f>
        <v>0</v>
      </c>
      <c r="M1363" s="273">
        <f t="shared" ref="M1363:M1366" si="1738">+I1363+M1246</f>
        <v>0</v>
      </c>
      <c r="N1363" s="336">
        <f t="shared" si="1730"/>
        <v>0</v>
      </c>
      <c r="O1363" s="346" t="str">
        <f t="shared" si="1731"/>
        <v>-</v>
      </c>
    </row>
    <row r="1364" spans="1:15" ht="24" x14ac:dyDescent="0.25">
      <c r="A1364" s="274" t="s">
        <v>102</v>
      </c>
      <c r="B1364" s="951"/>
      <c r="C1364" s="312" t="s">
        <v>247</v>
      </c>
      <c r="D1364" s="312"/>
      <c r="E1364" s="276"/>
      <c r="F1364" s="277"/>
      <c r="G1364" s="333">
        <f t="shared" si="1735"/>
        <v>0</v>
      </c>
      <c r="H1364" s="278">
        <v>0</v>
      </c>
      <c r="I1364" s="278">
        <v>0</v>
      </c>
      <c r="J1364" s="351" t="str">
        <f t="shared" ref="J1364:J1366" si="1739">IFERROR(G1364/F1364,"-")</f>
        <v>-</v>
      </c>
      <c r="K1364" s="333">
        <f t="shared" si="1736"/>
        <v>0</v>
      </c>
      <c r="L1364" s="272">
        <f t="shared" si="1737"/>
        <v>0</v>
      </c>
      <c r="M1364" s="273">
        <f t="shared" si="1738"/>
        <v>0</v>
      </c>
      <c r="N1364" s="337" t="str">
        <f t="shared" si="1730"/>
        <v>-</v>
      </c>
      <c r="O1364" s="263" t="str">
        <f t="shared" si="1731"/>
        <v>-</v>
      </c>
    </row>
    <row r="1365" spans="1:15" ht="24" x14ac:dyDescent="0.25">
      <c r="A1365" s="274" t="s">
        <v>102</v>
      </c>
      <c r="B1365" s="951"/>
      <c r="C1365" s="312" t="s">
        <v>496</v>
      </c>
      <c r="D1365" s="312"/>
      <c r="E1365" s="276">
        <v>20000</v>
      </c>
      <c r="F1365" s="277"/>
      <c r="G1365" s="333">
        <f t="shared" si="1735"/>
        <v>0</v>
      </c>
      <c r="H1365" s="278">
        <v>0</v>
      </c>
      <c r="I1365" s="278">
        <v>0</v>
      </c>
      <c r="J1365" s="351" t="str">
        <f t="shared" si="1739"/>
        <v>-</v>
      </c>
      <c r="K1365" s="333">
        <f t="shared" si="1736"/>
        <v>0</v>
      </c>
      <c r="L1365" s="272">
        <f t="shared" si="1737"/>
        <v>0</v>
      </c>
      <c r="M1365" s="273">
        <f t="shared" si="1738"/>
        <v>0</v>
      </c>
      <c r="N1365" s="337">
        <f t="shared" si="1730"/>
        <v>0</v>
      </c>
      <c r="O1365" s="263" t="str">
        <f t="shared" si="1731"/>
        <v>-</v>
      </c>
    </row>
    <row r="1366" spans="1:15" ht="24.75" thickBot="1" x14ac:dyDescent="0.3">
      <c r="A1366" s="274" t="s">
        <v>102</v>
      </c>
      <c r="B1366" s="950"/>
      <c r="C1366" s="313" t="s">
        <v>36</v>
      </c>
      <c r="D1366" s="313"/>
      <c r="E1366" s="280"/>
      <c r="F1366" s="281"/>
      <c r="G1366" s="334">
        <f t="shared" si="1735"/>
        <v>0</v>
      </c>
      <c r="H1366" s="278">
        <v>0</v>
      </c>
      <c r="I1366" s="278">
        <v>0</v>
      </c>
      <c r="J1366" s="351" t="str">
        <f t="shared" si="1739"/>
        <v>-</v>
      </c>
      <c r="K1366" s="334">
        <f t="shared" si="1736"/>
        <v>0</v>
      </c>
      <c r="L1366" s="272">
        <f t="shared" si="1737"/>
        <v>0</v>
      </c>
      <c r="M1366" s="273">
        <f t="shared" si="1738"/>
        <v>0</v>
      </c>
      <c r="N1366" s="338" t="str">
        <f t="shared" si="1730"/>
        <v>-</v>
      </c>
      <c r="O1366" s="347" t="str">
        <f t="shared" si="1731"/>
        <v>-</v>
      </c>
    </row>
    <row r="1367" spans="1:15" ht="23.25" thickBot="1" x14ac:dyDescent="0.3">
      <c r="A1367" s="274" t="s">
        <v>102</v>
      </c>
      <c r="B1367" s="946" t="s">
        <v>37</v>
      </c>
      <c r="C1367" s="947"/>
      <c r="D1367" s="948"/>
      <c r="E1367" s="284">
        <f>SUM(E1363:E1366)</f>
        <v>136160</v>
      </c>
      <c r="F1367" s="285">
        <v>6500</v>
      </c>
      <c r="G1367" s="320">
        <f>SUM(G1363:G1366)</f>
        <v>0</v>
      </c>
      <c r="H1367" s="321">
        <f t="shared" ref="H1367:I1367" si="1740">SUM(H1363:H1366)</f>
        <v>0</v>
      </c>
      <c r="I1367" s="321">
        <f t="shared" si="1740"/>
        <v>0</v>
      </c>
      <c r="J1367" s="345">
        <f>IFERROR(G1367/F1367,"-")</f>
        <v>0</v>
      </c>
      <c r="K1367" s="320">
        <f t="shared" ref="K1367:M1367" si="1741">SUM(K1363:K1366)</f>
        <v>0</v>
      </c>
      <c r="L1367" s="321">
        <f t="shared" si="1741"/>
        <v>0</v>
      </c>
      <c r="M1367" s="322">
        <f t="shared" si="1741"/>
        <v>0</v>
      </c>
      <c r="N1367" s="339">
        <f>IFERROR(K1367/E1367,"-")</f>
        <v>0</v>
      </c>
      <c r="O1367" s="345" t="str">
        <f t="shared" si="1731"/>
        <v>-</v>
      </c>
    </row>
    <row r="1368" spans="1:15" ht="24" x14ac:dyDescent="0.25">
      <c r="A1368" s="274" t="s">
        <v>102</v>
      </c>
      <c r="B1368" s="949" t="s">
        <v>402</v>
      </c>
      <c r="C1368" s="314" t="s">
        <v>116</v>
      </c>
      <c r="D1368" s="314"/>
      <c r="E1368" s="270">
        <v>31000</v>
      </c>
      <c r="F1368" s="271"/>
      <c r="G1368" s="332">
        <f t="shared" ref="G1368:G1369" si="1742">+H1368+I1368</f>
        <v>0</v>
      </c>
      <c r="H1368" s="272">
        <v>0</v>
      </c>
      <c r="I1368" s="272">
        <v>0</v>
      </c>
      <c r="J1368" s="351" t="str">
        <f>IFERROR(G1368/F1368,"-")</f>
        <v>-</v>
      </c>
      <c r="K1368" s="332">
        <f t="shared" ref="K1368:K1369" si="1743">+L1368+M1368</f>
        <v>0</v>
      </c>
      <c r="L1368" s="272">
        <f t="shared" ref="L1368:L1369" si="1744">+H1368+L1251</f>
        <v>0</v>
      </c>
      <c r="M1368" s="273">
        <f t="shared" ref="M1368:M1369" si="1745">+I1368+M1251</f>
        <v>0</v>
      </c>
      <c r="N1368" s="336">
        <f t="shared" ref="N1368:N1384" si="1746">IFERROR(K1368/E1368,"-")</f>
        <v>0</v>
      </c>
      <c r="O1368" s="346" t="str">
        <f t="shared" si="1731"/>
        <v>-</v>
      </c>
    </row>
    <row r="1369" spans="1:15" ht="24.75" thickBot="1" x14ac:dyDescent="0.3">
      <c r="A1369" s="274" t="s">
        <v>102</v>
      </c>
      <c r="B1369" s="950"/>
      <c r="C1369" s="286" t="s">
        <v>132</v>
      </c>
      <c r="D1369" s="286"/>
      <c r="E1369" s="280"/>
      <c r="F1369" s="281"/>
      <c r="G1369" s="334">
        <f t="shared" si="1742"/>
        <v>0</v>
      </c>
      <c r="H1369" s="282">
        <v>0</v>
      </c>
      <c r="I1369" s="282">
        <v>0</v>
      </c>
      <c r="J1369" s="351" t="str">
        <f>IFERROR(G1369/F1369,"-")</f>
        <v>-</v>
      </c>
      <c r="K1369" s="334">
        <f t="shared" si="1743"/>
        <v>22797</v>
      </c>
      <c r="L1369" s="272">
        <f t="shared" si="1744"/>
        <v>21790</v>
      </c>
      <c r="M1369" s="273">
        <f t="shared" si="1745"/>
        <v>1007</v>
      </c>
      <c r="N1369" s="338" t="str">
        <f t="shared" si="1746"/>
        <v>-</v>
      </c>
      <c r="O1369" s="347">
        <f t="shared" si="1731"/>
        <v>4.4172478834934421E-2</v>
      </c>
    </row>
    <row r="1370" spans="1:15" ht="23.25" thickBot="1" x14ac:dyDescent="0.3">
      <c r="A1370" s="926" t="s">
        <v>102</v>
      </c>
      <c r="B1370" s="946" t="s">
        <v>38</v>
      </c>
      <c r="C1370" s="947"/>
      <c r="D1370" s="948"/>
      <c r="E1370" s="284">
        <f>SUM(E1368:E1369)</f>
        <v>31000</v>
      </c>
      <c r="F1370" s="285">
        <v>2800</v>
      </c>
      <c r="G1370" s="320">
        <f>SUM(G1368:G1369)</f>
        <v>0</v>
      </c>
      <c r="H1370" s="321">
        <f t="shared" ref="H1370:I1370" si="1747">SUM(H1368:H1369)</f>
        <v>0</v>
      </c>
      <c r="I1370" s="321">
        <f t="shared" si="1747"/>
        <v>0</v>
      </c>
      <c r="J1370" s="345" t="str">
        <f>IFERROR(G1370/F1360,"-")</f>
        <v>-</v>
      </c>
      <c r="K1370" s="320">
        <f t="shared" ref="K1370:M1370" si="1748">SUM(K1368:K1369)</f>
        <v>22797</v>
      </c>
      <c r="L1370" s="321">
        <f t="shared" si="1748"/>
        <v>21790</v>
      </c>
      <c r="M1370" s="322">
        <f t="shared" si="1748"/>
        <v>1007</v>
      </c>
      <c r="N1370" s="339">
        <f t="shared" si="1746"/>
        <v>0.73538709677419356</v>
      </c>
      <c r="O1370" s="345">
        <f t="shared" si="1731"/>
        <v>4.4172478834934421E-2</v>
      </c>
    </row>
    <row r="1371" spans="1:15" ht="24" x14ac:dyDescent="0.25">
      <c r="A1371" s="274" t="s">
        <v>102</v>
      </c>
      <c r="B1371" s="949" t="s">
        <v>403</v>
      </c>
      <c r="C1371" s="269" t="s">
        <v>306</v>
      </c>
      <c r="D1371" s="269"/>
      <c r="E1371" s="270">
        <v>978200</v>
      </c>
      <c r="F1371" s="315"/>
      <c r="G1371" s="332">
        <f t="shared" ref="G1371:G1375" si="1749">+H1371+I1371</f>
        <v>40727</v>
      </c>
      <c r="H1371" s="272">
        <v>40320</v>
      </c>
      <c r="I1371" s="272">
        <v>407</v>
      </c>
      <c r="J1371" s="371" t="str">
        <f>IFERROR(G1371/F1371,"-")</f>
        <v>-</v>
      </c>
      <c r="K1371" s="332">
        <f t="shared" ref="K1371:K1375" si="1750">+L1371+M1371</f>
        <v>343344</v>
      </c>
      <c r="L1371" s="272">
        <f t="shared" ref="L1371:L1375" si="1751">+H1371+L1254</f>
        <v>341004</v>
      </c>
      <c r="M1371" s="272">
        <f t="shared" ref="M1371:M1375" si="1752">+I1371+M1254</f>
        <v>2340</v>
      </c>
      <c r="N1371" s="359">
        <f t="shared" si="1746"/>
        <v>0.35099570639950928</v>
      </c>
      <c r="O1371" s="360">
        <f t="shared" si="1731"/>
        <v>6.8153222424157693E-3</v>
      </c>
    </row>
    <row r="1372" spans="1:15" ht="24" x14ac:dyDescent="0.25">
      <c r="A1372" s="274" t="s">
        <v>102</v>
      </c>
      <c r="B1372" s="951"/>
      <c r="C1372" s="269" t="s">
        <v>307</v>
      </c>
      <c r="D1372" s="275"/>
      <c r="E1372" s="276"/>
      <c r="F1372" s="316"/>
      <c r="G1372" s="333">
        <f t="shared" si="1749"/>
        <v>0</v>
      </c>
      <c r="H1372" s="278">
        <v>0</v>
      </c>
      <c r="I1372" s="278">
        <v>0</v>
      </c>
      <c r="J1372" s="371" t="str">
        <f t="shared" ref="J1372:J1375" si="1753">IFERROR(G1372/F1372,"-")</f>
        <v>-</v>
      </c>
      <c r="K1372" s="333">
        <f t="shared" si="1750"/>
        <v>0</v>
      </c>
      <c r="L1372" s="272">
        <f t="shared" si="1751"/>
        <v>0</v>
      </c>
      <c r="M1372" s="273">
        <f t="shared" si="1752"/>
        <v>0</v>
      </c>
      <c r="N1372" s="361" t="str">
        <f t="shared" si="1746"/>
        <v>-</v>
      </c>
      <c r="O1372" s="362" t="str">
        <f t="shared" si="1731"/>
        <v>-</v>
      </c>
    </row>
    <row r="1373" spans="1:15" ht="24" x14ac:dyDescent="0.25">
      <c r="A1373" s="274" t="s">
        <v>102</v>
      </c>
      <c r="B1373" s="951"/>
      <c r="C1373" s="275" t="s">
        <v>499</v>
      </c>
      <c r="D1373" s="275"/>
      <c r="E1373" s="276">
        <f>70000+15000</f>
        <v>85000</v>
      </c>
      <c r="F1373" s="316"/>
      <c r="G1373" s="333">
        <f t="shared" si="1749"/>
        <v>0</v>
      </c>
      <c r="H1373" s="278">
        <v>0</v>
      </c>
      <c r="I1373" s="278">
        <v>0</v>
      </c>
      <c r="J1373" s="371" t="str">
        <f t="shared" si="1753"/>
        <v>-</v>
      </c>
      <c r="K1373" s="333">
        <f t="shared" si="1750"/>
        <v>49665</v>
      </c>
      <c r="L1373" s="272">
        <f t="shared" si="1751"/>
        <v>49032</v>
      </c>
      <c r="M1373" s="273">
        <f t="shared" si="1752"/>
        <v>633</v>
      </c>
      <c r="N1373" s="361">
        <f t="shared" si="1746"/>
        <v>0.58429411764705885</v>
      </c>
      <c r="O1373" s="362">
        <f t="shared" si="1731"/>
        <v>1.2745394140742978E-2</v>
      </c>
    </row>
    <row r="1374" spans="1:15" ht="24" x14ac:dyDescent="0.25">
      <c r="A1374" s="274" t="s">
        <v>102</v>
      </c>
      <c r="B1374" s="951"/>
      <c r="C1374" s="275" t="s">
        <v>157</v>
      </c>
      <c r="D1374" s="275"/>
      <c r="E1374" s="276">
        <v>60040</v>
      </c>
      <c r="F1374" s="316"/>
      <c r="G1374" s="333">
        <f t="shared" si="1749"/>
        <v>0</v>
      </c>
      <c r="H1374" s="278">
        <v>0</v>
      </c>
      <c r="I1374" s="278">
        <v>0</v>
      </c>
      <c r="J1374" s="371" t="str">
        <f t="shared" si="1753"/>
        <v>-</v>
      </c>
      <c r="K1374" s="333">
        <f t="shared" si="1750"/>
        <v>0</v>
      </c>
      <c r="L1374" s="272">
        <f t="shared" si="1751"/>
        <v>0</v>
      </c>
      <c r="M1374" s="273">
        <f t="shared" si="1752"/>
        <v>0</v>
      </c>
      <c r="N1374" s="361">
        <f t="shared" si="1746"/>
        <v>0</v>
      </c>
      <c r="O1374" s="362" t="str">
        <f t="shared" si="1731"/>
        <v>-</v>
      </c>
    </row>
    <row r="1375" spans="1:15" ht="24.75" thickBot="1" x14ac:dyDescent="0.3">
      <c r="A1375" s="274" t="s">
        <v>102</v>
      </c>
      <c r="B1375" s="950"/>
      <c r="C1375" s="279" t="s">
        <v>158</v>
      </c>
      <c r="D1375" s="279"/>
      <c r="E1375" s="280"/>
      <c r="F1375" s="317"/>
      <c r="G1375" s="334">
        <f t="shared" si="1749"/>
        <v>0</v>
      </c>
      <c r="H1375" s="278">
        <v>0</v>
      </c>
      <c r="I1375" s="278">
        <v>0</v>
      </c>
      <c r="J1375" s="371" t="str">
        <f t="shared" si="1753"/>
        <v>-</v>
      </c>
      <c r="K1375" s="334">
        <f t="shared" si="1750"/>
        <v>0</v>
      </c>
      <c r="L1375" s="272">
        <f t="shared" si="1751"/>
        <v>0</v>
      </c>
      <c r="M1375" s="273">
        <f t="shared" si="1752"/>
        <v>0</v>
      </c>
      <c r="N1375" s="363" t="str">
        <f t="shared" si="1746"/>
        <v>-</v>
      </c>
      <c r="O1375" s="364" t="str">
        <f t="shared" si="1731"/>
        <v>-</v>
      </c>
    </row>
    <row r="1376" spans="1:15" ht="23.25" thickBot="1" x14ac:dyDescent="0.3">
      <c r="A1376" s="274" t="s">
        <v>102</v>
      </c>
      <c r="B1376" s="946" t="s">
        <v>39</v>
      </c>
      <c r="C1376" s="947"/>
      <c r="D1376" s="948"/>
      <c r="E1376" s="320">
        <f>SUM(E1371:E1375)</f>
        <v>1123240</v>
      </c>
      <c r="F1376" s="285">
        <v>25000</v>
      </c>
      <c r="G1376" s="320">
        <f>SUM(G1371:G1375)</f>
        <v>40727</v>
      </c>
      <c r="H1376" s="321">
        <f>SUM(H1371:H1375)</f>
        <v>40320</v>
      </c>
      <c r="I1376" s="321">
        <f>SUM(I1371:I1375)</f>
        <v>407</v>
      </c>
      <c r="J1376" s="345">
        <f>IFERROR(G1376/F1376,"-")</f>
        <v>1.6290800000000001</v>
      </c>
      <c r="K1376" s="320">
        <f>SUM(K1371:K1375)</f>
        <v>393009</v>
      </c>
      <c r="L1376" s="321">
        <f>SUM(L1371:L1375)</f>
        <v>390036</v>
      </c>
      <c r="M1376" s="322">
        <f>SUM(M1371:M1375)</f>
        <v>2973</v>
      </c>
      <c r="N1376" s="339">
        <f t="shared" si="1746"/>
        <v>0.34988871478935935</v>
      </c>
      <c r="O1376" s="345">
        <f t="shared" si="1731"/>
        <v>7.564712258497897E-3</v>
      </c>
    </row>
    <row r="1377" spans="1:15" ht="24" x14ac:dyDescent="0.25">
      <c r="A1377" s="274" t="s">
        <v>102</v>
      </c>
      <c r="B1377" s="949" t="s">
        <v>404</v>
      </c>
      <c r="C1377" s="269" t="s">
        <v>186</v>
      </c>
      <c r="D1377" s="269"/>
      <c r="E1377" s="270"/>
      <c r="F1377" s="271"/>
      <c r="G1377" s="332">
        <f t="shared" ref="G1377:G1379" si="1754">+H1377+I1377</f>
        <v>0</v>
      </c>
      <c r="H1377" s="272">
        <v>0</v>
      </c>
      <c r="I1377" s="272">
        <v>0</v>
      </c>
      <c r="J1377" s="351" t="str">
        <f>IFERROR(G1377/F1377,"-")</f>
        <v>-</v>
      </c>
      <c r="K1377" s="332">
        <f t="shared" ref="K1377:K1379" si="1755">+L1377+M1377</f>
        <v>0</v>
      </c>
      <c r="L1377" s="272">
        <f t="shared" ref="L1377:L1379" si="1756">+H1377+L1260</f>
        <v>0</v>
      </c>
      <c r="M1377" s="273">
        <f t="shared" ref="M1377:M1379" si="1757">+I1377+M1260</f>
        <v>0</v>
      </c>
      <c r="N1377" s="336" t="str">
        <f t="shared" si="1746"/>
        <v>-</v>
      </c>
      <c r="O1377" s="346" t="str">
        <f t="shared" si="1731"/>
        <v>-</v>
      </c>
    </row>
    <row r="1378" spans="1:15" ht="24" x14ac:dyDescent="0.25">
      <c r="A1378" s="274" t="s">
        <v>102</v>
      </c>
      <c r="B1378" s="951"/>
      <c r="C1378" s="275" t="s">
        <v>497</v>
      </c>
      <c r="D1378" s="275"/>
      <c r="E1378" s="276"/>
      <c r="F1378" s="277"/>
      <c r="G1378" s="333">
        <f t="shared" si="1754"/>
        <v>0</v>
      </c>
      <c r="H1378" s="278">
        <v>0</v>
      </c>
      <c r="I1378" s="278">
        <v>0</v>
      </c>
      <c r="J1378" s="351" t="str">
        <f t="shared" ref="J1378:J1379" si="1758">IFERROR(G1378/F1378,"-")</f>
        <v>-</v>
      </c>
      <c r="K1378" s="333">
        <f t="shared" si="1755"/>
        <v>11826</v>
      </c>
      <c r="L1378" s="714">
        <f t="shared" si="1756"/>
        <v>11400</v>
      </c>
      <c r="M1378" s="273">
        <f t="shared" si="1757"/>
        <v>426</v>
      </c>
      <c r="N1378" s="361" t="str">
        <f t="shared" si="1746"/>
        <v>-</v>
      </c>
      <c r="O1378" s="362">
        <f t="shared" si="1731"/>
        <v>3.6022323693556568E-2</v>
      </c>
    </row>
    <row r="1379" spans="1:15" ht="24.75" thickBot="1" x14ac:dyDescent="0.3">
      <c r="A1379" s="274" t="s">
        <v>102</v>
      </c>
      <c r="B1379" s="950"/>
      <c r="C1379" s="279" t="s">
        <v>498</v>
      </c>
      <c r="D1379" s="279"/>
      <c r="E1379" s="280"/>
      <c r="F1379" s="281"/>
      <c r="G1379" s="334">
        <f t="shared" si="1754"/>
        <v>0</v>
      </c>
      <c r="H1379" s="278">
        <v>0</v>
      </c>
      <c r="I1379" s="278">
        <v>0</v>
      </c>
      <c r="J1379" s="351" t="str">
        <f t="shared" si="1758"/>
        <v>-</v>
      </c>
      <c r="K1379" s="334">
        <f t="shared" si="1755"/>
        <v>0</v>
      </c>
      <c r="L1379" s="272">
        <f t="shared" si="1756"/>
        <v>0</v>
      </c>
      <c r="M1379" s="273">
        <f t="shared" si="1757"/>
        <v>0</v>
      </c>
      <c r="N1379" s="363" t="str">
        <f t="shared" si="1746"/>
        <v>-</v>
      </c>
      <c r="O1379" s="364" t="str">
        <f t="shared" si="1731"/>
        <v>-</v>
      </c>
    </row>
    <row r="1380" spans="1:15" ht="23.25" thickBot="1" x14ac:dyDescent="0.3">
      <c r="A1380" s="274" t="s">
        <v>102</v>
      </c>
      <c r="B1380" s="952" t="s">
        <v>41</v>
      </c>
      <c r="C1380" s="953"/>
      <c r="D1380" s="954"/>
      <c r="E1380" s="320">
        <f>SUM(E1377:E1379)</f>
        <v>0</v>
      </c>
      <c r="F1380" s="285"/>
      <c r="G1380" s="320">
        <f>SUM(G1377:G1379)</f>
        <v>0</v>
      </c>
      <c r="H1380" s="321">
        <f t="shared" ref="H1380:I1380" si="1759">SUM(H1377:H1379)</f>
        <v>0</v>
      </c>
      <c r="I1380" s="321">
        <f t="shared" si="1759"/>
        <v>0</v>
      </c>
      <c r="J1380" s="345" t="str">
        <f>IFERROR(G1380/F1380,"-")</f>
        <v>-</v>
      </c>
      <c r="K1380" s="320">
        <f t="shared" ref="K1380:M1380" si="1760">SUM(K1377:K1379)</f>
        <v>11826</v>
      </c>
      <c r="L1380" s="365">
        <f t="shared" si="1760"/>
        <v>11400</v>
      </c>
      <c r="M1380" s="367">
        <f t="shared" si="1760"/>
        <v>426</v>
      </c>
      <c r="N1380" s="339" t="str">
        <f t="shared" si="1746"/>
        <v>-</v>
      </c>
      <c r="O1380" s="345">
        <f t="shared" si="1731"/>
        <v>3.6022323693556568E-2</v>
      </c>
    </row>
    <row r="1381" spans="1:15" ht="24.75" thickBot="1" x14ac:dyDescent="0.3">
      <c r="A1381" s="274" t="s">
        <v>102</v>
      </c>
      <c r="B1381" s="949" t="s">
        <v>42</v>
      </c>
      <c r="C1381" s="269" t="s">
        <v>160</v>
      </c>
      <c r="D1381" s="269"/>
      <c r="E1381" s="270"/>
      <c r="F1381" s="271"/>
      <c r="G1381" s="332">
        <f t="shared" ref="G1381:G1382" si="1761">+H1381+I1381</f>
        <v>0</v>
      </c>
      <c r="H1381" s="272">
        <v>0</v>
      </c>
      <c r="I1381" s="272">
        <v>0</v>
      </c>
      <c r="J1381" s="371" t="str">
        <f>IFERROR(G1381/F1381,"-")</f>
        <v>-</v>
      </c>
      <c r="K1381" s="695">
        <f t="shared" ref="K1381:K1382" si="1762">+L1381+M1381</f>
        <v>0</v>
      </c>
      <c r="L1381" s="688">
        <f t="shared" ref="L1381:L1382" si="1763">+H1381+L1264</f>
        <v>0</v>
      </c>
      <c r="M1381" s="688">
        <f t="shared" ref="M1381:M1382" si="1764">+I1381+M1264</f>
        <v>0</v>
      </c>
      <c r="N1381" s="359" t="str">
        <f t="shared" si="1746"/>
        <v>-</v>
      </c>
      <c r="O1381" s="360" t="str">
        <f t="shared" si="1731"/>
        <v>-</v>
      </c>
    </row>
    <row r="1382" spans="1:15" ht="24.75" thickBot="1" x14ac:dyDescent="0.3">
      <c r="A1382" s="274" t="s">
        <v>102</v>
      </c>
      <c r="B1382" s="950"/>
      <c r="C1382" s="279" t="s">
        <v>161</v>
      </c>
      <c r="D1382" s="279"/>
      <c r="E1382" s="280"/>
      <c r="F1382" s="281"/>
      <c r="G1382" s="334">
        <f t="shared" si="1761"/>
        <v>0</v>
      </c>
      <c r="H1382" s="282">
        <v>0</v>
      </c>
      <c r="I1382" s="282">
        <v>0</v>
      </c>
      <c r="J1382" s="373" t="str">
        <f>IFERROR(G1382/F1382,"-")</f>
        <v>-</v>
      </c>
      <c r="K1382" s="696">
        <f t="shared" si="1762"/>
        <v>0</v>
      </c>
      <c r="L1382" s="688">
        <f t="shared" si="1763"/>
        <v>0</v>
      </c>
      <c r="M1382" s="688">
        <f t="shared" si="1764"/>
        <v>0</v>
      </c>
      <c r="N1382" s="363" t="str">
        <f t="shared" si="1746"/>
        <v>-</v>
      </c>
      <c r="O1382" s="364" t="str">
        <f t="shared" si="1731"/>
        <v>-</v>
      </c>
    </row>
    <row r="1383" spans="1:15" ht="23.25" thickBot="1" x14ac:dyDescent="0.3">
      <c r="A1383" s="274" t="s">
        <v>102</v>
      </c>
      <c r="B1383" s="952" t="s">
        <v>43</v>
      </c>
      <c r="C1383" s="953"/>
      <c r="D1383" s="954"/>
      <c r="E1383" s="284">
        <f>SUM(E1381:E1382)</f>
        <v>0</v>
      </c>
      <c r="F1383" s="285">
        <v>25000</v>
      </c>
      <c r="G1383" s="320">
        <f>SUM(G1381:G1382)</f>
        <v>0</v>
      </c>
      <c r="H1383" s="321">
        <f t="shared" ref="H1383:I1383" si="1765">SUM(H1381:H1382)</f>
        <v>0</v>
      </c>
      <c r="I1383" s="321">
        <f t="shared" si="1765"/>
        <v>0</v>
      </c>
      <c r="J1383" s="345">
        <f>IFERROR(G1383/F1383,"-")</f>
        <v>0</v>
      </c>
      <c r="K1383" s="760">
        <f t="shared" ref="K1383:M1383" si="1766">SUM(K1381:K1382)</f>
        <v>0</v>
      </c>
      <c r="L1383" s="761">
        <f t="shared" si="1766"/>
        <v>0</v>
      </c>
      <c r="M1383" s="761">
        <f t="shared" si="1766"/>
        <v>0</v>
      </c>
      <c r="N1383" s="339" t="str">
        <f t="shared" si="1746"/>
        <v>-</v>
      </c>
      <c r="O1383" s="345" t="str">
        <f t="shared" si="1731"/>
        <v>-</v>
      </c>
    </row>
    <row r="1384" spans="1:15" ht="23.25" thickBot="1" x14ac:dyDescent="0.3">
      <c r="A1384" s="274" t="s">
        <v>102</v>
      </c>
      <c r="B1384" s="938" t="s">
        <v>25</v>
      </c>
      <c r="C1384" s="939"/>
      <c r="D1384" s="940"/>
      <c r="E1384" s="326">
        <f t="shared" ref="E1384:F1384" si="1767">+E1362+E1367+E1370+E1376+E1380+E1383</f>
        <v>1292400</v>
      </c>
      <c r="F1384" s="327">
        <f t="shared" si="1767"/>
        <v>65800</v>
      </c>
      <c r="G1384" s="326">
        <f>+G1362+G1367+G1370+G1376+G1380+G1383</f>
        <v>40727</v>
      </c>
      <c r="H1384" s="324">
        <f>+H1362+H1367+H1370+H1376+H1380+H1383</f>
        <v>40320</v>
      </c>
      <c r="I1384" s="324">
        <f t="shared" ref="I1384" si="1768">+I1362+I1367+I1370+I1376+I1380+I1383</f>
        <v>407</v>
      </c>
      <c r="J1384" s="349">
        <f>IFERROR(G1384/F1384,"-")</f>
        <v>0.618951367781155</v>
      </c>
      <c r="K1384" s="326">
        <f>+K1362+K1367+K1370+K1376+K1380+K1383</f>
        <v>437270</v>
      </c>
      <c r="L1384" s="759">
        <f t="shared" ref="L1384:M1384" si="1769">+L1362+L1367+L1370+L1376+L1380+L1383</f>
        <v>432375</v>
      </c>
      <c r="M1384" s="325">
        <f t="shared" si="1769"/>
        <v>4895</v>
      </c>
      <c r="N1384" s="341">
        <f t="shared" si="1746"/>
        <v>0.33833952336737855</v>
      </c>
      <c r="O1384" s="349">
        <f t="shared" si="1731"/>
        <v>1.1194456514281794E-2</v>
      </c>
    </row>
    <row r="1385" spans="1:15" ht="23.25" thickBot="1" x14ac:dyDescent="0.3">
      <c r="A1385" s="318" t="s">
        <v>102</v>
      </c>
      <c r="B1385" s="941" t="s">
        <v>173</v>
      </c>
      <c r="C1385" s="941"/>
      <c r="D1385" s="942"/>
      <c r="E1385" s="330">
        <f>+E1384</f>
        <v>1292400</v>
      </c>
      <c r="F1385" s="331">
        <f t="shared" ref="F1385:I1385" si="1770">+F1384</f>
        <v>65800</v>
      </c>
      <c r="G1385" s="330">
        <f t="shared" si="1770"/>
        <v>40727</v>
      </c>
      <c r="H1385" s="328">
        <f t="shared" si="1770"/>
        <v>40320</v>
      </c>
      <c r="I1385" s="328">
        <f t="shared" si="1770"/>
        <v>407</v>
      </c>
      <c r="J1385" s="350">
        <f>+G1385/F1385</f>
        <v>0.618951367781155</v>
      </c>
      <c r="K1385" s="330">
        <f t="shared" ref="K1385:O1385" si="1771">+K1384</f>
        <v>437270</v>
      </c>
      <c r="L1385" s="328">
        <f t="shared" si="1771"/>
        <v>432375</v>
      </c>
      <c r="M1385" s="329">
        <f t="shared" si="1771"/>
        <v>4895</v>
      </c>
      <c r="N1385" s="342">
        <f t="shared" si="1771"/>
        <v>0.33833952336737855</v>
      </c>
      <c r="O1385" s="350">
        <f t="shared" si="1771"/>
        <v>1.1194456514281794E-2</v>
      </c>
    </row>
    <row r="1386" spans="1:15" ht="26.25" thickBot="1" x14ac:dyDescent="0.3">
      <c r="A1386" s="319"/>
      <c r="B1386" s="943" t="s">
        <v>174</v>
      </c>
      <c r="C1386" s="944"/>
      <c r="D1386" s="945"/>
      <c r="E1386" s="374">
        <f>+E1323+E1358+E1385</f>
        <v>7473564</v>
      </c>
      <c r="F1386" s="374">
        <f>+F1323+F1358+F1385</f>
        <v>1024800</v>
      </c>
      <c r="G1386" s="374">
        <f>+G1323+G1358+G1385</f>
        <v>337308</v>
      </c>
      <c r="H1386" s="374">
        <f>+H1323+H1358+H1385</f>
        <v>334096</v>
      </c>
      <c r="I1386" s="374">
        <f>+I1323+I1358+I1385</f>
        <v>3212</v>
      </c>
      <c r="J1386" s="375">
        <f>IFERROR(G1386/F1386,"-")</f>
        <v>0.32914519906323186</v>
      </c>
      <c r="K1386" s="374">
        <f>+K1323+K1358+K1385</f>
        <v>4447832</v>
      </c>
      <c r="L1386" s="374">
        <f>+L1323+L1358+L1385</f>
        <v>4406371</v>
      </c>
      <c r="M1386" s="374">
        <f>+M1323+M1358+M1385</f>
        <v>41461</v>
      </c>
      <c r="N1386" s="375">
        <f>IFERROR(K1386/E1386,"-")</f>
        <v>0.59514202327028976</v>
      </c>
      <c r="O1386" s="375">
        <f>IFERROR(M1386/K1386,"-")</f>
        <v>9.3216200611893618E-3</v>
      </c>
    </row>
  </sheetData>
  <mergeCells count="601">
    <mergeCell ref="B1150:D1150"/>
    <mergeCell ref="B1151:D1151"/>
    <mergeCell ref="B1152:D1152"/>
    <mergeCell ref="B1133:D1133"/>
    <mergeCell ref="B1134:B1135"/>
    <mergeCell ref="B1136:D1136"/>
    <mergeCell ref="B1137:B1141"/>
    <mergeCell ref="B1142:D1142"/>
    <mergeCell ref="B1143:B1145"/>
    <mergeCell ref="B1146:D1146"/>
    <mergeCell ref="B1147:B1148"/>
    <mergeCell ref="B1149:D1149"/>
    <mergeCell ref="B1101:B1108"/>
    <mergeCell ref="B1109:D1109"/>
    <mergeCell ref="B1110:B1120"/>
    <mergeCell ref="B1121:D1121"/>
    <mergeCell ref="B1123:D1123"/>
    <mergeCell ref="B1124:D1124"/>
    <mergeCell ref="B1125:B1127"/>
    <mergeCell ref="B1128:D1128"/>
    <mergeCell ref="B1129:B1132"/>
    <mergeCell ref="B1071:D1071"/>
    <mergeCell ref="B1072:D1072"/>
    <mergeCell ref="B1073:B1076"/>
    <mergeCell ref="B1077:D1077"/>
    <mergeCell ref="B1078:B1086"/>
    <mergeCell ref="B1087:D1087"/>
    <mergeCell ref="B1088:D1088"/>
    <mergeCell ref="B1089:D1089"/>
    <mergeCell ref="B1090:B1100"/>
    <mergeCell ref="B1039:B1042"/>
    <mergeCell ref="B1043:D1043"/>
    <mergeCell ref="B1044:B1050"/>
    <mergeCell ref="B1051:D1051"/>
    <mergeCell ref="B1052:B1058"/>
    <mergeCell ref="B1059:D1059"/>
    <mergeCell ref="B1060:B1066"/>
    <mergeCell ref="B1067:D1067"/>
    <mergeCell ref="B1068:B1070"/>
    <mergeCell ref="A1036:A1038"/>
    <mergeCell ref="B1036:B1038"/>
    <mergeCell ref="C1036:C1038"/>
    <mergeCell ref="D1036:D1038"/>
    <mergeCell ref="E1036:O1036"/>
    <mergeCell ref="E1037:E1038"/>
    <mergeCell ref="F1037:F1038"/>
    <mergeCell ref="G1037:J1037"/>
    <mergeCell ref="K1037:M1037"/>
    <mergeCell ref="N1037:N1038"/>
    <mergeCell ref="O1037:O1038"/>
    <mergeCell ref="B346:D346"/>
    <mergeCell ref="B347:D347"/>
    <mergeCell ref="B348:D348"/>
    <mergeCell ref="B329:D329"/>
    <mergeCell ref="B330:B331"/>
    <mergeCell ref="B332:D332"/>
    <mergeCell ref="B333:B337"/>
    <mergeCell ref="B338:D338"/>
    <mergeCell ref="B339:B341"/>
    <mergeCell ref="B342:D342"/>
    <mergeCell ref="B343:B344"/>
    <mergeCell ref="B345:D345"/>
    <mergeCell ref="B297:B304"/>
    <mergeCell ref="B305:D305"/>
    <mergeCell ref="B306:B316"/>
    <mergeCell ref="B317:D317"/>
    <mergeCell ref="B319:D319"/>
    <mergeCell ref="B320:D320"/>
    <mergeCell ref="B321:B323"/>
    <mergeCell ref="B324:D324"/>
    <mergeCell ref="B325:B328"/>
    <mergeCell ref="B267:D267"/>
    <mergeCell ref="B268:D268"/>
    <mergeCell ref="B269:B272"/>
    <mergeCell ref="B273:D273"/>
    <mergeCell ref="B274:B282"/>
    <mergeCell ref="B283:D283"/>
    <mergeCell ref="B284:D284"/>
    <mergeCell ref="B285:D285"/>
    <mergeCell ref="B286:B296"/>
    <mergeCell ref="B239:B242"/>
    <mergeCell ref="B243:D243"/>
    <mergeCell ref="B244:B250"/>
    <mergeCell ref="B251:D251"/>
    <mergeCell ref="B252:B258"/>
    <mergeCell ref="B259:D259"/>
    <mergeCell ref="B260:B262"/>
    <mergeCell ref="B263:D263"/>
    <mergeCell ref="B264:B266"/>
    <mergeCell ref="A236:A238"/>
    <mergeCell ref="B236:B238"/>
    <mergeCell ref="C236:C238"/>
    <mergeCell ref="D236:D238"/>
    <mergeCell ref="E236:O236"/>
    <mergeCell ref="E237:E238"/>
    <mergeCell ref="F237:F238"/>
    <mergeCell ref="G237:J237"/>
    <mergeCell ref="K237:M237"/>
    <mergeCell ref="N237:N238"/>
    <mergeCell ref="O237:O238"/>
    <mergeCell ref="B232:D232"/>
    <mergeCell ref="B233:D233"/>
    <mergeCell ref="B234:D234"/>
    <mergeCell ref="B235:D235"/>
    <mergeCell ref="B220:B224"/>
    <mergeCell ref="B225:D225"/>
    <mergeCell ref="B226:B228"/>
    <mergeCell ref="B229:D229"/>
    <mergeCell ref="B230:B231"/>
    <mergeCell ref="B211:D211"/>
    <mergeCell ref="B212:B215"/>
    <mergeCell ref="B216:D216"/>
    <mergeCell ref="B217:B218"/>
    <mergeCell ref="B219:D219"/>
    <mergeCell ref="B193:B203"/>
    <mergeCell ref="B204:D204"/>
    <mergeCell ref="B206:D206"/>
    <mergeCell ref="B207:D207"/>
    <mergeCell ref="B208:B210"/>
    <mergeCell ref="B171:D171"/>
    <mergeCell ref="B172:D172"/>
    <mergeCell ref="B173:B183"/>
    <mergeCell ref="B184:B191"/>
    <mergeCell ref="B192:D192"/>
    <mergeCell ref="B155:D155"/>
    <mergeCell ref="B156:B159"/>
    <mergeCell ref="B160:D160"/>
    <mergeCell ref="B161:B169"/>
    <mergeCell ref="B170:D170"/>
    <mergeCell ref="B146:D146"/>
    <mergeCell ref="B147:B149"/>
    <mergeCell ref="B150:D150"/>
    <mergeCell ref="B151:B153"/>
    <mergeCell ref="B154:D154"/>
    <mergeCell ref="B126:B129"/>
    <mergeCell ref="B130:D130"/>
    <mergeCell ref="B131:B137"/>
    <mergeCell ref="B138:D138"/>
    <mergeCell ref="B139:B145"/>
    <mergeCell ref="A123:A125"/>
    <mergeCell ref="B123:B125"/>
    <mergeCell ref="C123:C125"/>
    <mergeCell ref="D123:D125"/>
    <mergeCell ref="E123:O123"/>
    <mergeCell ref="E124:E125"/>
    <mergeCell ref="F124:F125"/>
    <mergeCell ref="G124:J124"/>
    <mergeCell ref="K124:M124"/>
    <mergeCell ref="N124:N125"/>
    <mergeCell ref="O124:O125"/>
    <mergeCell ref="A8:O8"/>
    <mergeCell ref="A10:A12"/>
    <mergeCell ref="B10:B12"/>
    <mergeCell ref="C10:C12"/>
    <mergeCell ref="D10:D12"/>
    <mergeCell ref="E10:O10"/>
    <mergeCell ref="E11:E12"/>
    <mergeCell ref="F11:F12"/>
    <mergeCell ref="G11:J11"/>
    <mergeCell ref="K11:M11"/>
    <mergeCell ref="N11:N12"/>
    <mergeCell ref="O11:O12"/>
    <mergeCell ref="B79:D79"/>
    <mergeCell ref="B42:D42"/>
    <mergeCell ref="B43:B46"/>
    <mergeCell ref="B47:D47"/>
    <mergeCell ref="B48:B56"/>
    <mergeCell ref="B57:D57"/>
    <mergeCell ref="B13:B16"/>
    <mergeCell ref="B17:D17"/>
    <mergeCell ref="B18:B24"/>
    <mergeCell ref="B25:D25"/>
    <mergeCell ref="B26:B32"/>
    <mergeCell ref="B33:D33"/>
    <mergeCell ref="B34:B36"/>
    <mergeCell ref="B37:D37"/>
    <mergeCell ref="B38:B40"/>
    <mergeCell ref="B121:D121"/>
    <mergeCell ref="B122:D122"/>
    <mergeCell ref="B116:D116"/>
    <mergeCell ref="B117:B118"/>
    <mergeCell ref="B119:D119"/>
    <mergeCell ref="B120:D120"/>
    <mergeCell ref="B41:D41"/>
    <mergeCell ref="B80:B90"/>
    <mergeCell ref="B91:D91"/>
    <mergeCell ref="B93:D93"/>
    <mergeCell ref="B94:D94"/>
    <mergeCell ref="B113:B115"/>
    <mergeCell ref="B103:D103"/>
    <mergeCell ref="B104:B105"/>
    <mergeCell ref="B106:D106"/>
    <mergeCell ref="B107:B111"/>
    <mergeCell ref="B112:D112"/>
    <mergeCell ref="B95:B97"/>
    <mergeCell ref="B98:D98"/>
    <mergeCell ref="B99:B102"/>
    <mergeCell ref="B58:D58"/>
    <mergeCell ref="B59:D59"/>
    <mergeCell ref="B60:B70"/>
    <mergeCell ref="B71:B78"/>
    <mergeCell ref="A349:A351"/>
    <mergeCell ref="B349:B351"/>
    <mergeCell ref="C349:C351"/>
    <mergeCell ref="D349:D351"/>
    <mergeCell ref="E349:O349"/>
    <mergeCell ref="E350:E351"/>
    <mergeCell ref="F350:F351"/>
    <mergeCell ref="G350:J350"/>
    <mergeCell ref="K350:M350"/>
    <mergeCell ref="N350:N351"/>
    <mergeCell ref="O350:O351"/>
    <mergeCell ref="B352:B355"/>
    <mergeCell ref="B356:D356"/>
    <mergeCell ref="B357:B363"/>
    <mergeCell ref="B364:D364"/>
    <mergeCell ref="B365:B371"/>
    <mergeCell ref="B372:D372"/>
    <mergeCell ref="B373:B375"/>
    <mergeCell ref="B376:D376"/>
    <mergeCell ref="B377:B379"/>
    <mergeCell ref="B380:D380"/>
    <mergeCell ref="B381:D381"/>
    <mergeCell ref="B382:B385"/>
    <mergeCell ref="B386:D386"/>
    <mergeCell ref="B387:B395"/>
    <mergeCell ref="B396:D396"/>
    <mergeCell ref="B397:D397"/>
    <mergeCell ref="B398:D398"/>
    <mergeCell ref="B399:B409"/>
    <mergeCell ref="B410:B417"/>
    <mergeCell ref="B418:D418"/>
    <mergeCell ref="B419:B429"/>
    <mergeCell ref="B430:D430"/>
    <mergeCell ref="B432:D432"/>
    <mergeCell ref="B433:D433"/>
    <mergeCell ref="B434:B436"/>
    <mergeCell ref="B437:D437"/>
    <mergeCell ref="B438:B441"/>
    <mergeCell ref="B459:D459"/>
    <mergeCell ref="B460:D460"/>
    <mergeCell ref="B461:D461"/>
    <mergeCell ref="B442:D442"/>
    <mergeCell ref="B443:B444"/>
    <mergeCell ref="B445:D445"/>
    <mergeCell ref="B446:B450"/>
    <mergeCell ref="B451:D451"/>
    <mergeCell ref="B452:B454"/>
    <mergeCell ref="B455:D455"/>
    <mergeCell ref="B456:B457"/>
    <mergeCell ref="B458:D458"/>
    <mergeCell ref="A462:A464"/>
    <mergeCell ref="B462:B464"/>
    <mergeCell ref="C462:C464"/>
    <mergeCell ref="D462:D464"/>
    <mergeCell ref="E462:O462"/>
    <mergeCell ref="E463:E464"/>
    <mergeCell ref="F463:F464"/>
    <mergeCell ref="G463:J463"/>
    <mergeCell ref="K463:M463"/>
    <mergeCell ref="N463:N464"/>
    <mergeCell ref="O463:O464"/>
    <mergeCell ref="B465:B468"/>
    <mergeCell ref="B469:D469"/>
    <mergeCell ref="B470:B476"/>
    <mergeCell ref="B477:D477"/>
    <mergeCell ref="B478:B484"/>
    <mergeCell ref="B485:D485"/>
    <mergeCell ref="B486:B488"/>
    <mergeCell ref="B489:D489"/>
    <mergeCell ref="B490:B492"/>
    <mergeCell ref="B493:D493"/>
    <mergeCell ref="B494:D494"/>
    <mergeCell ref="B495:B498"/>
    <mergeCell ref="B499:D499"/>
    <mergeCell ref="B500:B508"/>
    <mergeCell ref="B509:D509"/>
    <mergeCell ref="B510:D510"/>
    <mergeCell ref="B511:D511"/>
    <mergeCell ref="B512:B522"/>
    <mergeCell ref="B523:B530"/>
    <mergeCell ref="B531:D531"/>
    <mergeCell ref="B532:B542"/>
    <mergeCell ref="B543:D543"/>
    <mergeCell ref="B545:D545"/>
    <mergeCell ref="B546:D546"/>
    <mergeCell ref="B547:B549"/>
    <mergeCell ref="B550:D550"/>
    <mergeCell ref="B551:B554"/>
    <mergeCell ref="B572:D572"/>
    <mergeCell ref="B573:D573"/>
    <mergeCell ref="B574:D574"/>
    <mergeCell ref="B555:D555"/>
    <mergeCell ref="B556:B557"/>
    <mergeCell ref="B558:D558"/>
    <mergeCell ref="B559:B563"/>
    <mergeCell ref="B564:D564"/>
    <mergeCell ref="B565:B567"/>
    <mergeCell ref="B568:D568"/>
    <mergeCell ref="B569:B570"/>
    <mergeCell ref="B571:D571"/>
    <mergeCell ref="A575:A577"/>
    <mergeCell ref="B575:B577"/>
    <mergeCell ref="C575:C577"/>
    <mergeCell ref="D575:D577"/>
    <mergeCell ref="E575:O575"/>
    <mergeCell ref="E576:E577"/>
    <mergeCell ref="F576:F577"/>
    <mergeCell ref="G576:J576"/>
    <mergeCell ref="K576:M576"/>
    <mergeCell ref="N576:N577"/>
    <mergeCell ref="O576:O577"/>
    <mergeCell ref="B578:B581"/>
    <mergeCell ref="B582:D582"/>
    <mergeCell ref="B583:B589"/>
    <mergeCell ref="B590:D590"/>
    <mergeCell ref="B591:B597"/>
    <mergeCell ref="B598:D598"/>
    <mergeCell ref="B599:B603"/>
    <mergeCell ref="B604:D604"/>
    <mergeCell ref="B605:B607"/>
    <mergeCell ref="B608:D608"/>
    <mergeCell ref="B609:D609"/>
    <mergeCell ref="B610:B613"/>
    <mergeCell ref="B614:D614"/>
    <mergeCell ref="B615:B623"/>
    <mergeCell ref="B624:D624"/>
    <mergeCell ref="B625:D625"/>
    <mergeCell ref="B626:D626"/>
    <mergeCell ref="B627:B637"/>
    <mergeCell ref="B638:B645"/>
    <mergeCell ref="B646:D646"/>
    <mergeCell ref="B647:B657"/>
    <mergeCell ref="B658:D658"/>
    <mergeCell ref="B660:D660"/>
    <mergeCell ref="B661:D661"/>
    <mergeCell ref="B662:B664"/>
    <mergeCell ref="B665:D665"/>
    <mergeCell ref="B666:B669"/>
    <mergeCell ref="B687:D687"/>
    <mergeCell ref="B688:D688"/>
    <mergeCell ref="B689:D689"/>
    <mergeCell ref="B670:D670"/>
    <mergeCell ref="B671:B672"/>
    <mergeCell ref="B673:D673"/>
    <mergeCell ref="B674:B678"/>
    <mergeCell ref="B679:D679"/>
    <mergeCell ref="B680:B682"/>
    <mergeCell ref="B683:D683"/>
    <mergeCell ref="B684:B685"/>
    <mergeCell ref="B686:D686"/>
    <mergeCell ref="A690:A692"/>
    <mergeCell ref="B690:B692"/>
    <mergeCell ref="C690:C692"/>
    <mergeCell ref="D690:D692"/>
    <mergeCell ref="E690:O690"/>
    <mergeCell ref="E691:E692"/>
    <mergeCell ref="F691:F692"/>
    <mergeCell ref="G691:J691"/>
    <mergeCell ref="K691:M691"/>
    <mergeCell ref="N691:N692"/>
    <mergeCell ref="O691:O692"/>
    <mergeCell ref="B693:B696"/>
    <mergeCell ref="B697:D697"/>
    <mergeCell ref="B698:B704"/>
    <mergeCell ref="B705:D705"/>
    <mergeCell ref="B706:B712"/>
    <mergeCell ref="B713:D713"/>
    <mergeCell ref="B714:B718"/>
    <mergeCell ref="B719:D719"/>
    <mergeCell ref="B720:B722"/>
    <mergeCell ref="B723:D723"/>
    <mergeCell ref="B724:D724"/>
    <mergeCell ref="B725:B728"/>
    <mergeCell ref="B729:D729"/>
    <mergeCell ref="B730:B738"/>
    <mergeCell ref="B739:D739"/>
    <mergeCell ref="B740:D740"/>
    <mergeCell ref="B741:D741"/>
    <mergeCell ref="B742:B752"/>
    <mergeCell ref="B753:B760"/>
    <mergeCell ref="B761:D761"/>
    <mergeCell ref="B762:B772"/>
    <mergeCell ref="B773:D773"/>
    <mergeCell ref="B775:D775"/>
    <mergeCell ref="B776:D776"/>
    <mergeCell ref="B777:B779"/>
    <mergeCell ref="B780:D780"/>
    <mergeCell ref="B781:B784"/>
    <mergeCell ref="B802:D802"/>
    <mergeCell ref="B803:D803"/>
    <mergeCell ref="B804:D804"/>
    <mergeCell ref="B785:D785"/>
    <mergeCell ref="B786:B787"/>
    <mergeCell ref="B788:D788"/>
    <mergeCell ref="B789:B793"/>
    <mergeCell ref="B794:D794"/>
    <mergeCell ref="B795:B797"/>
    <mergeCell ref="B798:D798"/>
    <mergeCell ref="B799:B800"/>
    <mergeCell ref="B801:D801"/>
    <mergeCell ref="A805:A807"/>
    <mergeCell ref="B805:B807"/>
    <mergeCell ref="C805:C807"/>
    <mergeCell ref="D805:D807"/>
    <mergeCell ref="E805:O805"/>
    <mergeCell ref="E806:E807"/>
    <mergeCell ref="F806:F807"/>
    <mergeCell ref="G806:J806"/>
    <mergeCell ref="K806:M806"/>
    <mergeCell ref="N806:N807"/>
    <mergeCell ref="O806:O807"/>
    <mergeCell ref="B808:B811"/>
    <mergeCell ref="B812:D812"/>
    <mergeCell ref="B813:B819"/>
    <mergeCell ref="B820:D820"/>
    <mergeCell ref="B821:B827"/>
    <mergeCell ref="B828:D828"/>
    <mergeCell ref="B829:B833"/>
    <mergeCell ref="B834:D834"/>
    <mergeCell ref="B835:B837"/>
    <mergeCell ref="B838:D838"/>
    <mergeCell ref="B839:D839"/>
    <mergeCell ref="B840:B843"/>
    <mergeCell ref="B844:D844"/>
    <mergeCell ref="B845:B853"/>
    <mergeCell ref="B854:D854"/>
    <mergeCell ref="B855:D855"/>
    <mergeCell ref="B856:D856"/>
    <mergeCell ref="B857:B867"/>
    <mergeCell ref="B868:B875"/>
    <mergeCell ref="B876:D876"/>
    <mergeCell ref="B877:B887"/>
    <mergeCell ref="B888:D888"/>
    <mergeCell ref="B890:D890"/>
    <mergeCell ref="B891:D891"/>
    <mergeCell ref="B892:B894"/>
    <mergeCell ref="B895:D895"/>
    <mergeCell ref="B896:B899"/>
    <mergeCell ref="B917:D917"/>
    <mergeCell ref="B918:D918"/>
    <mergeCell ref="B919:D919"/>
    <mergeCell ref="B900:D900"/>
    <mergeCell ref="B901:B902"/>
    <mergeCell ref="B903:D903"/>
    <mergeCell ref="B904:B908"/>
    <mergeCell ref="B909:D909"/>
    <mergeCell ref="B910:B912"/>
    <mergeCell ref="B913:D913"/>
    <mergeCell ref="B914:B915"/>
    <mergeCell ref="B916:D916"/>
    <mergeCell ref="A920:A922"/>
    <mergeCell ref="B920:B922"/>
    <mergeCell ref="C920:C922"/>
    <mergeCell ref="D920:D922"/>
    <mergeCell ref="E920:O920"/>
    <mergeCell ref="E921:E922"/>
    <mergeCell ref="F921:F922"/>
    <mergeCell ref="G921:J921"/>
    <mergeCell ref="K921:M921"/>
    <mergeCell ref="N921:N922"/>
    <mergeCell ref="O921:O922"/>
    <mergeCell ref="B923:B926"/>
    <mergeCell ref="B927:D927"/>
    <mergeCell ref="B928:B934"/>
    <mergeCell ref="B935:D935"/>
    <mergeCell ref="B936:B942"/>
    <mergeCell ref="B943:D943"/>
    <mergeCell ref="B944:B949"/>
    <mergeCell ref="B950:D950"/>
    <mergeCell ref="B951:B953"/>
    <mergeCell ref="B954:D954"/>
    <mergeCell ref="B955:D955"/>
    <mergeCell ref="B956:B959"/>
    <mergeCell ref="B960:D960"/>
    <mergeCell ref="B961:B969"/>
    <mergeCell ref="B970:D970"/>
    <mergeCell ref="B971:D971"/>
    <mergeCell ref="B972:D972"/>
    <mergeCell ref="B973:B983"/>
    <mergeCell ref="B984:B991"/>
    <mergeCell ref="B992:D992"/>
    <mergeCell ref="B993:B1003"/>
    <mergeCell ref="B1004:D1004"/>
    <mergeCell ref="B1006:D1006"/>
    <mergeCell ref="B1007:D1007"/>
    <mergeCell ref="B1008:B1010"/>
    <mergeCell ref="B1011:D1011"/>
    <mergeCell ref="B1012:B1015"/>
    <mergeCell ref="B1033:D1033"/>
    <mergeCell ref="B1034:D1034"/>
    <mergeCell ref="B1035:D1035"/>
    <mergeCell ref="B1016:D1016"/>
    <mergeCell ref="B1017:B1018"/>
    <mergeCell ref="B1019:D1019"/>
    <mergeCell ref="B1020:B1024"/>
    <mergeCell ref="B1025:D1025"/>
    <mergeCell ref="B1026:B1028"/>
    <mergeCell ref="B1029:D1029"/>
    <mergeCell ref="B1030:B1031"/>
    <mergeCell ref="B1032:D1032"/>
    <mergeCell ref="A1153:A1155"/>
    <mergeCell ref="B1153:B1155"/>
    <mergeCell ref="C1153:C1155"/>
    <mergeCell ref="D1153:D1155"/>
    <mergeCell ref="E1153:O1153"/>
    <mergeCell ref="E1154:E1155"/>
    <mergeCell ref="F1154:F1155"/>
    <mergeCell ref="G1154:J1154"/>
    <mergeCell ref="K1154:M1154"/>
    <mergeCell ref="N1154:N1155"/>
    <mergeCell ref="O1154:O1155"/>
    <mergeCell ref="B1156:B1159"/>
    <mergeCell ref="B1160:D1160"/>
    <mergeCell ref="B1161:B1167"/>
    <mergeCell ref="B1168:D1168"/>
    <mergeCell ref="B1169:B1175"/>
    <mergeCell ref="B1176:D1176"/>
    <mergeCell ref="B1177:B1183"/>
    <mergeCell ref="B1184:D1184"/>
    <mergeCell ref="B1185:B1187"/>
    <mergeCell ref="B1188:D1188"/>
    <mergeCell ref="B1189:D1189"/>
    <mergeCell ref="B1190:B1193"/>
    <mergeCell ref="B1194:D1194"/>
    <mergeCell ref="B1195:B1203"/>
    <mergeCell ref="B1204:D1204"/>
    <mergeCell ref="B1205:D1205"/>
    <mergeCell ref="B1206:D1206"/>
    <mergeCell ref="B1207:B1217"/>
    <mergeCell ref="B1218:B1225"/>
    <mergeCell ref="B1226:D1226"/>
    <mergeCell ref="B1227:B1237"/>
    <mergeCell ref="B1238:D1238"/>
    <mergeCell ref="B1240:D1240"/>
    <mergeCell ref="B1241:D1241"/>
    <mergeCell ref="B1242:B1244"/>
    <mergeCell ref="B1245:D1245"/>
    <mergeCell ref="B1246:B1249"/>
    <mergeCell ref="B1267:D1267"/>
    <mergeCell ref="B1268:D1268"/>
    <mergeCell ref="B1269:D1269"/>
    <mergeCell ref="B1250:D1250"/>
    <mergeCell ref="B1251:B1252"/>
    <mergeCell ref="B1253:D1253"/>
    <mergeCell ref="B1254:B1258"/>
    <mergeCell ref="B1259:D1259"/>
    <mergeCell ref="B1260:B1262"/>
    <mergeCell ref="B1263:D1263"/>
    <mergeCell ref="B1264:B1265"/>
    <mergeCell ref="B1266:D1266"/>
    <mergeCell ref="A1270:A1272"/>
    <mergeCell ref="B1270:B1272"/>
    <mergeCell ref="C1270:C1272"/>
    <mergeCell ref="D1270:D1272"/>
    <mergeCell ref="E1270:O1270"/>
    <mergeCell ref="E1271:E1272"/>
    <mergeCell ref="F1271:F1272"/>
    <mergeCell ref="G1271:J1271"/>
    <mergeCell ref="K1271:M1271"/>
    <mergeCell ref="N1271:N1272"/>
    <mergeCell ref="O1271:O1272"/>
    <mergeCell ref="B1273:B1276"/>
    <mergeCell ref="B1277:D1277"/>
    <mergeCell ref="B1278:B1284"/>
    <mergeCell ref="B1285:D1285"/>
    <mergeCell ref="B1286:B1292"/>
    <mergeCell ref="B1293:D1293"/>
    <mergeCell ref="B1294:B1300"/>
    <mergeCell ref="B1301:D1301"/>
    <mergeCell ref="B1302:B1304"/>
    <mergeCell ref="B1305:D1305"/>
    <mergeCell ref="B1306:D1306"/>
    <mergeCell ref="B1307:B1310"/>
    <mergeCell ref="B1311:D1311"/>
    <mergeCell ref="B1312:B1320"/>
    <mergeCell ref="B1321:D1321"/>
    <mergeCell ref="B1322:D1322"/>
    <mergeCell ref="B1323:D1323"/>
    <mergeCell ref="B1324:B1334"/>
    <mergeCell ref="B1335:B1342"/>
    <mergeCell ref="B1343:D1343"/>
    <mergeCell ref="B1344:B1354"/>
    <mergeCell ref="B1355:D1355"/>
    <mergeCell ref="B1357:D1357"/>
    <mergeCell ref="B1358:D1358"/>
    <mergeCell ref="B1359:B1361"/>
    <mergeCell ref="B1362:D1362"/>
    <mergeCell ref="B1363:B1366"/>
    <mergeCell ref="B1384:D1384"/>
    <mergeCell ref="B1385:D1385"/>
    <mergeCell ref="B1386:D1386"/>
    <mergeCell ref="B1367:D1367"/>
    <mergeCell ref="B1368:B1369"/>
    <mergeCell ref="B1370:D1370"/>
    <mergeCell ref="B1371:B1375"/>
    <mergeCell ref="B1376:D1376"/>
    <mergeCell ref="B1377:B1379"/>
    <mergeCell ref="B1380:D1380"/>
    <mergeCell ref="B1381:B1382"/>
    <mergeCell ref="B1383:D1383"/>
  </mergeCells>
  <pageMargins left="0.19685039370078741" right="0.19685039370078741" top="0.19685039370078741" bottom="0.19685039370078741" header="0.19685039370078741" footer="0.19685039370078741"/>
  <pageSetup paperSize="9" scale="27" orientation="portrait" verticalDpi="300" r:id="rId1"/>
  <rowBreaks count="12" manualBreakCount="12">
    <brk id="122" max="14" man="1"/>
    <brk id="235" max="14" man="1"/>
    <brk id="348" max="14" man="1"/>
    <brk id="461" max="14" man="1"/>
    <brk id="574" max="14" man="1"/>
    <brk id="689" max="14" man="1"/>
    <brk id="804" max="14" man="1"/>
    <brk id="919" max="14" man="1"/>
    <brk id="1035" max="14" man="1"/>
    <brk id="1152" max="14" man="1"/>
    <brk id="1269" max="14" man="1"/>
    <brk id="1386" max="14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7:O1391"/>
  <sheetViews>
    <sheetView view="pageBreakPreview" topLeftCell="A1291" zoomScale="50" zoomScaleNormal="70" zoomScaleSheetLayoutView="50" workbookViewId="0">
      <selection activeCell="E1300" sqref="E1300"/>
    </sheetView>
  </sheetViews>
  <sheetFormatPr baseColWidth="10" defaultColWidth="9.140625" defaultRowHeight="16.5" x14ac:dyDescent="0.25"/>
  <cols>
    <col min="1" max="1" width="10.140625" style="229" customWidth="1"/>
    <col min="2" max="2" width="26.42578125" style="266" bestFit="1" customWidth="1"/>
    <col min="3" max="3" width="83.42578125" style="266" customWidth="1"/>
    <col min="4" max="4" width="44.28515625" style="229" customWidth="1"/>
    <col min="5" max="5" width="14.7109375" style="376" customWidth="1"/>
    <col min="6" max="7" width="33.140625" style="377" customWidth="1"/>
    <col min="8" max="8" width="14.7109375" style="376" customWidth="1"/>
    <col min="9" max="10" width="33.140625" style="377" customWidth="1"/>
    <col min="11" max="11" width="9.140625" style="229"/>
    <col min="12" max="12" width="11.28515625" style="229" bestFit="1" customWidth="1"/>
    <col min="13" max="16384" width="9.140625" style="229"/>
  </cols>
  <sheetData>
    <row r="7" spans="1:10" ht="67.150000000000006" customHeight="1" x14ac:dyDescent="0.25">
      <c r="A7" s="220" t="s">
        <v>0</v>
      </c>
    </row>
    <row r="9" spans="1:10" ht="81" customHeight="1" x14ac:dyDescent="0.25">
      <c r="A9" s="1007" t="s">
        <v>479</v>
      </c>
      <c r="B9" s="1008"/>
      <c r="C9" s="1008"/>
      <c r="D9" s="1008"/>
      <c r="E9" s="1008"/>
      <c r="F9" s="1008"/>
      <c r="G9" s="1008"/>
      <c r="H9" s="1008"/>
      <c r="I9" s="1008"/>
      <c r="J9" s="1008"/>
    </row>
    <row r="10" spans="1:10" ht="24.6" customHeight="1" thickBot="1" x14ac:dyDescent="0.3">
      <c r="A10" s="230"/>
      <c r="B10" s="230"/>
      <c r="C10" s="230"/>
      <c r="D10" s="230"/>
      <c r="E10" s="378"/>
      <c r="F10" s="378"/>
      <c r="G10" s="378"/>
      <c r="H10" s="378"/>
      <c r="I10" s="378"/>
      <c r="J10" s="378"/>
    </row>
    <row r="11" spans="1:10" ht="22.5" x14ac:dyDescent="0.25">
      <c r="A11" s="978" t="s">
        <v>1</v>
      </c>
      <c r="B11" s="981" t="s">
        <v>2</v>
      </c>
      <c r="C11" s="984" t="s">
        <v>396</v>
      </c>
      <c r="D11" s="984" t="s">
        <v>397</v>
      </c>
      <c r="E11" s="1011" t="s">
        <v>405</v>
      </c>
      <c r="F11" s="1012"/>
      <c r="G11" s="1012"/>
      <c r="H11" s="442"/>
      <c r="I11" s="442"/>
      <c r="J11" s="443"/>
    </row>
    <row r="12" spans="1:10" ht="22.5" x14ac:dyDescent="0.25">
      <c r="A12" s="979"/>
      <c r="B12" s="982"/>
      <c r="C12" s="985"/>
      <c r="D12" s="985"/>
      <c r="E12" s="1013" t="s">
        <v>408</v>
      </c>
      <c r="F12" s="1014"/>
      <c r="G12" s="1015"/>
      <c r="H12" s="1013" t="s">
        <v>168</v>
      </c>
      <c r="I12" s="1014"/>
      <c r="J12" s="1015"/>
    </row>
    <row r="13" spans="1:10" ht="45" x14ac:dyDescent="0.25">
      <c r="A13" s="980"/>
      <c r="B13" s="1009"/>
      <c r="C13" s="1010"/>
      <c r="D13" s="1010"/>
      <c r="E13" s="379" t="s">
        <v>170</v>
      </c>
      <c r="F13" s="742" t="s">
        <v>407</v>
      </c>
      <c r="G13" s="743" t="s">
        <v>406</v>
      </c>
      <c r="H13" s="1016" t="s">
        <v>170</v>
      </c>
      <c r="I13" s="1018" t="s">
        <v>137</v>
      </c>
      <c r="J13" s="1020" t="s">
        <v>406</v>
      </c>
    </row>
    <row r="14" spans="1:10" ht="23.25" thickBot="1" x14ac:dyDescent="0.3">
      <c r="A14" s="980"/>
      <c r="B14" s="983"/>
      <c r="C14" s="986"/>
      <c r="D14" s="986"/>
      <c r="E14" s="1022" t="s">
        <v>474</v>
      </c>
      <c r="F14" s="1023"/>
      <c r="G14" s="1024"/>
      <c r="H14" s="1017"/>
      <c r="I14" s="1019"/>
      <c r="J14" s="1021"/>
    </row>
    <row r="15" spans="1:10" ht="24" x14ac:dyDescent="0.25">
      <c r="A15" s="268" t="s">
        <v>103</v>
      </c>
      <c r="B15" s="965" t="s">
        <v>16</v>
      </c>
      <c r="C15" s="269" t="s">
        <v>368</v>
      </c>
      <c r="D15" s="269" t="s">
        <v>369</v>
      </c>
      <c r="E15" s="705">
        <v>81.360699999999994</v>
      </c>
      <c r="F15" s="402">
        <f>IFERROR(E15*'01 Prod Physique Boites'!H13,"-")</f>
        <v>0</v>
      </c>
      <c r="G15" s="402">
        <f>IFERROR(E15*'01 Prod Physique Boites'!L13,"-")</f>
        <v>0</v>
      </c>
      <c r="H15" s="706">
        <v>143.28</v>
      </c>
      <c r="I15" s="419">
        <f>IFERROR(H15*(F15/E15),"-")</f>
        <v>0</v>
      </c>
      <c r="J15" s="420">
        <f t="shared" ref="J15:J17" si="0">IFERROR(H15*(G15/E15),"-")</f>
        <v>0</v>
      </c>
    </row>
    <row r="16" spans="1:10" ht="24" x14ac:dyDescent="0.25">
      <c r="A16" s="713"/>
      <c r="B16" s="966"/>
      <c r="C16" s="275" t="s">
        <v>470</v>
      </c>
      <c r="D16" s="275" t="s">
        <v>375</v>
      </c>
      <c r="E16" s="505">
        <v>81.360699999999994</v>
      </c>
      <c r="F16" s="402">
        <f>IFERROR(E16*'01 Prod Physique Boites'!H14,"-")</f>
        <v>0</v>
      </c>
      <c r="G16" s="402">
        <f>IFERROR(E16*'01 Prod Physique Boites'!L14,"-")</f>
        <v>0</v>
      </c>
      <c r="H16" s="708">
        <v>143.28</v>
      </c>
      <c r="I16" s="419">
        <f>IFERROR(H16*(F16/E16),"-")</f>
        <v>0</v>
      </c>
      <c r="J16" s="420">
        <f t="shared" si="0"/>
        <v>0</v>
      </c>
    </row>
    <row r="17" spans="1:15" ht="24" x14ac:dyDescent="0.25">
      <c r="A17" s="274" t="s">
        <v>103</v>
      </c>
      <c r="B17" s="966"/>
      <c r="C17" s="275" t="s">
        <v>430</v>
      </c>
      <c r="D17" s="275" t="s">
        <v>384</v>
      </c>
      <c r="E17" s="684">
        <v>77.170400000000001</v>
      </c>
      <c r="F17" s="402">
        <f>IFERROR(E17*'01 Prod Physique Boites'!H15,"-")</f>
        <v>0</v>
      </c>
      <c r="G17" s="685">
        <f>IFERROR(E17*'01 Prod Physique Boites'!L15,"-")</f>
        <v>0</v>
      </c>
      <c r="H17" s="385">
        <v>0</v>
      </c>
      <c r="I17" s="419">
        <f>IFERROR(H17*(F17/E17),"-")</f>
        <v>0</v>
      </c>
      <c r="J17" s="420">
        <f t="shared" si="0"/>
        <v>0</v>
      </c>
    </row>
    <row r="18" spans="1:15" ht="24.75" thickBot="1" x14ac:dyDescent="0.3">
      <c r="A18" s="274" t="s">
        <v>103</v>
      </c>
      <c r="B18" s="967"/>
      <c r="C18" s="279" t="s">
        <v>262</v>
      </c>
      <c r="D18" s="279" t="s">
        <v>231</v>
      </c>
      <c r="E18" s="501">
        <v>60.703499999999998</v>
      </c>
      <c r="F18" s="402">
        <f>IFERROR(E18*'01 Prod Physique Boites'!H16,"-")</f>
        <v>0</v>
      </c>
      <c r="G18" s="402">
        <f>IFERROR(E18*'01 Prod Physique Boites'!L16,"-")</f>
        <v>0</v>
      </c>
      <c r="H18" s="387">
        <v>111.09</v>
      </c>
      <c r="I18" s="419">
        <f>IFERROR(H18*(F18/E18),"-")</f>
        <v>0</v>
      </c>
      <c r="J18" s="420">
        <f>IFERROR(H18*(G18/E18),"-")</f>
        <v>0</v>
      </c>
    </row>
    <row r="19" spans="1:15" ht="23.25" thickBot="1" x14ac:dyDescent="0.3">
      <c r="A19" s="274" t="s">
        <v>103</v>
      </c>
      <c r="B19" s="946" t="s">
        <v>44</v>
      </c>
      <c r="C19" s="947"/>
      <c r="D19" s="948"/>
      <c r="E19" s="390"/>
      <c r="F19" s="406">
        <f t="shared" ref="F19" si="1">SUM(F15:F18)</f>
        <v>0</v>
      </c>
      <c r="G19" s="407">
        <f>SUM(G15:G18)</f>
        <v>0</v>
      </c>
      <c r="H19" s="391"/>
      <c r="I19" s="406">
        <f t="shared" ref="I19:J19" si="2">SUM(I15:I18)</f>
        <v>0</v>
      </c>
      <c r="J19" s="425">
        <f t="shared" si="2"/>
        <v>0</v>
      </c>
      <c r="K19" s="704"/>
      <c r="L19" s="704"/>
      <c r="M19" s="704"/>
      <c r="N19" s="704"/>
      <c r="O19" s="704"/>
    </row>
    <row r="20" spans="1:15" ht="24" x14ac:dyDescent="0.25">
      <c r="A20" s="274" t="s">
        <v>103</v>
      </c>
      <c r="B20" s="965" t="s">
        <v>17</v>
      </c>
      <c r="C20" s="269" t="s">
        <v>294</v>
      </c>
      <c r="D20" s="269"/>
      <c r="E20" s="504">
        <v>12.5275</v>
      </c>
      <c r="F20" s="402">
        <f>IFERROR(E20*'01 Prod Physique Boites'!H18,"-")</f>
        <v>0</v>
      </c>
      <c r="G20" s="402">
        <f>IFERROR(E20*'01 Prod Physique Boites'!L18,"-")</f>
        <v>0</v>
      </c>
      <c r="H20" s="681">
        <v>18.836400000000001</v>
      </c>
      <c r="I20" s="419">
        <f t="shared" ref="I20:I26" si="3">IFERROR(H20*(F20/E20),"-")</f>
        <v>0</v>
      </c>
      <c r="J20" s="420">
        <f t="shared" ref="J20:J25" si="4">IFERROR(H20*(G20/E20),"-")</f>
        <v>0</v>
      </c>
    </row>
    <row r="21" spans="1:15" ht="24" x14ac:dyDescent="0.25">
      <c r="A21" s="274" t="s">
        <v>103</v>
      </c>
      <c r="B21" s="966"/>
      <c r="C21" s="275" t="s">
        <v>344</v>
      </c>
      <c r="D21" s="275" t="s">
        <v>232</v>
      </c>
      <c r="E21" s="677">
        <v>13.002700000000001</v>
      </c>
      <c r="F21" s="402">
        <f>IFERROR(E21*'01 Prod Physique Boites'!H19,"-")</f>
        <v>0</v>
      </c>
      <c r="G21" s="402">
        <f>IFERROR(E21*'01 Prod Physique Boites'!L19,"-")</f>
        <v>0</v>
      </c>
      <c r="H21" s="385">
        <v>21.18</v>
      </c>
      <c r="I21" s="421">
        <f t="shared" si="3"/>
        <v>0</v>
      </c>
      <c r="J21" s="422">
        <f t="shared" si="4"/>
        <v>0</v>
      </c>
    </row>
    <row r="22" spans="1:15" ht="24" x14ac:dyDescent="0.25">
      <c r="A22" s="274" t="s">
        <v>103</v>
      </c>
      <c r="B22" s="966"/>
      <c r="C22" s="275" t="s">
        <v>351</v>
      </c>
      <c r="D22" s="275" t="s">
        <v>187</v>
      </c>
      <c r="E22" s="677">
        <v>12.9049</v>
      </c>
      <c r="F22" s="402">
        <f>IFERROR(E22*'01 Prod Physique Boites'!H20,"-")</f>
        <v>78977.987999999998</v>
      </c>
      <c r="G22" s="402">
        <f>IFERROR(E22*'01 Prod Physique Boites'!L20,"-")</f>
        <v>78977.987999999998</v>
      </c>
      <c r="H22" s="385">
        <v>20.5</v>
      </c>
      <c r="I22" s="421">
        <f t="shared" si="3"/>
        <v>125460</v>
      </c>
      <c r="J22" s="422">
        <f t="shared" si="4"/>
        <v>125460</v>
      </c>
    </row>
    <row r="23" spans="1:15" ht="24" x14ac:dyDescent="0.25">
      <c r="A23" s="274" t="s">
        <v>103</v>
      </c>
      <c r="B23" s="966"/>
      <c r="C23" s="275" t="s">
        <v>293</v>
      </c>
      <c r="D23" s="275" t="s">
        <v>188</v>
      </c>
      <c r="E23" s="505">
        <v>13.078200000000001</v>
      </c>
      <c r="F23" s="402">
        <f>IFERROR(E23*'01 Prod Physique Boites'!H21,"-")</f>
        <v>0</v>
      </c>
      <c r="G23" s="402">
        <f>IFERROR(E23*'01 Prod Physique Boites'!L21,"-")</f>
        <v>0</v>
      </c>
      <c r="H23" s="385">
        <v>20.6</v>
      </c>
      <c r="I23" s="421">
        <f t="shared" si="3"/>
        <v>0</v>
      </c>
      <c r="J23" s="422">
        <f t="shared" si="4"/>
        <v>0</v>
      </c>
    </row>
    <row r="24" spans="1:15" ht="24" x14ac:dyDescent="0.25">
      <c r="A24" s="274" t="s">
        <v>103</v>
      </c>
      <c r="B24" s="966"/>
      <c r="C24" s="275" t="s">
        <v>323</v>
      </c>
      <c r="D24" s="275" t="s">
        <v>318</v>
      </c>
      <c r="E24" s="505">
        <v>13.1958</v>
      </c>
      <c r="F24" s="402">
        <f>IFERROR(E24*'01 Prod Physique Boites'!H22,"-")</f>
        <v>0</v>
      </c>
      <c r="G24" s="402">
        <f>IFERROR(E24*'01 Prod Physique Boites'!L22,"-")</f>
        <v>0</v>
      </c>
      <c r="H24" s="385">
        <v>21.28</v>
      </c>
      <c r="I24" s="421">
        <f t="shared" si="3"/>
        <v>0</v>
      </c>
      <c r="J24" s="422">
        <f t="shared" si="4"/>
        <v>0</v>
      </c>
    </row>
    <row r="25" spans="1:15" ht="24" x14ac:dyDescent="0.25">
      <c r="A25" s="274">
        <v>1</v>
      </c>
      <c r="B25" s="966"/>
      <c r="C25" s="275" t="s">
        <v>352</v>
      </c>
      <c r="D25" s="275" t="s">
        <v>189</v>
      </c>
      <c r="E25" s="677">
        <v>12.9049</v>
      </c>
      <c r="F25" s="402">
        <f>IFERROR(E25*'01 Prod Physique Boites'!H23,"-")</f>
        <v>0</v>
      </c>
      <c r="G25" s="402">
        <f>IFERROR(E25*'01 Prod Physique Boites'!L23,"-")</f>
        <v>0</v>
      </c>
      <c r="H25" s="664">
        <v>20.5</v>
      </c>
      <c r="I25" s="421">
        <f t="shared" si="3"/>
        <v>0</v>
      </c>
      <c r="J25" s="422">
        <f t="shared" si="4"/>
        <v>0</v>
      </c>
    </row>
    <row r="26" spans="1:15" ht="24.75" thickBot="1" x14ac:dyDescent="0.3">
      <c r="A26" s="274" t="s">
        <v>103</v>
      </c>
      <c r="B26" s="967"/>
      <c r="C26" s="279" t="s">
        <v>341</v>
      </c>
      <c r="D26" s="279" t="s">
        <v>175</v>
      </c>
      <c r="E26" s="501">
        <v>13.6509</v>
      </c>
      <c r="F26" s="402">
        <f>IFERROR(E26*'01 Prod Physique Boites'!H24,"-")</f>
        <v>0</v>
      </c>
      <c r="G26" s="402">
        <f>IFERROR(E26*'01 Prod Physique Boites'!L24,"-")</f>
        <v>0</v>
      </c>
      <c r="H26" s="387">
        <v>21.18</v>
      </c>
      <c r="I26" s="423">
        <f t="shared" si="3"/>
        <v>0</v>
      </c>
      <c r="J26" s="424">
        <f>IFERROR(H26*(G26/E26),"-")</f>
        <v>0</v>
      </c>
    </row>
    <row r="27" spans="1:15" ht="23.25" thickBot="1" x14ac:dyDescent="0.3">
      <c r="A27" s="274" t="s">
        <v>103</v>
      </c>
      <c r="B27" s="946" t="s">
        <v>45</v>
      </c>
      <c r="C27" s="947"/>
      <c r="D27" s="948"/>
      <c r="E27" s="390"/>
      <c r="F27" s="406">
        <f t="shared" ref="F27" si="5">SUM(F20:F26)</f>
        <v>78977.987999999998</v>
      </c>
      <c r="G27" s="407">
        <f>SUM(G20:G26)</f>
        <v>78977.987999999998</v>
      </c>
      <c r="H27" s="391"/>
      <c r="I27" s="406">
        <f t="shared" ref="I27" si="6">SUM(I20:I26)</f>
        <v>125460</v>
      </c>
      <c r="J27" s="425">
        <f>SUM(J20:J26)</f>
        <v>125460</v>
      </c>
      <c r="K27" s="704"/>
      <c r="L27" s="704"/>
      <c r="M27" s="704"/>
      <c r="N27" s="704"/>
      <c r="O27" s="704"/>
    </row>
    <row r="28" spans="1:15" ht="24" x14ac:dyDescent="0.25">
      <c r="A28" s="274" t="s">
        <v>103</v>
      </c>
      <c r="B28" s="965" t="s">
        <v>18</v>
      </c>
      <c r="C28" s="269" t="s">
        <v>312</v>
      </c>
      <c r="D28" s="269" t="s">
        <v>92</v>
      </c>
      <c r="E28" s="504">
        <v>17.8202</v>
      </c>
      <c r="F28" s="402">
        <f>IFERROR(E28*'01 Prod Physique Boites'!H26,"-")</f>
        <v>0</v>
      </c>
      <c r="G28" s="403">
        <f>IFERROR(E28*'01 Prod Physique Boites'!L26,"-")</f>
        <v>0</v>
      </c>
      <c r="H28" s="381">
        <v>24.93</v>
      </c>
      <c r="I28" s="419">
        <f t="shared" ref="I28:I34" si="7">IFERROR(H28*(F28/E28),"-")</f>
        <v>0</v>
      </c>
      <c r="J28" s="420">
        <f t="shared" ref="J28:J30" si="8">IFERROR(H28*(G28/E28),"-")</f>
        <v>0</v>
      </c>
    </row>
    <row r="29" spans="1:15" ht="24" x14ac:dyDescent="0.25">
      <c r="A29" s="274" t="s">
        <v>103</v>
      </c>
      <c r="B29" s="966"/>
      <c r="C29" s="275" t="s">
        <v>130</v>
      </c>
      <c r="D29" s="275"/>
      <c r="E29" s="505">
        <v>17.8202</v>
      </c>
      <c r="F29" s="402">
        <f>IFERROR(E29*'01 Prod Physique Boites'!H27,"-")</f>
        <v>0</v>
      </c>
      <c r="G29" s="403">
        <f>IFERROR(E29*'01 Prod Physique Boites'!L27,"-")</f>
        <v>0</v>
      </c>
      <c r="H29" s="385">
        <v>0</v>
      </c>
      <c r="I29" s="421">
        <f t="shared" si="7"/>
        <v>0</v>
      </c>
      <c r="J29" s="422">
        <f t="shared" si="8"/>
        <v>0</v>
      </c>
    </row>
    <row r="30" spans="1:15" ht="24" x14ac:dyDescent="0.25">
      <c r="A30" s="274" t="s">
        <v>103</v>
      </c>
      <c r="B30" s="966"/>
      <c r="C30" s="275" t="s">
        <v>115</v>
      </c>
      <c r="D30" s="275"/>
      <c r="E30" s="505">
        <v>16.4071</v>
      </c>
      <c r="F30" s="402">
        <f>IFERROR(E30*'01 Prod Physique Boites'!H28,"-")</f>
        <v>0</v>
      </c>
      <c r="G30" s="403">
        <f>IFERROR(E30*'01 Prod Physique Boites'!L28,"-")</f>
        <v>0</v>
      </c>
      <c r="H30" s="385">
        <v>0</v>
      </c>
      <c r="I30" s="421">
        <f t="shared" si="7"/>
        <v>0</v>
      </c>
      <c r="J30" s="422">
        <f t="shared" si="8"/>
        <v>0</v>
      </c>
    </row>
    <row r="31" spans="1:15" ht="24" x14ac:dyDescent="0.25">
      <c r="A31" s="274" t="s">
        <v>103</v>
      </c>
      <c r="B31" s="966"/>
      <c r="C31" s="275" t="s">
        <v>122</v>
      </c>
      <c r="D31" s="275"/>
      <c r="E31" s="505">
        <v>17.8202</v>
      </c>
      <c r="F31" s="402">
        <f>IFERROR(E31*'01 Prod Physique Boites'!H29,"-")</f>
        <v>0</v>
      </c>
      <c r="G31" s="403">
        <f>IFERROR(E31*'01 Prod Physique Boites'!L29,"-")</f>
        <v>0</v>
      </c>
      <c r="H31" s="385">
        <v>0</v>
      </c>
      <c r="I31" s="421">
        <f t="shared" si="7"/>
        <v>0</v>
      </c>
      <c r="J31" s="422">
        <f>IFERROR(H31*(G31/E31),"-")</f>
        <v>0</v>
      </c>
    </row>
    <row r="32" spans="1:15" ht="24" x14ac:dyDescent="0.25">
      <c r="A32" s="274" t="s">
        <v>103</v>
      </c>
      <c r="B32" s="966"/>
      <c r="C32" s="275" t="s">
        <v>176</v>
      </c>
      <c r="D32" s="275" t="s">
        <v>177</v>
      </c>
      <c r="E32" s="505">
        <v>17.8202</v>
      </c>
      <c r="F32" s="402">
        <f>IFERROR(E32*'01 Prod Physique Boites'!H30,"-")</f>
        <v>0</v>
      </c>
      <c r="G32" s="403">
        <f>IFERROR(E32*'01 Prod Physique Boites'!L30,"-")</f>
        <v>0</v>
      </c>
      <c r="H32" s="385">
        <v>0</v>
      </c>
      <c r="I32" s="421">
        <f t="shared" si="7"/>
        <v>0</v>
      </c>
      <c r="J32" s="422">
        <f t="shared" ref="J32:J34" si="9">IFERROR(H32*(G32/E32),"-")</f>
        <v>0</v>
      </c>
    </row>
    <row r="33" spans="1:10" ht="24" x14ac:dyDescent="0.25">
      <c r="A33" s="274" t="s">
        <v>103</v>
      </c>
      <c r="B33" s="966"/>
      <c r="C33" s="275" t="s">
        <v>179</v>
      </c>
      <c r="D33" s="275" t="s">
        <v>178</v>
      </c>
      <c r="E33" s="505">
        <v>16.7288</v>
      </c>
      <c r="F33" s="402">
        <f>IFERROR(E33*'01 Prod Physique Boites'!H31,"-")</f>
        <v>0</v>
      </c>
      <c r="G33" s="403">
        <f>IFERROR(E33*'01 Prod Physique Boites'!L31,"-")</f>
        <v>0</v>
      </c>
      <c r="H33" s="385">
        <v>0</v>
      </c>
      <c r="I33" s="421">
        <f t="shared" si="7"/>
        <v>0</v>
      </c>
      <c r="J33" s="422">
        <f t="shared" si="9"/>
        <v>0</v>
      </c>
    </row>
    <row r="34" spans="1:10" ht="24.75" thickBot="1" x14ac:dyDescent="0.3">
      <c r="A34" s="274" t="s">
        <v>103</v>
      </c>
      <c r="B34" s="967"/>
      <c r="C34" s="286" t="s">
        <v>180</v>
      </c>
      <c r="D34" s="286" t="s">
        <v>107</v>
      </c>
      <c r="E34" s="501">
        <v>17.8202</v>
      </c>
      <c r="F34" s="402">
        <f>IFERROR(E34*'01 Prod Physique Boites'!H32,"-")</f>
        <v>0</v>
      </c>
      <c r="G34" s="403">
        <f>IFERROR(E34*'01 Prod Physique Boites'!L32,"-")</f>
        <v>0</v>
      </c>
      <c r="H34" s="385">
        <v>0</v>
      </c>
      <c r="I34" s="423">
        <f t="shared" si="7"/>
        <v>0</v>
      </c>
      <c r="J34" s="424">
        <f t="shared" si="9"/>
        <v>0</v>
      </c>
    </row>
    <row r="35" spans="1:10" ht="23.25" thickBot="1" x14ac:dyDescent="0.3">
      <c r="A35" s="274" t="s">
        <v>103</v>
      </c>
      <c r="B35" s="946" t="s">
        <v>29</v>
      </c>
      <c r="C35" s="947"/>
      <c r="D35" s="948"/>
      <c r="E35" s="648"/>
      <c r="F35" s="649">
        <f t="shared" ref="F35:G35" si="10">SUM(F28:F34)</f>
        <v>0</v>
      </c>
      <c r="G35" s="407">
        <f t="shared" si="10"/>
        <v>0</v>
      </c>
      <c r="H35" s="391"/>
      <c r="I35" s="406">
        <f t="shared" ref="I35:J35" si="11">SUM(I28:I34)</f>
        <v>0</v>
      </c>
      <c r="J35" s="425">
        <f t="shared" si="11"/>
        <v>0</v>
      </c>
    </row>
    <row r="36" spans="1:10" ht="24.75" thickBot="1" x14ac:dyDescent="0.3">
      <c r="A36" s="274"/>
      <c r="B36" s="1004" t="s">
        <v>19</v>
      </c>
      <c r="C36" s="650" t="s">
        <v>235</v>
      </c>
      <c r="D36" s="656" t="s">
        <v>177</v>
      </c>
      <c r="E36" s="657">
        <v>12.2659</v>
      </c>
      <c r="F36" s="658">
        <f>IFERROR(E36*'01 Prod Physique Boites'!H34,"-")</f>
        <v>0</v>
      </c>
      <c r="G36" s="659">
        <f>IFERROR(E36*'01 Prod Physique Boites'!L34,"-")</f>
        <v>0</v>
      </c>
      <c r="H36" s="653">
        <v>14.79</v>
      </c>
      <c r="I36" s="638">
        <f t="shared" ref="I36:I38" si="12">IFERROR(H36*(F36/E36),"-")</f>
        <v>0</v>
      </c>
      <c r="J36" s="638">
        <f>IFERROR(H36*(G36/E36),"-")</f>
        <v>0</v>
      </c>
    </row>
    <row r="37" spans="1:10" ht="24.75" thickBot="1" x14ac:dyDescent="0.3">
      <c r="A37" s="274"/>
      <c r="B37" s="1005"/>
      <c r="C37" s="651" t="s">
        <v>359</v>
      </c>
      <c r="D37" s="660" t="s">
        <v>423</v>
      </c>
      <c r="E37" s="642">
        <v>12.2659</v>
      </c>
      <c r="F37" s="658">
        <f>IFERROR(E37*'01 Prod Physique Boites'!H35,"-")</f>
        <v>1450712.5248</v>
      </c>
      <c r="G37" s="633">
        <f>IFERROR(E37*'01 Prod Physique Boites'!L35,"-")</f>
        <v>1450712.5248</v>
      </c>
      <c r="H37" s="654">
        <v>14.55</v>
      </c>
      <c r="I37" s="643">
        <f t="shared" si="12"/>
        <v>1720857.6000000001</v>
      </c>
      <c r="J37" s="643">
        <f>IFERROR(H37*(G37/E37),"-")</f>
        <v>1720857.6000000001</v>
      </c>
    </row>
    <row r="38" spans="1:10" ht="24.75" thickBot="1" x14ac:dyDescent="0.3">
      <c r="A38" s="744" t="s">
        <v>103</v>
      </c>
      <c r="B38" s="1006"/>
      <c r="C38" s="652" t="s">
        <v>342</v>
      </c>
      <c r="D38" s="661"/>
      <c r="E38" s="662">
        <v>0</v>
      </c>
      <c r="F38" s="658">
        <f>IFERROR(E38*'01 Prod Physique Boites'!H36,"-")</f>
        <v>0</v>
      </c>
      <c r="G38" s="663">
        <f>IFERROR(E38*'01 Prod Physique Boites'!L36,"-")</f>
        <v>0</v>
      </c>
      <c r="H38" s="655">
        <v>0</v>
      </c>
      <c r="I38" s="426" t="str">
        <f t="shared" si="12"/>
        <v>-</v>
      </c>
      <c r="J38" s="427" t="str">
        <f t="shared" ref="J38" si="13">IFERROR(I38*(G38/F38),"-")</f>
        <v>-</v>
      </c>
    </row>
    <row r="39" spans="1:10" ht="23.25" thickBot="1" x14ac:dyDescent="0.3">
      <c r="A39" s="274" t="s">
        <v>103</v>
      </c>
      <c r="B39" s="946" t="s">
        <v>46</v>
      </c>
      <c r="C39" s="947"/>
      <c r="D39" s="948"/>
      <c r="E39" s="390"/>
      <c r="F39" s="406">
        <f>SUM(F36:F38)</f>
        <v>1450712.5248</v>
      </c>
      <c r="G39" s="406">
        <f>SUM(G36:G38)</f>
        <v>1450712.5248</v>
      </c>
      <c r="H39" s="391"/>
      <c r="I39" s="406">
        <f>SUM(I36:I38)</f>
        <v>1720857.6000000001</v>
      </c>
      <c r="J39" s="425">
        <f>SUM(J36:J38)</f>
        <v>1720857.6000000001</v>
      </c>
    </row>
    <row r="40" spans="1:10" ht="24" x14ac:dyDescent="0.25">
      <c r="A40" s="274" t="s">
        <v>103</v>
      </c>
      <c r="B40" s="965" t="s">
        <v>20</v>
      </c>
      <c r="C40" s="291" t="s">
        <v>317</v>
      </c>
      <c r="D40" s="291" t="s">
        <v>289</v>
      </c>
      <c r="E40" s="504">
        <v>26.032900000000001</v>
      </c>
      <c r="F40" s="402">
        <f>IFERROR(E40*'01 Prod Physique Boites'!H38,"-")</f>
        <v>0</v>
      </c>
      <c r="G40" s="403">
        <f>IFERROR(E40*'01 Prod Physique Boites'!L38,"-")</f>
        <v>0</v>
      </c>
      <c r="H40" s="381">
        <v>36.44</v>
      </c>
      <c r="I40" s="419">
        <f>IFERROR(H40*(F40/E40),"-")</f>
        <v>0</v>
      </c>
      <c r="J40" s="420">
        <f t="shared" ref="J40:J42" si="14">IFERROR(H40*(G40/E40),"-")</f>
        <v>0</v>
      </c>
    </row>
    <row r="41" spans="1:10" ht="24" x14ac:dyDescent="0.25">
      <c r="A41" s="274" t="s">
        <v>103</v>
      </c>
      <c r="B41" s="966"/>
      <c r="C41" s="292" t="s">
        <v>114</v>
      </c>
      <c r="D41" s="292"/>
      <c r="E41" s="384">
        <v>24.2607</v>
      </c>
      <c r="F41" s="402">
        <f>IFERROR(E41*'01 Prod Physique Boites'!H39,"-")</f>
        <v>0</v>
      </c>
      <c r="G41" s="403">
        <f>IFERROR(E41*'01 Prod Physique Boites'!L39,"-")</f>
        <v>0</v>
      </c>
      <c r="H41" s="385">
        <v>37.369999999999997</v>
      </c>
      <c r="I41" s="421">
        <f>IFERROR(H41*(F41/E41),"-")</f>
        <v>0</v>
      </c>
      <c r="J41" s="422">
        <f t="shared" si="14"/>
        <v>0</v>
      </c>
    </row>
    <row r="42" spans="1:10" ht="24.75" thickBot="1" x14ac:dyDescent="0.3">
      <c r="A42" s="274" t="s">
        <v>103</v>
      </c>
      <c r="B42" s="967"/>
      <c r="C42" s="293" t="s">
        <v>120</v>
      </c>
      <c r="D42" s="293"/>
      <c r="E42" s="386">
        <v>26.035799999999998</v>
      </c>
      <c r="F42" s="402">
        <f>IFERROR(E42*'01 Prod Physique Boites'!H40,"-")</f>
        <v>0</v>
      </c>
      <c r="G42" s="403">
        <f>IFERROR(E42*'01 Prod Physique Boites'!L40,"-")</f>
        <v>0</v>
      </c>
      <c r="H42" s="387">
        <v>37.11</v>
      </c>
      <c r="I42" s="423">
        <f>IFERROR(H42*(F42/E42),"-")</f>
        <v>0</v>
      </c>
      <c r="J42" s="424">
        <f t="shared" si="14"/>
        <v>0</v>
      </c>
    </row>
    <row r="43" spans="1:10" ht="23.25" thickBot="1" x14ac:dyDescent="0.3">
      <c r="A43" s="274" t="s">
        <v>103</v>
      </c>
      <c r="B43" s="947" t="s">
        <v>47</v>
      </c>
      <c r="C43" s="947"/>
      <c r="D43" s="964"/>
      <c r="E43" s="390"/>
      <c r="F43" s="406">
        <f t="shared" ref="F43:G43" si="15">SUM(F40:F42)</f>
        <v>0</v>
      </c>
      <c r="G43" s="407">
        <f t="shared" si="15"/>
        <v>0</v>
      </c>
      <c r="H43" s="391"/>
      <c r="I43" s="406">
        <f t="shared" ref="I43:J43" si="16">SUM(I40:I42)</f>
        <v>0</v>
      </c>
      <c r="J43" s="425">
        <f t="shared" si="16"/>
        <v>0</v>
      </c>
    </row>
    <row r="44" spans="1:10" ht="23.25" thickBot="1" x14ac:dyDescent="0.3">
      <c r="A44" s="274" t="s">
        <v>103</v>
      </c>
      <c r="B44" s="960" t="s">
        <v>21</v>
      </c>
      <c r="C44" s="961"/>
      <c r="D44" s="962"/>
      <c r="E44" s="393"/>
      <c r="F44" s="410">
        <f>+F19+F27+F35+F39+F43</f>
        <v>1529690.5127999999</v>
      </c>
      <c r="G44" s="411">
        <f>+G19+G27+G35+G39+G43</f>
        <v>1529690.5127999999</v>
      </c>
      <c r="H44" s="394"/>
      <c r="I44" s="410">
        <f>+I19+I27+I35+I39+I43</f>
        <v>1846317.6</v>
      </c>
      <c r="J44" s="428">
        <f>+J19+J27+J35+J39+J43</f>
        <v>1846317.6</v>
      </c>
    </row>
    <row r="45" spans="1:10" ht="24" x14ac:dyDescent="0.25">
      <c r="A45" s="274" t="s">
        <v>103</v>
      </c>
      <c r="B45" s="965" t="s">
        <v>400</v>
      </c>
      <c r="C45" s="269" t="s">
        <v>125</v>
      </c>
      <c r="D45" s="269"/>
      <c r="E45" s="380">
        <v>22.820599999999999</v>
      </c>
      <c r="F45" s="402">
        <f>IFERROR(E45*'01 Prod Physique Boites'!H43,"-")</f>
        <v>0</v>
      </c>
      <c r="G45" s="403">
        <f>IFERROR(E45*'01 Prod Physique Boites'!L43,"-")</f>
        <v>0</v>
      </c>
      <c r="H45" s="381">
        <v>27.5</v>
      </c>
      <c r="I45" s="419">
        <f>IFERROR(H45*(F45/E45),"-")</f>
        <v>0</v>
      </c>
      <c r="J45" s="420">
        <f t="shared" ref="J45:J48" si="17">IFERROR(H45*(G45/E45),"-")</f>
        <v>0</v>
      </c>
    </row>
    <row r="46" spans="1:10" ht="24" x14ac:dyDescent="0.25">
      <c r="A46" s="274" t="s">
        <v>103</v>
      </c>
      <c r="B46" s="966"/>
      <c r="C46" s="295" t="s">
        <v>263</v>
      </c>
      <c r="D46" s="295" t="s">
        <v>181</v>
      </c>
      <c r="E46" s="384">
        <v>23.570699999999999</v>
      </c>
      <c r="F46" s="402">
        <f>IFERROR(E46*'01 Prod Physique Boites'!H44,"-")</f>
        <v>0</v>
      </c>
      <c r="G46" s="403">
        <f>IFERROR(E46*'01 Prod Physique Boites'!L44,"-")</f>
        <v>0</v>
      </c>
      <c r="H46" s="385">
        <v>27.5</v>
      </c>
      <c r="I46" s="421">
        <f>IFERROR(H46*(F46/E46),"-")</f>
        <v>0</v>
      </c>
      <c r="J46" s="422">
        <f t="shared" si="17"/>
        <v>0</v>
      </c>
    </row>
    <row r="47" spans="1:10" ht="24" x14ac:dyDescent="0.25">
      <c r="A47" s="274" t="s">
        <v>103</v>
      </c>
      <c r="B47" s="966"/>
      <c r="C47" s="295" t="s">
        <v>362</v>
      </c>
      <c r="D47" s="295" t="s">
        <v>181</v>
      </c>
      <c r="E47" s="384">
        <v>22.820599999999999</v>
      </c>
      <c r="F47" s="402">
        <f>IFERROR(E47*'01 Prod Physique Boites'!H45,"-")</f>
        <v>0</v>
      </c>
      <c r="G47" s="403">
        <f>IFERROR(E47*'01 Prod Physique Boites'!L45,"-")</f>
        <v>0</v>
      </c>
      <c r="H47" s="385">
        <v>27.5</v>
      </c>
      <c r="I47" s="421">
        <f>IFERROR(H47*(F47/E47),"-")</f>
        <v>0</v>
      </c>
      <c r="J47" s="422">
        <f t="shared" si="17"/>
        <v>0</v>
      </c>
    </row>
    <row r="48" spans="1:10" ht="24.75" thickBot="1" x14ac:dyDescent="0.3">
      <c r="A48" s="274" t="s">
        <v>103</v>
      </c>
      <c r="B48" s="967"/>
      <c r="C48" s="279" t="s">
        <v>182</v>
      </c>
      <c r="D48" s="279" t="s">
        <v>93</v>
      </c>
      <c r="E48" s="386">
        <v>23.5685</v>
      </c>
      <c r="F48" s="402">
        <f>IFERROR(E48*'01 Prod Physique Boites'!H46,"-")</f>
        <v>0</v>
      </c>
      <c r="G48" s="403">
        <f>IFERROR(E48*'01 Prod Physique Boites'!L46,"-")</f>
        <v>0</v>
      </c>
      <c r="H48" s="387">
        <v>24</v>
      </c>
      <c r="I48" s="423">
        <f>IFERROR(H48*(F48/E48),"-")</f>
        <v>0</v>
      </c>
      <c r="J48" s="424">
        <f t="shared" si="17"/>
        <v>0</v>
      </c>
    </row>
    <row r="49" spans="1:10" ht="23.25" thickBot="1" x14ac:dyDescent="0.3">
      <c r="A49" s="274" t="s">
        <v>103</v>
      </c>
      <c r="B49" s="946" t="s">
        <v>48</v>
      </c>
      <c r="C49" s="947"/>
      <c r="D49" s="948"/>
      <c r="E49" s="390"/>
      <c r="F49" s="406">
        <f t="shared" ref="F49:G49" si="18">SUM(F45:F48)</f>
        <v>0</v>
      </c>
      <c r="G49" s="407">
        <f t="shared" si="18"/>
        <v>0</v>
      </c>
      <c r="H49" s="391"/>
      <c r="I49" s="406">
        <f t="shared" ref="I49:J49" si="19">SUM(I45:I48)</f>
        <v>0</v>
      </c>
      <c r="J49" s="425">
        <f t="shared" si="19"/>
        <v>0</v>
      </c>
    </row>
    <row r="50" spans="1:10" ht="24" x14ac:dyDescent="0.25">
      <c r="A50" s="274" t="s">
        <v>103</v>
      </c>
      <c r="B50" s="965" t="s">
        <v>23</v>
      </c>
      <c r="C50" s="296" t="s">
        <v>308</v>
      </c>
      <c r="D50" s="296" t="s">
        <v>238</v>
      </c>
      <c r="E50" s="380">
        <v>101.4935</v>
      </c>
      <c r="F50" s="402">
        <f>IFERROR(E50*'01 Prod Physique Boites'!H48,"-")</f>
        <v>0</v>
      </c>
      <c r="G50" s="403">
        <f>IFERROR(E50*'01 Prod Physique Boites'!L48,"-")</f>
        <v>0</v>
      </c>
      <c r="H50" s="385">
        <v>160.44999999999999</v>
      </c>
      <c r="I50" s="419">
        <f t="shared" ref="I50:I58" si="20">IFERROR(H50*(F50/E50),"-")</f>
        <v>0</v>
      </c>
      <c r="J50" s="420">
        <f t="shared" ref="J50:J58" si="21">IFERROR(H50*(G50/E50),"-")</f>
        <v>0</v>
      </c>
    </row>
    <row r="51" spans="1:10" ht="24" x14ac:dyDescent="0.25">
      <c r="A51" s="274" t="s">
        <v>103</v>
      </c>
      <c r="B51" s="966"/>
      <c r="C51" s="275" t="s">
        <v>24</v>
      </c>
      <c r="D51" s="275" t="s">
        <v>238</v>
      </c>
      <c r="E51" s="384">
        <v>101.4935</v>
      </c>
      <c r="F51" s="402">
        <f>IFERROR(E51*'01 Prod Physique Boites'!H49,"-")</f>
        <v>0</v>
      </c>
      <c r="G51" s="403">
        <f>IFERROR(E51*'01 Prod Physique Boites'!L49,"-")</f>
        <v>0</v>
      </c>
      <c r="H51" s="385">
        <v>160.44999999999999</v>
      </c>
      <c r="I51" s="421">
        <f t="shared" si="20"/>
        <v>0</v>
      </c>
      <c r="J51" s="422">
        <f t="shared" si="21"/>
        <v>0</v>
      </c>
    </row>
    <row r="52" spans="1:10" ht="24" x14ac:dyDescent="0.25">
      <c r="A52" s="274" t="s">
        <v>103</v>
      </c>
      <c r="B52" s="966"/>
      <c r="C52" s="275" t="s">
        <v>236</v>
      </c>
      <c r="D52" s="275" t="s">
        <v>238</v>
      </c>
      <c r="E52" s="384">
        <v>101.4935</v>
      </c>
      <c r="F52" s="402">
        <f>IFERROR(E52*'01 Prod Physique Boites'!H50,"-")</f>
        <v>0</v>
      </c>
      <c r="G52" s="403">
        <f>IFERROR(E52*'01 Prod Physique Boites'!L50,"-")</f>
        <v>0</v>
      </c>
      <c r="H52" s="385">
        <v>160.44999999999999</v>
      </c>
      <c r="I52" s="421">
        <f t="shared" si="20"/>
        <v>0</v>
      </c>
      <c r="J52" s="422">
        <f t="shared" si="21"/>
        <v>0</v>
      </c>
    </row>
    <row r="53" spans="1:10" ht="24" x14ac:dyDescent="0.25">
      <c r="A53" s="274" t="s">
        <v>103</v>
      </c>
      <c r="B53" s="966"/>
      <c r="C53" s="275" t="s">
        <v>237</v>
      </c>
      <c r="D53" s="275" t="s">
        <v>238</v>
      </c>
      <c r="E53" s="384">
        <v>101.4935</v>
      </c>
      <c r="F53" s="402">
        <f>IFERROR(E53*'01 Prod Physique Boites'!H51,"-")</f>
        <v>0</v>
      </c>
      <c r="G53" s="403">
        <f>IFERROR(E53*'01 Prod Physique Boites'!L51,"-")</f>
        <v>0</v>
      </c>
      <c r="H53" s="385">
        <v>160.44999999999999</v>
      </c>
      <c r="I53" s="421">
        <f t="shared" si="20"/>
        <v>0</v>
      </c>
      <c r="J53" s="422">
        <f t="shared" si="21"/>
        <v>0</v>
      </c>
    </row>
    <row r="54" spans="1:10" ht="24" x14ac:dyDescent="0.25">
      <c r="A54" s="274" t="s">
        <v>103</v>
      </c>
      <c r="B54" s="966"/>
      <c r="C54" s="295" t="s">
        <v>239</v>
      </c>
      <c r="D54" s="275" t="s">
        <v>238</v>
      </c>
      <c r="E54" s="384">
        <v>101.4935</v>
      </c>
      <c r="F54" s="402">
        <f>IFERROR(E54*'01 Prod Physique Boites'!H52,"-")</f>
        <v>0</v>
      </c>
      <c r="G54" s="403">
        <f>IFERROR(E54*'01 Prod Physique Boites'!L52,"-")</f>
        <v>0</v>
      </c>
      <c r="H54" s="385">
        <v>160.44999999999999</v>
      </c>
      <c r="I54" s="421">
        <f t="shared" si="20"/>
        <v>0</v>
      </c>
      <c r="J54" s="422">
        <f t="shared" si="21"/>
        <v>0</v>
      </c>
    </row>
    <row r="55" spans="1:10" ht="24" x14ac:dyDescent="0.25">
      <c r="A55" s="274" t="s">
        <v>103</v>
      </c>
      <c r="B55" s="966"/>
      <c r="C55" s="295" t="s">
        <v>240</v>
      </c>
      <c r="D55" s="275" t="s">
        <v>238</v>
      </c>
      <c r="E55" s="384">
        <v>101.4935</v>
      </c>
      <c r="F55" s="402">
        <f>IFERROR(E55*'01 Prod Physique Boites'!H53,"-")</f>
        <v>0</v>
      </c>
      <c r="G55" s="403">
        <f>IFERROR(E55*'01 Prod Physique Boites'!L53,"-")</f>
        <v>0</v>
      </c>
      <c r="H55" s="385">
        <v>160.44999999999999</v>
      </c>
      <c r="I55" s="421">
        <f t="shared" si="20"/>
        <v>0</v>
      </c>
      <c r="J55" s="422">
        <f t="shared" si="21"/>
        <v>0</v>
      </c>
    </row>
    <row r="56" spans="1:10" ht="24" x14ac:dyDescent="0.25">
      <c r="A56" s="274" t="s">
        <v>103</v>
      </c>
      <c r="B56" s="966"/>
      <c r="C56" s="295" t="s">
        <v>241</v>
      </c>
      <c r="D56" s="275" t="s">
        <v>243</v>
      </c>
      <c r="E56" s="384">
        <v>101.4935</v>
      </c>
      <c r="F56" s="402">
        <f>IFERROR(E56*'01 Prod Physique Boites'!H54,"-")</f>
        <v>0</v>
      </c>
      <c r="G56" s="403">
        <f>IFERROR(E56*'01 Prod Physique Boites'!L54,"-")</f>
        <v>0</v>
      </c>
      <c r="H56" s="385">
        <v>160.44999999999999</v>
      </c>
      <c r="I56" s="421">
        <f t="shared" si="20"/>
        <v>0</v>
      </c>
      <c r="J56" s="422">
        <f t="shared" si="21"/>
        <v>0</v>
      </c>
    </row>
    <row r="57" spans="1:10" ht="24" x14ac:dyDescent="0.25">
      <c r="A57" s="274"/>
      <c r="B57" s="967"/>
      <c r="C57" s="295" t="s">
        <v>457</v>
      </c>
      <c r="D57" s="275" t="s">
        <v>238</v>
      </c>
      <c r="E57" s="386">
        <v>101.49</v>
      </c>
      <c r="F57" s="402">
        <f>IFERROR(E57*'01 Prod Physique Boites'!H55,"-")</f>
        <v>0</v>
      </c>
      <c r="G57" s="403">
        <f>IFERROR(E57*'01 Prod Physique Boites'!L55,"-")</f>
        <v>0</v>
      </c>
      <c r="H57" s="385">
        <v>160.44999999999999</v>
      </c>
      <c r="I57" s="421">
        <f t="shared" si="20"/>
        <v>0</v>
      </c>
      <c r="J57" s="422">
        <f t="shared" si="21"/>
        <v>0</v>
      </c>
    </row>
    <row r="58" spans="1:10" ht="24.75" thickBot="1" x14ac:dyDescent="0.3">
      <c r="A58" s="274" t="s">
        <v>103</v>
      </c>
      <c r="B58" s="967"/>
      <c r="C58" s="295" t="s">
        <v>242</v>
      </c>
      <c r="D58" s="275" t="s">
        <v>238</v>
      </c>
      <c r="E58" s="386">
        <v>101.4935</v>
      </c>
      <c r="F58" s="402">
        <f>IFERROR(E58*'01 Prod Physique Boites'!H56,"-")</f>
        <v>0</v>
      </c>
      <c r="G58" s="403">
        <f>IFERROR(E58*'01 Prod Physique Boites'!L56,"-")</f>
        <v>0</v>
      </c>
      <c r="H58" s="385">
        <v>160.44999999999999</v>
      </c>
      <c r="I58" s="421">
        <f t="shared" si="20"/>
        <v>0</v>
      </c>
      <c r="J58" s="424">
        <f t="shared" si="21"/>
        <v>0</v>
      </c>
    </row>
    <row r="59" spans="1:10" ht="23.25" thickBot="1" x14ac:dyDescent="0.3">
      <c r="A59" s="274" t="s">
        <v>103</v>
      </c>
      <c r="B59" s="946" t="s">
        <v>49</v>
      </c>
      <c r="C59" s="947"/>
      <c r="D59" s="948"/>
      <c r="E59" s="390"/>
      <c r="F59" s="406">
        <f t="shared" ref="F59" si="22">SUM(F50:F58)</f>
        <v>0</v>
      </c>
      <c r="G59" s="407">
        <f>SUM(G50:G58)</f>
        <v>0</v>
      </c>
      <c r="H59" s="391"/>
      <c r="I59" s="406">
        <f t="shared" ref="I59" si="23">SUM(I50:I58)</f>
        <v>0</v>
      </c>
      <c r="J59" s="425">
        <f>SUM(J50:J58)</f>
        <v>0</v>
      </c>
    </row>
    <row r="60" spans="1:10" ht="23.25" thickBot="1" x14ac:dyDescent="0.3">
      <c r="A60" s="274" t="s">
        <v>103</v>
      </c>
      <c r="B60" s="960" t="s">
        <v>25</v>
      </c>
      <c r="C60" s="961"/>
      <c r="D60" s="962"/>
      <c r="E60" s="393"/>
      <c r="F60" s="410">
        <f t="shared" ref="F60" si="24">+F49+F59</f>
        <v>0</v>
      </c>
      <c r="G60" s="411">
        <f>+G49+G59</f>
        <v>0</v>
      </c>
      <c r="H60" s="394"/>
      <c r="I60" s="410">
        <f t="shared" ref="I60:J60" si="25">+I49+I59</f>
        <v>0</v>
      </c>
      <c r="J60" s="428">
        <f t="shared" si="25"/>
        <v>0</v>
      </c>
    </row>
    <row r="61" spans="1:10" ht="23.25" thickBot="1" x14ac:dyDescent="0.3">
      <c r="A61" s="274" t="s">
        <v>103</v>
      </c>
      <c r="B61" s="963" t="s">
        <v>172</v>
      </c>
      <c r="C61" s="941"/>
      <c r="D61" s="942"/>
      <c r="E61" s="395"/>
      <c r="F61" s="412">
        <f t="shared" ref="F61" si="26">+F44+F60</f>
        <v>1529690.5127999999</v>
      </c>
      <c r="G61" s="413">
        <f>+G44+G60</f>
        <v>1529690.5127999999</v>
      </c>
      <c r="H61" s="396"/>
      <c r="I61" s="412">
        <f t="shared" ref="I61:J61" si="27">+I44+I60</f>
        <v>1846317.6</v>
      </c>
      <c r="J61" s="429">
        <f t="shared" si="27"/>
        <v>1846317.6</v>
      </c>
    </row>
    <row r="62" spans="1:10" ht="24" x14ac:dyDescent="0.25">
      <c r="A62" s="268" t="s">
        <v>101</v>
      </c>
      <c r="B62" s="956" t="s">
        <v>26</v>
      </c>
      <c r="C62" s="297" t="s">
        <v>297</v>
      </c>
      <c r="D62" s="299" t="s">
        <v>177</v>
      </c>
      <c r="E62" s="504">
        <v>13.1272</v>
      </c>
      <c r="F62" s="402">
        <f>+'01 Prod Physique Boites'!H60</f>
        <v>0</v>
      </c>
      <c r="G62" s="403">
        <f>IFERROR(E62*'01 Prod Physique Boites'!L60,"-")</f>
        <v>0</v>
      </c>
      <c r="H62" s="381">
        <v>20.76</v>
      </c>
      <c r="I62" s="419">
        <f t="shared" ref="I62:I71" si="28">IFERROR(H62*(F62/E62),"-")</f>
        <v>0</v>
      </c>
      <c r="J62" s="632">
        <f t="shared" ref="J62:J71" si="29">IFERROR(H62*(G62/E62),"-")</f>
        <v>0</v>
      </c>
    </row>
    <row r="63" spans="1:10" ht="24" x14ac:dyDescent="0.25">
      <c r="A63" s="274" t="s">
        <v>101</v>
      </c>
      <c r="B63" s="956"/>
      <c r="C63" s="298" t="s">
        <v>424</v>
      </c>
      <c r="D63" s="298" t="s">
        <v>423</v>
      </c>
      <c r="E63" s="505">
        <v>16.7288</v>
      </c>
      <c r="F63" s="402">
        <f>IFERROR(E63*'01 Prod Physique Boites'!H61,"-")</f>
        <v>1197848.9952</v>
      </c>
      <c r="G63" s="403">
        <f>IFERROR(E63*'01 Prod Physique Boites'!L61,"-")</f>
        <v>1197848.9952</v>
      </c>
      <c r="H63" s="385">
        <v>20.76</v>
      </c>
      <c r="I63" s="421">
        <f t="shared" si="28"/>
        <v>1486499.04</v>
      </c>
      <c r="J63" s="633">
        <f t="shared" si="29"/>
        <v>1486499.04</v>
      </c>
    </row>
    <row r="64" spans="1:10" ht="24" x14ac:dyDescent="0.25">
      <c r="A64" s="274" t="s">
        <v>101</v>
      </c>
      <c r="B64" s="956"/>
      <c r="C64" s="299" t="s">
        <v>27</v>
      </c>
      <c r="D64" s="299" t="s">
        <v>334</v>
      </c>
      <c r="E64" s="501">
        <v>17.8202</v>
      </c>
      <c r="F64" s="402">
        <f>IFERROR(E64*'01 Prod Physique Boites'!H62,"-")</f>
        <v>0</v>
      </c>
      <c r="G64" s="403">
        <f>IFERROR(E64*'01 Prod Physique Boites'!L62,"-")</f>
        <v>0</v>
      </c>
      <c r="H64" s="385">
        <v>21.22</v>
      </c>
      <c r="I64" s="643">
        <f t="shared" si="28"/>
        <v>0</v>
      </c>
      <c r="J64" s="633">
        <f t="shared" si="29"/>
        <v>0</v>
      </c>
    </row>
    <row r="65" spans="1:10" ht="24" x14ac:dyDescent="0.25">
      <c r="A65" s="274" t="s">
        <v>101</v>
      </c>
      <c r="B65" s="956"/>
      <c r="C65" s="299" t="s">
        <v>27</v>
      </c>
      <c r="D65" s="299" t="s">
        <v>234</v>
      </c>
      <c r="E65" s="501">
        <v>17.8202</v>
      </c>
      <c r="F65" s="402">
        <f>IFERROR(E65*'01 Prod Physique Boites'!H63,"-")</f>
        <v>0</v>
      </c>
      <c r="G65" s="403">
        <f>IFERROR(E65*'01 Prod Physique Boites'!L63,"-")</f>
        <v>0</v>
      </c>
      <c r="H65" s="385">
        <v>24.93</v>
      </c>
      <c r="I65" s="643">
        <f t="shared" si="28"/>
        <v>0</v>
      </c>
      <c r="J65" s="633">
        <f t="shared" si="29"/>
        <v>0</v>
      </c>
    </row>
    <row r="66" spans="1:10" ht="24" x14ac:dyDescent="0.25">
      <c r="A66" s="274" t="s">
        <v>101</v>
      </c>
      <c r="B66" s="956"/>
      <c r="C66" s="299" t="s">
        <v>27</v>
      </c>
      <c r="D66" s="299" t="s">
        <v>279</v>
      </c>
      <c r="E66" s="501">
        <v>17.8202</v>
      </c>
      <c r="F66" s="402">
        <f>IFERROR(E66*'01 Prod Physique Boites'!H64,"-")</f>
        <v>0</v>
      </c>
      <c r="G66" s="403">
        <f>IFERROR(E66*'01 Prod Physique Boites'!L64,"-")</f>
        <v>0</v>
      </c>
      <c r="H66" s="385">
        <v>24.93</v>
      </c>
      <c r="I66" s="643">
        <f t="shared" si="28"/>
        <v>0</v>
      </c>
      <c r="J66" s="633">
        <f t="shared" si="29"/>
        <v>0</v>
      </c>
    </row>
    <row r="67" spans="1:10" ht="24" x14ac:dyDescent="0.25">
      <c r="A67" s="274"/>
      <c r="B67" s="956"/>
      <c r="C67" s="299" t="s">
        <v>437</v>
      </c>
      <c r="D67" s="299" t="s">
        <v>178</v>
      </c>
      <c r="E67" s="501">
        <v>14.608000000000001</v>
      </c>
      <c r="F67" s="402">
        <f>IFERROR(E67*'01 Prod Physique Boites'!H65,"-")</f>
        <v>0</v>
      </c>
      <c r="G67" s="403">
        <f>IFERROR(E67*'01 Prod Physique Boites'!L65,"-")</f>
        <v>0</v>
      </c>
      <c r="H67" s="387">
        <v>24.93</v>
      </c>
      <c r="I67" s="643">
        <f t="shared" si="28"/>
        <v>0</v>
      </c>
      <c r="J67" s="634">
        <f t="shared" si="29"/>
        <v>0</v>
      </c>
    </row>
    <row r="68" spans="1:10" ht="24" x14ac:dyDescent="0.25">
      <c r="A68" s="274"/>
      <c r="B68" s="956"/>
      <c r="C68" s="299" t="s">
        <v>436</v>
      </c>
      <c r="D68" s="299" t="s">
        <v>94</v>
      </c>
      <c r="E68" s="501">
        <v>17.8202</v>
      </c>
      <c r="F68" s="724">
        <f>IFERROR(E68*'01 Prod Physique Boites'!H66,"-")</f>
        <v>0</v>
      </c>
      <c r="G68" s="403">
        <f>IFERROR(E68*'01 Prod Physique Boites'!L66,"-")</f>
        <v>0</v>
      </c>
      <c r="H68" s="387">
        <v>24.93</v>
      </c>
      <c r="I68" s="730">
        <f t="shared" si="28"/>
        <v>0</v>
      </c>
      <c r="J68" s="634">
        <f t="shared" si="29"/>
        <v>0</v>
      </c>
    </row>
    <row r="69" spans="1:10" s="731" customFormat="1" ht="24" x14ac:dyDescent="0.25">
      <c r="A69" s="725"/>
      <c r="B69" s="956"/>
      <c r="C69" s="726" t="s">
        <v>383</v>
      </c>
      <c r="D69" s="726" t="s">
        <v>384</v>
      </c>
      <c r="E69" s="727">
        <v>16.345199999999998</v>
      </c>
      <c r="F69" s="724">
        <f>IFERROR(E69*'01 Prod Physique Boites'!H68,"-")</f>
        <v>0</v>
      </c>
      <c r="G69" s="728">
        <f>IFERROR(E69*'01 Prod Physique Boites'!L68,"-")</f>
        <v>0</v>
      </c>
      <c r="H69" s="729">
        <v>23.78</v>
      </c>
      <c r="I69" s="730">
        <f t="shared" si="28"/>
        <v>0</v>
      </c>
      <c r="J69" s="634">
        <f t="shared" si="29"/>
        <v>0</v>
      </c>
    </row>
    <row r="70" spans="1:10" s="731" customFormat="1" ht="24" x14ac:dyDescent="0.25">
      <c r="A70" s="725"/>
      <c r="B70" s="956"/>
      <c r="C70" s="299" t="s">
        <v>433</v>
      </c>
      <c r="D70" s="299" t="s">
        <v>178</v>
      </c>
      <c r="E70" s="727">
        <v>16.7288</v>
      </c>
      <c r="F70" s="724">
        <f>IFERROR(E70*'01 Prod Physique Boites'!H67,"-")</f>
        <v>0</v>
      </c>
      <c r="G70" s="728">
        <f>IFERROR(E70*'01 Prod Physique Boites'!L67,"-")</f>
        <v>0</v>
      </c>
      <c r="H70" s="729">
        <v>25.49</v>
      </c>
      <c r="I70" s="730">
        <f t="shared" si="28"/>
        <v>0</v>
      </c>
      <c r="J70" s="634">
        <f t="shared" si="29"/>
        <v>0</v>
      </c>
    </row>
    <row r="71" spans="1:10" ht="24.75" thickBot="1" x14ac:dyDescent="0.3">
      <c r="A71" s="274" t="s">
        <v>101</v>
      </c>
      <c r="B71" s="956"/>
      <c r="C71" s="300" t="s">
        <v>290</v>
      </c>
      <c r="D71" s="299" t="s">
        <v>289</v>
      </c>
      <c r="E71" s="501">
        <v>12.6997</v>
      </c>
      <c r="F71" s="402">
        <f>IFERROR(E71*'01 Prod Physique Boites'!H69,"-")</f>
        <v>0</v>
      </c>
      <c r="G71" s="728">
        <f>IFERROR(E71*'01 Prod Physique Boites'!L69,"-")</f>
        <v>0</v>
      </c>
      <c r="H71" s="387">
        <v>13.25</v>
      </c>
      <c r="I71" s="730">
        <f t="shared" si="28"/>
        <v>0</v>
      </c>
      <c r="J71" s="634">
        <f t="shared" si="29"/>
        <v>0</v>
      </c>
    </row>
    <row r="72" spans="1:10" ht="23.25" thickBot="1" x14ac:dyDescent="0.3">
      <c r="A72" s="274" t="s">
        <v>101</v>
      </c>
      <c r="B72" s="969"/>
      <c r="C72" s="301"/>
      <c r="D72" s="302" t="s">
        <v>52</v>
      </c>
      <c r="E72" s="390"/>
      <c r="F72" s="406">
        <f>SUM(F62:F71)</f>
        <v>1197848.9952</v>
      </c>
      <c r="G72" s="407">
        <f>SUM(G62:G71)</f>
        <v>1197848.9952</v>
      </c>
      <c r="H72" s="391"/>
      <c r="I72" s="406">
        <f>SUM(I62:I71)</f>
        <v>1486499.04</v>
      </c>
      <c r="J72" s="425">
        <f>SUM(J62:J71)</f>
        <v>1486499.04</v>
      </c>
    </row>
    <row r="73" spans="1:10" ht="24" x14ac:dyDescent="0.25">
      <c r="A73" s="274" t="s">
        <v>101</v>
      </c>
      <c r="B73" s="955" t="s">
        <v>28</v>
      </c>
      <c r="C73" s="299" t="s">
        <v>27</v>
      </c>
      <c r="D73" s="297" t="s">
        <v>279</v>
      </c>
      <c r="E73" s="504">
        <v>17.8202</v>
      </c>
      <c r="F73" s="402">
        <f>IFERROR(E73*'01 Prod Physique Boites'!H71,"-")</f>
        <v>0</v>
      </c>
      <c r="G73" s="403">
        <f>IFERROR(E73*'01 Prod Physique Boites'!L71,"-")</f>
        <v>0</v>
      </c>
      <c r="H73" s="381">
        <v>24.93</v>
      </c>
      <c r="I73" s="419">
        <f t="shared" ref="I73:I79" si="30">IFERROR(H73*(F73/E73),"-")</f>
        <v>0</v>
      </c>
      <c r="J73" s="632">
        <f t="shared" ref="J73:J79" si="31">IFERROR(H73*(G73/E73),"-")</f>
        <v>0</v>
      </c>
    </row>
    <row r="74" spans="1:10" ht="24" x14ac:dyDescent="0.25">
      <c r="A74" s="274" t="s">
        <v>101</v>
      </c>
      <c r="B74" s="956"/>
      <c r="C74" s="299" t="s">
        <v>386</v>
      </c>
      <c r="D74" s="299" t="s">
        <v>334</v>
      </c>
      <c r="E74" s="711">
        <v>16.7288</v>
      </c>
      <c r="F74" s="402">
        <f>IFERROR(E74*'01 Prod Physique Boites'!H72,"-")</f>
        <v>332735.83199999999</v>
      </c>
      <c r="G74" s="728">
        <f>IFERROR(E74*'01 Prod Physique Boites'!L72,"-")</f>
        <v>332735.83199999999</v>
      </c>
      <c r="H74" s="708">
        <v>20.76</v>
      </c>
      <c r="I74" s="421">
        <f t="shared" si="30"/>
        <v>412916.4</v>
      </c>
      <c r="J74" s="633">
        <f t="shared" si="31"/>
        <v>412916.4</v>
      </c>
    </row>
    <row r="75" spans="1:10" ht="24" x14ac:dyDescent="0.25">
      <c r="A75" s="274" t="s">
        <v>101</v>
      </c>
      <c r="B75" s="956"/>
      <c r="C75" s="299" t="s">
        <v>385</v>
      </c>
      <c r="D75" s="299" t="s">
        <v>334</v>
      </c>
      <c r="E75" s="501">
        <v>17.8202</v>
      </c>
      <c r="F75" s="402">
        <f>IFERROR(E75*'01 Prod Physique Boites'!H73,"-")</f>
        <v>0</v>
      </c>
      <c r="G75" s="403">
        <f>IFERROR(E75*'01 Prod Physique Boites'!L73,"-")</f>
        <v>0</v>
      </c>
      <c r="H75" s="385">
        <v>21.22</v>
      </c>
      <c r="I75" s="421">
        <f t="shared" si="30"/>
        <v>0</v>
      </c>
      <c r="J75" s="633">
        <f>IFERROR(H75*(G75/E75),"-")</f>
        <v>0</v>
      </c>
    </row>
    <row r="76" spans="1:10" ht="24" x14ac:dyDescent="0.25">
      <c r="A76" s="274"/>
      <c r="B76" s="956"/>
      <c r="C76" s="299" t="s">
        <v>460</v>
      </c>
      <c r="D76" s="299" t="s">
        <v>334</v>
      </c>
      <c r="E76" s="501">
        <v>14.608000000000001</v>
      </c>
      <c r="F76" s="402">
        <f>IFERROR(E76*'01 Prod Physique Boites'!H74,"-")</f>
        <v>0</v>
      </c>
      <c r="G76" s="403">
        <f>IFERROR(E76*'01 Prod Physique Boites'!L74,"-")</f>
        <v>0</v>
      </c>
      <c r="H76" s="385">
        <v>21.22</v>
      </c>
      <c r="I76" s="421">
        <f t="shared" si="30"/>
        <v>0</v>
      </c>
      <c r="J76" s="633">
        <f>IFERROR(H76*(G76/E76),"-")</f>
        <v>0</v>
      </c>
    </row>
    <row r="77" spans="1:10" ht="24" x14ac:dyDescent="0.25">
      <c r="A77" s="274"/>
      <c r="B77" s="956"/>
      <c r="C77" s="299" t="s">
        <v>383</v>
      </c>
      <c r="D77" s="299" t="s">
        <v>384</v>
      </c>
      <c r="E77" s="711">
        <v>16.345199999999998</v>
      </c>
      <c r="F77" s="402">
        <f>IFERROR(E77*'01 Prod Physique Boites'!H75,"-")</f>
        <v>0</v>
      </c>
      <c r="G77" s="403">
        <f>IFERROR(E77*'01 Prod Physique Boites'!L75,"-")</f>
        <v>0</v>
      </c>
      <c r="H77" s="385">
        <v>23.78</v>
      </c>
      <c r="I77" s="423">
        <f t="shared" si="30"/>
        <v>0</v>
      </c>
      <c r="J77" s="634">
        <f t="shared" si="31"/>
        <v>0</v>
      </c>
    </row>
    <row r="78" spans="1:10" ht="24" x14ac:dyDescent="0.25">
      <c r="A78" s="274"/>
      <c r="B78" s="956"/>
      <c r="C78" s="299" t="s">
        <v>458</v>
      </c>
      <c r="D78" s="300" t="s">
        <v>280</v>
      </c>
      <c r="E78" s="711">
        <v>17.8202</v>
      </c>
      <c r="F78" s="402">
        <f>IFERROR(E78*'01 Prod Physique Boites'!H76,"-")</f>
        <v>0</v>
      </c>
      <c r="G78" s="403">
        <f>IFERROR(E78*'01 Prod Physique Boites'!L76,"-")</f>
        <v>0</v>
      </c>
      <c r="H78" s="385">
        <v>24.93</v>
      </c>
      <c r="I78" s="730">
        <f t="shared" si="30"/>
        <v>0</v>
      </c>
      <c r="J78" s="634">
        <f t="shared" si="31"/>
        <v>0</v>
      </c>
    </row>
    <row r="79" spans="1:10" ht="24.75" thickBot="1" x14ac:dyDescent="0.3">
      <c r="A79" s="274" t="s">
        <v>101</v>
      </c>
      <c r="B79" s="956"/>
      <c r="C79" s="299" t="s">
        <v>27</v>
      </c>
      <c r="D79" s="300" t="s">
        <v>234</v>
      </c>
      <c r="E79" s="501">
        <v>17.8202</v>
      </c>
      <c r="F79" s="402">
        <f>IFERROR(E79*'01 Prod Physique Boites'!H77,"-")</f>
        <v>0</v>
      </c>
      <c r="G79" s="403">
        <f>IFERROR(E79*'01 Prod Physique Boites'!L77,"-")</f>
        <v>0</v>
      </c>
      <c r="H79" s="385">
        <v>24.93</v>
      </c>
      <c r="I79" s="423">
        <f t="shared" si="30"/>
        <v>0</v>
      </c>
      <c r="J79" s="634">
        <f t="shared" si="31"/>
        <v>0</v>
      </c>
    </row>
    <row r="80" spans="1:10" ht="23.25" thickBot="1" x14ac:dyDescent="0.3">
      <c r="A80" s="274" t="s">
        <v>101</v>
      </c>
      <c r="B80" s="956"/>
      <c r="C80" s="304"/>
      <c r="D80" s="305" t="s">
        <v>52</v>
      </c>
      <c r="E80" s="397"/>
      <c r="F80" s="414">
        <f t="shared" ref="F80:G80" si="32">SUM(F73:F79)</f>
        <v>332735.83199999999</v>
      </c>
      <c r="G80" s="415">
        <f t="shared" si="32"/>
        <v>332735.83199999999</v>
      </c>
      <c r="H80" s="398"/>
      <c r="I80" s="414">
        <f t="shared" ref="I80:J80" si="33">SUM(I73:I79)</f>
        <v>412916.4</v>
      </c>
      <c r="J80" s="430">
        <f t="shared" si="33"/>
        <v>412916.4</v>
      </c>
    </row>
    <row r="81" spans="1:10" ht="23.25" thickBot="1" x14ac:dyDescent="0.3">
      <c r="A81" s="744" t="s">
        <v>101</v>
      </c>
      <c r="B81" s="957" t="s">
        <v>162</v>
      </c>
      <c r="C81" s="958"/>
      <c r="D81" s="959"/>
      <c r="E81" s="399"/>
      <c r="F81" s="416">
        <f t="shared" ref="F81:G81" si="34">+F72+F80</f>
        <v>1530584.8271999999</v>
      </c>
      <c r="G81" s="417">
        <f t="shared" si="34"/>
        <v>1530584.8271999999</v>
      </c>
      <c r="H81" s="400"/>
      <c r="I81" s="416">
        <f t="shared" ref="I81:J81" si="35">+I72+I80</f>
        <v>1899415.44</v>
      </c>
      <c r="J81" s="431">
        <f t="shared" si="35"/>
        <v>1899415.44</v>
      </c>
    </row>
    <row r="82" spans="1:10" ht="24" x14ac:dyDescent="0.25">
      <c r="A82" s="274" t="s">
        <v>101</v>
      </c>
      <c r="B82" s="956" t="s">
        <v>30</v>
      </c>
      <c r="C82" s="303" t="s">
        <v>450</v>
      </c>
      <c r="D82" s="299" t="s">
        <v>334</v>
      </c>
      <c r="E82" s="736">
        <v>27.917000000000002</v>
      </c>
      <c r="F82" s="402">
        <f>IFERROR(E82*'01 Prod Physique Boites'!H80,"-")</f>
        <v>0</v>
      </c>
      <c r="G82" s="728">
        <f>IFERROR(E82*'01 Prod Physique Boites'!L80,"-")</f>
        <v>0</v>
      </c>
      <c r="H82" s="734">
        <v>33.299999999999997</v>
      </c>
      <c r="I82" s="419">
        <f>IFERROR(H82*(F82/E82),"-")</f>
        <v>0</v>
      </c>
      <c r="J82" s="420">
        <f t="shared" ref="J82:J84" si="36">IFERROR(H82*(G82/E82),"-")</f>
        <v>0</v>
      </c>
    </row>
    <row r="83" spans="1:10" ht="24" x14ac:dyDescent="0.25">
      <c r="A83" s="274" t="s">
        <v>101</v>
      </c>
      <c r="B83" s="956"/>
      <c r="C83" s="300" t="s">
        <v>448</v>
      </c>
      <c r="D83" s="303" t="s">
        <v>384</v>
      </c>
      <c r="E83" s="733">
        <v>28.526700000000002</v>
      </c>
      <c r="F83" s="402">
        <f>IFERROR(E83*'01 Prod Physique Boites'!H81,"-")</f>
        <v>0</v>
      </c>
      <c r="G83" s="728">
        <f>IFERROR(E83*'01 Prod Physique Boites'!L81,"-")</f>
        <v>0</v>
      </c>
      <c r="H83" s="735">
        <v>37.89</v>
      </c>
      <c r="I83" s="421">
        <f>IFERROR(H83*(F83/E83),"-")</f>
        <v>0</v>
      </c>
      <c r="J83" s="422">
        <f t="shared" si="36"/>
        <v>0</v>
      </c>
    </row>
    <row r="84" spans="1:10" ht="24.75" thickBot="1" x14ac:dyDescent="0.3">
      <c r="A84" s="274" t="s">
        <v>101</v>
      </c>
      <c r="B84" s="956"/>
      <c r="C84" s="300" t="s">
        <v>291</v>
      </c>
      <c r="D84" s="300" t="s">
        <v>384</v>
      </c>
      <c r="E84" s="501">
        <v>25.751300000000001</v>
      </c>
      <c r="F84" s="724">
        <f>IFERROR(E84*'01 Prod Physique Boites'!H82,"-")</f>
        <v>0</v>
      </c>
      <c r="G84" s="728">
        <f>IFERROR(E84*'01 Prod Physique Boites'!L82,"-")</f>
        <v>0</v>
      </c>
      <c r="H84" s="387">
        <v>37.89</v>
      </c>
      <c r="I84" s="423">
        <f>IFERROR(H84*(F84/E84),"-")</f>
        <v>0</v>
      </c>
      <c r="J84" s="424">
        <f t="shared" si="36"/>
        <v>0</v>
      </c>
    </row>
    <row r="85" spans="1:10" ht="23.25" thickBot="1" x14ac:dyDescent="0.3">
      <c r="A85" s="274" t="s">
        <v>101</v>
      </c>
      <c r="B85" s="956"/>
      <c r="C85" s="301"/>
      <c r="D85" s="302" t="s">
        <v>50</v>
      </c>
      <c r="E85" s="390"/>
      <c r="F85" s="406">
        <f t="shared" ref="F85:G85" si="37">SUM(F82:F84)</f>
        <v>0</v>
      </c>
      <c r="G85" s="407">
        <f t="shared" si="37"/>
        <v>0</v>
      </c>
      <c r="H85" s="391"/>
      <c r="I85" s="406">
        <f t="shared" ref="I85" si="38">SUM(I82:I84)</f>
        <v>0</v>
      </c>
      <c r="J85" s="425">
        <f>SUM(J82:J84)</f>
        <v>0</v>
      </c>
    </row>
    <row r="86" spans="1:10" ht="24" x14ac:dyDescent="0.25">
      <c r="A86" s="274" t="s">
        <v>101</v>
      </c>
      <c r="B86" s="956"/>
      <c r="C86" s="297" t="s">
        <v>439</v>
      </c>
      <c r="D86" s="297" t="s">
        <v>92</v>
      </c>
      <c r="E86" s="504">
        <v>24.2607</v>
      </c>
      <c r="F86" s="402">
        <f>IFERROR(E86*'01 Prod Physique Boites'!H84,"-")</f>
        <v>0</v>
      </c>
      <c r="G86" s="728">
        <f>IFERROR(E86*'01 Prod Physique Boites'!L84,"-")</f>
        <v>0</v>
      </c>
      <c r="H86" s="381">
        <v>28.31</v>
      </c>
      <c r="I86" s="638">
        <f>IFERROR(H86*(F86/E86),"-")</f>
        <v>0</v>
      </c>
      <c r="J86" s="420">
        <f t="shared" ref="J86:J91" si="39">IFERROR(H86*(G86/E86),"-")</f>
        <v>0</v>
      </c>
    </row>
    <row r="87" spans="1:10" ht="24" x14ac:dyDescent="0.25">
      <c r="A87" s="274"/>
      <c r="B87" s="956"/>
      <c r="C87" s="303" t="s">
        <v>449</v>
      </c>
      <c r="D87" s="299" t="s">
        <v>334</v>
      </c>
      <c r="E87" s="504">
        <v>24.2607</v>
      </c>
      <c r="F87" s="402">
        <f>IFERROR(E87*'01 Prod Physique Boites'!H85,"-")</f>
        <v>0</v>
      </c>
      <c r="G87" s="728">
        <f>IFERROR(E87*'01 Prod Physique Boites'!L85,"-")</f>
        <v>0</v>
      </c>
      <c r="H87" s="381">
        <v>28.88</v>
      </c>
      <c r="I87" s="638">
        <f t="shared" ref="I87:I91" si="40">IFERROR(H87*(F87/E87),"-")</f>
        <v>0</v>
      </c>
      <c r="J87" s="420">
        <f t="shared" si="39"/>
        <v>0</v>
      </c>
    </row>
    <row r="88" spans="1:10" ht="24" x14ac:dyDescent="0.25">
      <c r="A88" s="274"/>
      <c r="B88" s="956"/>
      <c r="C88" s="303" t="s">
        <v>452</v>
      </c>
      <c r="D88" s="299" t="s">
        <v>334</v>
      </c>
      <c r="E88" s="504">
        <v>25.4041</v>
      </c>
      <c r="F88" s="402">
        <f>IFERROR(E88*'01 Prod Physique Boites'!H86,"-")</f>
        <v>0</v>
      </c>
      <c r="G88" s="728">
        <f>IFERROR(E88*'01 Prod Physique Boites'!L86,"-")</f>
        <v>0</v>
      </c>
      <c r="H88" s="381">
        <v>28.21</v>
      </c>
      <c r="I88" s="638">
        <f t="shared" si="40"/>
        <v>0</v>
      </c>
      <c r="J88" s="420">
        <f t="shared" si="39"/>
        <v>0</v>
      </c>
    </row>
    <row r="89" spans="1:10" ht="24" x14ac:dyDescent="0.25">
      <c r="A89" s="274" t="s">
        <v>101</v>
      </c>
      <c r="B89" s="956"/>
      <c r="C89" s="303" t="s">
        <v>335</v>
      </c>
      <c r="D89" s="303" t="s">
        <v>234</v>
      </c>
      <c r="E89" s="505">
        <v>27.917000000000002</v>
      </c>
      <c r="F89" s="724">
        <f>IFERROR(E89*'01 Prod Physique Boites'!H87,"-")</f>
        <v>0</v>
      </c>
      <c r="G89" s="728">
        <f>IFERROR(E89*'01 Prod Physique Boites'!L87,"-")</f>
        <v>0</v>
      </c>
      <c r="H89" s="385">
        <v>39</v>
      </c>
      <c r="I89" s="638">
        <f t="shared" si="40"/>
        <v>0</v>
      </c>
      <c r="J89" s="420">
        <f t="shared" si="39"/>
        <v>0</v>
      </c>
    </row>
    <row r="90" spans="1:10" ht="24" x14ac:dyDescent="0.25">
      <c r="A90" s="274"/>
      <c r="B90" s="956"/>
      <c r="C90" s="300" t="s">
        <v>459</v>
      </c>
      <c r="D90" s="300" t="s">
        <v>366</v>
      </c>
      <c r="E90" s="501">
        <v>22.094999999999999</v>
      </c>
      <c r="F90" s="724">
        <f>IFERROR(E90*'01 Prod Physique Boites'!H88,"-")</f>
        <v>0</v>
      </c>
      <c r="G90" s="728">
        <f>IFERROR(E90*'01 Prod Physique Boites'!L88,"-")</f>
        <v>0</v>
      </c>
      <c r="H90" s="745">
        <v>37.11</v>
      </c>
      <c r="I90" s="638">
        <f t="shared" si="40"/>
        <v>0</v>
      </c>
      <c r="J90" s="420">
        <f t="shared" si="39"/>
        <v>0</v>
      </c>
    </row>
    <row r="91" spans="1:10" ht="24.75" thickBot="1" x14ac:dyDescent="0.3">
      <c r="A91" s="274" t="s">
        <v>101</v>
      </c>
      <c r="B91" s="956"/>
      <c r="C91" s="300" t="s">
        <v>438</v>
      </c>
      <c r="D91" s="300" t="s">
        <v>423</v>
      </c>
      <c r="E91" s="501">
        <v>23.697399999999998</v>
      </c>
      <c r="F91" s="402">
        <f>IFERROR(E91*'01 Prod Physique Boites'!H89,"-")</f>
        <v>0</v>
      </c>
      <c r="G91" s="403">
        <f>IFERROR(E91*'01 Prod Physique Boites'!L89,"-")</f>
        <v>0</v>
      </c>
      <c r="H91" s="387">
        <v>28.21</v>
      </c>
      <c r="I91" s="638">
        <f t="shared" si="40"/>
        <v>0</v>
      </c>
      <c r="J91" s="420">
        <f t="shared" si="39"/>
        <v>0</v>
      </c>
    </row>
    <row r="92" spans="1:10" ht="23.25" thickBot="1" x14ac:dyDescent="0.3">
      <c r="A92" s="274" t="s">
        <v>101</v>
      </c>
      <c r="B92" s="956"/>
      <c r="C92" s="304"/>
      <c r="D92" s="305" t="s">
        <v>51</v>
      </c>
      <c r="E92" s="397"/>
      <c r="F92" s="414">
        <f t="shared" ref="F92:G92" si="41">SUM(F86:F91)</f>
        <v>0</v>
      </c>
      <c r="G92" s="415">
        <f t="shared" si="41"/>
        <v>0</v>
      </c>
      <c r="H92" s="398"/>
      <c r="I92" s="414">
        <f t="shared" ref="I92" si="42">SUM(I86:I91)</f>
        <v>0</v>
      </c>
      <c r="J92" s="430">
        <f>SUM(J86:J91)</f>
        <v>0</v>
      </c>
    </row>
    <row r="93" spans="1:10" ht="23.25" thickBot="1" x14ac:dyDescent="0.3">
      <c r="A93" s="274" t="s">
        <v>101</v>
      </c>
      <c r="B93" s="957" t="s">
        <v>163</v>
      </c>
      <c r="C93" s="958"/>
      <c r="D93" s="959"/>
      <c r="E93" s="399"/>
      <c r="F93" s="416">
        <f t="shared" ref="F93:G93" si="43">+F85+F92</f>
        <v>0</v>
      </c>
      <c r="G93" s="417">
        <f t="shared" si="43"/>
        <v>0</v>
      </c>
      <c r="H93" s="400"/>
      <c r="I93" s="416">
        <f t="shared" ref="I93:J93" si="44">+I85+I92</f>
        <v>0</v>
      </c>
      <c r="J93" s="431">
        <f t="shared" si="44"/>
        <v>0</v>
      </c>
    </row>
    <row r="94" spans="1:10" ht="24.75" thickBot="1" x14ac:dyDescent="0.3">
      <c r="A94" s="274" t="s">
        <v>101</v>
      </c>
      <c r="B94" s="599" t="s">
        <v>32</v>
      </c>
      <c r="C94" s="737"/>
      <c r="D94" s="310"/>
      <c r="E94" s="506">
        <v>12.2659</v>
      </c>
      <c r="F94" s="408">
        <f>IFERROR(E94*'01 Prod Physique Boites'!H92,"-")</f>
        <v>0</v>
      </c>
      <c r="G94" s="409">
        <f>IFERROR(E94*'01 Prod Physique Boites'!L92,"-")</f>
        <v>0</v>
      </c>
      <c r="H94" s="392"/>
      <c r="I94" s="426">
        <f>IFERROR(H94*(F94/E94),"-")</f>
        <v>0</v>
      </c>
      <c r="J94" s="427">
        <f>IFERROR(H94*(G94/E94),"-")</f>
        <v>0</v>
      </c>
    </row>
    <row r="95" spans="1:10" ht="23.25" thickBot="1" x14ac:dyDescent="0.3">
      <c r="A95" s="274" t="s">
        <v>101</v>
      </c>
      <c r="B95" s="960" t="s">
        <v>21</v>
      </c>
      <c r="C95" s="961"/>
      <c r="D95" s="962"/>
      <c r="E95" s="393"/>
      <c r="F95" s="410">
        <f t="shared" ref="F95" si="45">+F81+F93+F94</f>
        <v>1530584.8271999999</v>
      </c>
      <c r="G95" s="411">
        <f>+G81+G93+G94</f>
        <v>1530584.8271999999</v>
      </c>
      <c r="H95" s="394"/>
      <c r="I95" s="410">
        <f t="shared" ref="I95:J95" si="46">+I81+I93+I94</f>
        <v>1899415.44</v>
      </c>
      <c r="J95" s="428">
        <f t="shared" si="46"/>
        <v>1899415.44</v>
      </c>
    </row>
    <row r="96" spans="1:10" ht="23.25" thickBot="1" x14ac:dyDescent="0.3">
      <c r="A96" s="274" t="s">
        <v>101</v>
      </c>
      <c r="B96" s="963" t="s">
        <v>171</v>
      </c>
      <c r="C96" s="941"/>
      <c r="D96" s="942"/>
      <c r="E96" s="395"/>
      <c r="F96" s="412">
        <f t="shared" ref="F96:G96" si="47">+F95</f>
        <v>1530584.8271999999</v>
      </c>
      <c r="G96" s="413">
        <f t="shared" si="47"/>
        <v>1530584.8271999999</v>
      </c>
      <c r="H96" s="396"/>
      <c r="I96" s="412">
        <f t="shared" ref="I96:J96" si="48">+I95</f>
        <v>1899415.44</v>
      </c>
      <c r="J96" s="429">
        <f t="shared" si="48"/>
        <v>1899415.44</v>
      </c>
    </row>
    <row r="97" spans="1:10" ht="24" x14ac:dyDescent="0.25">
      <c r="A97" s="268" t="s">
        <v>102</v>
      </c>
      <c r="B97" s="949" t="s">
        <v>401</v>
      </c>
      <c r="C97" s="311" t="s">
        <v>113</v>
      </c>
      <c r="D97" s="311"/>
      <c r="E97" s="709">
        <v>254.89750000000001</v>
      </c>
      <c r="F97" s="402">
        <f>IFERROR(E97*'01 Prod Physique Boites'!H95,"-")</f>
        <v>0</v>
      </c>
      <c r="G97" s="403">
        <f>IFERROR(E97*'01 Prod Physique Boites'!L95,"-")</f>
        <v>0</v>
      </c>
      <c r="H97" s="381">
        <v>445.38</v>
      </c>
      <c r="I97" s="419">
        <f>IFERROR(H97*(F97/E97),"-")</f>
        <v>0</v>
      </c>
      <c r="J97" s="420">
        <f t="shared" ref="J97:J99" si="49">IFERROR(H97*(G97/E97),"-")</f>
        <v>0</v>
      </c>
    </row>
    <row r="98" spans="1:10" ht="24" x14ac:dyDescent="0.25">
      <c r="A98" s="274" t="s">
        <v>102</v>
      </c>
      <c r="B98" s="951"/>
      <c r="C98" s="312" t="s">
        <v>247</v>
      </c>
      <c r="D98" s="312"/>
      <c r="E98" s="503">
        <v>246.51390000000001</v>
      </c>
      <c r="F98" s="402">
        <f>IFERROR(E98*'01 Prod Physique Boites'!H96,"-")</f>
        <v>0</v>
      </c>
      <c r="G98" s="403">
        <f>IFERROR(E98*'01 Prod Physique Boites'!L96,"-")</f>
        <v>0</v>
      </c>
      <c r="H98" s="385">
        <v>430.02</v>
      </c>
      <c r="I98" s="421">
        <f>IFERROR(H98*(F98/E98),"-")</f>
        <v>0</v>
      </c>
      <c r="J98" s="422">
        <f t="shared" si="49"/>
        <v>0</v>
      </c>
    </row>
    <row r="99" spans="1:10" ht="24.75" thickBot="1" x14ac:dyDescent="0.3">
      <c r="A99" s="274" t="s">
        <v>102</v>
      </c>
      <c r="B99" s="950"/>
      <c r="C99" s="313" t="s">
        <v>33</v>
      </c>
      <c r="D99" s="313"/>
      <c r="E99" s="500">
        <v>225.7713</v>
      </c>
      <c r="F99" s="402">
        <f>IFERROR(E99*'01 Prod Physique Boites'!H97,"-")</f>
        <v>0</v>
      </c>
      <c r="G99" s="403">
        <f>IFERROR(E99*'01 Prod Physique Boites'!L97,"-")</f>
        <v>0</v>
      </c>
      <c r="H99" s="387"/>
      <c r="I99" s="423">
        <f>IFERROR(H99*(F99/E99),"-")</f>
        <v>0</v>
      </c>
      <c r="J99" s="424">
        <f t="shared" si="49"/>
        <v>0</v>
      </c>
    </row>
    <row r="100" spans="1:10" ht="23.25" thickBot="1" x14ac:dyDescent="0.3">
      <c r="A100" s="274" t="s">
        <v>102</v>
      </c>
      <c r="B100" s="946" t="s">
        <v>34</v>
      </c>
      <c r="C100" s="947"/>
      <c r="D100" s="948"/>
      <c r="E100" s="390"/>
      <c r="F100" s="406">
        <f t="shared" ref="F100:G100" si="50">SUM(F97:F99)</f>
        <v>0</v>
      </c>
      <c r="G100" s="407">
        <f t="shared" si="50"/>
        <v>0</v>
      </c>
      <c r="H100" s="391"/>
      <c r="I100" s="406">
        <f t="shared" ref="I100:J100" si="51">SUM(I97:I99)</f>
        <v>0</v>
      </c>
      <c r="J100" s="425">
        <f t="shared" si="51"/>
        <v>0</v>
      </c>
    </row>
    <row r="101" spans="1:10" ht="24" x14ac:dyDescent="0.25">
      <c r="A101" s="274" t="s">
        <v>102</v>
      </c>
      <c r="B101" s="949" t="s">
        <v>35</v>
      </c>
      <c r="C101" s="311" t="s">
        <v>113</v>
      </c>
      <c r="D101" s="311"/>
      <c r="E101" s="502">
        <v>254.89750000000001</v>
      </c>
      <c r="F101" s="402">
        <f>IFERROR(E101*'01 Prod Physique Boites'!H99,"-")</f>
        <v>0</v>
      </c>
      <c r="G101" s="403">
        <f>IFERROR(E101*'01 Prod Physique Boites'!L99,"-")</f>
        <v>0</v>
      </c>
      <c r="H101" s="381">
        <v>445.38</v>
      </c>
      <c r="I101" s="419">
        <f>IFERROR(H101*(F101/E101),"-")</f>
        <v>0</v>
      </c>
      <c r="J101" s="420">
        <f t="shared" ref="J101:J104" si="52">IFERROR(H101*(G101/E101),"-")</f>
        <v>0</v>
      </c>
    </row>
    <row r="102" spans="1:10" ht="24" x14ac:dyDescent="0.25">
      <c r="A102" s="274" t="s">
        <v>102</v>
      </c>
      <c r="B102" s="951"/>
      <c r="C102" s="312" t="s">
        <v>247</v>
      </c>
      <c r="D102" s="312"/>
      <c r="E102" s="503">
        <v>246.51390000000001</v>
      </c>
      <c r="F102" s="402">
        <f>IFERROR(E102*'01 Prod Physique Boites'!H100,"-")</f>
        <v>0</v>
      </c>
      <c r="G102" s="403">
        <f>IFERROR(E102*'01 Prod Physique Boites'!L100,"-")</f>
        <v>0</v>
      </c>
      <c r="H102" s="385">
        <v>430.02</v>
      </c>
      <c r="I102" s="421">
        <f>IFERROR(H102*(F102/E102),"-")</f>
        <v>0</v>
      </c>
      <c r="J102" s="422">
        <f t="shared" si="52"/>
        <v>0</v>
      </c>
    </row>
    <row r="103" spans="1:10" ht="24" x14ac:dyDescent="0.25">
      <c r="A103" s="274" t="s">
        <v>102</v>
      </c>
      <c r="B103" s="951"/>
      <c r="C103" s="312" t="s">
        <v>184</v>
      </c>
      <c r="D103" s="312" t="s">
        <v>183</v>
      </c>
      <c r="E103" s="503">
        <v>254.89750000000001</v>
      </c>
      <c r="F103" s="402">
        <f>IFERROR(E103*'01 Prod Physique Boites'!H101,"-")</f>
        <v>0</v>
      </c>
      <c r="G103" s="403">
        <f>IFERROR(E103*'01 Prod Physique Boites'!L101,"-")</f>
        <v>0</v>
      </c>
      <c r="H103" s="385"/>
      <c r="I103" s="421">
        <f>IFERROR(H103*(F103/E103),"-")</f>
        <v>0</v>
      </c>
      <c r="J103" s="422">
        <f t="shared" si="52"/>
        <v>0</v>
      </c>
    </row>
    <row r="104" spans="1:10" ht="24.75" thickBot="1" x14ac:dyDescent="0.3">
      <c r="A104" s="274" t="s">
        <v>102</v>
      </c>
      <c r="B104" s="950"/>
      <c r="C104" s="313" t="s">
        <v>36</v>
      </c>
      <c r="D104" s="313"/>
      <c r="E104" s="500">
        <v>229.99359999999999</v>
      </c>
      <c r="F104" s="402">
        <f>IFERROR(E104*'01 Prod Physique Boites'!H102,"-")</f>
        <v>0</v>
      </c>
      <c r="G104" s="403">
        <f>IFERROR(E104*'01 Prod Physique Boites'!L102,"-")</f>
        <v>0</v>
      </c>
      <c r="H104" s="387"/>
      <c r="I104" s="423">
        <f>IFERROR(H104*(F104/E104),"-")</f>
        <v>0</v>
      </c>
      <c r="J104" s="424">
        <f t="shared" si="52"/>
        <v>0</v>
      </c>
    </row>
    <row r="105" spans="1:10" ht="23.25" thickBot="1" x14ac:dyDescent="0.3">
      <c r="A105" s="274" t="s">
        <v>102</v>
      </c>
      <c r="B105" s="946" t="s">
        <v>37</v>
      </c>
      <c r="C105" s="947"/>
      <c r="D105" s="948"/>
      <c r="E105" s="390"/>
      <c r="F105" s="406">
        <f t="shared" ref="F105:G105" si="53">SUM(F101:F104)</f>
        <v>0</v>
      </c>
      <c r="G105" s="407">
        <f t="shared" si="53"/>
        <v>0</v>
      </c>
      <c r="H105" s="391"/>
      <c r="I105" s="406">
        <f>SUM(I101:I104)</f>
        <v>0</v>
      </c>
      <c r="J105" s="425">
        <f>SUM(J101:J104)</f>
        <v>0</v>
      </c>
    </row>
    <row r="106" spans="1:10" ht="24" x14ac:dyDescent="0.25">
      <c r="A106" s="274" t="s">
        <v>102</v>
      </c>
      <c r="B106" s="949" t="s">
        <v>402</v>
      </c>
      <c r="C106" s="314" t="s">
        <v>116</v>
      </c>
      <c r="D106" s="314"/>
      <c r="E106" s="502">
        <v>195.2808</v>
      </c>
      <c r="F106" s="402">
        <f>IFERROR(E106*'01 Prod Physique Boites'!H104,"-")</f>
        <v>0</v>
      </c>
      <c r="G106" s="403">
        <f>IFERROR(E106*'01 Prod Physique Boites'!L104,"-")</f>
        <v>0</v>
      </c>
      <c r="H106" s="681">
        <v>256.7</v>
      </c>
      <c r="I106" s="419">
        <f>IFERROR(H106*(F106/E106),"-")</f>
        <v>0</v>
      </c>
      <c r="J106" s="420">
        <f t="shared" ref="J106:J107" si="54">IFERROR(H106*(G106/E106),"-")</f>
        <v>0</v>
      </c>
    </row>
    <row r="107" spans="1:10" ht="24.75" thickBot="1" x14ac:dyDescent="0.3">
      <c r="A107" s="274" t="s">
        <v>102</v>
      </c>
      <c r="B107" s="950"/>
      <c r="C107" s="286" t="s">
        <v>132</v>
      </c>
      <c r="D107" s="286"/>
      <c r="E107" s="500">
        <v>189.91890000000001</v>
      </c>
      <c r="F107" s="402">
        <f>IFERROR(E107*'01 Prod Physique Boites'!H105,"-")</f>
        <v>0</v>
      </c>
      <c r="G107" s="403">
        <f>IFERROR(E107*'01 Prod Physique Boites'!L105,"-")</f>
        <v>0</v>
      </c>
      <c r="H107" s="387">
        <v>320.35000000000002</v>
      </c>
      <c r="I107" s="423">
        <f>IFERROR(H107*(F107/E107),"-")</f>
        <v>0</v>
      </c>
      <c r="J107" s="424">
        <f t="shared" si="54"/>
        <v>0</v>
      </c>
    </row>
    <row r="108" spans="1:10" ht="23.25" thickBot="1" x14ac:dyDescent="0.3">
      <c r="A108" s="744" t="s">
        <v>102</v>
      </c>
      <c r="B108" s="946" t="s">
        <v>38</v>
      </c>
      <c r="C108" s="947"/>
      <c r="D108" s="948"/>
      <c r="E108" s="390"/>
      <c r="F108" s="406">
        <f>SUM(F106:F107)</f>
        <v>0</v>
      </c>
      <c r="G108" s="407">
        <f t="shared" ref="G108" si="55">SUM(G106:G107)</f>
        <v>0</v>
      </c>
      <c r="H108" s="391"/>
      <c r="I108" s="406">
        <f t="shared" ref="I108:J108" si="56">SUM(I106:I107)</f>
        <v>0</v>
      </c>
      <c r="J108" s="425">
        <f t="shared" si="56"/>
        <v>0</v>
      </c>
    </row>
    <row r="109" spans="1:10" ht="24" x14ac:dyDescent="0.25">
      <c r="A109" s="274" t="s">
        <v>102</v>
      </c>
      <c r="B109" s="949" t="s">
        <v>403</v>
      </c>
      <c r="C109" s="269" t="s">
        <v>306</v>
      </c>
      <c r="D109" s="269" t="s">
        <v>238</v>
      </c>
      <c r="E109" s="504">
        <v>37.248699999999999</v>
      </c>
      <c r="F109" s="402">
        <f>IFERROR(E109*'01 Prod Physique Boites'!H107,"-")</f>
        <v>250311.264</v>
      </c>
      <c r="G109" s="403">
        <f>IFERROR(E109*'01 Prod Physique Boites'!L107,"-")</f>
        <v>250311.264</v>
      </c>
      <c r="H109" s="381">
        <v>71.44</v>
      </c>
      <c r="I109" s="419">
        <f>IFERROR(H109*(F109/E109),"-")</f>
        <v>480076.79999999999</v>
      </c>
      <c r="J109" s="420">
        <f>IFERROR(H109*(G109/E109),"-")</f>
        <v>480076.79999999999</v>
      </c>
    </row>
    <row r="110" spans="1:10" ht="24" x14ac:dyDescent="0.25">
      <c r="A110" s="274" t="s">
        <v>102</v>
      </c>
      <c r="B110" s="951"/>
      <c r="C110" s="269" t="s">
        <v>156</v>
      </c>
      <c r="D110" s="275"/>
      <c r="E110" s="504">
        <v>37.248699999999999</v>
      </c>
      <c r="F110" s="402">
        <f>IFERROR(E110*'01 Prod Physique Boites'!H108,"-")</f>
        <v>0</v>
      </c>
      <c r="G110" s="403">
        <f>IFERROR(E110*'01 Prod Physique Boites'!L108,"-")</f>
        <v>0</v>
      </c>
      <c r="H110" s="385"/>
      <c r="I110" s="421">
        <f>IFERROR(H110*(F110/E110),"-")</f>
        <v>0</v>
      </c>
      <c r="J110" s="422">
        <f t="shared" ref="J110:J112" si="57">IFERROR(H110*(G110/E110),"-")</f>
        <v>0</v>
      </c>
    </row>
    <row r="111" spans="1:10" ht="24" x14ac:dyDescent="0.25">
      <c r="A111" s="274" t="s">
        <v>102</v>
      </c>
      <c r="B111" s="951"/>
      <c r="C111" s="275" t="s">
        <v>345</v>
      </c>
      <c r="D111" s="269" t="s">
        <v>238</v>
      </c>
      <c r="E111" s="504">
        <v>37.248699999999999</v>
      </c>
      <c r="F111" s="402">
        <f>IFERROR(E111*'01 Prod Physique Boites'!H109,"-")</f>
        <v>0</v>
      </c>
      <c r="G111" s="403">
        <f>IFERROR(E111*'01 Prod Physique Boites'!L109,"-")</f>
        <v>0</v>
      </c>
      <c r="H111" s="385">
        <v>71.44</v>
      </c>
      <c r="I111" s="421">
        <f>IFERROR(H111*(F111/E111),"-")</f>
        <v>0</v>
      </c>
      <c r="J111" s="422">
        <f t="shared" si="57"/>
        <v>0</v>
      </c>
    </row>
    <row r="112" spans="1:10" ht="24.75" thickBot="1" x14ac:dyDescent="0.3">
      <c r="A112" s="274" t="s">
        <v>102</v>
      </c>
      <c r="B112" s="951"/>
      <c r="C112" s="275" t="s">
        <v>157</v>
      </c>
      <c r="D112" s="275"/>
      <c r="E112" s="505">
        <v>38.466099999999997</v>
      </c>
      <c r="F112" s="402">
        <f>IFERROR(E112*'01 Prod Physique Boites'!H110,"-")</f>
        <v>0</v>
      </c>
      <c r="G112" s="403">
        <f>IFERROR(E112*'01 Prod Physique Boites'!L110,"-")</f>
        <v>0</v>
      </c>
      <c r="H112" s="385"/>
      <c r="I112" s="421">
        <f>IFERROR(H112*(F112/E112),"-")</f>
        <v>0</v>
      </c>
      <c r="J112" s="422">
        <f t="shared" si="57"/>
        <v>0</v>
      </c>
    </row>
    <row r="113" spans="1:10" ht="23.25" thickBot="1" x14ac:dyDescent="0.3">
      <c r="A113" s="274" t="s">
        <v>102</v>
      </c>
      <c r="B113" s="946" t="s">
        <v>39</v>
      </c>
      <c r="C113" s="947"/>
      <c r="D113" s="948"/>
      <c r="E113" s="390"/>
      <c r="F113" s="406">
        <f>SUM(F109:F112)</f>
        <v>250311.264</v>
      </c>
      <c r="G113" s="407">
        <f>SUM(G109:G112)</f>
        <v>250311.264</v>
      </c>
      <c r="H113" s="391"/>
      <c r="I113" s="406">
        <f>SUM(I109:I112)</f>
        <v>480076.79999999999</v>
      </c>
      <c r="J113" s="406">
        <f>SUM(J109:J112)</f>
        <v>480076.79999999999</v>
      </c>
    </row>
    <row r="114" spans="1:10" ht="24" x14ac:dyDescent="0.25">
      <c r="A114" s="274" t="s">
        <v>102</v>
      </c>
      <c r="B114" s="949" t="s">
        <v>40</v>
      </c>
      <c r="C114" s="269" t="s">
        <v>186</v>
      </c>
      <c r="D114" s="269" t="s">
        <v>183</v>
      </c>
      <c r="E114" s="504">
        <v>30.7499</v>
      </c>
      <c r="F114" s="402">
        <f>IFERROR(E114*'01 Prod Physique Boites'!H113,"-")</f>
        <v>0</v>
      </c>
      <c r="G114" s="403">
        <f>IFERROR(E114*'01 Prod Physique Boites'!L113,"-")</f>
        <v>0</v>
      </c>
      <c r="H114" s="381"/>
      <c r="I114" s="419">
        <f>IFERROR(H114*(F114/E114),"-")</f>
        <v>0</v>
      </c>
      <c r="J114" s="420">
        <f>IFERROR(H114*(G114/E114),"-")</f>
        <v>0</v>
      </c>
    </row>
    <row r="115" spans="1:10" ht="24" x14ac:dyDescent="0.25">
      <c r="A115" s="274" t="s">
        <v>102</v>
      </c>
      <c r="B115" s="951"/>
      <c r="C115" s="275" t="s">
        <v>159</v>
      </c>
      <c r="D115" s="275"/>
      <c r="E115" s="684">
        <v>25.139099999999999</v>
      </c>
      <c r="F115" s="402">
        <f>IFERROR(E115*'01 Prod Physique Boites'!H114,"-")</f>
        <v>286585.74</v>
      </c>
      <c r="G115" s="403">
        <f>IFERROR(E115*'01 Prod Physique Boites'!L114,"-")</f>
        <v>286585.74</v>
      </c>
      <c r="H115" s="385">
        <v>59.96</v>
      </c>
      <c r="I115" s="421">
        <f>IFERROR(H115*(F115/E115),"-")</f>
        <v>683544</v>
      </c>
      <c r="J115" s="422">
        <f t="shared" ref="J115:J116" si="58">IFERROR(H115*(G115/E115),"-")</f>
        <v>683544</v>
      </c>
    </row>
    <row r="116" spans="1:10" ht="24.75" thickBot="1" x14ac:dyDescent="0.3">
      <c r="A116" s="274" t="s">
        <v>102</v>
      </c>
      <c r="B116" s="950"/>
      <c r="C116" s="279" t="s">
        <v>186</v>
      </c>
      <c r="D116" s="279" t="s">
        <v>185</v>
      </c>
      <c r="E116" s="501">
        <v>30.073599999999999</v>
      </c>
      <c r="F116" s="402">
        <f>IFERROR(E116*'01 Prod Physique Boites'!H115,"-")</f>
        <v>0</v>
      </c>
      <c r="G116" s="403">
        <f>IFERROR(E116*'01 Prod Physique Boites'!L115,"-")</f>
        <v>0</v>
      </c>
      <c r="H116" s="387"/>
      <c r="I116" s="423">
        <f>IFERROR(H116*(F116/E116),"-")</f>
        <v>0</v>
      </c>
      <c r="J116" s="424">
        <f t="shared" si="58"/>
        <v>0</v>
      </c>
    </row>
    <row r="117" spans="1:10" ht="23.25" thickBot="1" x14ac:dyDescent="0.3">
      <c r="A117" s="274" t="s">
        <v>102</v>
      </c>
      <c r="B117" s="952" t="s">
        <v>41</v>
      </c>
      <c r="C117" s="953"/>
      <c r="D117" s="954"/>
      <c r="E117" s="390"/>
      <c r="F117" s="406">
        <f t="shared" ref="F117:G117" si="59">SUM(F114:F116)</f>
        <v>286585.74</v>
      </c>
      <c r="G117" s="407">
        <f t="shared" si="59"/>
        <v>286585.74</v>
      </c>
      <c r="H117" s="391"/>
      <c r="I117" s="406">
        <f t="shared" ref="I117:J117" si="60">SUM(I114:I116)</f>
        <v>683544</v>
      </c>
      <c r="J117" s="425">
        <f t="shared" si="60"/>
        <v>683544</v>
      </c>
    </row>
    <row r="118" spans="1:10" ht="24" x14ac:dyDescent="0.25">
      <c r="A118" s="274" t="s">
        <v>102</v>
      </c>
      <c r="B118" s="949" t="s">
        <v>42</v>
      </c>
      <c r="C118" s="269" t="s">
        <v>160</v>
      </c>
      <c r="D118" s="269"/>
      <c r="E118" s="504">
        <v>36.684899999999999</v>
      </c>
      <c r="F118" s="402">
        <f>IFERROR(E118*'01 Prod Physique Boites'!H117,"-")</f>
        <v>0</v>
      </c>
      <c r="G118" s="403">
        <f>IFERROR(E118*'01 Prod Physique Boites'!L117,"-")</f>
        <v>0</v>
      </c>
      <c r="H118" s="381"/>
      <c r="I118" s="382" t="s">
        <v>190</v>
      </c>
      <c r="J118" s="383" t="s">
        <v>190</v>
      </c>
    </row>
    <row r="119" spans="1:10" ht="24.75" thickBot="1" x14ac:dyDescent="0.3">
      <c r="A119" s="274" t="s">
        <v>102</v>
      </c>
      <c r="B119" s="950"/>
      <c r="C119" s="279" t="s">
        <v>161</v>
      </c>
      <c r="D119" s="279"/>
      <c r="E119" s="501">
        <v>37.002800000000001</v>
      </c>
      <c r="F119" s="402">
        <f>IFERROR(E119*'01 Prod Physique Boites'!H118,"-")</f>
        <v>0</v>
      </c>
      <c r="G119" s="403">
        <f>IFERROR(E119*'01 Prod Physique Boites'!L118,"-")</f>
        <v>0</v>
      </c>
      <c r="H119" s="387"/>
      <c r="I119" s="388" t="s">
        <v>190</v>
      </c>
      <c r="J119" s="389" t="s">
        <v>190</v>
      </c>
    </row>
    <row r="120" spans="1:10" ht="23.25" thickBot="1" x14ac:dyDescent="0.3">
      <c r="A120" s="274" t="s">
        <v>102</v>
      </c>
      <c r="B120" s="952" t="s">
        <v>43</v>
      </c>
      <c r="C120" s="953"/>
      <c r="D120" s="954"/>
      <c r="E120" s="390"/>
      <c r="F120" s="402">
        <f>IFERROR(E120*'01 Prod Physique Boites'!H119,"-")</f>
        <v>0</v>
      </c>
      <c r="G120" s="407">
        <f>IFERROR(E120*'01 Prod Physique Boites'!L119,"-")</f>
        <v>0</v>
      </c>
      <c r="H120" s="391"/>
      <c r="I120" s="406">
        <f t="shared" ref="I120:J120" si="61">SUM(I118:I119)</f>
        <v>0</v>
      </c>
      <c r="J120" s="425">
        <f t="shared" si="61"/>
        <v>0</v>
      </c>
    </row>
    <row r="121" spans="1:10" ht="23.25" thickBot="1" x14ac:dyDescent="0.3">
      <c r="A121" s="274" t="s">
        <v>102</v>
      </c>
      <c r="B121" s="938" t="s">
        <v>25</v>
      </c>
      <c r="C121" s="939"/>
      <c r="D121" s="940"/>
      <c r="E121" s="393"/>
      <c r="F121" s="410">
        <f>+F100+F105+F108+F113+F117+F120</f>
        <v>536897.00399999996</v>
      </c>
      <c r="G121" s="411">
        <f>+G100+G105+G108+G113+G117+G120</f>
        <v>536897.00399999996</v>
      </c>
      <c r="H121" s="394"/>
      <c r="I121" s="410">
        <f>+I100+I105+I108+I113+I117+I120</f>
        <v>1163620.8</v>
      </c>
      <c r="J121" s="428">
        <f>+J100+J105+J108+J113+J117+J120</f>
        <v>1163620.8</v>
      </c>
    </row>
    <row r="122" spans="1:10" ht="23.25" thickBot="1" x14ac:dyDescent="0.3">
      <c r="A122" s="318" t="s">
        <v>102</v>
      </c>
      <c r="B122" s="941" t="s">
        <v>173</v>
      </c>
      <c r="C122" s="941"/>
      <c r="D122" s="942"/>
      <c r="E122" s="395"/>
      <c r="F122" s="412">
        <f t="shared" ref="F122:G122" si="62">+F121</f>
        <v>536897.00399999996</v>
      </c>
      <c r="G122" s="413">
        <f t="shared" si="62"/>
        <v>536897.00399999996</v>
      </c>
      <c r="H122" s="396"/>
      <c r="I122" s="412">
        <f t="shared" ref="I122" si="63">+I121</f>
        <v>1163620.8</v>
      </c>
      <c r="J122" s="429">
        <f>+J121</f>
        <v>1163620.8</v>
      </c>
    </row>
    <row r="123" spans="1:10" ht="26.25" thickBot="1" x14ac:dyDescent="0.3">
      <c r="A123" s="319"/>
      <c r="B123" s="943" t="s">
        <v>174</v>
      </c>
      <c r="C123" s="944"/>
      <c r="D123" s="945"/>
      <c r="E123" s="401"/>
      <c r="F123" s="418">
        <f>+F61+F96+F122</f>
        <v>3597172.3439999996</v>
      </c>
      <c r="G123" s="418">
        <f>+G61+G96+G122</f>
        <v>3597172.3439999996</v>
      </c>
      <c r="H123" s="401"/>
      <c r="I123" s="418">
        <f>+I61+I96+I122</f>
        <v>4909353.84</v>
      </c>
      <c r="J123" s="432">
        <f>+J61+J96+J122</f>
        <v>4909353.84</v>
      </c>
    </row>
    <row r="124" spans="1:10" ht="24.6" customHeight="1" thickBot="1" x14ac:dyDescent="0.3">
      <c r="A124" s="230"/>
      <c r="B124" s="230"/>
      <c r="C124" s="230"/>
      <c r="D124" s="230"/>
      <c r="E124" s="378"/>
      <c r="F124" s="378"/>
      <c r="G124" s="378"/>
      <c r="H124" s="378"/>
      <c r="I124" s="378"/>
      <c r="J124" s="378"/>
    </row>
    <row r="125" spans="1:10" ht="22.5" x14ac:dyDescent="0.25">
      <c r="A125" s="978" t="s">
        <v>1</v>
      </c>
      <c r="B125" s="981" t="s">
        <v>2</v>
      </c>
      <c r="C125" s="984" t="s">
        <v>396</v>
      </c>
      <c r="D125" s="984" t="s">
        <v>397</v>
      </c>
      <c r="E125" s="1011" t="s">
        <v>405</v>
      </c>
      <c r="F125" s="1012"/>
      <c r="G125" s="1012"/>
      <c r="H125" s="442"/>
      <c r="I125" s="442"/>
      <c r="J125" s="443"/>
    </row>
    <row r="126" spans="1:10" ht="22.5" x14ac:dyDescent="0.25">
      <c r="A126" s="979"/>
      <c r="B126" s="982"/>
      <c r="C126" s="985"/>
      <c r="D126" s="985"/>
      <c r="E126" s="1013" t="s">
        <v>408</v>
      </c>
      <c r="F126" s="1014"/>
      <c r="G126" s="1015"/>
      <c r="H126" s="1013" t="s">
        <v>168</v>
      </c>
      <c r="I126" s="1014"/>
      <c r="J126" s="1015"/>
    </row>
    <row r="127" spans="1:10" ht="45" x14ac:dyDescent="0.25">
      <c r="A127" s="980"/>
      <c r="B127" s="1009"/>
      <c r="C127" s="1010"/>
      <c r="D127" s="1010"/>
      <c r="E127" s="379" t="s">
        <v>170</v>
      </c>
      <c r="F127" s="767" t="s">
        <v>407</v>
      </c>
      <c r="G127" s="768" t="s">
        <v>406</v>
      </c>
      <c r="H127" s="1016" t="s">
        <v>170</v>
      </c>
      <c r="I127" s="1018" t="s">
        <v>137</v>
      </c>
      <c r="J127" s="1020" t="s">
        <v>406</v>
      </c>
    </row>
    <row r="128" spans="1:10" ht="23.25" thickBot="1" x14ac:dyDescent="0.3">
      <c r="A128" s="980"/>
      <c r="B128" s="983"/>
      <c r="C128" s="986"/>
      <c r="D128" s="986"/>
      <c r="E128" s="1022" t="s">
        <v>483</v>
      </c>
      <c r="F128" s="1023"/>
      <c r="G128" s="1024"/>
      <c r="H128" s="1017"/>
      <c r="I128" s="1019"/>
      <c r="J128" s="1021"/>
    </row>
    <row r="129" spans="1:15" ht="24" x14ac:dyDescent="0.25">
      <c r="A129" s="268" t="s">
        <v>103</v>
      </c>
      <c r="B129" s="965" t="s">
        <v>16</v>
      </c>
      <c r="C129" s="269" t="s">
        <v>368</v>
      </c>
      <c r="D129" s="269" t="s">
        <v>369</v>
      </c>
      <c r="E129" s="705">
        <v>81.360699999999994</v>
      </c>
      <c r="F129" s="402">
        <f>IFERROR(E129*'01 Prod Physique Boites'!H126,"-")</f>
        <v>0</v>
      </c>
      <c r="G129" s="402">
        <f>IFERROR(E129*'01 Prod Physique Boites'!L126,"-")</f>
        <v>0</v>
      </c>
      <c r="H129" s="706">
        <v>143.28</v>
      </c>
      <c r="I129" s="419">
        <f>IFERROR(H129*(F129/E129),"-")</f>
        <v>0</v>
      </c>
      <c r="J129" s="420">
        <f t="shared" ref="J129:J131" si="64">IFERROR(H129*(G129/E129),"-")</f>
        <v>0</v>
      </c>
    </row>
    <row r="130" spans="1:15" ht="24" x14ac:dyDescent="0.25">
      <c r="A130" s="713"/>
      <c r="B130" s="966"/>
      <c r="C130" s="275" t="s">
        <v>470</v>
      </c>
      <c r="D130" s="275" t="s">
        <v>375</v>
      </c>
      <c r="E130" s="505">
        <v>81.360699999999994</v>
      </c>
      <c r="F130" s="402">
        <f>IFERROR(E130*'01 Prod Physique Boites'!H127,"-")</f>
        <v>0</v>
      </c>
      <c r="G130" s="402">
        <f>IFERROR(E130*'01 Prod Physique Boites'!L127,"-")</f>
        <v>0</v>
      </c>
      <c r="H130" s="708">
        <v>143.28</v>
      </c>
      <c r="I130" s="419">
        <f>IFERROR(H130*(F130/E130),"-")</f>
        <v>0</v>
      </c>
      <c r="J130" s="420">
        <f t="shared" si="64"/>
        <v>0</v>
      </c>
    </row>
    <row r="131" spans="1:15" ht="24" x14ac:dyDescent="0.25">
      <c r="A131" s="274" t="s">
        <v>103</v>
      </c>
      <c r="B131" s="966"/>
      <c r="C131" s="275" t="s">
        <v>430</v>
      </c>
      <c r="D131" s="275" t="s">
        <v>384</v>
      </c>
      <c r="E131" s="684">
        <v>77.170400000000001</v>
      </c>
      <c r="F131" s="402">
        <f>IFERROR(E131*'01 Prod Physique Boites'!H128,"-")</f>
        <v>0</v>
      </c>
      <c r="G131" s="685">
        <f>IFERROR(E131*'01 Prod Physique Boites'!L128,"-")</f>
        <v>0</v>
      </c>
      <c r="H131" s="385">
        <v>0</v>
      </c>
      <c r="I131" s="419">
        <f>IFERROR(H131*(F131/E131),"-")</f>
        <v>0</v>
      </c>
      <c r="J131" s="420">
        <f t="shared" si="64"/>
        <v>0</v>
      </c>
    </row>
    <row r="132" spans="1:15" ht="24.75" thickBot="1" x14ac:dyDescent="0.3">
      <c r="A132" s="274" t="s">
        <v>103</v>
      </c>
      <c r="B132" s="967"/>
      <c r="C132" s="279" t="s">
        <v>262</v>
      </c>
      <c r="D132" s="279" t="s">
        <v>231</v>
      </c>
      <c r="E132" s="501">
        <v>60.703499999999998</v>
      </c>
      <c r="F132" s="402">
        <f>IFERROR(E132*'01 Prod Physique Boites'!H129,"-")</f>
        <v>0</v>
      </c>
      <c r="G132" s="402">
        <f>IFERROR(E132*'01 Prod Physique Boites'!L129,"-")</f>
        <v>0</v>
      </c>
      <c r="H132" s="387">
        <v>111.09</v>
      </c>
      <c r="I132" s="419">
        <f>IFERROR(H132*(F132/E132),"-")</f>
        <v>0</v>
      </c>
      <c r="J132" s="420">
        <f>IFERROR(H132*(G132/E132),"-")</f>
        <v>0</v>
      </c>
    </row>
    <row r="133" spans="1:15" ht="23.25" thickBot="1" x14ac:dyDescent="0.3">
      <c r="A133" s="274" t="s">
        <v>103</v>
      </c>
      <c r="B133" s="946" t="s">
        <v>44</v>
      </c>
      <c r="C133" s="947"/>
      <c r="D133" s="948"/>
      <c r="E133" s="390"/>
      <c r="F133" s="406">
        <f t="shared" ref="F133" si="65">SUM(F129:F132)</f>
        <v>0</v>
      </c>
      <c r="G133" s="407">
        <f>SUM(G129:G132)</f>
        <v>0</v>
      </c>
      <c r="H133" s="391"/>
      <c r="I133" s="406">
        <f t="shared" ref="I133:J133" si="66">SUM(I129:I132)</f>
        <v>0</v>
      </c>
      <c r="J133" s="425">
        <f t="shared" si="66"/>
        <v>0</v>
      </c>
      <c r="K133" s="704"/>
      <c r="L133" s="704"/>
      <c r="M133" s="704"/>
      <c r="N133" s="704"/>
      <c r="O133" s="704"/>
    </row>
    <row r="134" spans="1:15" ht="24" x14ac:dyDescent="0.25">
      <c r="A134" s="274" t="s">
        <v>103</v>
      </c>
      <c r="B134" s="965" t="s">
        <v>17</v>
      </c>
      <c r="C134" s="269" t="s">
        <v>294</v>
      </c>
      <c r="D134" s="269"/>
      <c r="E134" s="504">
        <v>12.5275</v>
      </c>
      <c r="F134" s="402">
        <f>IFERROR(E134*'01 Prod Physique Boites'!H131,"-")</f>
        <v>0</v>
      </c>
      <c r="G134" s="402">
        <f>IFERROR(E134*'01 Prod Physique Boites'!L131,"-")</f>
        <v>0</v>
      </c>
      <c r="H134" s="681">
        <v>18.836400000000001</v>
      </c>
      <c r="I134" s="419">
        <f t="shared" ref="I134:I140" si="67">IFERROR(H134*(F134/E134),"-")</f>
        <v>0</v>
      </c>
      <c r="J134" s="420">
        <f t="shared" ref="J134:J139" si="68">IFERROR(H134*(G134/E134),"-")</f>
        <v>0</v>
      </c>
    </row>
    <row r="135" spans="1:15" ht="24" x14ac:dyDescent="0.25">
      <c r="A135" s="274" t="s">
        <v>103</v>
      </c>
      <c r="B135" s="966"/>
      <c r="C135" s="275" t="s">
        <v>344</v>
      </c>
      <c r="D135" s="275" t="s">
        <v>232</v>
      </c>
      <c r="E135" s="677">
        <v>13.002700000000001</v>
      </c>
      <c r="F135" s="402">
        <f>IFERROR(E135*'01 Prod Physique Boites'!H132,"-")</f>
        <v>0</v>
      </c>
      <c r="G135" s="402">
        <f>IFERROR(E135*'01 Prod Physique Boites'!L132,"-")</f>
        <v>0</v>
      </c>
      <c r="H135" s="385">
        <v>21.18</v>
      </c>
      <c r="I135" s="421">
        <f t="shared" si="67"/>
        <v>0</v>
      </c>
      <c r="J135" s="422">
        <f t="shared" si="68"/>
        <v>0</v>
      </c>
    </row>
    <row r="136" spans="1:15" ht="24" x14ac:dyDescent="0.25">
      <c r="A136" s="274" t="s">
        <v>103</v>
      </c>
      <c r="B136" s="966"/>
      <c r="C136" s="275" t="s">
        <v>351</v>
      </c>
      <c r="D136" s="275" t="s">
        <v>187</v>
      </c>
      <c r="E136" s="677">
        <v>12.9049</v>
      </c>
      <c r="F136" s="402">
        <f>IFERROR(E136*'01 Prod Physique Boites'!H133,"-")</f>
        <v>236933.96399999998</v>
      </c>
      <c r="G136" s="402">
        <f>IFERROR(E136*'01 Prod Physique Boites'!L133,"-")</f>
        <v>315911.95199999999</v>
      </c>
      <c r="H136" s="385">
        <v>20.5</v>
      </c>
      <c r="I136" s="421">
        <f t="shared" si="67"/>
        <v>376380</v>
      </c>
      <c r="J136" s="422">
        <f t="shared" si="68"/>
        <v>501840</v>
      </c>
    </row>
    <row r="137" spans="1:15" ht="24" x14ac:dyDescent="0.25">
      <c r="A137" s="274" t="s">
        <v>103</v>
      </c>
      <c r="B137" s="966"/>
      <c r="C137" s="275" t="s">
        <v>293</v>
      </c>
      <c r="D137" s="275" t="s">
        <v>188</v>
      </c>
      <c r="E137" s="505">
        <v>13.078200000000001</v>
      </c>
      <c r="F137" s="402">
        <f>IFERROR(E137*'01 Prod Physique Boites'!H134,"-")</f>
        <v>0</v>
      </c>
      <c r="G137" s="402">
        <f>IFERROR(E137*'01 Prod Physique Boites'!L134,"-")</f>
        <v>0</v>
      </c>
      <c r="H137" s="385">
        <v>20.6</v>
      </c>
      <c r="I137" s="421">
        <f t="shared" si="67"/>
        <v>0</v>
      </c>
      <c r="J137" s="422">
        <f t="shared" si="68"/>
        <v>0</v>
      </c>
    </row>
    <row r="138" spans="1:15" ht="24" x14ac:dyDescent="0.25">
      <c r="A138" s="274" t="s">
        <v>103</v>
      </c>
      <c r="B138" s="966"/>
      <c r="C138" s="275" t="s">
        <v>323</v>
      </c>
      <c r="D138" s="275" t="s">
        <v>318</v>
      </c>
      <c r="E138" s="505">
        <v>13.1958</v>
      </c>
      <c r="F138" s="402">
        <f>IFERROR(E138*'01 Prod Physique Boites'!H135,"-")</f>
        <v>0</v>
      </c>
      <c r="G138" s="402">
        <f>IFERROR(E138*'01 Prod Physique Boites'!L135,"-")</f>
        <v>0</v>
      </c>
      <c r="H138" s="385">
        <v>21.28</v>
      </c>
      <c r="I138" s="421">
        <f t="shared" si="67"/>
        <v>0</v>
      </c>
      <c r="J138" s="422">
        <f t="shared" si="68"/>
        <v>0</v>
      </c>
    </row>
    <row r="139" spans="1:15" ht="24" x14ac:dyDescent="0.25">
      <c r="A139" s="274">
        <v>1</v>
      </c>
      <c r="B139" s="966"/>
      <c r="C139" s="275" t="s">
        <v>352</v>
      </c>
      <c r="D139" s="275" t="s">
        <v>189</v>
      </c>
      <c r="E139" s="677">
        <v>12.9049</v>
      </c>
      <c r="F139" s="402">
        <f>IFERROR(E139*'01 Prod Physique Boites'!H136,"-")</f>
        <v>0</v>
      </c>
      <c r="G139" s="402">
        <f>IFERROR(E139*'01 Prod Physique Boites'!L136,"-")</f>
        <v>0</v>
      </c>
      <c r="H139" s="664">
        <v>20.5</v>
      </c>
      <c r="I139" s="421">
        <f t="shared" si="67"/>
        <v>0</v>
      </c>
      <c r="J139" s="422">
        <f t="shared" si="68"/>
        <v>0</v>
      </c>
    </row>
    <row r="140" spans="1:15" ht="24.75" thickBot="1" x14ac:dyDescent="0.3">
      <c r="A140" s="274" t="s">
        <v>103</v>
      </c>
      <c r="B140" s="967"/>
      <c r="C140" s="279" t="s">
        <v>341</v>
      </c>
      <c r="D140" s="279" t="s">
        <v>175</v>
      </c>
      <c r="E140" s="501">
        <v>13.6509</v>
      </c>
      <c r="F140" s="402">
        <f>IFERROR(E140*'01 Prod Physique Boites'!H137,"-")</f>
        <v>0</v>
      </c>
      <c r="G140" s="402">
        <f>IFERROR(E140*'01 Prod Physique Boites'!L137,"-")</f>
        <v>0</v>
      </c>
      <c r="H140" s="387">
        <v>21.18</v>
      </c>
      <c r="I140" s="423">
        <f t="shared" si="67"/>
        <v>0</v>
      </c>
      <c r="J140" s="424">
        <f>IFERROR(H140*(G140/E140),"-")</f>
        <v>0</v>
      </c>
    </row>
    <row r="141" spans="1:15" ht="23.25" thickBot="1" x14ac:dyDescent="0.3">
      <c r="A141" s="274" t="s">
        <v>103</v>
      </c>
      <c r="B141" s="946" t="s">
        <v>45</v>
      </c>
      <c r="C141" s="947"/>
      <c r="D141" s="948"/>
      <c r="E141" s="390"/>
      <c r="F141" s="406">
        <f t="shared" ref="F141" si="69">SUM(F134:F140)</f>
        <v>236933.96399999998</v>
      </c>
      <c r="G141" s="407">
        <f>SUM(G134:G140)</f>
        <v>315911.95199999999</v>
      </c>
      <c r="H141" s="391"/>
      <c r="I141" s="406">
        <f t="shared" ref="I141" si="70">SUM(I134:I140)</f>
        <v>376380</v>
      </c>
      <c r="J141" s="425">
        <f>SUM(J134:J140)</f>
        <v>501840</v>
      </c>
      <c r="K141" s="704"/>
      <c r="L141" s="704"/>
      <c r="M141" s="704"/>
      <c r="N141" s="704"/>
      <c r="O141" s="704"/>
    </row>
    <row r="142" spans="1:15" ht="24" x14ac:dyDescent="0.25">
      <c r="A142" s="274" t="s">
        <v>103</v>
      </c>
      <c r="B142" s="965" t="s">
        <v>18</v>
      </c>
      <c r="C142" s="269" t="s">
        <v>312</v>
      </c>
      <c r="D142" s="269" t="s">
        <v>92</v>
      </c>
      <c r="E142" s="504">
        <v>17.8202</v>
      </c>
      <c r="F142" s="402">
        <f>IFERROR(E142*'01 Prod Physique Boites'!H139,"-")</f>
        <v>0</v>
      </c>
      <c r="G142" s="403">
        <f>IFERROR(E142*'01 Prod Physique Boites'!L139,"-")</f>
        <v>0</v>
      </c>
      <c r="H142" s="381">
        <v>24.93</v>
      </c>
      <c r="I142" s="419">
        <f t="shared" ref="I142:I148" si="71">IFERROR(H142*(F142/E142),"-")</f>
        <v>0</v>
      </c>
      <c r="J142" s="420">
        <f t="shared" ref="J142:J144" si="72">IFERROR(H142*(G142/E142),"-")</f>
        <v>0</v>
      </c>
    </row>
    <row r="143" spans="1:15" ht="24" x14ac:dyDescent="0.25">
      <c r="A143" s="274" t="s">
        <v>103</v>
      </c>
      <c r="B143" s="966"/>
      <c r="C143" s="275" t="s">
        <v>130</v>
      </c>
      <c r="D143" s="275"/>
      <c r="E143" s="505">
        <v>17.8202</v>
      </c>
      <c r="F143" s="402">
        <f>IFERROR(E143*'01 Prod Physique Boites'!H140,"-")</f>
        <v>0</v>
      </c>
      <c r="G143" s="403">
        <f>IFERROR(E143*'01 Prod Physique Boites'!L140,"-")</f>
        <v>0</v>
      </c>
      <c r="H143" s="385">
        <v>0</v>
      </c>
      <c r="I143" s="421">
        <f t="shared" si="71"/>
        <v>0</v>
      </c>
      <c r="J143" s="422">
        <f t="shared" si="72"/>
        <v>0</v>
      </c>
    </row>
    <row r="144" spans="1:15" ht="24" x14ac:dyDescent="0.25">
      <c r="A144" s="274" t="s">
        <v>103</v>
      </c>
      <c r="B144" s="966"/>
      <c r="C144" s="275" t="s">
        <v>115</v>
      </c>
      <c r="D144" s="275"/>
      <c r="E144" s="505">
        <v>16.4071</v>
      </c>
      <c r="F144" s="402">
        <f>IFERROR(E144*'01 Prod Physique Boites'!H141,"-")</f>
        <v>0</v>
      </c>
      <c r="G144" s="403">
        <f>IFERROR(E144*'01 Prod Physique Boites'!L141,"-")</f>
        <v>0</v>
      </c>
      <c r="H144" s="385">
        <v>0</v>
      </c>
      <c r="I144" s="421">
        <f t="shared" si="71"/>
        <v>0</v>
      </c>
      <c r="J144" s="422">
        <f t="shared" si="72"/>
        <v>0</v>
      </c>
    </row>
    <row r="145" spans="1:10" ht="24" x14ac:dyDescent="0.25">
      <c r="A145" s="274" t="s">
        <v>103</v>
      </c>
      <c r="B145" s="966"/>
      <c r="C145" s="275" t="s">
        <v>122</v>
      </c>
      <c r="D145" s="275"/>
      <c r="E145" s="505">
        <v>17.8202</v>
      </c>
      <c r="F145" s="402">
        <f>IFERROR(E145*'01 Prod Physique Boites'!H142,"-")</f>
        <v>0</v>
      </c>
      <c r="G145" s="403">
        <f>IFERROR(E145*'01 Prod Physique Boites'!L142,"-")</f>
        <v>0</v>
      </c>
      <c r="H145" s="385">
        <v>0</v>
      </c>
      <c r="I145" s="421">
        <f t="shared" si="71"/>
        <v>0</v>
      </c>
      <c r="J145" s="422">
        <f>IFERROR(H145*(G145/E145),"-")</f>
        <v>0</v>
      </c>
    </row>
    <row r="146" spans="1:10" ht="24" x14ac:dyDescent="0.25">
      <c r="A146" s="274" t="s">
        <v>103</v>
      </c>
      <c r="B146" s="966"/>
      <c r="C146" s="275" t="s">
        <v>176</v>
      </c>
      <c r="D146" s="275" t="s">
        <v>177</v>
      </c>
      <c r="E146" s="505">
        <v>17.8202</v>
      </c>
      <c r="F146" s="402">
        <f>IFERROR(E146*'01 Prod Physique Boites'!H143,"-")</f>
        <v>0</v>
      </c>
      <c r="G146" s="403">
        <f>IFERROR(E146*'01 Prod Physique Boites'!L143,"-")</f>
        <v>0</v>
      </c>
      <c r="H146" s="385">
        <v>0</v>
      </c>
      <c r="I146" s="421">
        <f t="shared" si="71"/>
        <v>0</v>
      </c>
      <c r="J146" s="422">
        <f t="shared" ref="J146:J148" si="73">IFERROR(H146*(G146/E146),"-")</f>
        <v>0</v>
      </c>
    </row>
    <row r="147" spans="1:10" ht="24" x14ac:dyDescent="0.25">
      <c r="A147" s="274" t="s">
        <v>103</v>
      </c>
      <c r="B147" s="966"/>
      <c r="C147" s="275" t="s">
        <v>179</v>
      </c>
      <c r="D147" s="275" t="s">
        <v>178</v>
      </c>
      <c r="E147" s="505">
        <v>16.7288</v>
      </c>
      <c r="F147" s="402">
        <f>IFERROR(E147*'01 Prod Physique Boites'!H144,"-")</f>
        <v>0</v>
      </c>
      <c r="G147" s="403">
        <f>IFERROR(E147*'01 Prod Physique Boites'!L144,"-")</f>
        <v>0</v>
      </c>
      <c r="H147" s="385">
        <v>0</v>
      </c>
      <c r="I147" s="421">
        <f t="shared" si="71"/>
        <v>0</v>
      </c>
      <c r="J147" s="422">
        <f t="shared" si="73"/>
        <v>0</v>
      </c>
    </row>
    <row r="148" spans="1:10" ht="24.75" thickBot="1" x14ac:dyDescent="0.3">
      <c r="A148" s="274" t="s">
        <v>103</v>
      </c>
      <c r="B148" s="967"/>
      <c r="C148" s="286" t="s">
        <v>180</v>
      </c>
      <c r="D148" s="286" t="s">
        <v>107</v>
      </c>
      <c r="E148" s="501">
        <v>17.8202</v>
      </c>
      <c r="F148" s="402">
        <f>IFERROR(E148*'01 Prod Physique Boites'!H145,"-")</f>
        <v>0</v>
      </c>
      <c r="G148" s="403">
        <f>IFERROR(E148*'01 Prod Physique Boites'!L145,"-")</f>
        <v>0</v>
      </c>
      <c r="H148" s="385">
        <v>0</v>
      </c>
      <c r="I148" s="423">
        <f t="shared" si="71"/>
        <v>0</v>
      </c>
      <c r="J148" s="424">
        <f t="shared" si="73"/>
        <v>0</v>
      </c>
    </row>
    <row r="149" spans="1:10" ht="23.25" thickBot="1" x14ac:dyDescent="0.3">
      <c r="A149" s="274" t="s">
        <v>103</v>
      </c>
      <c r="B149" s="946" t="s">
        <v>29</v>
      </c>
      <c r="C149" s="947"/>
      <c r="D149" s="948"/>
      <c r="E149" s="648"/>
      <c r="F149" s="649">
        <f t="shared" ref="F149:G149" si="74">SUM(F142:F148)</f>
        <v>0</v>
      </c>
      <c r="G149" s="407">
        <f t="shared" si="74"/>
        <v>0</v>
      </c>
      <c r="H149" s="391"/>
      <c r="I149" s="406">
        <f t="shared" ref="I149:J149" si="75">SUM(I142:I148)</f>
        <v>0</v>
      </c>
      <c r="J149" s="425">
        <f t="shared" si="75"/>
        <v>0</v>
      </c>
    </row>
    <row r="150" spans="1:10" ht="24.75" thickBot="1" x14ac:dyDescent="0.3">
      <c r="A150" s="274"/>
      <c r="B150" s="1004" t="s">
        <v>19</v>
      </c>
      <c r="C150" s="650" t="s">
        <v>235</v>
      </c>
      <c r="D150" s="656" t="s">
        <v>177</v>
      </c>
      <c r="E150" s="657">
        <v>12.2659</v>
      </c>
      <c r="F150" s="658">
        <f>IFERROR(E150*'01 Prod Physique Boites'!H147,"-")</f>
        <v>0</v>
      </c>
      <c r="G150" s="659">
        <f>IFERROR(E150*'01 Prod Physique Boites'!L147,"-")</f>
        <v>0</v>
      </c>
      <c r="H150" s="653">
        <v>14.79</v>
      </c>
      <c r="I150" s="638">
        <f t="shared" ref="I150:I152" si="76">IFERROR(H150*(F150/E150),"-")</f>
        <v>0</v>
      </c>
      <c r="J150" s="638">
        <f>IFERROR(H150*(G150/E150),"-")</f>
        <v>0</v>
      </c>
    </row>
    <row r="151" spans="1:10" ht="24.75" thickBot="1" x14ac:dyDescent="0.3">
      <c r="A151" s="274"/>
      <c r="B151" s="1005"/>
      <c r="C151" s="651" t="s">
        <v>359</v>
      </c>
      <c r="D151" s="660" t="s">
        <v>423</v>
      </c>
      <c r="E151" s="642">
        <v>12.2659</v>
      </c>
      <c r="F151" s="658">
        <f>IFERROR(E151*'01 Prod Physique Boites'!H148,"-")</f>
        <v>2072446.4640000002</v>
      </c>
      <c r="G151" s="633">
        <f>IFERROR(E151*'01 Prod Physique Boites'!L148,"-")</f>
        <v>3523158.9887999999</v>
      </c>
      <c r="H151" s="654">
        <v>14.55</v>
      </c>
      <c r="I151" s="643">
        <f t="shared" si="76"/>
        <v>2458368</v>
      </c>
      <c r="J151" s="643">
        <f>IFERROR(H151*(G151/E151),"-")</f>
        <v>4179225.6</v>
      </c>
    </row>
    <row r="152" spans="1:10" ht="24.75" thickBot="1" x14ac:dyDescent="0.3">
      <c r="A152" s="769" t="s">
        <v>103</v>
      </c>
      <c r="B152" s="1006"/>
      <c r="C152" s="652" t="s">
        <v>342</v>
      </c>
      <c r="D152" s="661"/>
      <c r="E152" s="662">
        <v>0</v>
      </c>
      <c r="F152" s="658">
        <f>IFERROR(E152*'01 Prod Physique Boites'!H149,"-")</f>
        <v>0</v>
      </c>
      <c r="G152" s="663">
        <f>IFERROR(E152*'01 Prod Physique Boites'!L149,"-")</f>
        <v>0</v>
      </c>
      <c r="H152" s="655">
        <v>0</v>
      </c>
      <c r="I152" s="426" t="str">
        <f t="shared" si="76"/>
        <v>-</v>
      </c>
      <c r="J152" s="427" t="str">
        <f t="shared" ref="J152" si="77">IFERROR(I152*(G152/F152),"-")</f>
        <v>-</v>
      </c>
    </row>
    <row r="153" spans="1:10" ht="23.25" thickBot="1" x14ac:dyDescent="0.3">
      <c r="A153" s="274" t="s">
        <v>103</v>
      </c>
      <c r="B153" s="946" t="s">
        <v>46</v>
      </c>
      <c r="C153" s="947"/>
      <c r="D153" s="948"/>
      <c r="E153" s="390"/>
      <c r="F153" s="406">
        <f>SUM(F150:F152)</f>
        <v>2072446.4640000002</v>
      </c>
      <c r="G153" s="406">
        <f>SUM(G150:G152)</f>
        <v>3523158.9887999999</v>
      </c>
      <c r="H153" s="391"/>
      <c r="I153" s="406">
        <f>SUM(I150:I152)</f>
        <v>2458368</v>
      </c>
      <c r="J153" s="425">
        <f>SUM(J150:J152)</f>
        <v>4179225.6</v>
      </c>
    </row>
    <row r="154" spans="1:10" ht="24" x14ac:dyDescent="0.25">
      <c r="A154" s="274" t="s">
        <v>103</v>
      </c>
      <c r="B154" s="965" t="s">
        <v>20</v>
      </c>
      <c r="C154" s="291" t="s">
        <v>317</v>
      </c>
      <c r="D154" s="291" t="s">
        <v>289</v>
      </c>
      <c r="E154" s="504">
        <v>26.032900000000001</v>
      </c>
      <c r="F154" s="402">
        <f>IFERROR(E154*'01 Prod Physique Boites'!H151,"-")</f>
        <v>0</v>
      </c>
      <c r="G154" s="403">
        <f>IFERROR(E154*'01 Prod Physique Boites'!L151,"-")</f>
        <v>0</v>
      </c>
      <c r="H154" s="381">
        <v>36.44</v>
      </c>
      <c r="I154" s="419">
        <f>IFERROR(H154*(F154/E154),"-")</f>
        <v>0</v>
      </c>
      <c r="J154" s="420">
        <f t="shared" ref="J154:J156" si="78">IFERROR(H154*(G154/E154),"-")</f>
        <v>0</v>
      </c>
    </row>
    <row r="155" spans="1:10" ht="24" x14ac:dyDescent="0.25">
      <c r="A155" s="274" t="s">
        <v>103</v>
      </c>
      <c r="B155" s="966"/>
      <c r="C155" s="292" t="s">
        <v>114</v>
      </c>
      <c r="D155" s="292"/>
      <c r="E155" s="384">
        <v>24.2607</v>
      </c>
      <c r="F155" s="402">
        <f>IFERROR(E155*'01 Prod Physique Boites'!H152,"-")</f>
        <v>0</v>
      </c>
      <c r="G155" s="403">
        <f>IFERROR(E155*'01 Prod Physique Boites'!L152,"-")</f>
        <v>0</v>
      </c>
      <c r="H155" s="385">
        <v>37.369999999999997</v>
      </c>
      <c r="I155" s="421">
        <f>IFERROR(H155*(F155/E155),"-")</f>
        <v>0</v>
      </c>
      <c r="J155" s="422">
        <f t="shared" si="78"/>
        <v>0</v>
      </c>
    </row>
    <row r="156" spans="1:10" ht="24.75" thickBot="1" x14ac:dyDescent="0.3">
      <c r="A156" s="274" t="s">
        <v>103</v>
      </c>
      <c r="B156" s="967"/>
      <c r="C156" s="293" t="s">
        <v>120</v>
      </c>
      <c r="D156" s="293"/>
      <c r="E156" s="386">
        <v>26.035799999999998</v>
      </c>
      <c r="F156" s="402">
        <f>IFERROR(E156*'01 Prod Physique Boites'!H153,"-")</f>
        <v>0</v>
      </c>
      <c r="G156" s="403">
        <f>IFERROR(E156*'01 Prod Physique Boites'!L153,"-")</f>
        <v>0</v>
      </c>
      <c r="H156" s="387">
        <v>37.11</v>
      </c>
      <c r="I156" s="423">
        <f>IFERROR(H156*(F156/E156),"-")</f>
        <v>0</v>
      </c>
      <c r="J156" s="424">
        <f t="shared" si="78"/>
        <v>0</v>
      </c>
    </row>
    <row r="157" spans="1:10" ht="23.25" thickBot="1" x14ac:dyDescent="0.3">
      <c r="A157" s="274" t="s">
        <v>103</v>
      </c>
      <c r="B157" s="947" t="s">
        <v>47</v>
      </c>
      <c r="C157" s="947"/>
      <c r="D157" s="964"/>
      <c r="E157" s="390"/>
      <c r="F157" s="406">
        <f t="shared" ref="F157:G157" si="79">SUM(F154:F156)</f>
        <v>0</v>
      </c>
      <c r="G157" s="407">
        <f t="shared" si="79"/>
        <v>0</v>
      </c>
      <c r="H157" s="391"/>
      <c r="I157" s="406">
        <f t="shared" ref="I157:J157" si="80">SUM(I154:I156)</f>
        <v>0</v>
      </c>
      <c r="J157" s="425">
        <f t="shared" si="80"/>
        <v>0</v>
      </c>
    </row>
    <row r="158" spans="1:10" ht="23.25" thickBot="1" x14ac:dyDescent="0.3">
      <c r="A158" s="274" t="s">
        <v>103</v>
      </c>
      <c r="B158" s="960" t="s">
        <v>21</v>
      </c>
      <c r="C158" s="961"/>
      <c r="D158" s="962"/>
      <c r="E158" s="393"/>
      <c r="F158" s="410">
        <f>+F133+F141+F149+F153+F157</f>
        <v>2309380.4280000003</v>
      </c>
      <c r="G158" s="411">
        <f>+G133+G141+G149+G153+G157</f>
        <v>3839070.9408</v>
      </c>
      <c r="H158" s="394"/>
      <c r="I158" s="410">
        <f>+I133+I141+I149+I153+I157</f>
        <v>2834748</v>
      </c>
      <c r="J158" s="428">
        <f>+J133+J141+J149+J153+J157</f>
        <v>4681065.5999999996</v>
      </c>
    </row>
    <row r="159" spans="1:10" ht="24" x14ac:dyDescent="0.25">
      <c r="A159" s="274" t="s">
        <v>103</v>
      </c>
      <c r="B159" s="965" t="s">
        <v>400</v>
      </c>
      <c r="C159" s="269" t="s">
        <v>125</v>
      </c>
      <c r="D159" s="269"/>
      <c r="E159" s="380">
        <v>22.820599999999999</v>
      </c>
      <c r="F159" s="402">
        <f>IFERROR(E159*'01 Prod Physique Boites'!H156,"-")</f>
        <v>0</v>
      </c>
      <c r="G159" s="403">
        <f>IFERROR(E159*'01 Prod Physique Boites'!L156,"-")</f>
        <v>0</v>
      </c>
      <c r="H159" s="381">
        <v>27.5</v>
      </c>
      <c r="I159" s="419">
        <f>IFERROR(H159*(F159/E159),"-")</f>
        <v>0</v>
      </c>
      <c r="J159" s="420">
        <f t="shared" ref="J159:J162" si="81">IFERROR(H159*(G159/E159),"-")</f>
        <v>0</v>
      </c>
    </row>
    <row r="160" spans="1:10" ht="24" x14ac:dyDescent="0.25">
      <c r="A160" s="274" t="s">
        <v>103</v>
      </c>
      <c r="B160" s="966"/>
      <c r="C160" s="295" t="s">
        <v>263</v>
      </c>
      <c r="D160" s="295" t="s">
        <v>181</v>
      </c>
      <c r="E160" s="384">
        <v>23.570699999999999</v>
      </c>
      <c r="F160" s="402">
        <f>IFERROR(E160*'01 Prod Physique Boites'!H157,"-")</f>
        <v>0</v>
      </c>
      <c r="G160" s="403">
        <f>IFERROR(E160*'01 Prod Physique Boites'!L157,"-")</f>
        <v>0</v>
      </c>
      <c r="H160" s="385">
        <v>27.5</v>
      </c>
      <c r="I160" s="421">
        <f>IFERROR(H160*(F160/E160),"-")</f>
        <v>0</v>
      </c>
      <c r="J160" s="422">
        <f t="shared" si="81"/>
        <v>0</v>
      </c>
    </row>
    <row r="161" spans="1:10" ht="24" x14ac:dyDescent="0.25">
      <c r="A161" s="274" t="s">
        <v>103</v>
      </c>
      <c r="B161" s="966"/>
      <c r="C161" s="295" t="s">
        <v>362</v>
      </c>
      <c r="D161" s="295" t="s">
        <v>181</v>
      </c>
      <c r="E161" s="384">
        <v>22.820599999999999</v>
      </c>
      <c r="F161" s="402">
        <f>IFERROR(E161*'01 Prod Physique Boites'!H158,"-")</f>
        <v>0</v>
      </c>
      <c r="G161" s="403">
        <f>IFERROR(E161*'01 Prod Physique Boites'!L158,"-")</f>
        <v>0</v>
      </c>
      <c r="H161" s="385">
        <v>27.5</v>
      </c>
      <c r="I161" s="421">
        <f>IFERROR(H161*(F161/E161),"-")</f>
        <v>0</v>
      </c>
      <c r="J161" s="422">
        <f t="shared" si="81"/>
        <v>0</v>
      </c>
    </row>
    <row r="162" spans="1:10" ht="24.75" thickBot="1" x14ac:dyDescent="0.3">
      <c r="A162" s="274" t="s">
        <v>103</v>
      </c>
      <c r="B162" s="967"/>
      <c r="C162" s="279" t="s">
        <v>182</v>
      </c>
      <c r="D162" s="279" t="s">
        <v>93</v>
      </c>
      <c r="E162" s="386">
        <v>23.5685</v>
      </c>
      <c r="F162" s="402">
        <f>IFERROR(E162*'01 Prod Physique Boites'!H159,"-")</f>
        <v>0</v>
      </c>
      <c r="G162" s="403">
        <f>IFERROR(E162*'01 Prod Physique Boites'!L159,"-")</f>
        <v>0</v>
      </c>
      <c r="H162" s="387">
        <v>24</v>
      </c>
      <c r="I162" s="423">
        <f>IFERROR(H162*(F162/E162),"-")</f>
        <v>0</v>
      </c>
      <c r="J162" s="424">
        <f t="shared" si="81"/>
        <v>0</v>
      </c>
    </row>
    <row r="163" spans="1:10" ht="23.25" thickBot="1" x14ac:dyDescent="0.3">
      <c r="A163" s="274" t="s">
        <v>103</v>
      </c>
      <c r="B163" s="946" t="s">
        <v>48</v>
      </c>
      <c r="C163" s="947"/>
      <c r="D163" s="948"/>
      <c r="E163" s="390"/>
      <c r="F163" s="406">
        <f t="shared" ref="F163:G163" si="82">SUM(F159:F162)</f>
        <v>0</v>
      </c>
      <c r="G163" s="407">
        <f t="shared" si="82"/>
        <v>0</v>
      </c>
      <c r="H163" s="391"/>
      <c r="I163" s="406">
        <f t="shared" ref="I163:J163" si="83">SUM(I159:I162)</f>
        <v>0</v>
      </c>
      <c r="J163" s="425">
        <f t="shared" si="83"/>
        <v>0</v>
      </c>
    </row>
    <row r="164" spans="1:10" ht="24" x14ac:dyDescent="0.25">
      <c r="A164" s="274" t="s">
        <v>103</v>
      </c>
      <c r="B164" s="965" t="s">
        <v>23</v>
      </c>
      <c r="C164" s="296" t="s">
        <v>308</v>
      </c>
      <c r="D164" s="296" t="s">
        <v>238</v>
      </c>
      <c r="E164" s="380">
        <v>101.4935</v>
      </c>
      <c r="F164" s="402">
        <f>IFERROR(E164*'01 Prod Physique Boites'!H161,"-")</f>
        <v>0</v>
      </c>
      <c r="G164" s="403">
        <f>IFERROR(E164*'01 Prod Physique Boites'!L161,"-")</f>
        <v>0</v>
      </c>
      <c r="H164" s="385">
        <v>160.44999999999999</v>
      </c>
      <c r="I164" s="419">
        <f t="shared" ref="I164:I172" si="84">IFERROR(H164*(F164/E164),"-")</f>
        <v>0</v>
      </c>
      <c r="J164" s="420">
        <f t="shared" ref="J164:J172" si="85">IFERROR(H164*(G164/E164),"-")</f>
        <v>0</v>
      </c>
    </row>
    <row r="165" spans="1:10" ht="24" x14ac:dyDescent="0.25">
      <c r="A165" s="274" t="s">
        <v>103</v>
      </c>
      <c r="B165" s="966"/>
      <c r="C165" s="275" t="s">
        <v>24</v>
      </c>
      <c r="D165" s="275" t="s">
        <v>238</v>
      </c>
      <c r="E165" s="384">
        <v>101.4935</v>
      </c>
      <c r="F165" s="402">
        <f>IFERROR(E165*'01 Prod Physique Boites'!H162,"-")</f>
        <v>0</v>
      </c>
      <c r="G165" s="403">
        <f>IFERROR(E165*'01 Prod Physique Boites'!L162,"-")</f>
        <v>0</v>
      </c>
      <c r="H165" s="385">
        <v>160.44999999999999</v>
      </c>
      <c r="I165" s="421">
        <f t="shared" si="84"/>
        <v>0</v>
      </c>
      <c r="J165" s="422">
        <f t="shared" si="85"/>
        <v>0</v>
      </c>
    </row>
    <row r="166" spans="1:10" ht="24" x14ac:dyDescent="0.25">
      <c r="A166" s="274" t="s">
        <v>103</v>
      </c>
      <c r="B166" s="966"/>
      <c r="C166" s="275" t="s">
        <v>236</v>
      </c>
      <c r="D166" s="275" t="s">
        <v>238</v>
      </c>
      <c r="E166" s="384">
        <v>101.4935</v>
      </c>
      <c r="F166" s="402">
        <f>IFERROR(E166*'01 Prod Physique Boites'!H163,"-")</f>
        <v>0</v>
      </c>
      <c r="G166" s="403">
        <f>IFERROR(E166*'01 Prod Physique Boites'!L163,"-")</f>
        <v>0</v>
      </c>
      <c r="H166" s="385">
        <v>160.44999999999999</v>
      </c>
      <c r="I166" s="421">
        <f t="shared" si="84"/>
        <v>0</v>
      </c>
      <c r="J166" s="422">
        <f t="shared" si="85"/>
        <v>0</v>
      </c>
    </row>
    <row r="167" spans="1:10" ht="24" x14ac:dyDescent="0.25">
      <c r="A167" s="274" t="s">
        <v>103</v>
      </c>
      <c r="B167" s="966"/>
      <c r="C167" s="275" t="s">
        <v>237</v>
      </c>
      <c r="D167" s="275" t="s">
        <v>238</v>
      </c>
      <c r="E167" s="384">
        <v>101.4935</v>
      </c>
      <c r="F167" s="402">
        <f>IFERROR(E167*'01 Prod Physique Boites'!H164,"-")</f>
        <v>0</v>
      </c>
      <c r="G167" s="403">
        <f>IFERROR(E167*'01 Prod Physique Boites'!L164,"-")</f>
        <v>0</v>
      </c>
      <c r="H167" s="385">
        <v>160.44999999999999</v>
      </c>
      <c r="I167" s="421">
        <f t="shared" si="84"/>
        <v>0</v>
      </c>
      <c r="J167" s="422">
        <f t="shared" si="85"/>
        <v>0</v>
      </c>
    </row>
    <row r="168" spans="1:10" ht="24" x14ac:dyDescent="0.25">
      <c r="A168" s="274" t="s">
        <v>103</v>
      </c>
      <c r="B168" s="966"/>
      <c r="C168" s="295" t="s">
        <v>239</v>
      </c>
      <c r="D168" s="275" t="s">
        <v>238</v>
      </c>
      <c r="E168" s="384">
        <v>101.4935</v>
      </c>
      <c r="F168" s="402">
        <f>IFERROR(E168*'01 Prod Physique Boites'!H165,"-")</f>
        <v>0</v>
      </c>
      <c r="G168" s="403">
        <f>IFERROR(E168*'01 Prod Physique Boites'!L165,"-")</f>
        <v>0</v>
      </c>
      <c r="H168" s="385">
        <v>160.44999999999999</v>
      </c>
      <c r="I168" s="421">
        <f t="shared" si="84"/>
        <v>0</v>
      </c>
      <c r="J168" s="422">
        <f t="shared" si="85"/>
        <v>0</v>
      </c>
    </row>
    <row r="169" spans="1:10" ht="24" x14ac:dyDescent="0.25">
      <c r="A169" s="274" t="s">
        <v>103</v>
      </c>
      <c r="B169" s="966"/>
      <c r="C169" s="295" t="s">
        <v>240</v>
      </c>
      <c r="D169" s="275" t="s">
        <v>238</v>
      </c>
      <c r="E169" s="384">
        <v>101.4935</v>
      </c>
      <c r="F169" s="402">
        <f>IFERROR(E169*'01 Prod Physique Boites'!H166,"-")</f>
        <v>0</v>
      </c>
      <c r="G169" s="403">
        <f>IFERROR(E169*'01 Prod Physique Boites'!L166,"-")</f>
        <v>0</v>
      </c>
      <c r="H169" s="385">
        <v>160.44999999999999</v>
      </c>
      <c r="I169" s="421">
        <f t="shared" si="84"/>
        <v>0</v>
      </c>
      <c r="J169" s="422">
        <f t="shared" si="85"/>
        <v>0</v>
      </c>
    </row>
    <row r="170" spans="1:10" ht="24" x14ac:dyDescent="0.25">
      <c r="A170" s="274" t="s">
        <v>103</v>
      </c>
      <c r="B170" s="966"/>
      <c r="C170" s="295" t="s">
        <v>241</v>
      </c>
      <c r="D170" s="275" t="s">
        <v>243</v>
      </c>
      <c r="E170" s="384">
        <v>101.4935</v>
      </c>
      <c r="F170" s="402">
        <f>IFERROR(E170*'01 Prod Physique Boites'!H167,"-")</f>
        <v>0</v>
      </c>
      <c r="G170" s="403">
        <f>IFERROR(E170*'01 Prod Physique Boites'!L167,"-")</f>
        <v>0</v>
      </c>
      <c r="H170" s="385">
        <v>160.44999999999999</v>
      </c>
      <c r="I170" s="421">
        <f t="shared" si="84"/>
        <v>0</v>
      </c>
      <c r="J170" s="422">
        <f t="shared" si="85"/>
        <v>0</v>
      </c>
    </row>
    <row r="171" spans="1:10" ht="24" x14ac:dyDescent="0.25">
      <c r="A171" s="274"/>
      <c r="B171" s="967"/>
      <c r="C171" s="295" t="s">
        <v>457</v>
      </c>
      <c r="D171" s="275" t="s">
        <v>238</v>
      </c>
      <c r="E171" s="386">
        <v>101.49</v>
      </c>
      <c r="F171" s="402">
        <f>IFERROR(E171*'01 Prod Physique Boites'!H168,"-")</f>
        <v>0</v>
      </c>
      <c r="G171" s="403">
        <f>IFERROR(E171*'01 Prod Physique Boites'!L168,"-")</f>
        <v>0</v>
      </c>
      <c r="H171" s="385">
        <v>160.44999999999999</v>
      </c>
      <c r="I171" s="421">
        <f t="shared" si="84"/>
        <v>0</v>
      </c>
      <c r="J171" s="422">
        <f t="shared" si="85"/>
        <v>0</v>
      </c>
    </row>
    <row r="172" spans="1:10" ht="24.75" thickBot="1" x14ac:dyDescent="0.3">
      <c r="A172" s="274" t="s">
        <v>103</v>
      </c>
      <c r="B172" s="967"/>
      <c r="C172" s="295" t="s">
        <v>242</v>
      </c>
      <c r="D172" s="275" t="s">
        <v>238</v>
      </c>
      <c r="E172" s="386">
        <v>101.4935</v>
      </c>
      <c r="F172" s="402">
        <f>IFERROR(E172*'01 Prod Physique Boites'!H169,"-")</f>
        <v>0</v>
      </c>
      <c r="G172" s="403">
        <f>IFERROR(E172*'01 Prod Physique Boites'!L169,"-")</f>
        <v>0</v>
      </c>
      <c r="H172" s="385">
        <v>160.44999999999999</v>
      </c>
      <c r="I172" s="421">
        <f t="shared" si="84"/>
        <v>0</v>
      </c>
      <c r="J172" s="424">
        <f t="shared" si="85"/>
        <v>0</v>
      </c>
    </row>
    <row r="173" spans="1:10" ht="23.25" thickBot="1" x14ac:dyDescent="0.3">
      <c r="A173" s="274" t="s">
        <v>103</v>
      </c>
      <c r="B173" s="946" t="s">
        <v>49</v>
      </c>
      <c r="C173" s="947"/>
      <c r="D173" s="948"/>
      <c r="E173" s="390"/>
      <c r="F173" s="406">
        <f t="shared" ref="F173" si="86">SUM(F164:F172)</f>
        <v>0</v>
      </c>
      <c r="G173" s="407">
        <f>SUM(G164:G172)</f>
        <v>0</v>
      </c>
      <c r="H173" s="391"/>
      <c r="I173" s="406">
        <f t="shared" ref="I173" si="87">SUM(I164:I172)</f>
        <v>0</v>
      </c>
      <c r="J173" s="425">
        <f>SUM(J164:J172)</f>
        <v>0</v>
      </c>
    </row>
    <row r="174" spans="1:10" ht="23.25" thickBot="1" x14ac:dyDescent="0.3">
      <c r="A174" s="274" t="s">
        <v>103</v>
      </c>
      <c r="B174" s="960" t="s">
        <v>25</v>
      </c>
      <c r="C174" s="961"/>
      <c r="D174" s="962"/>
      <c r="E174" s="393"/>
      <c r="F174" s="410">
        <f t="shared" ref="F174" si="88">+F163+F173</f>
        <v>0</v>
      </c>
      <c r="G174" s="411">
        <f>+G163+G173</f>
        <v>0</v>
      </c>
      <c r="H174" s="394"/>
      <c r="I174" s="410">
        <f t="shared" ref="I174:J174" si="89">+I163+I173</f>
        <v>0</v>
      </c>
      <c r="J174" s="428">
        <f t="shared" si="89"/>
        <v>0</v>
      </c>
    </row>
    <row r="175" spans="1:10" ht="23.25" thickBot="1" x14ac:dyDescent="0.3">
      <c r="A175" s="274" t="s">
        <v>103</v>
      </c>
      <c r="B175" s="963" t="s">
        <v>172</v>
      </c>
      <c r="C175" s="941"/>
      <c r="D175" s="942"/>
      <c r="E175" s="395"/>
      <c r="F175" s="412">
        <f t="shared" ref="F175" si="90">+F158+F174</f>
        <v>2309380.4280000003</v>
      </c>
      <c r="G175" s="413">
        <f>+G158+G174</f>
        <v>3839070.9408</v>
      </c>
      <c r="H175" s="396"/>
      <c r="I175" s="412">
        <f t="shared" ref="I175:J175" si="91">+I158+I174</f>
        <v>2834748</v>
      </c>
      <c r="J175" s="429">
        <f t="shared" si="91"/>
        <v>4681065.5999999996</v>
      </c>
    </row>
    <row r="176" spans="1:10" ht="24" x14ac:dyDescent="0.25">
      <c r="A176" s="268" t="s">
        <v>101</v>
      </c>
      <c r="B176" s="956" t="s">
        <v>26</v>
      </c>
      <c r="C176" s="297" t="s">
        <v>297</v>
      </c>
      <c r="D176" s="299" t="s">
        <v>177</v>
      </c>
      <c r="E176" s="504">
        <v>13.1272</v>
      </c>
      <c r="F176" s="402">
        <f>IFERROR(E176*'01 Prod Physique Boites'!H173,"-")</f>
        <v>0</v>
      </c>
      <c r="G176" s="403">
        <f>IFERROR(E176*'01 Prod Physique Boites'!L173,"-")</f>
        <v>0</v>
      </c>
      <c r="H176" s="381">
        <v>20.76</v>
      </c>
      <c r="I176" s="419">
        <f t="shared" ref="I176:I185" si="92">IFERROR(H176*(F176/E176),"-")</f>
        <v>0</v>
      </c>
      <c r="J176" s="632">
        <f t="shared" ref="J176:J185" si="93">IFERROR(H176*(G176/E176),"-")</f>
        <v>0</v>
      </c>
    </row>
    <row r="177" spans="1:10" ht="24" x14ac:dyDescent="0.25">
      <c r="A177" s="274" t="s">
        <v>101</v>
      </c>
      <c r="B177" s="956"/>
      <c r="C177" s="298" t="s">
        <v>424</v>
      </c>
      <c r="D177" s="298" t="s">
        <v>423</v>
      </c>
      <c r="E177" s="505">
        <v>16.7288</v>
      </c>
      <c r="F177" s="402">
        <f>IFERROR(E177*'01 Prod Physique Boites'!H174,"-")</f>
        <v>2129509.3248000001</v>
      </c>
      <c r="G177" s="403">
        <f>IFERROR(E177*'01 Prod Physique Boites'!L174,"-")</f>
        <v>3327358.32</v>
      </c>
      <c r="H177" s="385">
        <v>20.76</v>
      </c>
      <c r="I177" s="421">
        <f t="shared" si="92"/>
        <v>2642664.9600000004</v>
      </c>
      <c r="J177" s="633">
        <f t="shared" si="93"/>
        <v>4129164.0000000005</v>
      </c>
    </row>
    <row r="178" spans="1:10" ht="24" x14ac:dyDescent="0.25">
      <c r="A178" s="274" t="s">
        <v>101</v>
      </c>
      <c r="B178" s="956"/>
      <c r="C178" s="299" t="s">
        <v>27</v>
      </c>
      <c r="D178" s="299" t="s">
        <v>334</v>
      </c>
      <c r="E178" s="501">
        <v>17.8202</v>
      </c>
      <c r="F178" s="402">
        <f>IFERROR(E178*'01 Prod Physique Boites'!H175,"-")</f>
        <v>0</v>
      </c>
      <c r="G178" s="403">
        <f>IFERROR(E178*'01 Prod Physique Boites'!L175,"-")</f>
        <v>0</v>
      </c>
      <c r="H178" s="385">
        <v>21.22</v>
      </c>
      <c r="I178" s="643">
        <f t="shared" si="92"/>
        <v>0</v>
      </c>
      <c r="J178" s="633">
        <f t="shared" si="93"/>
        <v>0</v>
      </c>
    </row>
    <row r="179" spans="1:10" ht="24" x14ac:dyDescent="0.25">
      <c r="A179" s="274" t="s">
        <v>101</v>
      </c>
      <c r="B179" s="956"/>
      <c r="C179" s="299" t="s">
        <v>27</v>
      </c>
      <c r="D179" s="299" t="s">
        <v>234</v>
      </c>
      <c r="E179" s="501">
        <v>17.8202</v>
      </c>
      <c r="F179" s="402">
        <f>IFERROR(E179*'01 Prod Physique Boites'!H176,"-")</f>
        <v>0</v>
      </c>
      <c r="G179" s="403">
        <f>IFERROR(E179*'01 Prod Physique Boites'!L176,"-")</f>
        <v>0</v>
      </c>
      <c r="H179" s="385">
        <v>24.93</v>
      </c>
      <c r="I179" s="643">
        <f t="shared" si="92"/>
        <v>0</v>
      </c>
      <c r="J179" s="633">
        <f t="shared" si="93"/>
        <v>0</v>
      </c>
    </row>
    <row r="180" spans="1:10" ht="24" x14ac:dyDescent="0.25">
      <c r="A180" s="274" t="s">
        <v>101</v>
      </c>
      <c r="B180" s="956"/>
      <c r="C180" s="299" t="s">
        <v>27</v>
      </c>
      <c r="D180" s="299" t="s">
        <v>279</v>
      </c>
      <c r="E180" s="501">
        <v>17.8202</v>
      </c>
      <c r="F180" s="402">
        <f>IFERROR(E180*'01 Prod Physique Boites'!H177,"-")</f>
        <v>0</v>
      </c>
      <c r="G180" s="403">
        <f>IFERROR(E180*'01 Prod Physique Boites'!L177,"-")</f>
        <v>0</v>
      </c>
      <c r="H180" s="385">
        <v>24.93</v>
      </c>
      <c r="I180" s="643">
        <f t="shared" si="92"/>
        <v>0</v>
      </c>
      <c r="J180" s="633">
        <f t="shared" si="93"/>
        <v>0</v>
      </c>
    </row>
    <row r="181" spans="1:10" ht="24" x14ac:dyDescent="0.25">
      <c r="A181" s="274"/>
      <c r="B181" s="956"/>
      <c r="C181" s="299" t="s">
        <v>437</v>
      </c>
      <c r="D181" s="299" t="s">
        <v>178</v>
      </c>
      <c r="E181" s="501">
        <v>14.608000000000001</v>
      </c>
      <c r="F181" s="402">
        <f>IFERROR(E181*'01 Prod Physique Boites'!H178,"-")</f>
        <v>0</v>
      </c>
      <c r="G181" s="403">
        <f>IFERROR(E181*'01 Prod Physique Boites'!L178,"-")</f>
        <v>0</v>
      </c>
      <c r="H181" s="387">
        <v>24.93</v>
      </c>
      <c r="I181" s="643">
        <f t="shared" si="92"/>
        <v>0</v>
      </c>
      <c r="J181" s="634">
        <f t="shared" si="93"/>
        <v>0</v>
      </c>
    </row>
    <row r="182" spans="1:10" ht="24" x14ac:dyDescent="0.25">
      <c r="A182" s="274"/>
      <c r="B182" s="956"/>
      <c r="C182" s="299" t="s">
        <v>436</v>
      </c>
      <c r="D182" s="299" t="s">
        <v>94</v>
      </c>
      <c r="E182" s="501">
        <v>17.8202</v>
      </c>
      <c r="F182" s="724">
        <f>IFERROR(E182*'01 Prod Physique Boites'!H179,"-")</f>
        <v>0</v>
      </c>
      <c r="G182" s="403">
        <f>IFERROR(E182*'01 Prod Physique Boites'!L179,"-")</f>
        <v>0</v>
      </c>
      <c r="H182" s="387">
        <v>24.93</v>
      </c>
      <c r="I182" s="730">
        <f t="shared" si="92"/>
        <v>0</v>
      </c>
      <c r="J182" s="634">
        <f t="shared" si="93"/>
        <v>0</v>
      </c>
    </row>
    <row r="183" spans="1:10" s="731" customFormat="1" ht="24" x14ac:dyDescent="0.25">
      <c r="A183" s="725"/>
      <c r="B183" s="956"/>
      <c r="C183" s="726" t="s">
        <v>383</v>
      </c>
      <c r="D183" s="726" t="s">
        <v>384</v>
      </c>
      <c r="E183" s="727">
        <v>16.345199999999998</v>
      </c>
      <c r="F183" s="724">
        <f>IFERROR(E183*'01 Prod Physique Boites'!H180,"-")</f>
        <v>0</v>
      </c>
      <c r="G183" s="728">
        <f>IFERROR(E183*'01 Prod Physique Boites'!L180,"-")</f>
        <v>0</v>
      </c>
      <c r="H183" s="729">
        <v>23.78</v>
      </c>
      <c r="I183" s="730">
        <f t="shared" si="92"/>
        <v>0</v>
      </c>
      <c r="J183" s="634">
        <f t="shared" si="93"/>
        <v>0</v>
      </c>
    </row>
    <row r="184" spans="1:10" s="731" customFormat="1" ht="24" x14ac:dyDescent="0.25">
      <c r="A184" s="725"/>
      <c r="B184" s="956"/>
      <c r="C184" s="299" t="s">
        <v>433</v>
      </c>
      <c r="D184" s="299" t="s">
        <v>178</v>
      </c>
      <c r="E184" s="727">
        <v>16.7288</v>
      </c>
      <c r="F184" s="724">
        <f>IFERROR(E184*'01 Prod Physique Boites'!H181,"-")</f>
        <v>0</v>
      </c>
      <c r="G184" s="728">
        <f>IFERROR(E184*'01 Prod Physique Boites'!L181,"-")</f>
        <v>0</v>
      </c>
      <c r="H184" s="729">
        <v>25.49</v>
      </c>
      <c r="I184" s="730">
        <f t="shared" si="92"/>
        <v>0</v>
      </c>
      <c r="J184" s="634">
        <f t="shared" si="93"/>
        <v>0</v>
      </c>
    </row>
    <row r="185" spans="1:10" ht="24.75" thickBot="1" x14ac:dyDescent="0.3">
      <c r="A185" s="274" t="s">
        <v>101</v>
      </c>
      <c r="B185" s="956"/>
      <c r="C185" s="300" t="s">
        <v>290</v>
      </c>
      <c r="D185" s="299" t="s">
        <v>289</v>
      </c>
      <c r="E185" s="501">
        <v>12.6997</v>
      </c>
      <c r="F185" s="402">
        <f>IFERROR(E185*'01 Prod Physique Boites'!H182,"-")</f>
        <v>0</v>
      </c>
      <c r="G185" s="728">
        <f>IFERROR(E185*'01 Prod Physique Boites'!L182,"-")</f>
        <v>0</v>
      </c>
      <c r="H185" s="387">
        <v>13.25</v>
      </c>
      <c r="I185" s="730">
        <f t="shared" si="92"/>
        <v>0</v>
      </c>
      <c r="J185" s="634">
        <f t="shared" si="93"/>
        <v>0</v>
      </c>
    </row>
    <row r="186" spans="1:10" ht="23.25" thickBot="1" x14ac:dyDescent="0.3">
      <c r="A186" s="274" t="s">
        <v>101</v>
      </c>
      <c r="B186" s="969"/>
      <c r="C186" s="301"/>
      <c r="D186" s="302" t="s">
        <v>52</v>
      </c>
      <c r="E186" s="390"/>
      <c r="F186" s="406">
        <f>SUM(F176:F185)</f>
        <v>2129509.3248000001</v>
      </c>
      <c r="G186" s="407">
        <f>SUM(G176:G185)</f>
        <v>3327358.32</v>
      </c>
      <c r="H186" s="391"/>
      <c r="I186" s="406">
        <f>SUM(I176:I185)</f>
        <v>2642664.9600000004</v>
      </c>
      <c r="J186" s="425">
        <f>SUM(J176:J185)</f>
        <v>4129164.0000000005</v>
      </c>
    </row>
    <row r="187" spans="1:10" ht="24" x14ac:dyDescent="0.25">
      <c r="A187" s="274" t="s">
        <v>101</v>
      </c>
      <c r="B187" s="955" t="s">
        <v>28</v>
      </c>
      <c r="C187" s="299" t="s">
        <v>27</v>
      </c>
      <c r="D187" s="297" t="s">
        <v>279</v>
      </c>
      <c r="E187" s="504">
        <v>17.8202</v>
      </c>
      <c r="F187" s="402">
        <f>IFERROR(E187*'01 Prod Physique Boites'!H184,"-")</f>
        <v>0</v>
      </c>
      <c r="G187" s="403">
        <f>IFERROR(E187*'01 Prod Physique Boites'!L184,"-")</f>
        <v>0</v>
      </c>
      <c r="H187" s="381">
        <v>24.93</v>
      </c>
      <c r="I187" s="419">
        <f t="shared" ref="I187:I193" si="94">IFERROR(H187*(F187/E187),"-")</f>
        <v>0</v>
      </c>
      <c r="J187" s="632">
        <f t="shared" ref="J187:J188" si="95">IFERROR(H187*(G187/E187),"-")</f>
        <v>0</v>
      </c>
    </row>
    <row r="188" spans="1:10" ht="24" x14ac:dyDescent="0.25">
      <c r="A188" s="274" t="s">
        <v>101</v>
      </c>
      <c r="B188" s="956"/>
      <c r="C188" s="299" t="s">
        <v>386</v>
      </c>
      <c r="D188" s="299" t="s">
        <v>334</v>
      </c>
      <c r="E188" s="711">
        <v>16.7288</v>
      </c>
      <c r="F188" s="402">
        <f>IFERROR(E188*'01 Prod Physique Boites'!H185,"-")</f>
        <v>798565.99679999996</v>
      </c>
      <c r="G188" s="728">
        <f>IFERROR(E188*'01 Prod Physique Boites'!L185,"-")</f>
        <v>1131301.8288</v>
      </c>
      <c r="H188" s="708">
        <v>20.76</v>
      </c>
      <c r="I188" s="421">
        <f t="shared" si="94"/>
        <v>990999.3600000001</v>
      </c>
      <c r="J188" s="633">
        <f t="shared" si="95"/>
        <v>1403915.76</v>
      </c>
    </row>
    <row r="189" spans="1:10" ht="24" x14ac:dyDescent="0.25">
      <c r="A189" s="274" t="s">
        <v>101</v>
      </c>
      <c r="B189" s="956"/>
      <c r="C189" s="299" t="s">
        <v>385</v>
      </c>
      <c r="D189" s="299" t="s">
        <v>334</v>
      </c>
      <c r="E189" s="501">
        <v>17.8202</v>
      </c>
      <c r="F189" s="402">
        <f>IFERROR(E189*'01 Prod Physique Boites'!H186,"-")</f>
        <v>0</v>
      </c>
      <c r="G189" s="403">
        <f>IFERROR(E189*'01 Prod Physique Boites'!L186,"-")</f>
        <v>0</v>
      </c>
      <c r="H189" s="385">
        <v>21.22</v>
      </c>
      <c r="I189" s="421">
        <f t="shared" si="94"/>
        <v>0</v>
      </c>
      <c r="J189" s="633">
        <f>IFERROR(H189*(G189/E189),"-")</f>
        <v>0</v>
      </c>
    </row>
    <row r="190" spans="1:10" ht="24" x14ac:dyDescent="0.25">
      <c r="A190" s="274"/>
      <c r="B190" s="956"/>
      <c r="C190" s="299" t="s">
        <v>460</v>
      </c>
      <c r="D190" s="299" t="s">
        <v>334</v>
      </c>
      <c r="E190" s="501">
        <v>14.608000000000001</v>
      </c>
      <c r="F190" s="402">
        <f>IFERROR(E190*'01 Prod Physique Boites'!H187,"-")</f>
        <v>0</v>
      </c>
      <c r="G190" s="403">
        <f>IFERROR(E190*'01 Prod Physique Boites'!L187,"-")</f>
        <v>0</v>
      </c>
      <c r="H190" s="385">
        <v>21.22</v>
      </c>
      <c r="I190" s="421">
        <f t="shared" si="94"/>
        <v>0</v>
      </c>
      <c r="J190" s="633">
        <f>IFERROR(H190*(G190/E190),"-")</f>
        <v>0</v>
      </c>
    </row>
    <row r="191" spans="1:10" ht="24" x14ac:dyDescent="0.25">
      <c r="A191" s="274"/>
      <c r="B191" s="956"/>
      <c r="C191" s="299" t="s">
        <v>383</v>
      </c>
      <c r="D191" s="299" t="s">
        <v>384</v>
      </c>
      <c r="E191" s="711">
        <v>16.345199999999998</v>
      </c>
      <c r="F191" s="402">
        <f>IFERROR(E191*'01 Prod Physique Boites'!H188,"-")</f>
        <v>0</v>
      </c>
      <c r="G191" s="403">
        <f>IFERROR(E191*'01 Prod Physique Boites'!L188,"-")</f>
        <v>0</v>
      </c>
      <c r="H191" s="385">
        <v>23.78</v>
      </c>
      <c r="I191" s="423">
        <f t="shared" si="94"/>
        <v>0</v>
      </c>
      <c r="J191" s="634">
        <f t="shared" ref="J191:J193" si="96">IFERROR(H191*(G191/E191),"-")</f>
        <v>0</v>
      </c>
    </row>
    <row r="192" spans="1:10" ht="24" x14ac:dyDescent="0.25">
      <c r="A192" s="274"/>
      <c r="B192" s="956"/>
      <c r="C192" s="299" t="s">
        <v>458</v>
      </c>
      <c r="D192" s="300" t="s">
        <v>280</v>
      </c>
      <c r="E192" s="711">
        <v>17.8202</v>
      </c>
      <c r="F192" s="402">
        <f>IFERROR(E192*'01 Prod Physique Boites'!H189,"-")</f>
        <v>0</v>
      </c>
      <c r="G192" s="403">
        <f>IFERROR(E192*'01 Prod Physique Boites'!L189,"-")</f>
        <v>0</v>
      </c>
      <c r="H192" s="385">
        <v>24.93</v>
      </c>
      <c r="I192" s="730">
        <f t="shared" si="94"/>
        <v>0</v>
      </c>
      <c r="J192" s="634">
        <f t="shared" si="96"/>
        <v>0</v>
      </c>
    </row>
    <row r="193" spans="1:10" ht="24.75" thickBot="1" x14ac:dyDescent="0.3">
      <c r="A193" s="274" t="s">
        <v>101</v>
      </c>
      <c r="B193" s="956"/>
      <c r="C193" s="299" t="s">
        <v>27</v>
      </c>
      <c r="D193" s="300" t="s">
        <v>234</v>
      </c>
      <c r="E193" s="501">
        <v>17.8202</v>
      </c>
      <c r="F193" s="402">
        <f>IFERROR(E193*'01 Prod Physique Boites'!H190,"-")</f>
        <v>0</v>
      </c>
      <c r="G193" s="403">
        <f>IFERROR(E193*'01 Prod Physique Boites'!L190,"-")</f>
        <v>0</v>
      </c>
      <c r="H193" s="385">
        <v>24.93</v>
      </c>
      <c r="I193" s="423">
        <f t="shared" si="94"/>
        <v>0</v>
      </c>
      <c r="J193" s="634">
        <f t="shared" si="96"/>
        <v>0</v>
      </c>
    </row>
    <row r="194" spans="1:10" ht="23.25" thickBot="1" x14ac:dyDescent="0.3">
      <c r="A194" s="274" t="s">
        <v>101</v>
      </c>
      <c r="B194" s="956"/>
      <c r="C194" s="304"/>
      <c r="D194" s="305" t="s">
        <v>52</v>
      </c>
      <c r="E194" s="397"/>
      <c r="F194" s="414">
        <f t="shared" ref="F194:G194" si="97">SUM(F187:F193)</f>
        <v>798565.99679999996</v>
      </c>
      <c r="G194" s="415">
        <f t="shared" si="97"/>
        <v>1131301.8288</v>
      </c>
      <c r="H194" s="398"/>
      <c r="I194" s="414">
        <f t="shared" ref="I194:J194" si="98">SUM(I187:I193)</f>
        <v>990999.3600000001</v>
      </c>
      <c r="J194" s="430">
        <f t="shared" si="98"/>
        <v>1403915.76</v>
      </c>
    </row>
    <row r="195" spans="1:10" ht="23.25" thickBot="1" x14ac:dyDescent="0.3">
      <c r="A195" s="769" t="s">
        <v>101</v>
      </c>
      <c r="B195" s="957" t="s">
        <v>162</v>
      </c>
      <c r="C195" s="958"/>
      <c r="D195" s="959"/>
      <c r="E195" s="399"/>
      <c r="F195" s="416">
        <f t="shared" ref="F195:G195" si="99">+F186+F194</f>
        <v>2928075.3215999999</v>
      </c>
      <c r="G195" s="417">
        <f t="shared" si="99"/>
        <v>4458660.1487999996</v>
      </c>
      <c r="H195" s="400"/>
      <c r="I195" s="416">
        <f t="shared" ref="I195:J195" si="100">+I186+I194</f>
        <v>3633664.3200000003</v>
      </c>
      <c r="J195" s="431">
        <f t="shared" si="100"/>
        <v>5533079.7600000007</v>
      </c>
    </row>
    <row r="196" spans="1:10" ht="24" x14ac:dyDescent="0.25">
      <c r="A196" s="274" t="s">
        <v>101</v>
      </c>
      <c r="B196" s="956" t="s">
        <v>30</v>
      </c>
      <c r="C196" s="303" t="s">
        <v>450</v>
      </c>
      <c r="D196" s="299" t="s">
        <v>334</v>
      </c>
      <c r="E196" s="736">
        <v>27.917000000000002</v>
      </c>
      <c r="F196" s="402">
        <f>IFERROR(E196*'01 Prod Physique Boites'!H193,"-")</f>
        <v>0</v>
      </c>
      <c r="G196" s="728">
        <f>IFERROR(E196*'01 Prod Physique Boites'!L193,"-")</f>
        <v>0</v>
      </c>
      <c r="H196" s="734">
        <v>33.299999999999997</v>
      </c>
      <c r="I196" s="419">
        <f>IFERROR(H196*(F196/E196),"-")</f>
        <v>0</v>
      </c>
      <c r="J196" s="420">
        <f t="shared" ref="J196:J198" si="101">IFERROR(H196*(G196/E196),"-")</f>
        <v>0</v>
      </c>
    </row>
    <row r="197" spans="1:10" ht="24" x14ac:dyDescent="0.25">
      <c r="A197" s="274" t="s">
        <v>101</v>
      </c>
      <c r="B197" s="956"/>
      <c r="C197" s="300" t="s">
        <v>448</v>
      </c>
      <c r="D197" s="303" t="s">
        <v>384</v>
      </c>
      <c r="E197" s="733">
        <v>28.526700000000002</v>
      </c>
      <c r="F197" s="402">
        <f>IFERROR(E197*'01 Prod Physique Boites'!H194,"-")</f>
        <v>0</v>
      </c>
      <c r="G197" s="728">
        <f>IFERROR(E197*'01 Prod Physique Boites'!L194,"-")</f>
        <v>0</v>
      </c>
      <c r="H197" s="735">
        <v>37.89</v>
      </c>
      <c r="I197" s="421">
        <f>IFERROR(H197*(F197/E197),"-")</f>
        <v>0</v>
      </c>
      <c r="J197" s="422">
        <f t="shared" si="101"/>
        <v>0</v>
      </c>
    </row>
    <row r="198" spans="1:10" ht="24.75" thickBot="1" x14ac:dyDescent="0.3">
      <c r="A198" s="274" t="s">
        <v>101</v>
      </c>
      <c r="B198" s="956"/>
      <c r="C198" s="300" t="s">
        <v>291</v>
      </c>
      <c r="D198" s="300" t="s">
        <v>384</v>
      </c>
      <c r="E198" s="501">
        <v>25.751300000000001</v>
      </c>
      <c r="F198" s="724">
        <f>IFERROR(E198*'01 Prod Physique Boites'!H195,"-")</f>
        <v>0</v>
      </c>
      <c r="G198" s="728">
        <f>IFERROR(E198*'01 Prod Physique Boites'!L195,"-")</f>
        <v>0</v>
      </c>
      <c r="H198" s="387">
        <v>37.89</v>
      </c>
      <c r="I198" s="423">
        <f>IFERROR(H198*(F198/E198),"-")</f>
        <v>0</v>
      </c>
      <c r="J198" s="424">
        <f t="shared" si="101"/>
        <v>0</v>
      </c>
    </row>
    <row r="199" spans="1:10" ht="23.25" thickBot="1" x14ac:dyDescent="0.3">
      <c r="A199" s="274" t="s">
        <v>101</v>
      </c>
      <c r="B199" s="956"/>
      <c r="C199" s="301"/>
      <c r="D199" s="302" t="s">
        <v>50</v>
      </c>
      <c r="E199" s="390"/>
      <c r="F199" s="406">
        <f t="shared" ref="F199:G199" si="102">SUM(F196:F198)</f>
        <v>0</v>
      </c>
      <c r="G199" s="407">
        <f t="shared" si="102"/>
        <v>0</v>
      </c>
      <c r="H199" s="391"/>
      <c r="I199" s="406">
        <f t="shared" ref="I199" si="103">SUM(I196:I198)</f>
        <v>0</v>
      </c>
      <c r="J199" s="425">
        <f>SUM(J196:J198)</f>
        <v>0</v>
      </c>
    </row>
    <row r="200" spans="1:10" ht="24" x14ac:dyDescent="0.25">
      <c r="A200" s="274" t="s">
        <v>101</v>
      </c>
      <c r="B200" s="956"/>
      <c r="C200" s="297" t="s">
        <v>439</v>
      </c>
      <c r="D200" s="297" t="s">
        <v>92</v>
      </c>
      <c r="E200" s="504">
        <v>24.2607</v>
      </c>
      <c r="F200" s="402">
        <f>IFERROR(E200*'01 Prod Physique Boites'!H197,"-")</f>
        <v>0</v>
      </c>
      <c r="G200" s="728">
        <f>IFERROR(E200*'01 Prod Physique Boites'!L197,"-")</f>
        <v>0</v>
      </c>
      <c r="H200" s="381">
        <v>28.31</v>
      </c>
      <c r="I200" s="638">
        <f>IFERROR(H200*(F200/E200),"-")</f>
        <v>0</v>
      </c>
      <c r="J200" s="420">
        <f t="shared" ref="J200:J205" si="104">IFERROR(H200*(G200/E200),"-")</f>
        <v>0</v>
      </c>
    </row>
    <row r="201" spans="1:10" ht="24" x14ac:dyDescent="0.25">
      <c r="A201" s="274"/>
      <c r="B201" s="956"/>
      <c r="C201" s="303" t="s">
        <v>449</v>
      </c>
      <c r="D201" s="299" t="s">
        <v>334</v>
      </c>
      <c r="E201" s="504">
        <v>24.2607</v>
      </c>
      <c r="F201" s="402">
        <f>IFERROR(E201*'01 Prod Physique Boites'!H198,"-")</f>
        <v>0</v>
      </c>
      <c r="G201" s="728">
        <f>IFERROR(E201*'01 Prod Physique Boites'!L198,"-")</f>
        <v>0</v>
      </c>
      <c r="H201" s="381">
        <v>28.88</v>
      </c>
      <c r="I201" s="638">
        <f t="shared" ref="I201:I205" si="105">IFERROR(H201*(F201/E201),"-")</f>
        <v>0</v>
      </c>
      <c r="J201" s="420">
        <f t="shared" si="104"/>
        <v>0</v>
      </c>
    </row>
    <row r="202" spans="1:10" ht="24" x14ac:dyDescent="0.25">
      <c r="A202" s="274"/>
      <c r="B202" s="956"/>
      <c r="C202" s="303" t="s">
        <v>452</v>
      </c>
      <c r="D202" s="299" t="s">
        <v>334</v>
      </c>
      <c r="E202" s="504">
        <v>25.4041</v>
      </c>
      <c r="F202" s="402">
        <f>IFERROR(E202*'01 Prod Physique Boites'!H199,"-")</f>
        <v>0</v>
      </c>
      <c r="G202" s="728">
        <f>IFERROR(E202*'01 Prod Physique Boites'!L199,"-")</f>
        <v>0</v>
      </c>
      <c r="H202" s="381">
        <v>28.21</v>
      </c>
      <c r="I202" s="638">
        <f t="shared" si="105"/>
        <v>0</v>
      </c>
      <c r="J202" s="420">
        <f t="shared" si="104"/>
        <v>0</v>
      </c>
    </row>
    <row r="203" spans="1:10" ht="24" x14ac:dyDescent="0.25">
      <c r="A203" s="274" t="s">
        <v>101</v>
      </c>
      <c r="B203" s="956"/>
      <c r="C203" s="303" t="s">
        <v>335</v>
      </c>
      <c r="D203" s="303" t="s">
        <v>234</v>
      </c>
      <c r="E203" s="505">
        <v>27.917000000000002</v>
      </c>
      <c r="F203" s="724">
        <f>IFERROR(E203*'01 Prod Physique Boites'!H200,"-")</f>
        <v>0</v>
      </c>
      <c r="G203" s="728">
        <f>IFERROR(E203*'01 Prod Physique Boites'!L200,"-")</f>
        <v>0</v>
      </c>
      <c r="H203" s="385">
        <v>39</v>
      </c>
      <c r="I203" s="638">
        <f t="shared" si="105"/>
        <v>0</v>
      </c>
      <c r="J203" s="420">
        <f t="shared" si="104"/>
        <v>0</v>
      </c>
    </row>
    <row r="204" spans="1:10" ht="24" x14ac:dyDescent="0.25">
      <c r="A204" s="274"/>
      <c r="B204" s="956"/>
      <c r="C204" s="300" t="s">
        <v>459</v>
      </c>
      <c r="D204" s="300" t="s">
        <v>366</v>
      </c>
      <c r="E204" s="501">
        <v>22.094999999999999</v>
      </c>
      <c r="F204" s="724">
        <f>IFERROR(E204*'01 Prod Physique Boites'!H201,"-")</f>
        <v>0</v>
      </c>
      <c r="G204" s="728">
        <f>IFERROR(E204*'01 Prod Physique Boites'!L201,"-")</f>
        <v>0</v>
      </c>
      <c r="H204" s="745">
        <v>37.11</v>
      </c>
      <c r="I204" s="638">
        <f t="shared" si="105"/>
        <v>0</v>
      </c>
      <c r="J204" s="420">
        <f t="shared" si="104"/>
        <v>0</v>
      </c>
    </row>
    <row r="205" spans="1:10" ht="24.75" thickBot="1" x14ac:dyDescent="0.3">
      <c r="A205" s="274" t="s">
        <v>101</v>
      </c>
      <c r="B205" s="956"/>
      <c r="C205" s="300" t="s">
        <v>438</v>
      </c>
      <c r="D205" s="300" t="s">
        <v>423</v>
      </c>
      <c r="E205" s="501">
        <v>23.697399999999998</v>
      </c>
      <c r="F205" s="402">
        <f>IFERROR(E205*'01 Prod Physique Boites'!H202,"-")</f>
        <v>0</v>
      </c>
      <c r="G205" s="403">
        <f>IFERROR(E205*'01 Prod Physique Boites'!L202,"-")</f>
        <v>0</v>
      </c>
      <c r="H205" s="387">
        <v>28.21</v>
      </c>
      <c r="I205" s="638">
        <f t="shared" si="105"/>
        <v>0</v>
      </c>
      <c r="J205" s="420">
        <f t="shared" si="104"/>
        <v>0</v>
      </c>
    </row>
    <row r="206" spans="1:10" ht="23.25" thickBot="1" x14ac:dyDescent="0.3">
      <c r="A206" s="274" t="s">
        <v>101</v>
      </c>
      <c r="B206" s="956"/>
      <c r="C206" s="304"/>
      <c r="D206" s="305" t="s">
        <v>51</v>
      </c>
      <c r="E206" s="397"/>
      <c r="F206" s="414">
        <f t="shared" ref="F206:G206" si="106">SUM(F200:F205)</f>
        <v>0</v>
      </c>
      <c r="G206" s="415">
        <f t="shared" si="106"/>
        <v>0</v>
      </c>
      <c r="H206" s="398"/>
      <c r="I206" s="414">
        <f t="shared" ref="I206" si="107">SUM(I200:I205)</f>
        <v>0</v>
      </c>
      <c r="J206" s="430">
        <f>SUM(J200:J205)</f>
        <v>0</v>
      </c>
    </row>
    <row r="207" spans="1:10" ht="23.25" thickBot="1" x14ac:dyDescent="0.3">
      <c r="A207" s="274" t="s">
        <v>101</v>
      </c>
      <c r="B207" s="957" t="s">
        <v>163</v>
      </c>
      <c r="C207" s="958"/>
      <c r="D207" s="959"/>
      <c r="E207" s="399"/>
      <c r="F207" s="416">
        <f t="shared" ref="F207:G207" si="108">+F199+F206</f>
        <v>0</v>
      </c>
      <c r="G207" s="417">
        <f t="shared" si="108"/>
        <v>0</v>
      </c>
      <c r="H207" s="400"/>
      <c r="I207" s="416">
        <f t="shared" ref="I207:J207" si="109">+I199+I206</f>
        <v>0</v>
      </c>
      <c r="J207" s="431">
        <f t="shared" si="109"/>
        <v>0</v>
      </c>
    </row>
    <row r="208" spans="1:10" ht="24.75" thickBot="1" x14ac:dyDescent="0.3">
      <c r="A208" s="274" t="s">
        <v>101</v>
      </c>
      <c r="B208" s="599" t="s">
        <v>32</v>
      </c>
      <c r="C208" s="762"/>
      <c r="D208" s="310"/>
      <c r="E208" s="506">
        <v>12.2659</v>
      </c>
      <c r="F208" s="408">
        <f>IFERROR(E208*'01 Prod Physique Boites'!H205,"-")</f>
        <v>0</v>
      </c>
      <c r="G208" s="409">
        <f>IFERROR(E208*'01 Prod Physique Boites'!L205,"-")</f>
        <v>0</v>
      </c>
      <c r="H208" s="392"/>
      <c r="I208" s="426">
        <f>IFERROR(H208*(F208/E208),"-")</f>
        <v>0</v>
      </c>
      <c r="J208" s="427">
        <f>IFERROR(H208*(G208/E208),"-")</f>
        <v>0</v>
      </c>
    </row>
    <row r="209" spans="1:10" ht="23.25" thickBot="1" x14ac:dyDescent="0.3">
      <c r="A209" s="274" t="s">
        <v>101</v>
      </c>
      <c r="B209" s="960" t="s">
        <v>21</v>
      </c>
      <c r="C209" s="961"/>
      <c r="D209" s="962"/>
      <c r="E209" s="393"/>
      <c r="F209" s="410">
        <f t="shared" ref="F209" si="110">+F195+F207+F208</f>
        <v>2928075.3215999999</v>
      </c>
      <c r="G209" s="411">
        <f>+G195+G207+G208</f>
        <v>4458660.1487999996</v>
      </c>
      <c r="H209" s="394"/>
      <c r="I209" s="410">
        <f t="shared" ref="I209:J209" si="111">+I195+I207+I208</f>
        <v>3633664.3200000003</v>
      </c>
      <c r="J209" s="428">
        <f t="shared" si="111"/>
        <v>5533079.7600000007</v>
      </c>
    </row>
    <row r="210" spans="1:10" ht="23.25" thickBot="1" x14ac:dyDescent="0.3">
      <c r="A210" s="274" t="s">
        <v>101</v>
      </c>
      <c r="B210" s="963" t="s">
        <v>171</v>
      </c>
      <c r="C210" s="941"/>
      <c r="D210" s="942"/>
      <c r="E210" s="395"/>
      <c r="F210" s="412">
        <f t="shared" ref="F210:G210" si="112">+F209</f>
        <v>2928075.3215999999</v>
      </c>
      <c r="G210" s="413">
        <f t="shared" si="112"/>
        <v>4458660.1487999996</v>
      </c>
      <c r="H210" s="396"/>
      <c r="I210" s="412">
        <f t="shared" ref="I210:J210" si="113">+I209</f>
        <v>3633664.3200000003</v>
      </c>
      <c r="J210" s="429">
        <f t="shared" si="113"/>
        <v>5533079.7600000007</v>
      </c>
    </row>
    <row r="211" spans="1:10" ht="24" x14ac:dyDescent="0.25">
      <c r="A211" s="268" t="s">
        <v>102</v>
      </c>
      <c r="B211" s="949" t="s">
        <v>401</v>
      </c>
      <c r="C211" s="311" t="s">
        <v>113</v>
      </c>
      <c r="D211" s="311"/>
      <c r="E211" s="709">
        <v>254.89750000000001</v>
      </c>
      <c r="F211" s="402">
        <f>IFERROR(E211*'01 Prod Physique Boites'!H208,"-")</f>
        <v>0</v>
      </c>
      <c r="G211" s="403">
        <f>IFERROR(E211*'01 Prod Physique Boites'!L208,"-")</f>
        <v>0</v>
      </c>
      <c r="H211" s="381">
        <v>445.38</v>
      </c>
      <c r="I211" s="419">
        <f>IFERROR(H211*(F211/E211),"-")</f>
        <v>0</v>
      </c>
      <c r="J211" s="420">
        <f t="shared" ref="J211:J213" si="114">IFERROR(H211*(G211/E211),"-")</f>
        <v>0</v>
      </c>
    </row>
    <row r="212" spans="1:10" ht="24" x14ac:dyDescent="0.25">
      <c r="A212" s="274" t="s">
        <v>102</v>
      </c>
      <c r="B212" s="951"/>
      <c r="C212" s="312" t="s">
        <v>247</v>
      </c>
      <c r="D212" s="312"/>
      <c r="E212" s="503">
        <v>246.51390000000001</v>
      </c>
      <c r="F212" s="402">
        <f>IFERROR(E212*'01 Prod Physique Boites'!H209,"-")</f>
        <v>172559.73</v>
      </c>
      <c r="G212" s="403">
        <f>IFERROR(E212*'01 Prod Physique Boites'!L209,"-")</f>
        <v>172559.73</v>
      </c>
      <c r="H212" s="385">
        <v>430.02</v>
      </c>
      <c r="I212" s="421">
        <f>IFERROR(H212*(F212/E212),"-")</f>
        <v>301014</v>
      </c>
      <c r="J212" s="422">
        <f t="shared" si="114"/>
        <v>301014</v>
      </c>
    </row>
    <row r="213" spans="1:10" ht="24.75" thickBot="1" x14ac:dyDescent="0.3">
      <c r="A213" s="274" t="s">
        <v>102</v>
      </c>
      <c r="B213" s="950"/>
      <c r="C213" s="313" t="s">
        <v>33</v>
      </c>
      <c r="D213" s="313"/>
      <c r="E213" s="500">
        <v>225.7713</v>
      </c>
      <c r="F213" s="402">
        <f>IFERROR(E213*'01 Prod Physique Boites'!H210,"-")</f>
        <v>0</v>
      </c>
      <c r="G213" s="403">
        <f>IFERROR(E213*'01 Prod Physique Boites'!L210,"-")</f>
        <v>0</v>
      </c>
      <c r="H213" s="387"/>
      <c r="I213" s="423">
        <f>IFERROR(H213*(F213/E213),"-")</f>
        <v>0</v>
      </c>
      <c r="J213" s="424">
        <f t="shared" si="114"/>
        <v>0</v>
      </c>
    </row>
    <row r="214" spans="1:10" ht="23.25" thickBot="1" x14ac:dyDescent="0.3">
      <c r="A214" s="274" t="s">
        <v>102</v>
      </c>
      <c r="B214" s="946" t="s">
        <v>34</v>
      </c>
      <c r="C214" s="947"/>
      <c r="D214" s="948"/>
      <c r="E214" s="390"/>
      <c r="F214" s="406">
        <f t="shared" ref="F214:G214" si="115">SUM(F211:F213)</f>
        <v>172559.73</v>
      </c>
      <c r="G214" s="407">
        <f t="shared" si="115"/>
        <v>172559.73</v>
      </c>
      <c r="H214" s="391"/>
      <c r="I214" s="406">
        <f t="shared" ref="I214:J214" si="116">SUM(I211:I213)</f>
        <v>301014</v>
      </c>
      <c r="J214" s="425">
        <f t="shared" si="116"/>
        <v>301014</v>
      </c>
    </row>
    <row r="215" spans="1:10" ht="24" x14ac:dyDescent="0.25">
      <c r="A215" s="274" t="s">
        <v>102</v>
      </c>
      <c r="B215" s="949" t="s">
        <v>35</v>
      </c>
      <c r="C215" s="311" t="s">
        <v>113</v>
      </c>
      <c r="D215" s="311"/>
      <c r="E215" s="502">
        <v>254.89750000000001</v>
      </c>
      <c r="F215" s="402">
        <f>IFERROR(E215*'01 Prod Physique Boites'!H212,"-")</f>
        <v>0</v>
      </c>
      <c r="G215" s="403">
        <f>IFERROR(E215*'01 Prod Physique Boites'!L212,"-")</f>
        <v>0</v>
      </c>
      <c r="H215" s="381">
        <v>445.38</v>
      </c>
      <c r="I215" s="419">
        <f>IFERROR(H215*(F215/E215),"-")</f>
        <v>0</v>
      </c>
      <c r="J215" s="420">
        <f t="shared" ref="J215:J218" si="117">IFERROR(H215*(G215/E215),"-")</f>
        <v>0</v>
      </c>
    </row>
    <row r="216" spans="1:10" ht="24" x14ac:dyDescent="0.25">
      <c r="A216" s="274" t="s">
        <v>102</v>
      </c>
      <c r="B216" s="951"/>
      <c r="C216" s="312" t="s">
        <v>247</v>
      </c>
      <c r="D216" s="312"/>
      <c r="E216" s="503">
        <v>246.51390000000001</v>
      </c>
      <c r="F216" s="402">
        <f>IFERROR(E216*'01 Prod Physique Boites'!H213,"-")</f>
        <v>0</v>
      </c>
      <c r="G216" s="403">
        <f>IFERROR(E216*'01 Prod Physique Boites'!L213,"-")</f>
        <v>0</v>
      </c>
      <c r="H216" s="385">
        <v>430.02</v>
      </c>
      <c r="I216" s="421">
        <f>IFERROR(H216*(F216/E216),"-")</f>
        <v>0</v>
      </c>
      <c r="J216" s="422">
        <f t="shared" si="117"/>
        <v>0</v>
      </c>
    </row>
    <row r="217" spans="1:10" ht="24" x14ac:dyDescent="0.25">
      <c r="A217" s="274" t="s">
        <v>102</v>
      </c>
      <c r="B217" s="951"/>
      <c r="C217" s="312" t="s">
        <v>184</v>
      </c>
      <c r="D217" s="312" t="s">
        <v>183</v>
      </c>
      <c r="E217" s="503">
        <v>254.89750000000001</v>
      </c>
      <c r="F217" s="402">
        <f>IFERROR(E217*'01 Prod Physique Boites'!H214,"-")</f>
        <v>0</v>
      </c>
      <c r="G217" s="403">
        <f>IFERROR(E217*'01 Prod Physique Boites'!L214,"-")</f>
        <v>0</v>
      </c>
      <c r="H217" s="385"/>
      <c r="I217" s="421">
        <f>IFERROR(H217*(F217/E217),"-")</f>
        <v>0</v>
      </c>
      <c r="J217" s="422">
        <f t="shared" si="117"/>
        <v>0</v>
      </c>
    </row>
    <row r="218" spans="1:10" ht="24.75" thickBot="1" x14ac:dyDescent="0.3">
      <c r="A218" s="274" t="s">
        <v>102</v>
      </c>
      <c r="B218" s="950"/>
      <c r="C218" s="313" t="s">
        <v>36</v>
      </c>
      <c r="D218" s="313"/>
      <c r="E218" s="500">
        <v>229.99359999999999</v>
      </c>
      <c r="F218" s="402">
        <f>IFERROR(E218*'01 Prod Physique Boites'!H215,"-")</f>
        <v>0</v>
      </c>
      <c r="G218" s="403">
        <f>IFERROR(E218*'01 Prod Physique Boites'!L215,"-")</f>
        <v>0</v>
      </c>
      <c r="H218" s="387"/>
      <c r="I218" s="423">
        <f>IFERROR(H218*(F218/E218),"-")</f>
        <v>0</v>
      </c>
      <c r="J218" s="424">
        <f t="shared" si="117"/>
        <v>0</v>
      </c>
    </row>
    <row r="219" spans="1:10" ht="23.25" thickBot="1" x14ac:dyDescent="0.3">
      <c r="A219" s="274" t="s">
        <v>102</v>
      </c>
      <c r="B219" s="946" t="s">
        <v>37</v>
      </c>
      <c r="C219" s="947"/>
      <c r="D219" s="948"/>
      <c r="E219" s="390"/>
      <c r="F219" s="406">
        <f t="shared" ref="F219:G219" si="118">SUM(F215:F218)</f>
        <v>0</v>
      </c>
      <c r="G219" s="407">
        <f t="shared" si="118"/>
        <v>0</v>
      </c>
      <c r="H219" s="391"/>
      <c r="I219" s="406">
        <f>SUM(I215:I218)</f>
        <v>0</v>
      </c>
      <c r="J219" s="425">
        <f>SUM(J215:J218)</f>
        <v>0</v>
      </c>
    </row>
    <row r="220" spans="1:10" ht="24" x14ac:dyDescent="0.25">
      <c r="A220" s="274" t="s">
        <v>102</v>
      </c>
      <c r="B220" s="949" t="s">
        <v>402</v>
      </c>
      <c r="C220" s="314" t="s">
        <v>116</v>
      </c>
      <c r="D220" s="314"/>
      <c r="E220" s="502">
        <v>195.2808</v>
      </c>
      <c r="F220" s="402">
        <f>IFERROR(E220*'01 Prod Physique Boites'!H217,"-")</f>
        <v>0</v>
      </c>
      <c r="G220" s="403">
        <f>IFERROR(E220*'01 Prod Physique Boites'!L217,"-")</f>
        <v>0</v>
      </c>
      <c r="H220" s="681">
        <v>256.7</v>
      </c>
      <c r="I220" s="419">
        <f>IFERROR(H220*(F220/E220),"-")</f>
        <v>0</v>
      </c>
      <c r="J220" s="420">
        <f t="shared" ref="J220:J221" si="119">IFERROR(H220*(G220/E220),"-")</f>
        <v>0</v>
      </c>
    </row>
    <row r="221" spans="1:10" ht="24.75" thickBot="1" x14ac:dyDescent="0.3">
      <c r="A221" s="274" t="s">
        <v>102</v>
      </c>
      <c r="B221" s="950"/>
      <c r="C221" s="286" t="s">
        <v>132</v>
      </c>
      <c r="D221" s="286"/>
      <c r="E221" s="500">
        <v>189.91890000000001</v>
      </c>
      <c r="F221" s="402">
        <f>IFERROR(E221*'01 Prod Physique Boites'!H218,"-")</f>
        <v>151935.12</v>
      </c>
      <c r="G221" s="403">
        <f>IFERROR(E221*'01 Prod Physique Boites'!L218,"-")</f>
        <v>151935.12</v>
      </c>
      <c r="H221" s="387">
        <v>320.35000000000002</v>
      </c>
      <c r="I221" s="423">
        <f>IFERROR(H221*(F221/E221),"-")</f>
        <v>256279.99999999997</v>
      </c>
      <c r="J221" s="424">
        <f t="shared" si="119"/>
        <v>256279.99999999997</v>
      </c>
    </row>
    <row r="222" spans="1:10" ht="23.25" thickBot="1" x14ac:dyDescent="0.3">
      <c r="A222" s="769" t="s">
        <v>102</v>
      </c>
      <c r="B222" s="946" t="s">
        <v>38</v>
      </c>
      <c r="C222" s="947"/>
      <c r="D222" s="948"/>
      <c r="E222" s="390"/>
      <c r="F222" s="406">
        <f>SUM(F220:F221)</f>
        <v>151935.12</v>
      </c>
      <c r="G222" s="407">
        <f t="shared" ref="G222" si="120">SUM(G220:G221)</f>
        <v>151935.12</v>
      </c>
      <c r="H222" s="391"/>
      <c r="I222" s="406">
        <f t="shared" ref="I222:J222" si="121">SUM(I220:I221)</f>
        <v>256279.99999999997</v>
      </c>
      <c r="J222" s="425">
        <f t="shared" si="121"/>
        <v>256279.99999999997</v>
      </c>
    </row>
    <row r="223" spans="1:10" ht="24" x14ac:dyDescent="0.25">
      <c r="A223" s="274" t="s">
        <v>102</v>
      </c>
      <c r="B223" s="949" t="s">
        <v>403</v>
      </c>
      <c r="C223" s="269" t="s">
        <v>306</v>
      </c>
      <c r="D223" s="269" t="s">
        <v>238</v>
      </c>
      <c r="E223" s="504">
        <v>37.248699999999999</v>
      </c>
      <c r="F223" s="402">
        <f>IFERROR(E223*'01 Prod Physique Boites'!H220,"-")</f>
        <v>938667.24</v>
      </c>
      <c r="G223" s="403">
        <f>IFERROR(E223*'01 Prod Physique Boites'!L220,"-")</f>
        <v>1188978.504</v>
      </c>
      <c r="H223" s="381">
        <v>71.44</v>
      </c>
      <c r="I223" s="419">
        <f>IFERROR(H223*(F223/E223),"-")</f>
        <v>1800288</v>
      </c>
      <c r="J223" s="420">
        <f>IFERROR(H223*(G223/E223),"-")</f>
        <v>2280364.7999999998</v>
      </c>
    </row>
    <row r="224" spans="1:10" ht="24" x14ac:dyDescent="0.25">
      <c r="A224" s="274" t="s">
        <v>102</v>
      </c>
      <c r="B224" s="951"/>
      <c r="C224" s="269" t="s">
        <v>156</v>
      </c>
      <c r="D224" s="275"/>
      <c r="E224" s="504">
        <v>37.248699999999999</v>
      </c>
      <c r="F224" s="402">
        <f>IFERROR(E224*'01 Prod Physique Boites'!H221,"-")</f>
        <v>0</v>
      </c>
      <c r="G224" s="403">
        <f>IFERROR(E224*'01 Prod Physique Boites'!L221,"-")</f>
        <v>0</v>
      </c>
      <c r="H224" s="385"/>
      <c r="I224" s="421">
        <f>IFERROR(H224*(F224/E224),"-")</f>
        <v>0</v>
      </c>
      <c r="J224" s="422">
        <f t="shared" ref="J224:J226" si="122">IFERROR(H224*(G224/E224),"-")</f>
        <v>0</v>
      </c>
    </row>
    <row r="225" spans="1:10" ht="24" x14ac:dyDescent="0.25">
      <c r="A225" s="274" t="s">
        <v>102</v>
      </c>
      <c r="B225" s="951"/>
      <c r="C225" s="275" t="s">
        <v>345</v>
      </c>
      <c r="D225" s="269" t="s">
        <v>238</v>
      </c>
      <c r="E225" s="504">
        <v>37.248699999999999</v>
      </c>
      <c r="F225" s="402">
        <f>IFERROR(E225*'01 Prod Physique Boites'!H222,"-")</f>
        <v>0</v>
      </c>
      <c r="G225" s="403">
        <f>IFERROR(E225*'01 Prod Physique Boites'!L222,"-")</f>
        <v>0</v>
      </c>
      <c r="H225" s="385">
        <v>71.44</v>
      </c>
      <c r="I225" s="421">
        <f>IFERROR(H225*(F225/E225),"-")</f>
        <v>0</v>
      </c>
      <c r="J225" s="422">
        <f t="shared" si="122"/>
        <v>0</v>
      </c>
    </row>
    <row r="226" spans="1:10" ht="24.75" thickBot="1" x14ac:dyDescent="0.3">
      <c r="A226" s="274" t="s">
        <v>102</v>
      </c>
      <c r="B226" s="951"/>
      <c r="C226" s="275" t="s">
        <v>157</v>
      </c>
      <c r="D226" s="275"/>
      <c r="E226" s="505">
        <v>38.466099999999997</v>
      </c>
      <c r="F226" s="402">
        <f>IFERROR(E226*'01 Prod Physique Boites'!H223,"-")</f>
        <v>0</v>
      </c>
      <c r="G226" s="403">
        <f>IFERROR(E226*'01 Prod Physique Boites'!L223,"-")</f>
        <v>0</v>
      </c>
      <c r="H226" s="385"/>
      <c r="I226" s="421">
        <f>IFERROR(H226*(F226/E226),"-")</f>
        <v>0</v>
      </c>
      <c r="J226" s="422">
        <f t="shared" si="122"/>
        <v>0</v>
      </c>
    </row>
    <row r="227" spans="1:10" ht="23.25" thickBot="1" x14ac:dyDescent="0.3">
      <c r="A227" s="274" t="s">
        <v>102</v>
      </c>
      <c r="B227" s="946" t="s">
        <v>39</v>
      </c>
      <c r="C227" s="947"/>
      <c r="D227" s="948"/>
      <c r="E227" s="390"/>
      <c r="F227" s="406">
        <f>SUM(F223:F226)</f>
        <v>938667.24</v>
      </c>
      <c r="G227" s="407">
        <f>SUM(G223:G226)</f>
        <v>1188978.504</v>
      </c>
      <c r="H227" s="391"/>
      <c r="I227" s="406">
        <f>SUM(I223:I226)</f>
        <v>1800288</v>
      </c>
      <c r="J227" s="406">
        <f>SUM(J223:J226)</f>
        <v>2280364.7999999998</v>
      </c>
    </row>
    <row r="228" spans="1:10" ht="24" x14ac:dyDescent="0.25">
      <c r="A228" s="274" t="s">
        <v>102</v>
      </c>
      <c r="B228" s="949" t="s">
        <v>40</v>
      </c>
      <c r="C228" s="269" t="s">
        <v>186</v>
      </c>
      <c r="D228" s="269" t="s">
        <v>183</v>
      </c>
      <c r="E228" s="504">
        <v>30.7499</v>
      </c>
      <c r="F228" s="402">
        <f>IFERROR(E228*'01 Prod Physique Boites'!H226,"-")</f>
        <v>0</v>
      </c>
      <c r="G228" s="403">
        <f>IFERROR(E228*'01 Prod Physique Boites'!L226,"-")</f>
        <v>0</v>
      </c>
      <c r="H228" s="381"/>
      <c r="I228" s="419">
        <f>IFERROR(H228*(F228/E228),"-")</f>
        <v>0</v>
      </c>
      <c r="J228" s="420">
        <f>IFERROR(H228*(G228/E228),"-")</f>
        <v>0</v>
      </c>
    </row>
    <row r="229" spans="1:10" ht="24" x14ac:dyDescent="0.25">
      <c r="A229" s="274" t="s">
        <v>102</v>
      </c>
      <c r="B229" s="951"/>
      <c r="C229" s="275" t="s">
        <v>159</v>
      </c>
      <c r="D229" s="275"/>
      <c r="E229" s="684">
        <v>25.139099999999999</v>
      </c>
      <c r="F229" s="402">
        <f>IFERROR(E229*'01 Prod Physique Boites'!H227,"-")</f>
        <v>0</v>
      </c>
      <c r="G229" s="403">
        <f>IFERROR(E229*'01 Prod Physique Boites'!L227,"-")</f>
        <v>286585.74</v>
      </c>
      <c r="H229" s="385">
        <v>59.96</v>
      </c>
      <c r="I229" s="421">
        <f>IFERROR(H229*(F229/E229),"-")</f>
        <v>0</v>
      </c>
      <c r="J229" s="422">
        <f t="shared" ref="J229:J230" si="123">IFERROR(H229*(G229/E229),"-")</f>
        <v>683544</v>
      </c>
    </row>
    <row r="230" spans="1:10" ht="24.75" thickBot="1" x14ac:dyDescent="0.3">
      <c r="A230" s="274" t="s">
        <v>102</v>
      </c>
      <c r="B230" s="950"/>
      <c r="C230" s="279" t="s">
        <v>186</v>
      </c>
      <c r="D230" s="279" t="s">
        <v>185</v>
      </c>
      <c r="E230" s="501">
        <v>30.073599999999999</v>
      </c>
      <c r="F230" s="402">
        <f>IFERROR(E230*'01 Prod Physique Boites'!H228,"-")</f>
        <v>0</v>
      </c>
      <c r="G230" s="403">
        <f>IFERROR(E230*'01 Prod Physique Boites'!L228,"-")</f>
        <v>0</v>
      </c>
      <c r="H230" s="387"/>
      <c r="I230" s="423">
        <f>IFERROR(H230*(F230/E230),"-")</f>
        <v>0</v>
      </c>
      <c r="J230" s="424">
        <f t="shared" si="123"/>
        <v>0</v>
      </c>
    </row>
    <row r="231" spans="1:10" ht="23.25" thickBot="1" x14ac:dyDescent="0.3">
      <c r="A231" s="274" t="s">
        <v>102</v>
      </c>
      <c r="B231" s="952" t="s">
        <v>41</v>
      </c>
      <c r="C231" s="953"/>
      <c r="D231" s="954"/>
      <c r="E231" s="390"/>
      <c r="F231" s="406">
        <f t="shared" ref="F231:G231" si="124">SUM(F228:F230)</f>
        <v>0</v>
      </c>
      <c r="G231" s="407">
        <f t="shared" si="124"/>
        <v>286585.74</v>
      </c>
      <c r="H231" s="391"/>
      <c r="I231" s="406">
        <f t="shared" ref="I231:J231" si="125">SUM(I228:I230)</f>
        <v>0</v>
      </c>
      <c r="J231" s="425">
        <f t="shared" si="125"/>
        <v>683544</v>
      </c>
    </row>
    <row r="232" spans="1:10" ht="24" x14ac:dyDescent="0.25">
      <c r="A232" s="274" t="s">
        <v>102</v>
      </c>
      <c r="B232" s="949" t="s">
        <v>42</v>
      </c>
      <c r="C232" s="269" t="s">
        <v>160</v>
      </c>
      <c r="D232" s="269"/>
      <c r="E232" s="504">
        <v>36.684899999999999</v>
      </c>
      <c r="F232" s="402">
        <f>IFERROR(E232*'01 Prod Physique Boites'!H230,"-")</f>
        <v>0</v>
      </c>
      <c r="G232" s="403">
        <f>IFERROR(E232*'01 Prod Physique Boites'!L230,"-")</f>
        <v>0</v>
      </c>
      <c r="H232" s="381"/>
      <c r="I232" s="382" t="s">
        <v>190</v>
      </c>
      <c r="J232" s="383" t="s">
        <v>190</v>
      </c>
    </row>
    <row r="233" spans="1:10" ht="24.75" thickBot="1" x14ac:dyDescent="0.3">
      <c r="A233" s="274" t="s">
        <v>102</v>
      </c>
      <c r="B233" s="950"/>
      <c r="C233" s="279" t="s">
        <v>161</v>
      </c>
      <c r="D233" s="279"/>
      <c r="E233" s="501">
        <v>37.002800000000001</v>
      </c>
      <c r="F233" s="402">
        <f>IFERROR(E233*'01 Prod Physique Boites'!H231,"-")</f>
        <v>0</v>
      </c>
      <c r="G233" s="403">
        <f>IFERROR(E233*'01 Prod Physique Boites'!L231,"-")</f>
        <v>0</v>
      </c>
      <c r="H233" s="387"/>
      <c r="I233" s="388" t="s">
        <v>190</v>
      </c>
      <c r="J233" s="389" t="s">
        <v>190</v>
      </c>
    </row>
    <row r="234" spans="1:10" ht="23.25" thickBot="1" x14ac:dyDescent="0.3">
      <c r="A234" s="274" t="s">
        <v>102</v>
      </c>
      <c r="B234" s="952" t="s">
        <v>43</v>
      </c>
      <c r="C234" s="953"/>
      <c r="D234" s="954"/>
      <c r="E234" s="390"/>
      <c r="F234" s="402">
        <f>IFERROR(E234*'01 Prod Physique Boites'!H233,"-")</f>
        <v>0</v>
      </c>
      <c r="G234" s="407">
        <f>IFERROR(E234*'01 Prod Physique Boites'!L233,"-")</f>
        <v>0</v>
      </c>
      <c r="H234" s="391"/>
      <c r="I234" s="406">
        <f t="shared" ref="I234:J234" si="126">SUM(I232:I233)</f>
        <v>0</v>
      </c>
      <c r="J234" s="425">
        <f t="shared" si="126"/>
        <v>0</v>
      </c>
    </row>
    <row r="235" spans="1:10" ht="23.25" thickBot="1" x14ac:dyDescent="0.3">
      <c r="A235" s="274" t="s">
        <v>102</v>
      </c>
      <c r="B235" s="938" t="s">
        <v>25</v>
      </c>
      <c r="C235" s="939"/>
      <c r="D235" s="940"/>
      <c r="E235" s="393"/>
      <c r="F235" s="410">
        <f>+F214+F219+F222+F227+F231+F234</f>
        <v>1263162.0899999999</v>
      </c>
      <c r="G235" s="411">
        <f>+G214+G219+G222+G227+G231+G234</f>
        <v>1800059.0939999998</v>
      </c>
      <c r="H235" s="394"/>
      <c r="I235" s="410">
        <f>+I214+I219+I222+I227+I231+I234</f>
        <v>2357582</v>
      </c>
      <c r="J235" s="428">
        <f>+J214+J219+J222+J227+J231+J234</f>
        <v>3521202.8</v>
      </c>
    </row>
    <row r="236" spans="1:10" ht="23.25" thickBot="1" x14ac:dyDescent="0.3">
      <c r="A236" s="318" t="s">
        <v>102</v>
      </c>
      <c r="B236" s="941" t="s">
        <v>173</v>
      </c>
      <c r="C236" s="941"/>
      <c r="D236" s="942"/>
      <c r="E236" s="395"/>
      <c r="F236" s="412">
        <f t="shared" ref="F236:G236" si="127">+F235</f>
        <v>1263162.0899999999</v>
      </c>
      <c r="G236" s="413">
        <f t="shared" si="127"/>
        <v>1800059.0939999998</v>
      </c>
      <c r="H236" s="396"/>
      <c r="I236" s="412">
        <f t="shared" ref="I236" si="128">+I235</f>
        <v>2357582</v>
      </c>
      <c r="J236" s="429">
        <f>+J235</f>
        <v>3521202.8</v>
      </c>
    </row>
    <row r="237" spans="1:10" ht="26.25" thickBot="1" x14ac:dyDescent="0.3">
      <c r="A237" s="319"/>
      <c r="B237" s="943" t="s">
        <v>174</v>
      </c>
      <c r="C237" s="944"/>
      <c r="D237" s="945"/>
      <c r="E237" s="401"/>
      <c r="F237" s="418">
        <f>+F175+F210+F236</f>
        <v>6500617.8396000005</v>
      </c>
      <c r="G237" s="418">
        <f>+G175+G210+G236</f>
        <v>10097790.183599999</v>
      </c>
      <c r="H237" s="401"/>
      <c r="I237" s="418">
        <f>+I175+I210+I236</f>
        <v>8825994.3200000003</v>
      </c>
      <c r="J237" s="432">
        <f>+J175+J210+J236</f>
        <v>13735348.16</v>
      </c>
    </row>
    <row r="238" spans="1:10" ht="24.6" customHeight="1" thickBot="1" x14ac:dyDescent="0.3">
      <c r="A238" s="230"/>
      <c r="B238" s="230"/>
      <c r="C238" s="230"/>
      <c r="D238" s="230"/>
      <c r="E238" s="378"/>
      <c r="F238" s="378"/>
      <c r="G238" s="378"/>
      <c r="H238" s="378"/>
      <c r="I238" s="378"/>
      <c r="J238" s="378"/>
    </row>
    <row r="239" spans="1:10" ht="22.5" x14ac:dyDescent="0.25">
      <c r="A239" s="978" t="s">
        <v>1</v>
      </c>
      <c r="B239" s="981" t="s">
        <v>2</v>
      </c>
      <c r="C239" s="984" t="s">
        <v>396</v>
      </c>
      <c r="D239" s="984" t="s">
        <v>397</v>
      </c>
      <c r="E239" s="1011" t="s">
        <v>405</v>
      </c>
      <c r="F239" s="1012"/>
      <c r="G239" s="1012"/>
      <c r="H239" s="442"/>
      <c r="I239" s="442"/>
      <c r="J239" s="443"/>
    </row>
    <row r="240" spans="1:10" ht="22.5" x14ac:dyDescent="0.25">
      <c r="A240" s="979"/>
      <c r="B240" s="982"/>
      <c r="C240" s="985"/>
      <c r="D240" s="985"/>
      <c r="E240" s="1013" t="s">
        <v>408</v>
      </c>
      <c r="F240" s="1014"/>
      <c r="G240" s="1015"/>
      <c r="H240" s="1013" t="s">
        <v>168</v>
      </c>
      <c r="I240" s="1014"/>
      <c r="J240" s="1015"/>
    </row>
    <row r="241" spans="1:15" ht="45" x14ac:dyDescent="0.25">
      <c r="A241" s="980"/>
      <c r="B241" s="1009"/>
      <c r="C241" s="1010"/>
      <c r="D241" s="1010"/>
      <c r="E241" s="379" t="s">
        <v>170</v>
      </c>
      <c r="F241" s="775" t="s">
        <v>407</v>
      </c>
      <c r="G241" s="776" t="s">
        <v>406</v>
      </c>
      <c r="H241" s="1016" t="s">
        <v>170</v>
      </c>
      <c r="I241" s="1018" t="s">
        <v>137</v>
      </c>
      <c r="J241" s="1020" t="s">
        <v>406</v>
      </c>
    </row>
    <row r="242" spans="1:15" ht="23.25" thickBot="1" x14ac:dyDescent="0.3">
      <c r="A242" s="980"/>
      <c r="B242" s="983"/>
      <c r="C242" s="986"/>
      <c r="D242" s="986"/>
      <c r="E242" s="1022" t="s">
        <v>488</v>
      </c>
      <c r="F242" s="1023"/>
      <c r="G242" s="1024"/>
      <c r="H242" s="1017"/>
      <c r="I242" s="1019"/>
      <c r="J242" s="1021"/>
    </row>
    <row r="243" spans="1:15" ht="24" x14ac:dyDescent="0.25">
      <c r="A243" s="268" t="s">
        <v>103</v>
      </c>
      <c r="B243" s="965" t="s">
        <v>16</v>
      </c>
      <c r="C243" s="269" t="s">
        <v>368</v>
      </c>
      <c r="D243" s="269" t="s">
        <v>369</v>
      </c>
      <c r="E243" s="705">
        <v>81.360699999999994</v>
      </c>
      <c r="F243" s="402">
        <f>IFERROR(E243*'01 Prod Physique Boites'!H239,"-")</f>
        <v>0</v>
      </c>
      <c r="G243" s="402">
        <f>IFERROR(E243*'01 Prod Physique Boites'!L239,"-")</f>
        <v>0</v>
      </c>
      <c r="H243" s="706">
        <v>143.28</v>
      </c>
      <c r="I243" s="419">
        <f>IFERROR(H243*(F243/E243),"-")</f>
        <v>0</v>
      </c>
      <c r="J243" s="420">
        <f t="shared" ref="J243:J245" si="129">IFERROR(H243*(G243/E243),"-")</f>
        <v>0</v>
      </c>
    </row>
    <row r="244" spans="1:15" ht="24" x14ac:dyDescent="0.25">
      <c r="A244" s="713"/>
      <c r="B244" s="966"/>
      <c r="C244" s="275" t="s">
        <v>470</v>
      </c>
      <c r="D244" s="275" t="s">
        <v>375</v>
      </c>
      <c r="E244" s="505">
        <v>81.360699999999994</v>
      </c>
      <c r="F244" s="402">
        <f>IFERROR(E244*'01 Prod Physique Boites'!H240,"-")</f>
        <v>0</v>
      </c>
      <c r="G244" s="402">
        <f>IFERROR(E244*'01 Prod Physique Boites'!L240,"-")</f>
        <v>0</v>
      </c>
      <c r="H244" s="708">
        <v>143.28</v>
      </c>
      <c r="I244" s="419">
        <f>IFERROR(H244*(F244/E244),"-")</f>
        <v>0</v>
      </c>
      <c r="J244" s="420">
        <f t="shared" si="129"/>
        <v>0</v>
      </c>
    </row>
    <row r="245" spans="1:15" ht="24" x14ac:dyDescent="0.25">
      <c r="A245" s="274" t="s">
        <v>103</v>
      </c>
      <c r="B245" s="966"/>
      <c r="C245" s="275" t="s">
        <v>430</v>
      </c>
      <c r="D245" s="275" t="s">
        <v>384</v>
      </c>
      <c r="E245" s="684">
        <v>77.170400000000001</v>
      </c>
      <c r="F245" s="402">
        <f>IFERROR(E245*'01 Prod Physique Boites'!H241,"-")</f>
        <v>271639.80800000002</v>
      </c>
      <c r="G245" s="685">
        <f>IFERROR(E245*'01 Prod Physique Boites'!L241,"-")</f>
        <v>271639.80800000002</v>
      </c>
      <c r="H245" s="385">
        <v>0</v>
      </c>
      <c r="I245" s="419">
        <f>IFERROR(H245*(F245/E245),"-")</f>
        <v>0</v>
      </c>
      <c r="J245" s="420">
        <f t="shared" si="129"/>
        <v>0</v>
      </c>
    </row>
    <row r="246" spans="1:15" ht="24.75" thickBot="1" x14ac:dyDescent="0.3">
      <c r="A246" s="274" t="s">
        <v>103</v>
      </c>
      <c r="B246" s="967"/>
      <c r="C246" s="279" t="s">
        <v>262</v>
      </c>
      <c r="D246" s="279" t="s">
        <v>231</v>
      </c>
      <c r="E246" s="501">
        <v>60.703499999999998</v>
      </c>
      <c r="F246" s="402">
        <f>IFERROR(E246*'01 Prod Physique Boites'!H242,"-")</f>
        <v>0</v>
      </c>
      <c r="G246" s="402">
        <f>IFERROR(E246*'01 Prod Physique Boites'!L242,"-")</f>
        <v>0</v>
      </c>
      <c r="H246" s="387">
        <v>111.09</v>
      </c>
      <c r="I246" s="419">
        <f>IFERROR(H246*(F246/E246),"-")</f>
        <v>0</v>
      </c>
      <c r="J246" s="420">
        <f>IFERROR(H246*(G246/E246),"-")</f>
        <v>0</v>
      </c>
    </row>
    <row r="247" spans="1:15" ht="23.25" thickBot="1" x14ac:dyDescent="0.3">
      <c r="A247" s="274" t="s">
        <v>103</v>
      </c>
      <c r="B247" s="946" t="s">
        <v>44</v>
      </c>
      <c r="C247" s="947"/>
      <c r="D247" s="948"/>
      <c r="E247" s="390"/>
      <c r="F247" s="406">
        <f t="shared" ref="F247" si="130">SUM(F243:F246)</f>
        <v>271639.80800000002</v>
      </c>
      <c r="G247" s="407">
        <f>SUM(G243:G246)</f>
        <v>271639.80800000002</v>
      </c>
      <c r="H247" s="391"/>
      <c r="I247" s="406">
        <f t="shared" ref="I247:J247" si="131">SUM(I243:I246)</f>
        <v>0</v>
      </c>
      <c r="J247" s="425">
        <f t="shared" si="131"/>
        <v>0</v>
      </c>
      <c r="K247" s="704"/>
      <c r="L247" s="704"/>
      <c r="M247" s="704"/>
      <c r="N247" s="704"/>
      <c r="O247" s="704"/>
    </row>
    <row r="248" spans="1:15" ht="24" x14ac:dyDescent="0.25">
      <c r="A248" s="274" t="s">
        <v>103</v>
      </c>
      <c r="B248" s="965" t="s">
        <v>17</v>
      </c>
      <c r="C248" s="269" t="s">
        <v>294</v>
      </c>
      <c r="D248" s="269"/>
      <c r="E248" s="504">
        <v>12.5275</v>
      </c>
      <c r="F248" s="402">
        <f>IFERROR(E248*'01 Prod Physique Boites'!H244,"-")</f>
        <v>0</v>
      </c>
      <c r="G248" s="402">
        <f>IFERROR(E248*'01 Prod Physique Boites'!L244,"-")</f>
        <v>0</v>
      </c>
      <c r="H248" s="681">
        <v>18.836400000000001</v>
      </c>
      <c r="I248" s="419">
        <f t="shared" ref="I248:I254" si="132">IFERROR(H248*(F248/E248),"-")</f>
        <v>0</v>
      </c>
      <c r="J248" s="420">
        <f t="shared" ref="J248:J253" si="133">IFERROR(H248*(G248/E248),"-")</f>
        <v>0</v>
      </c>
    </row>
    <row r="249" spans="1:15" ht="24" x14ac:dyDescent="0.25">
      <c r="A249" s="274" t="s">
        <v>103</v>
      </c>
      <c r="B249" s="966"/>
      <c r="C249" s="275" t="s">
        <v>344</v>
      </c>
      <c r="D249" s="275" t="s">
        <v>232</v>
      </c>
      <c r="E249" s="677">
        <v>13.002700000000001</v>
      </c>
      <c r="F249" s="402">
        <f>IFERROR(E249*'01 Prod Physique Boites'!H245,"-")</f>
        <v>0</v>
      </c>
      <c r="G249" s="402">
        <f>IFERROR(E249*'01 Prod Physique Boites'!L245,"-")</f>
        <v>0</v>
      </c>
      <c r="H249" s="385">
        <v>21.18</v>
      </c>
      <c r="I249" s="421">
        <f t="shared" si="132"/>
        <v>0</v>
      </c>
      <c r="J249" s="422">
        <f t="shared" si="133"/>
        <v>0</v>
      </c>
    </row>
    <row r="250" spans="1:15" ht="24" x14ac:dyDescent="0.25">
      <c r="A250" s="274" t="s">
        <v>103</v>
      </c>
      <c r="B250" s="966"/>
      <c r="C250" s="275" t="s">
        <v>351</v>
      </c>
      <c r="D250" s="275" t="s">
        <v>187</v>
      </c>
      <c r="E250" s="677">
        <v>12.9049</v>
      </c>
      <c r="F250" s="402">
        <f>IFERROR(E250*'01 Prod Physique Boites'!H246,"-")</f>
        <v>1342625.7959999999</v>
      </c>
      <c r="G250" s="402">
        <f>IFERROR(E250*'01 Prod Physique Boites'!L246,"-")</f>
        <v>1658537.7479999999</v>
      </c>
      <c r="H250" s="385">
        <v>20.5</v>
      </c>
      <c r="I250" s="421">
        <f t="shared" si="132"/>
        <v>2132819.9999999995</v>
      </c>
      <c r="J250" s="422">
        <f t="shared" si="133"/>
        <v>2634660</v>
      </c>
    </row>
    <row r="251" spans="1:15" ht="24" x14ac:dyDescent="0.25">
      <c r="A251" s="274" t="s">
        <v>103</v>
      </c>
      <c r="B251" s="966"/>
      <c r="C251" s="275" t="s">
        <v>293</v>
      </c>
      <c r="D251" s="275" t="s">
        <v>188</v>
      </c>
      <c r="E251" s="505">
        <v>13.078200000000001</v>
      </c>
      <c r="F251" s="402">
        <f>IFERROR(E251*'01 Prod Physique Boites'!H247,"-")</f>
        <v>0</v>
      </c>
      <c r="G251" s="402">
        <f>IFERROR(E251*'01 Prod Physique Boites'!L247,"-")</f>
        <v>0</v>
      </c>
      <c r="H251" s="385">
        <v>20.6</v>
      </c>
      <c r="I251" s="421">
        <f t="shared" si="132"/>
        <v>0</v>
      </c>
      <c r="J251" s="422">
        <f t="shared" si="133"/>
        <v>0</v>
      </c>
    </row>
    <row r="252" spans="1:15" ht="24" x14ac:dyDescent="0.25">
      <c r="A252" s="274" t="s">
        <v>103</v>
      </c>
      <c r="B252" s="966"/>
      <c r="C252" s="275" t="s">
        <v>323</v>
      </c>
      <c r="D252" s="275" t="s">
        <v>318</v>
      </c>
      <c r="E252" s="505">
        <v>13.1958</v>
      </c>
      <c r="F252" s="402">
        <f>IFERROR(E252*'01 Prod Physique Boites'!H248,"-")</f>
        <v>0</v>
      </c>
      <c r="G252" s="402">
        <f>IFERROR(E252*'01 Prod Physique Boites'!L248,"-")</f>
        <v>0</v>
      </c>
      <c r="H252" s="385">
        <v>21.28</v>
      </c>
      <c r="I252" s="421">
        <f t="shared" si="132"/>
        <v>0</v>
      </c>
      <c r="J252" s="422">
        <f t="shared" si="133"/>
        <v>0</v>
      </c>
    </row>
    <row r="253" spans="1:15" ht="24" x14ac:dyDescent="0.25">
      <c r="A253" s="274">
        <v>1</v>
      </c>
      <c r="B253" s="966"/>
      <c r="C253" s="275" t="s">
        <v>352</v>
      </c>
      <c r="D253" s="275" t="s">
        <v>189</v>
      </c>
      <c r="E253" s="677">
        <v>12.9049</v>
      </c>
      <c r="F253" s="402">
        <f>IFERROR(E253*'01 Prod Physique Boites'!H249,"-")</f>
        <v>0</v>
      </c>
      <c r="G253" s="402">
        <f>IFERROR(E253*'01 Prod Physique Boites'!L249,"-")</f>
        <v>0</v>
      </c>
      <c r="H253" s="664">
        <v>20.5</v>
      </c>
      <c r="I253" s="421">
        <f t="shared" si="132"/>
        <v>0</v>
      </c>
      <c r="J253" s="422">
        <f t="shared" si="133"/>
        <v>0</v>
      </c>
    </row>
    <row r="254" spans="1:15" ht="24.75" thickBot="1" x14ac:dyDescent="0.3">
      <c r="A254" s="274" t="s">
        <v>103</v>
      </c>
      <c r="B254" s="967"/>
      <c r="C254" s="279" t="s">
        <v>341</v>
      </c>
      <c r="D254" s="279" t="s">
        <v>175</v>
      </c>
      <c r="E254" s="501">
        <v>13.6509</v>
      </c>
      <c r="F254" s="402">
        <f>IFERROR(E254*'01 Prod Physique Boites'!H250,"-")</f>
        <v>0</v>
      </c>
      <c r="G254" s="402">
        <f>IFERROR(E254*'01 Prod Physique Boites'!L250,"-")</f>
        <v>0</v>
      </c>
      <c r="H254" s="387">
        <v>21.18</v>
      </c>
      <c r="I254" s="423">
        <f t="shared" si="132"/>
        <v>0</v>
      </c>
      <c r="J254" s="424">
        <f>IFERROR(H254*(G254/E254),"-")</f>
        <v>0</v>
      </c>
    </row>
    <row r="255" spans="1:15" ht="23.25" thickBot="1" x14ac:dyDescent="0.3">
      <c r="A255" s="274" t="s">
        <v>103</v>
      </c>
      <c r="B255" s="946" t="s">
        <v>45</v>
      </c>
      <c r="C255" s="947"/>
      <c r="D255" s="948"/>
      <c r="E255" s="390"/>
      <c r="F255" s="406">
        <f t="shared" ref="F255" si="134">SUM(F248:F254)</f>
        <v>1342625.7959999999</v>
      </c>
      <c r="G255" s="407">
        <f>SUM(G248:G254)</f>
        <v>1658537.7479999999</v>
      </c>
      <c r="H255" s="391"/>
      <c r="I255" s="406">
        <f t="shared" ref="I255" si="135">SUM(I248:I254)</f>
        <v>2132819.9999999995</v>
      </c>
      <c r="J255" s="425">
        <f>SUM(J248:J254)</f>
        <v>2634660</v>
      </c>
      <c r="K255" s="704"/>
      <c r="L255" s="704"/>
      <c r="M255" s="704"/>
      <c r="N255" s="704"/>
      <c r="O255" s="704"/>
    </row>
    <row r="256" spans="1:15" ht="24" x14ac:dyDescent="0.25">
      <c r="A256" s="274" t="s">
        <v>103</v>
      </c>
      <c r="B256" s="965" t="s">
        <v>18</v>
      </c>
      <c r="C256" s="269" t="s">
        <v>312</v>
      </c>
      <c r="D256" s="269" t="s">
        <v>92</v>
      </c>
      <c r="E256" s="504">
        <v>17.8202</v>
      </c>
      <c r="F256" s="402">
        <f>IFERROR(E256*'01 Prod Physique Boites'!H252,"-")</f>
        <v>0</v>
      </c>
      <c r="G256" s="403">
        <f>IFERROR(E256*'01 Prod Physique Boites'!L252,"-")</f>
        <v>0</v>
      </c>
      <c r="H256" s="381">
        <v>24.93</v>
      </c>
      <c r="I256" s="419">
        <f t="shared" ref="I256:I262" si="136">IFERROR(H256*(F256/E256),"-")</f>
        <v>0</v>
      </c>
      <c r="J256" s="420">
        <f t="shared" ref="J256:J258" si="137">IFERROR(H256*(G256/E256),"-")</f>
        <v>0</v>
      </c>
    </row>
    <row r="257" spans="1:10" ht="24" x14ac:dyDescent="0.25">
      <c r="A257" s="274" t="s">
        <v>103</v>
      </c>
      <c r="B257" s="966"/>
      <c r="C257" s="275" t="s">
        <v>130</v>
      </c>
      <c r="D257" s="275"/>
      <c r="E257" s="505">
        <v>17.8202</v>
      </c>
      <c r="F257" s="402">
        <f>IFERROR(E257*'01 Prod Physique Boites'!H253,"-")</f>
        <v>0</v>
      </c>
      <c r="G257" s="403">
        <f>IFERROR(E257*'01 Prod Physique Boites'!L253,"-")</f>
        <v>0</v>
      </c>
      <c r="H257" s="385">
        <v>0</v>
      </c>
      <c r="I257" s="421">
        <f t="shared" si="136"/>
        <v>0</v>
      </c>
      <c r="J257" s="422">
        <f t="shared" si="137"/>
        <v>0</v>
      </c>
    </row>
    <row r="258" spans="1:10" ht="24" x14ac:dyDescent="0.25">
      <c r="A258" s="274" t="s">
        <v>103</v>
      </c>
      <c r="B258" s="966"/>
      <c r="C258" s="275" t="s">
        <v>115</v>
      </c>
      <c r="D258" s="275"/>
      <c r="E258" s="505">
        <v>16.4071</v>
      </c>
      <c r="F258" s="402">
        <f>IFERROR(E258*'01 Prod Physique Boites'!H254,"-")</f>
        <v>0</v>
      </c>
      <c r="G258" s="403">
        <f>IFERROR(E258*'01 Prod Physique Boites'!L254,"-")</f>
        <v>0</v>
      </c>
      <c r="H258" s="385">
        <v>0</v>
      </c>
      <c r="I258" s="421">
        <f t="shared" si="136"/>
        <v>0</v>
      </c>
      <c r="J258" s="422">
        <f t="shared" si="137"/>
        <v>0</v>
      </c>
    </row>
    <row r="259" spans="1:10" ht="24" x14ac:dyDescent="0.25">
      <c r="A259" s="274" t="s">
        <v>103</v>
      </c>
      <c r="B259" s="966"/>
      <c r="C259" s="275" t="s">
        <v>122</v>
      </c>
      <c r="D259" s="275"/>
      <c r="E259" s="505">
        <v>17.8202</v>
      </c>
      <c r="F259" s="402">
        <f>IFERROR(E259*'01 Prod Physique Boites'!H255,"-")</f>
        <v>0</v>
      </c>
      <c r="G259" s="403">
        <f>IFERROR(E259*'01 Prod Physique Boites'!L255,"-")</f>
        <v>0</v>
      </c>
      <c r="H259" s="385">
        <v>0</v>
      </c>
      <c r="I259" s="421">
        <f t="shared" si="136"/>
        <v>0</v>
      </c>
      <c r="J259" s="422">
        <f>IFERROR(H259*(G259/E259),"-")</f>
        <v>0</v>
      </c>
    </row>
    <row r="260" spans="1:10" ht="24" x14ac:dyDescent="0.25">
      <c r="A260" s="274" t="s">
        <v>103</v>
      </c>
      <c r="B260" s="966"/>
      <c r="C260" s="275" t="s">
        <v>176</v>
      </c>
      <c r="D260" s="275" t="s">
        <v>177</v>
      </c>
      <c r="E260" s="505">
        <v>17.8202</v>
      </c>
      <c r="F260" s="402">
        <f>IFERROR(E260*'01 Prod Physique Boites'!H256,"-")</f>
        <v>0</v>
      </c>
      <c r="G260" s="403">
        <f>IFERROR(E260*'01 Prod Physique Boites'!L256,"-")</f>
        <v>0</v>
      </c>
      <c r="H260" s="385">
        <v>0</v>
      </c>
      <c r="I260" s="421">
        <f t="shared" si="136"/>
        <v>0</v>
      </c>
      <c r="J260" s="422">
        <f t="shared" ref="J260:J262" si="138">IFERROR(H260*(G260/E260),"-")</f>
        <v>0</v>
      </c>
    </row>
    <row r="261" spans="1:10" ht="24" x14ac:dyDescent="0.25">
      <c r="A261" s="274" t="s">
        <v>103</v>
      </c>
      <c r="B261" s="966"/>
      <c r="C261" s="275" t="s">
        <v>179</v>
      </c>
      <c r="D261" s="275" t="s">
        <v>178</v>
      </c>
      <c r="E261" s="505">
        <v>16.7288</v>
      </c>
      <c r="F261" s="402">
        <f>IFERROR(E261*'01 Prod Physique Boites'!H257,"-")</f>
        <v>0</v>
      </c>
      <c r="G261" s="403">
        <f>IFERROR(E261*'01 Prod Physique Boites'!L257,"-")</f>
        <v>0</v>
      </c>
      <c r="H261" s="385">
        <v>0</v>
      </c>
      <c r="I261" s="421">
        <f t="shared" si="136"/>
        <v>0</v>
      </c>
      <c r="J261" s="422">
        <f t="shared" si="138"/>
        <v>0</v>
      </c>
    </row>
    <row r="262" spans="1:10" ht="24.75" thickBot="1" x14ac:dyDescent="0.3">
      <c r="A262" s="274" t="s">
        <v>103</v>
      </c>
      <c r="B262" s="967"/>
      <c r="C262" s="286" t="s">
        <v>180</v>
      </c>
      <c r="D262" s="286" t="s">
        <v>107</v>
      </c>
      <c r="E262" s="501">
        <v>17.8202</v>
      </c>
      <c r="F262" s="402">
        <f>IFERROR(E262*'01 Prod Physique Boites'!H258,"-")</f>
        <v>0</v>
      </c>
      <c r="G262" s="403">
        <f>IFERROR(E262*'01 Prod Physique Boites'!L258,"-")</f>
        <v>0</v>
      </c>
      <c r="H262" s="385">
        <v>0</v>
      </c>
      <c r="I262" s="423">
        <f t="shared" si="136"/>
        <v>0</v>
      </c>
      <c r="J262" s="424">
        <f t="shared" si="138"/>
        <v>0</v>
      </c>
    </row>
    <row r="263" spans="1:10" ht="23.25" thickBot="1" x14ac:dyDescent="0.3">
      <c r="A263" s="274" t="s">
        <v>103</v>
      </c>
      <c r="B263" s="946" t="s">
        <v>29</v>
      </c>
      <c r="C263" s="947"/>
      <c r="D263" s="948"/>
      <c r="E263" s="648"/>
      <c r="F263" s="649">
        <f t="shared" ref="F263:G263" si="139">SUM(F256:F262)</f>
        <v>0</v>
      </c>
      <c r="G263" s="407">
        <f t="shared" si="139"/>
        <v>0</v>
      </c>
      <c r="H263" s="391"/>
      <c r="I263" s="406">
        <f t="shared" ref="I263:J263" si="140">SUM(I256:I262)</f>
        <v>0</v>
      </c>
      <c r="J263" s="425">
        <f t="shared" si="140"/>
        <v>0</v>
      </c>
    </row>
    <row r="264" spans="1:10" ht="24.75" thickBot="1" x14ac:dyDescent="0.3">
      <c r="A264" s="274"/>
      <c r="B264" s="1004" t="s">
        <v>19</v>
      </c>
      <c r="C264" s="650" t="s">
        <v>235</v>
      </c>
      <c r="D264" s="656" t="s">
        <v>177</v>
      </c>
      <c r="E264" s="657">
        <v>12.2659</v>
      </c>
      <c r="F264" s="658">
        <f>IFERROR(E264*'01 Prod Physique Boites'!H260,"-")</f>
        <v>0</v>
      </c>
      <c r="G264" s="659">
        <f>IFERROR(E264*'01 Prod Physique Boites'!L260,"-")</f>
        <v>0</v>
      </c>
      <c r="H264" s="653">
        <v>14.79</v>
      </c>
      <c r="I264" s="638">
        <f t="shared" ref="I264:I266" si="141">IFERROR(H264*(F264/E264),"-")</f>
        <v>0</v>
      </c>
      <c r="J264" s="638">
        <f>IFERROR(H264*(G264/E264),"-")</f>
        <v>0</v>
      </c>
    </row>
    <row r="265" spans="1:10" ht="24.75" thickBot="1" x14ac:dyDescent="0.3">
      <c r="A265" s="274"/>
      <c r="B265" s="1005"/>
      <c r="C265" s="651" t="s">
        <v>359</v>
      </c>
      <c r="D265" s="660" t="s">
        <v>423</v>
      </c>
      <c r="E265" s="642">
        <v>12.2659</v>
      </c>
      <c r="F265" s="658">
        <f>IFERROR(E265*'01 Prod Physique Boites'!H261,"-")</f>
        <v>1450712.5248</v>
      </c>
      <c r="G265" s="633">
        <f>IFERROR(E265*'01 Prod Physique Boites'!L261,"-")</f>
        <v>4973871.5136000002</v>
      </c>
      <c r="H265" s="654">
        <v>14.55</v>
      </c>
      <c r="I265" s="643">
        <f t="shared" si="141"/>
        <v>1720857.6000000001</v>
      </c>
      <c r="J265" s="643">
        <f>IFERROR(H265*(G265/E265),"-")</f>
        <v>5900083.2000000002</v>
      </c>
    </row>
    <row r="266" spans="1:10" ht="24.75" thickBot="1" x14ac:dyDescent="0.3">
      <c r="A266" s="777" t="s">
        <v>103</v>
      </c>
      <c r="B266" s="1006"/>
      <c r="C266" s="652" t="s">
        <v>342</v>
      </c>
      <c r="D266" s="661"/>
      <c r="E266" s="662">
        <v>0</v>
      </c>
      <c r="F266" s="658">
        <f>IFERROR(E266*'01 Prod Physique Boites'!H262,"-")</f>
        <v>0</v>
      </c>
      <c r="G266" s="663">
        <f>IFERROR(E266*'01 Prod Physique Boites'!L262,"-")</f>
        <v>0</v>
      </c>
      <c r="H266" s="655">
        <v>0</v>
      </c>
      <c r="I266" s="426" t="str">
        <f t="shared" si="141"/>
        <v>-</v>
      </c>
      <c r="J266" s="427" t="str">
        <f t="shared" ref="J266" si="142">IFERROR(I266*(G266/F266),"-")</f>
        <v>-</v>
      </c>
    </row>
    <row r="267" spans="1:10" ht="23.25" thickBot="1" x14ac:dyDescent="0.3">
      <c r="A267" s="274" t="s">
        <v>103</v>
      </c>
      <c r="B267" s="946" t="s">
        <v>46</v>
      </c>
      <c r="C267" s="947"/>
      <c r="D267" s="948"/>
      <c r="E267" s="390"/>
      <c r="F267" s="406">
        <f>SUM(F264:F266)</f>
        <v>1450712.5248</v>
      </c>
      <c r="G267" s="406">
        <f>SUM(G264:G266)</f>
        <v>4973871.5136000002</v>
      </c>
      <c r="H267" s="391"/>
      <c r="I267" s="406">
        <f>SUM(I264:I266)</f>
        <v>1720857.6000000001</v>
      </c>
      <c r="J267" s="425">
        <f>SUM(J264:J266)</f>
        <v>5900083.2000000002</v>
      </c>
    </row>
    <row r="268" spans="1:10" ht="24" x14ac:dyDescent="0.25">
      <c r="A268" s="274" t="s">
        <v>103</v>
      </c>
      <c r="B268" s="965" t="s">
        <v>20</v>
      </c>
      <c r="C268" s="291" t="s">
        <v>317</v>
      </c>
      <c r="D268" s="291" t="s">
        <v>289</v>
      </c>
      <c r="E268" s="504">
        <v>26.032900000000001</v>
      </c>
      <c r="F268" s="402">
        <f>IFERROR(E268*'01 Prod Physique Boites'!H264,"-")</f>
        <v>0</v>
      </c>
      <c r="G268" s="403">
        <f>IFERROR(E268*'01 Prod Physique Boites'!L264,"-")</f>
        <v>0</v>
      </c>
      <c r="H268" s="381">
        <v>36.44</v>
      </c>
      <c r="I268" s="419">
        <f>IFERROR(H268*(F268/E268),"-")</f>
        <v>0</v>
      </c>
      <c r="J268" s="420">
        <f t="shared" ref="J268:J270" si="143">IFERROR(H268*(G268/E268),"-")</f>
        <v>0</v>
      </c>
    </row>
    <row r="269" spans="1:10" ht="24" x14ac:dyDescent="0.25">
      <c r="A269" s="274" t="s">
        <v>103</v>
      </c>
      <c r="B269" s="966"/>
      <c r="C269" s="292" t="s">
        <v>114</v>
      </c>
      <c r="D269" s="292"/>
      <c r="E269" s="384">
        <v>24.2607</v>
      </c>
      <c r="F269" s="402">
        <f>IFERROR(E269*'01 Prod Physique Boites'!H265,"-")</f>
        <v>0</v>
      </c>
      <c r="G269" s="403">
        <f>IFERROR(E269*'01 Prod Physique Boites'!L265,"-")</f>
        <v>0</v>
      </c>
      <c r="H269" s="385">
        <v>37.369999999999997</v>
      </c>
      <c r="I269" s="421">
        <f>IFERROR(H269*(F269/E269),"-")</f>
        <v>0</v>
      </c>
      <c r="J269" s="422">
        <f t="shared" si="143"/>
        <v>0</v>
      </c>
    </row>
    <row r="270" spans="1:10" ht="24.75" thickBot="1" x14ac:dyDescent="0.3">
      <c r="A270" s="274" t="s">
        <v>103</v>
      </c>
      <c r="B270" s="967"/>
      <c r="C270" s="293" t="s">
        <v>120</v>
      </c>
      <c r="D270" s="293"/>
      <c r="E270" s="386">
        <v>26.035799999999998</v>
      </c>
      <c r="F270" s="402">
        <f>IFERROR(E270*'01 Prod Physique Boites'!H266,"-")</f>
        <v>0</v>
      </c>
      <c r="G270" s="403">
        <f>IFERROR(E270*'01 Prod Physique Boites'!L266,"-")</f>
        <v>0</v>
      </c>
      <c r="H270" s="387">
        <v>37.11</v>
      </c>
      <c r="I270" s="423">
        <f>IFERROR(H270*(F270/E270),"-")</f>
        <v>0</v>
      </c>
      <c r="J270" s="424">
        <f t="shared" si="143"/>
        <v>0</v>
      </c>
    </row>
    <row r="271" spans="1:10" ht="23.25" thickBot="1" x14ac:dyDescent="0.3">
      <c r="A271" s="274" t="s">
        <v>103</v>
      </c>
      <c r="B271" s="947" t="s">
        <v>47</v>
      </c>
      <c r="C271" s="947"/>
      <c r="D271" s="964"/>
      <c r="E271" s="390"/>
      <c r="F271" s="406">
        <f t="shared" ref="F271:G271" si="144">SUM(F268:F270)</f>
        <v>0</v>
      </c>
      <c r="G271" s="407">
        <f t="shared" si="144"/>
        <v>0</v>
      </c>
      <c r="H271" s="391"/>
      <c r="I271" s="406">
        <f t="shared" ref="I271:J271" si="145">SUM(I268:I270)</f>
        <v>0</v>
      </c>
      <c r="J271" s="425">
        <f t="shared" si="145"/>
        <v>0</v>
      </c>
    </row>
    <row r="272" spans="1:10" ht="23.25" thickBot="1" x14ac:dyDescent="0.3">
      <c r="A272" s="274" t="s">
        <v>103</v>
      </c>
      <c r="B272" s="960" t="s">
        <v>21</v>
      </c>
      <c r="C272" s="961"/>
      <c r="D272" s="962"/>
      <c r="E272" s="393"/>
      <c r="F272" s="410">
        <f>+F247+F255+F263+F267+F271</f>
        <v>3064978.1288000001</v>
      </c>
      <c r="G272" s="411">
        <f>+G247+G255+G263+G267+G271</f>
        <v>6904049.0696</v>
      </c>
      <c r="H272" s="394"/>
      <c r="I272" s="410">
        <f>+I247+I255+I263+I267+I271</f>
        <v>3853677.5999999996</v>
      </c>
      <c r="J272" s="428">
        <f>+J247+J255+J263+J267+J271</f>
        <v>8534743.1999999993</v>
      </c>
    </row>
    <row r="273" spans="1:10" ht="24" x14ac:dyDescent="0.25">
      <c r="A273" s="274" t="s">
        <v>103</v>
      </c>
      <c r="B273" s="965" t="s">
        <v>400</v>
      </c>
      <c r="C273" s="269" t="s">
        <v>125</v>
      </c>
      <c r="D273" s="269"/>
      <c r="E273" s="380">
        <v>22.820599999999999</v>
      </c>
      <c r="F273" s="402">
        <f>IFERROR(E273*'01 Prod Physique Boites'!H269,"-")</f>
        <v>0</v>
      </c>
      <c r="G273" s="403">
        <f>IFERROR(E273*'01 Prod Physique Boites'!L269,"-")</f>
        <v>0</v>
      </c>
      <c r="H273" s="381">
        <v>27.5</v>
      </c>
      <c r="I273" s="419">
        <f>IFERROR(H273*(F273/E273),"-")</f>
        <v>0</v>
      </c>
      <c r="J273" s="420">
        <f t="shared" ref="J273:J276" si="146">IFERROR(H273*(G273/E273),"-")</f>
        <v>0</v>
      </c>
    </row>
    <row r="274" spans="1:10" ht="24" x14ac:dyDescent="0.25">
      <c r="A274" s="274" t="s">
        <v>103</v>
      </c>
      <c r="B274" s="966"/>
      <c r="C274" s="295" t="s">
        <v>263</v>
      </c>
      <c r="D274" s="295" t="s">
        <v>181</v>
      </c>
      <c r="E274" s="384">
        <v>23.570699999999999</v>
      </c>
      <c r="F274" s="402">
        <f>IFERROR(E274*'01 Prod Physique Boites'!H270,"-")</f>
        <v>0</v>
      </c>
      <c r="G274" s="403">
        <f>IFERROR(E274*'01 Prod Physique Boites'!L270,"-")</f>
        <v>0</v>
      </c>
      <c r="H274" s="385">
        <v>27.5</v>
      </c>
      <c r="I274" s="421">
        <f>IFERROR(H274*(F274/E274),"-")</f>
        <v>0</v>
      </c>
      <c r="J274" s="422">
        <f t="shared" si="146"/>
        <v>0</v>
      </c>
    </row>
    <row r="275" spans="1:10" ht="24" x14ac:dyDescent="0.25">
      <c r="A275" s="274" t="s">
        <v>103</v>
      </c>
      <c r="B275" s="966"/>
      <c r="C275" s="295" t="s">
        <v>362</v>
      </c>
      <c r="D275" s="295" t="s">
        <v>181</v>
      </c>
      <c r="E275" s="384">
        <v>22.820599999999999</v>
      </c>
      <c r="F275" s="402">
        <f>IFERROR(E275*'01 Prod Physique Boites'!H271,"-")</f>
        <v>0</v>
      </c>
      <c r="G275" s="403">
        <f>IFERROR(E275*'01 Prod Physique Boites'!L271,"-")</f>
        <v>0</v>
      </c>
      <c r="H275" s="385">
        <v>27.5</v>
      </c>
      <c r="I275" s="421">
        <f>IFERROR(H275*(F275/E275),"-")</f>
        <v>0</v>
      </c>
      <c r="J275" s="422">
        <f t="shared" si="146"/>
        <v>0</v>
      </c>
    </row>
    <row r="276" spans="1:10" ht="24.75" thickBot="1" x14ac:dyDescent="0.3">
      <c r="A276" s="274" t="s">
        <v>103</v>
      </c>
      <c r="B276" s="967"/>
      <c r="C276" s="279" t="s">
        <v>182</v>
      </c>
      <c r="D276" s="279" t="s">
        <v>93</v>
      </c>
      <c r="E276" s="386">
        <v>23.5685</v>
      </c>
      <c r="F276" s="402">
        <f>IFERROR(E276*'01 Prod Physique Boites'!H272,"-")</f>
        <v>0</v>
      </c>
      <c r="G276" s="403">
        <f>IFERROR(E276*'01 Prod Physique Boites'!L272,"-")</f>
        <v>0</v>
      </c>
      <c r="H276" s="387">
        <v>24</v>
      </c>
      <c r="I276" s="423">
        <f>IFERROR(H276*(F276/E276),"-")</f>
        <v>0</v>
      </c>
      <c r="J276" s="424">
        <f t="shared" si="146"/>
        <v>0</v>
      </c>
    </row>
    <row r="277" spans="1:10" ht="23.25" thickBot="1" x14ac:dyDescent="0.3">
      <c r="A277" s="274" t="s">
        <v>103</v>
      </c>
      <c r="B277" s="946" t="s">
        <v>48</v>
      </c>
      <c r="C277" s="947"/>
      <c r="D277" s="948"/>
      <c r="E277" s="390"/>
      <c r="F277" s="406">
        <f t="shared" ref="F277:G277" si="147">SUM(F273:F276)</f>
        <v>0</v>
      </c>
      <c r="G277" s="407">
        <f t="shared" si="147"/>
        <v>0</v>
      </c>
      <c r="H277" s="391"/>
      <c r="I277" s="406">
        <f t="shared" ref="I277:J277" si="148">SUM(I273:I276)</f>
        <v>0</v>
      </c>
      <c r="J277" s="425">
        <f t="shared" si="148"/>
        <v>0</v>
      </c>
    </row>
    <row r="278" spans="1:10" ht="24" x14ac:dyDescent="0.25">
      <c r="A278" s="274" t="s">
        <v>103</v>
      </c>
      <c r="B278" s="965" t="s">
        <v>23</v>
      </c>
      <c r="C278" s="296" t="s">
        <v>308</v>
      </c>
      <c r="D278" s="296" t="s">
        <v>238</v>
      </c>
      <c r="E278" s="380">
        <v>101.4935</v>
      </c>
      <c r="F278" s="402">
        <f>IFERROR(E278*'01 Prod Physique Boites'!H274,"-")</f>
        <v>0</v>
      </c>
      <c r="G278" s="403">
        <f>IFERROR(E278*'01 Prod Physique Boites'!L274,"-")</f>
        <v>0</v>
      </c>
      <c r="H278" s="385">
        <v>160.44999999999999</v>
      </c>
      <c r="I278" s="419">
        <f t="shared" ref="I278:I286" si="149">IFERROR(H278*(F278/E278),"-")</f>
        <v>0</v>
      </c>
      <c r="J278" s="420">
        <f t="shared" ref="J278:J286" si="150">IFERROR(H278*(G278/E278),"-")</f>
        <v>0</v>
      </c>
    </row>
    <row r="279" spans="1:10" ht="24" x14ac:dyDescent="0.25">
      <c r="A279" s="274" t="s">
        <v>103</v>
      </c>
      <c r="B279" s="966"/>
      <c r="C279" s="275" t="s">
        <v>24</v>
      </c>
      <c r="D279" s="275" t="s">
        <v>238</v>
      </c>
      <c r="E279" s="384">
        <v>101.4935</v>
      </c>
      <c r="F279" s="402">
        <f>IFERROR(E279*'01 Prod Physique Boites'!H275,"-")</f>
        <v>0</v>
      </c>
      <c r="G279" s="403">
        <f>IFERROR(E279*'01 Prod Physique Boites'!L275,"-")</f>
        <v>0</v>
      </c>
      <c r="H279" s="385">
        <v>160.44999999999999</v>
      </c>
      <c r="I279" s="421">
        <f t="shared" si="149"/>
        <v>0</v>
      </c>
      <c r="J279" s="422">
        <f t="shared" si="150"/>
        <v>0</v>
      </c>
    </row>
    <row r="280" spans="1:10" ht="24" x14ac:dyDescent="0.25">
      <c r="A280" s="274" t="s">
        <v>103</v>
      </c>
      <c r="B280" s="966"/>
      <c r="C280" s="275" t="s">
        <v>236</v>
      </c>
      <c r="D280" s="275" t="s">
        <v>238</v>
      </c>
      <c r="E280" s="384">
        <v>101.4935</v>
      </c>
      <c r="F280" s="402">
        <f>IFERROR(E280*'01 Prod Physique Boites'!H276,"-")</f>
        <v>0</v>
      </c>
      <c r="G280" s="403">
        <f>IFERROR(E280*'01 Prod Physique Boites'!L276,"-")</f>
        <v>0</v>
      </c>
      <c r="H280" s="385">
        <v>160.44999999999999</v>
      </c>
      <c r="I280" s="421">
        <f t="shared" si="149"/>
        <v>0</v>
      </c>
      <c r="J280" s="422">
        <f t="shared" si="150"/>
        <v>0</v>
      </c>
    </row>
    <row r="281" spans="1:10" ht="24" x14ac:dyDescent="0.25">
      <c r="A281" s="274" t="s">
        <v>103</v>
      </c>
      <c r="B281" s="966"/>
      <c r="C281" s="275" t="s">
        <v>237</v>
      </c>
      <c r="D281" s="275" t="s">
        <v>238</v>
      </c>
      <c r="E281" s="384">
        <v>101.4935</v>
      </c>
      <c r="F281" s="402">
        <f>IFERROR(E281*'01 Prod Physique Boites'!H277,"-")</f>
        <v>0</v>
      </c>
      <c r="G281" s="403">
        <f>IFERROR(E281*'01 Prod Physique Boites'!L277,"-")</f>
        <v>0</v>
      </c>
      <c r="H281" s="385">
        <v>160.44999999999999</v>
      </c>
      <c r="I281" s="421">
        <f t="shared" si="149"/>
        <v>0</v>
      </c>
      <c r="J281" s="422">
        <f t="shared" si="150"/>
        <v>0</v>
      </c>
    </row>
    <row r="282" spans="1:10" ht="24" x14ac:dyDescent="0.25">
      <c r="A282" s="274" t="s">
        <v>103</v>
      </c>
      <c r="B282" s="966"/>
      <c r="C282" s="295" t="s">
        <v>239</v>
      </c>
      <c r="D282" s="275" t="s">
        <v>238</v>
      </c>
      <c r="E282" s="384">
        <v>101.4935</v>
      </c>
      <c r="F282" s="402">
        <f>IFERROR(E282*'01 Prod Physique Boites'!H278,"-")</f>
        <v>0</v>
      </c>
      <c r="G282" s="403">
        <f>IFERROR(E282*'01 Prod Physique Boites'!L278,"-")</f>
        <v>0</v>
      </c>
      <c r="H282" s="385">
        <v>160.44999999999999</v>
      </c>
      <c r="I282" s="421">
        <f t="shared" si="149"/>
        <v>0</v>
      </c>
      <c r="J282" s="422">
        <f t="shared" si="150"/>
        <v>0</v>
      </c>
    </row>
    <row r="283" spans="1:10" ht="24" x14ac:dyDescent="0.25">
      <c r="A283" s="274" t="s">
        <v>103</v>
      </c>
      <c r="B283" s="966"/>
      <c r="C283" s="295" t="s">
        <v>240</v>
      </c>
      <c r="D283" s="275" t="s">
        <v>238</v>
      </c>
      <c r="E283" s="384">
        <v>101.4935</v>
      </c>
      <c r="F283" s="402">
        <f>IFERROR(E283*'01 Prod Physique Boites'!H279,"-")</f>
        <v>0</v>
      </c>
      <c r="G283" s="403">
        <f>IFERROR(E283*'01 Prod Physique Boites'!L279,"-")</f>
        <v>0</v>
      </c>
      <c r="H283" s="385">
        <v>160.44999999999999</v>
      </c>
      <c r="I283" s="421">
        <f t="shared" si="149"/>
        <v>0</v>
      </c>
      <c r="J283" s="422">
        <f t="shared" si="150"/>
        <v>0</v>
      </c>
    </row>
    <row r="284" spans="1:10" ht="24" x14ac:dyDescent="0.25">
      <c r="A284" s="274" t="s">
        <v>103</v>
      </c>
      <c r="B284" s="966"/>
      <c r="C284" s="295" t="s">
        <v>241</v>
      </c>
      <c r="D284" s="275" t="s">
        <v>243</v>
      </c>
      <c r="E284" s="384">
        <v>101.4935</v>
      </c>
      <c r="F284" s="402">
        <f>IFERROR(E284*'01 Prod Physique Boites'!H280,"-")</f>
        <v>0</v>
      </c>
      <c r="G284" s="403">
        <f>IFERROR(E284*'01 Prod Physique Boites'!L280,"-")</f>
        <v>0</v>
      </c>
      <c r="H284" s="385">
        <v>160.44999999999999</v>
      </c>
      <c r="I284" s="421">
        <f t="shared" si="149"/>
        <v>0</v>
      </c>
      <c r="J284" s="422">
        <f t="shared" si="150"/>
        <v>0</v>
      </c>
    </row>
    <row r="285" spans="1:10" ht="24" x14ac:dyDescent="0.25">
      <c r="A285" s="274"/>
      <c r="B285" s="967"/>
      <c r="C285" s="295" t="s">
        <v>457</v>
      </c>
      <c r="D285" s="275" t="s">
        <v>238</v>
      </c>
      <c r="E285" s="386">
        <v>101.49</v>
      </c>
      <c r="F285" s="402">
        <f>IFERROR(E285*'01 Prod Physique Boites'!H281,"-")</f>
        <v>0</v>
      </c>
      <c r="G285" s="403">
        <f>IFERROR(E285*'01 Prod Physique Boites'!L281,"-")</f>
        <v>0</v>
      </c>
      <c r="H285" s="385">
        <v>160.44999999999999</v>
      </c>
      <c r="I285" s="421">
        <f t="shared" si="149"/>
        <v>0</v>
      </c>
      <c r="J285" s="422">
        <f t="shared" si="150"/>
        <v>0</v>
      </c>
    </row>
    <row r="286" spans="1:10" ht="24.75" thickBot="1" x14ac:dyDescent="0.3">
      <c r="A286" s="274" t="s">
        <v>103</v>
      </c>
      <c r="B286" s="967"/>
      <c r="C286" s="295" t="s">
        <v>242</v>
      </c>
      <c r="D286" s="275" t="s">
        <v>238</v>
      </c>
      <c r="E286" s="386">
        <v>101.4935</v>
      </c>
      <c r="F286" s="402">
        <f>IFERROR(E286*'01 Prod Physique Boites'!H282,"-")</f>
        <v>0</v>
      </c>
      <c r="G286" s="403">
        <f>IFERROR(E286*'01 Prod Physique Boites'!L282,"-")</f>
        <v>0</v>
      </c>
      <c r="H286" s="385">
        <v>160.44999999999999</v>
      </c>
      <c r="I286" s="421">
        <f t="shared" si="149"/>
        <v>0</v>
      </c>
      <c r="J286" s="424">
        <f t="shared" si="150"/>
        <v>0</v>
      </c>
    </row>
    <row r="287" spans="1:10" ht="23.25" thickBot="1" x14ac:dyDescent="0.3">
      <c r="A287" s="274" t="s">
        <v>103</v>
      </c>
      <c r="B287" s="946" t="s">
        <v>49</v>
      </c>
      <c r="C287" s="947"/>
      <c r="D287" s="948"/>
      <c r="E287" s="390"/>
      <c r="F287" s="406">
        <f t="shared" ref="F287" si="151">SUM(F278:F286)</f>
        <v>0</v>
      </c>
      <c r="G287" s="407">
        <f>SUM(G278:G286)</f>
        <v>0</v>
      </c>
      <c r="H287" s="391"/>
      <c r="I287" s="406">
        <f t="shared" ref="I287" si="152">SUM(I278:I286)</f>
        <v>0</v>
      </c>
      <c r="J287" s="425">
        <f>SUM(J278:J286)</f>
        <v>0</v>
      </c>
    </row>
    <row r="288" spans="1:10" ht="23.25" thickBot="1" x14ac:dyDescent="0.3">
      <c r="A288" s="274" t="s">
        <v>103</v>
      </c>
      <c r="B288" s="960" t="s">
        <v>25</v>
      </c>
      <c r="C288" s="961"/>
      <c r="D288" s="962"/>
      <c r="E288" s="393"/>
      <c r="F288" s="410">
        <f t="shared" ref="F288" si="153">+F277+F287</f>
        <v>0</v>
      </c>
      <c r="G288" s="411">
        <f>+G277+G287</f>
        <v>0</v>
      </c>
      <c r="H288" s="394"/>
      <c r="I288" s="410">
        <f t="shared" ref="I288:J288" si="154">+I277+I287</f>
        <v>0</v>
      </c>
      <c r="J288" s="428">
        <f t="shared" si="154"/>
        <v>0</v>
      </c>
    </row>
    <row r="289" spans="1:10" ht="23.25" thickBot="1" x14ac:dyDescent="0.3">
      <c r="A289" s="274" t="s">
        <v>103</v>
      </c>
      <c r="B289" s="963" t="s">
        <v>172</v>
      </c>
      <c r="C289" s="941"/>
      <c r="D289" s="942"/>
      <c r="E289" s="395"/>
      <c r="F289" s="412">
        <f t="shared" ref="F289" si="155">+F272+F288</f>
        <v>3064978.1288000001</v>
      </c>
      <c r="G289" s="413">
        <f>+G272+G288</f>
        <v>6904049.0696</v>
      </c>
      <c r="H289" s="396"/>
      <c r="I289" s="412">
        <f t="shared" ref="I289:J289" si="156">+I272+I288</f>
        <v>3853677.5999999996</v>
      </c>
      <c r="J289" s="429">
        <f t="shared" si="156"/>
        <v>8534743.1999999993</v>
      </c>
    </row>
    <row r="290" spans="1:10" ht="24" x14ac:dyDescent="0.25">
      <c r="A290" s="268" t="s">
        <v>101</v>
      </c>
      <c r="B290" s="956" t="s">
        <v>26</v>
      </c>
      <c r="C290" s="297" t="s">
        <v>297</v>
      </c>
      <c r="D290" s="299" t="s">
        <v>177</v>
      </c>
      <c r="E290" s="504">
        <v>13.1272</v>
      </c>
      <c r="F290" s="402">
        <f>IFERROR(E290*'01 Prod Physique Boites'!H286,"-")</f>
        <v>0</v>
      </c>
      <c r="G290" s="403">
        <f>IFERROR(E290*'01 Prod Physique Boites'!L286,"-")</f>
        <v>0</v>
      </c>
      <c r="H290" s="381">
        <v>20.76</v>
      </c>
      <c r="I290" s="419">
        <f t="shared" ref="I290:I299" si="157">IFERROR(H290*(F290/E290),"-")</f>
        <v>0</v>
      </c>
      <c r="J290" s="632">
        <f t="shared" ref="J290:J299" si="158">IFERROR(H290*(G290/E290),"-")</f>
        <v>0</v>
      </c>
    </row>
    <row r="291" spans="1:10" ht="24" x14ac:dyDescent="0.25">
      <c r="A291" s="274" t="s">
        <v>101</v>
      </c>
      <c r="B291" s="956"/>
      <c r="C291" s="298" t="s">
        <v>424</v>
      </c>
      <c r="D291" s="298" t="s">
        <v>423</v>
      </c>
      <c r="E291" s="505">
        <v>16.7288</v>
      </c>
      <c r="F291" s="402">
        <f>IFERROR(E291*'01 Prod Physique Boites'!H287,"-")</f>
        <v>798565.99679999996</v>
      </c>
      <c r="G291" s="403">
        <f>IFERROR(E291*'01 Prod Physique Boites'!L287,"-")</f>
        <v>4125924.3168000001</v>
      </c>
      <c r="H291" s="385">
        <v>20.76</v>
      </c>
      <c r="I291" s="421">
        <f t="shared" si="157"/>
        <v>990999.3600000001</v>
      </c>
      <c r="J291" s="633">
        <f t="shared" si="158"/>
        <v>5120163.3600000003</v>
      </c>
    </row>
    <row r="292" spans="1:10" ht="24" x14ac:dyDescent="0.25">
      <c r="A292" s="274" t="s">
        <v>101</v>
      </c>
      <c r="B292" s="956"/>
      <c r="C292" s="299" t="s">
        <v>27</v>
      </c>
      <c r="D292" s="299" t="s">
        <v>334</v>
      </c>
      <c r="E292" s="501">
        <v>17.8202</v>
      </c>
      <c r="F292" s="402">
        <f>IFERROR(E292*'01 Prod Physique Boites'!H288,"-")</f>
        <v>0</v>
      </c>
      <c r="G292" s="403">
        <f>IFERROR(E292*'01 Prod Physique Boites'!L288,"-")</f>
        <v>0</v>
      </c>
      <c r="H292" s="385">
        <v>21.22</v>
      </c>
      <c r="I292" s="643">
        <f t="shared" si="157"/>
        <v>0</v>
      </c>
      <c r="J292" s="633">
        <f t="shared" si="158"/>
        <v>0</v>
      </c>
    </row>
    <row r="293" spans="1:10" ht="24" x14ac:dyDescent="0.25">
      <c r="A293" s="274" t="s">
        <v>101</v>
      </c>
      <c r="B293" s="956"/>
      <c r="C293" s="299" t="s">
        <v>27</v>
      </c>
      <c r="D293" s="299" t="s">
        <v>234</v>
      </c>
      <c r="E293" s="501">
        <v>17.8202</v>
      </c>
      <c r="F293" s="402">
        <f>IFERROR(E293*'01 Prod Physique Boites'!H289,"-")</f>
        <v>0</v>
      </c>
      <c r="G293" s="403">
        <f>IFERROR(E293*'01 Prod Physique Boites'!L289,"-")</f>
        <v>0</v>
      </c>
      <c r="H293" s="385">
        <v>24.93</v>
      </c>
      <c r="I293" s="643">
        <f t="shared" si="157"/>
        <v>0</v>
      </c>
      <c r="J293" s="633">
        <f t="shared" si="158"/>
        <v>0</v>
      </c>
    </row>
    <row r="294" spans="1:10" ht="24" x14ac:dyDescent="0.25">
      <c r="A294" s="274" t="s">
        <v>101</v>
      </c>
      <c r="B294" s="956"/>
      <c r="C294" s="299" t="s">
        <v>27</v>
      </c>
      <c r="D294" s="299" t="s">
        <v>279</v>
      </c>
      <c r="E294" s="501">
        <v>17.8202</v>
      </c>
      <c r="F294" s="402">
        <f>IFERROR(E294*'01 Prod Physique Boites'!H290,"-")</f>
        <v>0</v>
      </c>
      <c r="G294" s="403">
        <f>IFERROR(E294*'01 Prod Physique Boites'!L290,"-")</f>
        <v>0</v>
      </c>
      <c r="H294" s="385">
        <v>24.93</v>
      </c>
      <c r="I294" s="643">
        <f t="shared" si="157"/>
        <v>0</v>
      </c>
      <c r="J294" s="633">
        <f t="shared" si="158"/>
        <v>0</v>
      </c>
    </row>
    <row r="295" spans="1:10" ht="24" x14ac:dyDescent="0.25">
      <c r="A295" s="274"/>
      <c r="B295" s="956"/>
      <c r="C295" s="299" t="s">
        <v>437</v>
      </c>
      <c r="D295" s="299" t="s">
        <v>178</v>
      </c>
      <c r="E295" s="501">
        <v>14.608000000000001</v>
      </c>
      <c r="F295" s="402">
        <f>IFERROR(E295*'01 Prod Physique Boites'!H291,"-")</f>
        <v>0</v>
      </c>
      <c r="G295" s="403">
        <f>IFERROR(E295*'01 Prod Physique Boites'!L291,"-")</f>
        <v>0</v>
      </c>
      <c r="H295" s="387">
        <v>24.93</v>
      </c>
      <c r="I295" s="643">
        <f t="shared" si="157"/>
        <v>0</v>
      </c>
      <c r="J295" s="634">
        <f t="shared" si="158"/>
        <v>0</v>
      </c>
    </row>
    <row r="296" spans="1:10" ht="24" x14ac:dyDescent="0.25">
      <c r="A296" s="274"/>
      <c r="B296" s="956"/>
      <c r="C296" s="299" t="s">
        <v>436</v>
      </c>
      <c r="D296" s="299" t="s">
        <v>94</v>
      </c>
      <c r="E296" s="501">
        <v>17.8202</v>
      </c>
      <c r="F296" s="724">
        <f>IFERROR(E296*'01 Prod Physique Boites'!H292,"-")</f>
        <v>0</v>
      </c>
      <c r="G296" s="403">
        <f>IFERROR(E296*'01 Prod Physique Boites'!L292,"-")</f>
        <v>0</v>
      </c>
      <c r="H296" s="387">
        <v>24.93</v>
      </c>
      <c r="I296" s="730">
        <f t="shared" si="157"/>
        <v>0</v>
      </c>
      <c r="J296" s="634">
        <f t="shared" si="158"/>
        <v>0</v>
      </c>
    </row>
    <row r="297" spans="1:10" s="731" customFormat="1" ht="24" x14ac:dyDescent="0.25">
      <c r="A297" s="725"/>
      <c r="B297" s="956"/>
      <c r="C297" s="726" t="s">
        <v>383</v>
      </c>
      <c r="D297" s="726" t="s">
        <v>384</v>
      </c>
      <c r="E297" s="727">
        <v>16.345199999999998</v>
      </c>
      <c r="F297" s="724">
        <f>IFERROR(E297*'01 Prod Physique Boites'!H293,"-")</f>
        <v>0</v>
      </c>
      <c r="G297" s="728">
        <f>IFERROR(E297*'01 Prod Physique Boites'!L293,"-")</f>
        <v>0</v>
      </c>
      <c r="H297" s="729">
        <v>23.78</v>
      </c>
      <c r="I297" s="730">
        <f t="shared" si="157"/>
        <v>0</v>
      </c>
      <c r="J297" s="634">
        <f t="shared" si="158"/>
        <v>0</v>
      </c>
    </row>
    <row r="298" spans="1:10" s="731" customFormat="1" ht="24" x14ac:dyDescent="0.25">
      <c r="A298" s="725"/>
      <c r="B298" s="956"/>
      <c r="C298" s="299" t="s">
        <v>433</v>
      </c>
      <c r="D298" s="299" t="s">
        <v>178</v>
      </c>
      <c r="E298" s="727">
        <v>16.7288</v>
      </c>
      <c r="F298" s="724">
        <f>IFERROR(E298*'01 Prod Physique Boites'!H294,"-")</f>
        <v>0</v>
      </c>
      <c r="G298" s="728">
        <f>IFERROR(E298*'01 Prod Physique Boites'!L294,"-")</f>
        <v>0</v>
      </c>
      <c r="H298" s="729">
        <v>25.49</v>
      </c>
      <c r="I298" s="730">
        <f t="shared" si="157"/>
        <v>0</v>
      </c>
      <c r="J298" s="634">
        <f t="shared" si="158"/>
        <v>0</v>
      </c>
    </row>
    <row r="299" spans="1:10" ht="24.75" thickBot="1" x14ac:dyDescent="0.3">
      <c r="A299" s="274" t="s">
        <v>101</v>
      </c>
      <c r="B299" s="956"/>
      <c r="C299" s="300" t="s">
        <v>290</v>
      </c>
      <c r="D299" s="299" t="s">
        <v>289</v>
      </c>
      <c r="E299" s="501">
        <v>12.6997</v>
      </c>
      <c r="F299" s="402">
        <f>IFERROR(E299*'01 Prod Physique Boites'!H295,"-")</f>
        <v>0</v>
      </c>
      <c r="G299" s="728">
        <f>IFERROR(E299*'01 Prod Physique Boites'!L295,"-")</f>
        <v>0</v>
      </c>
      <c r="H299" s="387">
        <v>13.25</v>
      </c>
      <c r="I299" s="730">
        <f t="shared" si="157"/>
        <v>0</v>
      </c>
      <c r="J299" s="634">
        <f t="shared" si="158"/>
        <v>0</v>
      </c>
    </row>
    <row r="300" spans="1:10" ht="23.25" thickBot="1" x14ac:dyDescent="0.3">
      <c r="A300" s="274" t="s">
        <v>101</v>
      </c>
      <c r="B300" s="969"/>
      <c r="C300" s="301"/>
      <c r="D300" s="302" t="s">
        <v>52</v>
      </c>
      <c r="E300" s="390"/>
      <c r="F300" s="406">
        <f>SUM(F290:F299)</f>
        <v>798565.99679999996</v>
      </c>
      <c r="G300" s="407">
        <f>SUM(G290:G299)</f>
        <v>4125924.3168000001</v>
      </c>
      <c r="H300" s="391"/>
      <c r="I300" s="406">
        <f>SUM(I290:I299)</f>
        <v>990999.3600000001</v>
      </c>
      <c r="J300" s="425">
        <f>SUM(J290:J299)</f>
        <v>5120163.3600000003</v>
      </c>
    </row>
    <row r="301" spans="1:10" ht="24" x14ac:dyDescent="0.25">
      <c r="A301" s="274" t="s">
        <v>101</v>
      </c>
      <c r="B301" s="955" t="s">
        <v>28</v>
      </c>
      <c r="C301" s="299" t="s">
        <v>27</v>
      </c>
      <c r="D301" s="297" t="s">
        <v>492</v>
      </c>
      <c r="E301" s="504">
        <v>17.8202</v>
      </c>
      <c r="F301" s="402">
        <f>IFERROR(E301*'01 Prod Physique Boites'!H297,"-")</f>
        <v>567110.04480000003</v>
      </c>
      <c r="G301" s="403">
        <f>IFERROR(E301*'01 Prod Physique Boites'!L297,"-")</f>
        <v>567110.04480000003</v>
      </c>
      <c r="H301" s="381">
        <v>24.93</v>
      </c>
      <c r="I301" s="419">
        <f t="shared" ref="I301:I307" si="159">IFERROR(H301*(F301/E301),"-")</f>
        <v>793372.32000000007</v>
      </c>
      <c r="J301" s="632">
        <f t="shared" ref="J301:J302" si="160">IFERROR(H301*(G301/E301),"-")</f>
        <v>793372.32000000007</v>
      </c>
    </row>
    <row r="302" spans="1:10" ht="24" x14ac:dyDescent="0.25">
      <c r="A302" s="274" t="s">
        <v>101</v>
      </c>
      <c r="B302" s="956"/>
      <c r="C302" s="299" t="s">
        <v>386</v>
      </c>
      <c r="D302" s="299" t="s">
        <v>334</v>
      </c>
      <c r="E302" s="711">
        <v>16.7288</v>
      </c>
      <c r="F302" s="402">
        <f>IFERROR(E302*'01 Prod Physique Boites'!H298,"-")</f>
        <v>465830.16479999997</v>
      </c>
      <c r="G302" s="728">
        <f>IFERROR(E302*'01 Prod Physique Boites'!L298,"-")</f>
        <v>1597131.9935999999</v>
      </c>
      <c r="H302" s="708">
        <v>20.76</v>
      </c>
      <c r="I302" s="421">
        <f t="shared" si="159"/>
        <v>578082.96000000008</v>
      </c>
      <c r="J302" s="633">
        <f t="shared" si="160"/>
        <v>1981998.7200000002</v>
      </c>
    </row>
    <row r="303" spans="1:10" ht="24" x14ac:dyDescent="0.25">
      <c r="A303" s="274" t="s">
        <v>101</v>
      </c>
      <c r="B303" s="956"/>
      <c r="C303" s="299" t="s">
        <v>385</v>
      </c>
      <c r="D303" s="299" t="s">
        <v>334</v>
      </c>
      <c r="E303" s="501">
        <v>17.8202</v>
      </c>
      <c r="F303" s="402">
        <f>IFERROR(E303*'01 Prod Physique Boites'!H299,"-")</f>
        <v>0</v>
      </c>
      <c r="G303" s="403">
        <f>IFERROR(E303*'01 Prod Physique Boites'!L299,"-")</f>
        <v>0</v>
      </c>
      <c r="H303" s="385">
        <v>21.22</v>
      </c>
      <c r="I303" s="421">
        <f t="shared" si="159"/>
        <v>0</v>
      </c>
      <c r="J303" s="633">
        <f>IFERROR(H303*(G303/E303),"-")</f>
        <v>0</v>
      </c>
    </row>
    <row r="304" spans="1:10" ht="24" x14ac:dyDescent="0.25">
      <c r="A304" s="274"/>
      <c r="B304" s="956"/>
      <c r="C304" s="299" t="s">
        <v>460</v>
      </c>
      <c r="D304" s="299" t="s">
        <v>334</v>
      </c>
      <c r="E304" s="501">
        <v>14.608000000000001</v>
      </c>
      <c r="F304" s="402">
        <f>IFERROR(E304*'01 Prod Physique Boites'!H300,"-")</f>
        <v>0</v>
      </c>
      <c r="G304" s="403">
        <f>IFERROR(E304*'01 Prod Physique Boites'!L300,"-")</f>
        <v>0</v>
      </c>
      <c r="H304" s="385">
        <v>21.22</v>
      </c>
      <c r="I304" s="421">
        <f t="shared" si="159"/>
        <v>0</v>
      </c>
      <c r="J304" s="633">
        <f>IFERROR(H304*(G304/E304),"-")</f>
        <v>0</v>
      </c>
    </row>
    <row r="305" spans="1:10" ht="24" x14ac:dyDescent="0.25">
      <c r="A305" s="274"/>
      <c r="B305" s="956"/>
      <c r="C305" s="299" t="s">
        <v>383</v>
      </c>
      <c r="D305" s="299" t="s">
        <v>384</v>
      </c>
      <c r="E305" s="711">
        <v>16.345199999999998</v>
      </c>
      <c r="F305" s="402">
        <f>IFERROR(E305*'01 Prod Physique Boites'!H301,"-")</f>
        <v>0</v>
      </c>
      <c r="G305" s="403">
        <f>IFERROR(E305*'01 Prod Physique Boites'!L301,"-")</f>
        <v>0</v>
      </c>
      <c r="H305" s="385">
        <v>23.78</v>
      </c>
      <c r="I305" s="423">
        <f t="shared" si="159"/>
        <v>0</v>
      </c>
      <c r="J305" s="634">
        <f t="shared" ref="J305:J307" si="161">IFERROR(H305*(G305/E305),"-")</f>
        <v>0</v>
      </c>
    </row>
    <row r="306" spans="1:10" ht="24" x14ac:dyDescent="0.25">
      <c r="A306" s="274"/>
      <c r="B306" s="956"/>
      <c r="C306" s="299" t="s">
        <v>458</v>
      </c>
      <c r="D306" s="300" t="s">
        <v>280</v>
      </c>
      <c r="E306" s="711">
        <v>17.8202</v>
      </c>
      <c r="F306" s="402">
        <f>IFERROR(E306*'01 Prod Physique Boites'!H302,"-")</f>
        <v>0</v>
      </c>
      <c r="G306" s="403">
        <f>IFERROR(E306*'01 Prod Physique Boites'!L302,"-")</f>
        <v>0</v>
      </c>
      <c r="H306" s="385">
        <v>24.93</v>
      </c>
      <c r="I306" s="730">
        <f t="shared" si="159"/>
        <v>0</v>
      </c>
      <c r="J306" s="634">
        <f t="shared" si="161"/>
        <v>0</v>
      </c>
    </row>
    <row r="307" spans="1:10" ht="24.75" thickBot="1" x14ac:dyDescent="0.3">
      <c r="A307" s="274" t="s">
        <v>101</v>
      </c>
      <c r="B307" s="956"/>
      <c r="C307" s="299" t="s">
        <v>27</v>
      </c>
      <c r="D307" s="300" t="s">
        <v>234</v>
      </c>
      <c r="E307" s="501">
        <v>17.8202</v>
      </c>
      <c r="F307" s="402">
        <f>IFERROR(E307*'01 Prod Physique Boites'!H303,"-")</f>
        <v>0</v>
      </c>
      <c r="G307" s="403">
        <f>IFERROR(E307*'01 Prod Physique Boites'!L303,"-")</f>
        <v>0</v>
      </c>
      <c r="H307" s="385">
        <v>24.93</v>
      </c>
      <c r="I307" s="423">
        <f t="shared" si="159"/>
        <v>0</v>
      </c>
      <c r="J307" s="634">
        <f t="shared" si="161"/>
        <v>0</v>
      </c>
    </row>
    <row r="308" spans="1:10" ht="23.25" thickBot="1" x14ac:dyDescent="0.3">
      <c r="A308" s="274" t="s">
        <v>101</v>
      </c>
      <c r="B308" s="956"/>
      <c r="C308" s="304"/>
      <c r="D308" s="305" t="s">
        <v>52</v>
      </c>
      <c r="E308" s="397"/>
      <c r="F308" s="414">
        <f t="shared" ref="F308:G308" si="162">SUM(F301:F307)</f>
        <v>1032940.2095999999</v>
      </c>
      <c r="G308" s="415">
        <f t="shared" si="162"/>
        <v>2164242.0384</v>
      </c>
      <c r="H308" s="398"/>
      <c r="I308" s="414">
        <f t="shared" ref="I308:J308" si="163">SUM(I301:I307)</f>
        <v>1371455.2800000003</v>
      </c>
      <c r="J308" s="430">
        <f t="shared" si="163"/>
        <v>2775371.04</v>
      </c>
    </row>
    <row r="309" spans="1:10" ht="23.25" thickBot="1" x14ac:dyDescent="0.3">
      <c r="A309" s="777" t="s">
        <v>101</v>
      </c>
      <c r="B309" s="957" t="s">
        <v>162</v>
      </c>
      <c r="C309" s="958"/>
      <c r="D309" s="959"/>
      <c r="E309" s="399"/>
      <c r="F309" s="416">
        <f t="shared" ref="F309:G309" si="164">+F300+F308</f>
        <v>1831506.2064</v>
      </c>
      <c r="G309" s="417">
        <f t="shared" si="164"/>
        <v>6290166.3552000001</v>
      </c>
      <c r="H309" s="400"/>
      <c r="I309" s="416">
        <f t="shared" ref="I309:J309" si="165">+I300+I308</f>
        <v>2362454.6400000006</v>
      </c>
      <c r="J309" s="431">
        <f t="shared" si="165"/>
        <v>7895534.4000000004</v>
      </c>
    </row>
    <row r="310" spans="1:10" ht="24" x14ac:dyDescent="0.25">
      <c r="A310" s="274" t="s">
        <v>101</v>
      </c>
      <c r="B310" s="956" t="s">
        <v>30</v>
      </c>
      <c r="C310" s="303" t="s">
        <v>450</v>
      </c>
      <c r="D310" s="299" t="s">
        <v>334</v>
      </c>
      <c r="E310" s="736">
        <v>27.917000000000002</v>
      </c>
      <c r="F310" s="402">
        <f>IFERROR(E310*'01 Prod Physique Boites'!H306,"-")</f>
        <v>0</v>
      </c>
      <c r="G310" s="728">
        <f>IFERROR(E310*'01 Prod Physique Boites'!L306,"-")</f>
        <v>0</v>
      </c>
      <c r="H310" s="734">
        <v>33.299999999999997</v>
      </c>
      <c r="I310" s="419">
        <f>IFERROR(H310*(F310/E310),"-")</f>
        <v>0</v>
      </c>
      <c r="J310" s="420">
        <f t="shared" ref="J310:J312" si="166">IFERROR(H310*(G310/E310),"-")</f>
        <v>0</v>
      </c>
    </row>
    <row r="311" spans="1:10" ht="24" x14ac:dyDescent="0.25">
      <c r="A311" s="274" t="s">
        <v>101</v>
      </c>
      <c r="B311" s="956"/>
      <c r="C311" s="300" t="s">
        <v>448</v>
      </c>
      <c r="D311" s="303" t="s">
        <v>384</v>
      </c>
      <c r="E311" s="733">
        <v>28.526700000000002</v>
      </c>
      <c r="F311" s="402">
        <f>IFERROR(E311*'01 Prod Physique Boites'!H307,"-")</f>
        <v>0</v>
      </c>
      <c r="G311" s="728">
        <f>IFERROR(E311*'01 Prod Physique Boites'!L307,"-")</f>
        <v>0</v>
      </c>
      <c r="H311" s="735">
        <v>37.89</v>
      </c>
      <c r="I311" s="421">
        <f>IFERROR(H311*(F311/E311),"-")</f>
        <v>0</v>
      </c>
      <c r="J311" s="422">
        <f t="shared" si="166"/>
        <v>0</v>
      </c>
    </row>
    <row r="312" spans="1:10" ht="24.75" thickBot="1" x14ac:dyDescent="0.3">
      <c r="A312" s="274" t="s">
        <v>101</v>
      </c>
      <c r="B312" s="956"/>
      <c r="C312" s="300" t="s">
        <v>291</v>
      </c>
      <c r="D312" s="300" t="s">
        <v>384</v>
      </c>
      <c r="E312" s="501">
        <v>25.751300000000001</v>
      </c>
      <c r="F312" s="724">
        <f>IFERROR(E312*'01 Prod Physique Boites'!H308,"-")</f>
        <v>0</v>
      </c>
      <c r="G312" s="728">
        <f>IFERROR(E312*'01 Prod Physique Boites'!L308,"-")</f>
        <v>0</v>
      </c>
      <c r="H312" s="387">
        <v>37.89</v>
      </c>
      <c r="I312" s="423">
        <f>IFERROR(H312*(F312/E312),"-")</f>
        <v>0</v>
      </c>
      <c r="J312" s="424">
        <f t="shared" si="166"/>
        <v>0</v>
      </c>
    </row>
    <row r="313" spans="1:10" ht="23.25" thickBot="1" x14ac:dyDescent="0.3">
      <c r="A313" s="274" t="s">
        <v>101</v>
      </c>
      <c r="B313" s="956"/>
      <c r="C313" s="301"/>
      <c r="D313" s="302" t="s">
        <v>50</v>
      </c>
      <c r="E313" s="390"/>
      <c r="F313" s="406">
        <f t="shared" ref="F313:G313" si="167">SUM(F310:F312)</f>
        <v>0</v>
      </c>
      <c r="G313" s="407">
        <f t="shared" si="167"/>
        <v>0</v>
      </c>
      <c r="H313" s="391"/>
      <c r="I313" s="406">
        <f t="shared" ref="I313" si="168">SUM(I310:I312)</f>
        <v>0</v>
      </c>
      <c r="J313" s="425">
        <f>SUM(J310:J312)</f>
        <v>0</v>
      </c>
    </row>
    <row r="314" spans="1:10" ht="24" x14ac:dyDescent="0.25">
      <c r="A314" s="274" t="s">
        <v>101</v>
      </c>
      <c r="B314" s="956"/>
      <c r="C314" s="297" t="s">
        <v>439</v>
      </c>
      <c r="D314" s="297" t="s">
        <v>92</v>
      </c>
      <c r="E314" s="504">
        <v>24.2607</v>
      </c>
      <c r="F314" s="402">
        <f>IFERROR(E314*'01 Prod Physique Boites'!H310,"-")</f>
        <v>0</v>
      </c>
      <c r="G314" s="728">
        <f>IFERROR(E314*'01 Prod Physique Boites'!L310,"-")</f>
        <v>0</v>
      </c>
      <c r="H314" s="381">
        <v>28.31</v>
      </c>
      <c r="I314" s="638">
        <f>IFERROR(H314*(F314/E314),"-")</f>
        <v>0</v>
      </c>
      <c r="J314" s="420">
        <f t="shared" ref="J314:J319" si="169">IFERROR(H314*(G314/E314),"-")</f>
        <v>0</v>
      </c>
    </row>
    <row r="315" spans="1:10" ht="24" x14ac:dyDescent="0.25">
      <c r="A315" s="274"/>
      <c r="B315" s="956"/>
      <c r="C315" s="303" t="s">
        <v>449</v>
      </c>
      <c r="D315" s="299" t="s">
        <v>334</v>
      </c>
      <c r="E315" s="504">
        <v>24.2607</v>
      </c>
      <c r="F315" s="402">
        <f>IFERROR(E315*'01 Prod Physique Boites'!H311,"-")</f>
        <v>0</v>
      </c>
      <c r="G315" s="728">
        <f>IFERROR(E315*'01 Prod Physique Boites'!L311,"-")</f>
        <v>0</v>
      </c>
      <c r="H315" s="381">
        <v>28.88</v>
      </c>
      <c r="I315" s="638">
        <f t="shared" ref="I315:I319" si="170">IFERROR(H315*(F315/E315),"-")</f>
        <v>0</v>
      </c>
      <c r="J315" s="420">
        <f t="shared" si="169"/>
        <v>0</v>
      </c>
    </row>
    <row r="316" spans="1:10" ht="24" x14ac:dyDescent="0.25">
      <c r="A316" s="274"/>
      <c r="B316" s="956"/>
      <c r="C316" s="303" t="s">
        <v>452</v>
      </c>
      <c r="D316" s="299" t="s">
        <v>334</v>
      </c>
      <c r="E316" s="504">
        <v>25.4041</v>
      </c>
      <c r="F316" s="402">
        <f>IFERROR(E316*'01 Prod Physique Boites'!H312,"-")</f>
        <v>0</v>
      </c>
      <c r="G316" s="728">
        <f>IFERROR(E316*'01 Prod Physique Boites'!L312,"-")</f>
        <v>0</v>
      </c>
      <c r="H316" s="381">
        <v>28.21</v>
      </c>
      <c r="I316" s="638">
        <f t="shared" si="170"/>
        <v>0</v>
      </c>
      <c r="J316" s="420">
        <f t="shared" si="169"/>
        <v>0</v>
      </c>
    </row>
    <row r="317" spans="1:10" ht="24" x14ac:dyDescent="0.25">
      <c r="A317" s="274" t="s">
        <v>101</v>
      </c>
      <c r="B317" s="956"/>
      <c r="C317" s="303" t="s">
        <v>335</v>
      </c>
      <c r="D317" s="303" t="s">
        <v>234</v>
      </c>
      <c r="E317" s="505">
        <v>27.917000000000002</v>
      </c>
      <c r="F317" s="724">
        <f>IFERROR(E317*'01 Prod Physique Boites'!H313,"-")</f>
        <v>0</v>
      </c>
      <c r="G317" s="728">
        <f>IFERROR(E317*'01 Prod Physique Boites'!L313,"-")</f>
        <v>0</v>
      </c>
      <c r="H317" s="385">
        <v>39</v>
      </c>
      <c r="I317" s="638">
        <f t="shared" si="170"/>
        <v>0</v>
      </c>
      <c r="J317" s="420">
        <f t="shared" si="169"/>
        <v>0</v>
      </c>
    </row>
    <row r="318" spans="1:10" ht="24" x14ac:dyDescent="0.25">
      <c r="A318" s="274"/>
      <c r="B318" s="956"/>
      <c r="C318" s="300" t="s">
        <v>459</v>
      </c>
      <c r="D318" s="300" t="s">
        <v>366</v>
      </c>
      <c r="E318" s="501">
        <v>22.094999999999999</v>
      </c>
      <c r="F318" s="724">
        <f>IFERROR(E318*'01 Prod Physique Boites'!H314,"-")</f>
        <v>0</v>
      </c>
      <c r="G318" s="728">
        <f>IFERROR(E318*'01 Prod Physique Boites'!L314,"-")</f>
        <v>0</v>
      </c>
      <c r="H318" s="745">
        <v>37.11</v>
      </c>
      <c r="I318" s="638">
        <f t="shared" si="170"/>
        <v>0</v>
      </c>
      <c r="J318" s="420">
        <f t="shared" si="169"/>
        <v>0</v>
      </c>
    </row>
    <row r="319" spans="1:10" ht="24.75" thickBot="1" x14ac:dyDescent="0.3">
      <c r="A319" s="274" t="s">
        <v>101</v>
      </c>
      <c r="B319" s="956"/>
      <c r="C319" s="300" t="s">
        <v>438</v>
      </c>
      <c r="D319" s="300" t="s">
        <v>423</v>
      </c>
      <c r="E319" s="501">
        <v>23.697399999999998</v>
      </c>
      <c r="F319" s="402">
        <f>IFERROR(E319*'01 Prod Physique Boites'!H315,"-")</f>
        <v>0</v>
      </c>
      <c r="G319" s="403">
        <f>IFERROR(E319*'01 Prod Physique Boites'!L315,"-")</f>
        <v>0</v>
      </c>
      <c r="H319" s="387">
        <v>28.21</v>
      </c>
      <c r="I319" s="638">
        <f t="shared" si="170"/>
        <v>0</v>
      </c>
      <c r="J319" s="420">
        <f t="shared" si="169"/>
        <v>0</v>
      </c>
    </row>
    <row r="320" spans="1:10" ht="23.25" thickBot="1" x14ac:dyDescent="0.3">
      <c r="A320" s="274" t="s">
        <v>101</v>
      </c>
      <c r="B320" s="956"/>
      <c r="C320" s="304"/>
      <c r="D320" s="305" t="s">
        <v>51</v>
      </c>
      <c r="E320" s="397"/>
      <c r="F320" s="414">
        <f t="shared" ref="F320:G320" si="171">SUM(F314:F319)</f>
        <v>0</v>
      </c>
      <c r="G320" s="415">
        <f t="shared" si="171"/>
        <v>0</v>
      </c>
      <c r="H320" s="398"/>
      <c r="I320" s="414">
        <f t="shared" ref="I320" si="172">SUM(I314:I319)</f>
        <v>0</v>
      </c>
      <c r="J320" s="430">
        <f>SUM(J314:J319)</f>
        <v>0</v>
      </c>
    </row>
    <row r="321" spans="1:10" ht="23.25" thickBot="1" x14ac:dyDescent="0.3">
      <c r="A321" s="274" t="s">
        <v>101</v>
      </c>
      <c r="B321" s="957" t="s">
        <v>163</v>
      </c>
      <c r="C321" s="958"/>
      <c r="D321" s="959"/>
      <c r="E321" s="399"/>
      <c r="F321" s="416">
        <f t="shared" ref="F321:G321" si="173">+F313+F320</f>
        <v>0</v>
      </c>
      <c r="G321" s="417">
        <f t="shared" si="173"/>
        <v>0</v>
      </c>
      <c r="H321" s="400"/>
      <c r="I321" s="416">
        <f t="shared" ref="I321:J321" si="174">+I313+I320</f>
        <v>0</v>
      </c>
      <c r="J321" s="431">
        <f t="shared" si="174"/>
        <v>0</v>
      </c>
    </row>
    <row r="322" spans="1:10" ht="24.75" thickBot="1" x14ac:dyDescent="0.3">
      <c r="A322" s="274" t="s">
        <v>101</v>
      </c>
      <c r="B322" s="599" t="s">
        <v>32</v>
      </c>
      <c r="C322" s="773"/>
      <c r="D322" s="310"/>
      <c r="E322" s="506">
        <v>12.2659</v>
      </c>
      <c r="F322" s="408">
        <f>IFERROR(E322*'01 Prod Physique Boites'!H318,"-")</f>
        <v>0</v>
      </c>
      <c r="G322" s="409">
        <f>IFERROR(E322*'01 Prod Physique Boites'!L318,"-")</f>
        <v>0</v>
      </c>
      <c r="H322" s="392"/>
      <c r="I322" s="426">
        <f>IFERROR(H322*(F322/E322),"-")</f>
        <v>0</v>
      </c>
      <c r="J322" s="427">
        <f>IFERROR(H322*(G322/E322),"-")</f>
        <v>0</v>
      </c>
    </row>
    <row r="323" spans="1:10" ht="23.25" thickBot="1" x14ac:dyDescent="0.3">
      <c r="A323" s="274" t="s">
        <v>101</v>
      </c>
      <c r="B323" s="960" t="s">
        <v>21</v>
      </c>
      <c r="C323" s="961"/>
      <c r="D323" s="962"/>
      <c r="E323" s="393"/>
      <c r="F323" s="410">
        <f t="shared" ref="F323" si="175">+F309+F321+F322</f>
        <v>1831506.2064</v>
      </c>
      <c r="G323" s="411">
        <f>+G309+G321+G322</f>
        <v>6290166.3552000001</v>
      </c>
      <c r="H323" s="394"/>
      <c r="I323" s="410">
        <f t="shared" ref="I323:J323" si="176">+I309+I321+I322</f>
        <v>2362454.6400000006</v>
      </c>
      <c r="J323" s="428">
        <f t="shared" si="176"/>
        <v>7895534.4000000004</v>
      </c>
    </row>
    <row r="324" spans="1:10" ht="23.25" thickBot="1" x14ac:dyDescent="0.3">
      <c r="A324" s="274" t="s">
        <v>101</v>
      </c>
      <c r="B324" s="963" t="s">
        <v>171</v>
      </c>
      <c r="C324" s="941"/>
      <c r="D324" s="942"/>
      <c r="E324" s="395"/>
      <c r="F324" s="412">
        <f t="shared" ref="F324:G324" si="177">+F323</f>
        <v>1831506.2064</v>
      </c>
      <c r="G324" s="413">
        <f t="shared" si="177"/>
        <v>6290166.3552000001</v>
      </c>
      <c r="H324" s="396"/>
      <c r="I324" s="412">
        <f t="shared" ref="I324:J324" si="178">+I323</f>
        <v>2362454.6400000006</v>
      </c>
      <c r="J324" s="429">
        <f t="shared" si="178"/>
        <v>7895534.4000000004</v>
      </c>
    </row>
    <row r="325" spans="1:10" ht="24" x14ac:dyDescent="0.25">
      <c r="A325" s="268" t="s">
        <v>102</v>
      </c>
      <c r="B325" s="949" t="s">
        <v>401</v>
      </c>
      <c r="C325" s="311" t="s">
        <v>113</v>
      </c>
      <c r="D325" s="311"/>
      <c r="E325" s="709">
        <v>254.89750000000001</v>
      </c>
      <c r="F325" s="402">
        <f>IFERROR(E325*'01 Prod Physique Boites'!H321,"-")</f>
        <v>0</v>
      </c>
      <c r="G325" s="403">
        <f>IFERROR(E325*'01 Prod Physique Boites'!L321,"-")</f>
        <v>0</v>
      </c>
      <c r="H325" s="381">
        <v>445.38</v>
      </c>
      <c r="I325" s="419">
        <f>IFERROR(H325*(F325/E325),"-")</f>
        <v>0</v>
      </c>
      <c r="J325" s="420">
        <f t="shared" ref="J325:J327" si="179">IFERROR(H325*(G325/E325),"-")</f>
        <v>0</v>
      </c>
    </row>
    <row r="326" spans="1:10" ht="24" x14ac:dyDescent="0.25">
      <c r="A326" s="274" t="s">
        <v>102</v>
      </c>
      <c r="B326" s="951"/>
      <c r="C326" s="312" t="s">
        <v>247</v>
      </c>
      <c r="D326" s="312"/>
      <c r="E326" s="503">
        <v>246.51390000000001</v>
      </c>
      <c r="F326" s="402">
        <f>IFERROR(E326*'01 Prod Physique Boites'!H322,"-")</f>
        <v>295816.68</v>
      </c>
      <c r="G326" s="403">
        <f>IFERROR(E326*'01 Prod Physique Boites'!L322,"-")</f>
        <v>468376.41000000003</v>
      </c>
      <c r="H326" s="385">
        <v>430.02</v>
      </c>
      <c r="I326" s="421">
        <f>IFERROR(H326*(F326/E326),"-")</f>
        <v>516024</v>
      </c>
      <c r="J326" s="422">
        <f t="shared" si="179"/>
        <v>817038</v>
      </c>
    </row>
    <row r="327" spans="1:10" ht="24.75" thickBot="1" x14ac:dyDescent="0.3">
      <c r="A327" s="274" t="s">
        <v>102</v>
      </c>
      <c r="B327" s="950"/>
      <c r="C327" s="313" t="s">
        <v>33</v>
      </c>
      <c r="D327" s="313"/>
      <c r="E327" s="500">
        <v>225.7713</v>
      </c>
      <c r="F327" s="402">
        <f>IFERROR(E327*'01 Prod Physique Boites'!H323,"-")</f>
        <v>0</v>
      </c>
      <c r="G327" s="403">
        <f>IFERROR(E327*'01 Prod Physique Boites'!L323,"-")</f>
        <v>0</v>
      </c>
      <c r="H327" s="387"/>
      <c r="I327" s="423">
        <f>IFERROR(H327*(F327/E327),"-")</f>
        <v>0</v>
      </c>
      <c r="J327" s="424">
        <f t="shared" si="179"/>
        <v>0</v>
      </c>
    </row>
    <row r="328" spans="1:10" ht="23.25" thickBot="1" x14ac:dyDescent="0.3">
      <c r="A328" s="274" t="s">
        <v>102</v>
      </c>
      <c r="B328" s="946" t="s">
        <v>34</v>
      </c>
      <c r="C328" s="947"/>
      <c r="D328" s="948"/>
      <c r="E328" s="390"/>
      <c r="F328" s="406">
        <f t="shared" ref="F328:G328" si="180">SUM(F325:F327)</f>
        <v>295816.68</v>
      </c>
      <c r="G328" s="407">
        <f t="shared" si="180"/>
        <v>468376.41000000003</v>
      </c>
      <c r="H328" s="391"/>
      <c r="I328" s="406">
        <f t="shared" ref="I328:J328" si="181">SUM(I325:I327)</f>
        <v>516024</v>
      </c>
      <c r="J328" s="425">
        <f t="shared" si="181"/>
        <v>817038</v>
      </c>
    </row>
    <row r="329" spans="1:10" ht="24" x14ac:dyDescent="0.25">
      <c r="A329" s="274" t="s">
        <v>102</v>
      </c>
      <c r="B329" s="949" t="s">
        <v>35</v>
      </c>
      <c r="C329" s="311" t="s">
        <v>113</v>
      </c>
      <c r="D329" s="311"/>
      <c r="E329" s="502">
        <v>254.89750000000001</v>
      </c>
      <c r="F329" s="402">
        <f>IFERROR(E329*'01 Prod Physique Boites'!H325,"-")</f>
        <v>0</v>
      </c>
      <c r="G329" s="403">
        <f>IFERROR(E329*'01 Prod Physique Boites'!L325,"-")</f>
        <v>0</v>
      </c>
      <c r="H329" s="381">
        <v>445.38</v>
      </c>
      <c r="I329" s="419">
        <f>IFERROR(H329*(F329/E329),"-")</f>
        <v>0</v>
      </c>
      <c r="J329" s="420">
        <f t="shared" ref="J329:J332" si="182">IFERROR(H329*(G329/E329),"-")</f>
        <v>0</v>
      </c>
    </row>
    <row r="330" spans="1:10" ht="24" x14ac:dyDescent="0.25">
      <c r="A330" s="274" t="s">
        <v>102</v>
      </c>
      <c r="B330" s="951"/>
      <c r="C330" s="312" t="s">
        <v>247</v>
      </c>
      <c r="D330" s="312"/>
      <c r="E330" s="503">
        <v>246.51390000000001</v>
      </c>
      <c r="F330" s="402">
        <f>IFERROR(E330*'01 Prod Physique Boites'!H326,"-")</f>
        <v>0</v>
      </c>
      <c r="G330" s="403">
        <f>IFERROR(E330*'01 Prod Physique Boites'!L326,"-")</f>
        <v>0</v>
      </c>
      <c r="H330" s="385">
        <v>430.02</v>
      </c>
      <c r="I330" s="421">
        <f>IFERROR(H330*(F330/E330),"-")</f>
        <v>0</v>
      </c>
      <c r="J330" s="422">
        <f t="shared" si="182"/>
        <v>0</v>
      </c>
    </row>
    <row r="331" spans="1:10" ht="24" x14ac:dyDescent="0.25">
      <c r="A331" s="274" t="s">
        <v>102</v>
      </c>
      <c r="B331" s="951"/>
      <c r="C331" s="312" t="s">
        <v>184</v>
      </c>
      <c r="D331" s="312" t="s">
        <v>183</v>
      </c>
      <c r="E331" s="503">
        <v>254.89750000000001</v>
      </c>
      <c r="F331" s="402">
        <f>IFERROR(E331*'01 Prod Physique Boites'!H327,"-")</f>
        <v>0</v>
      </c>
      <c r="G331" s="403">
        <f>IFERROR(E331*'01 Prod Physique Boites'!L327,"-")</f>
        <v>0</v>
      </c>
      <c r="H331" s="385"/>
      <c r="I331" s="421">
        <f>IFERROR(H331*(F331/E331),"-")</f>
        <v>0</v>
      </c>
      <c r="J331" s="422">
        <f t="shared" si="182"/>
        <v>0</v>
      </c>
    </row>
    <row r="332" spans="1:10" ht="24.75" thickBot="1" x14ac:dyDescent="0.3">
      <c r="A332" s="274" t="s">
        <v>102</v>
      </c>
      <c r="B332" s="950"/>
      <c r="C332" s="313" t="s">
        <v>36</v>
      </c>
      <c r="D332" s="313"/>
      <c r="E332" s="500">
        <v>229.99359999999999</v>
      </c>
      <c r="F332" s="402">
        <f>IFERROR(E332*'01 Prod Physique Boites'!H328,"-")</f>
        <v>0</v>
      </c>
      <c r="G332" s="403">
        <f>IFERROR(E332*'01 Prod Physique Boites'!L328,"-")</f>
        <v>0</v>
      </c>
      <c r="H332" s="387"/>
      <c r="I332" s="423">
        <f>IFERROR(H332*(F332/E332),"-")</f>
        <v>0</v>
      </c>
      <c r="J332" s="424">
        <f t="shared" si="182"/>
        <v>0</v>
      </c>
    </row>
    <row r="333" spans="1:10" ht="23.25" thickBot="1" x14ac:dyDescent="0.3">
      <c r="A333" s="274" t="s">
        <v>102</v>
      </c>
      <c r="B333" s="946" t="s">
        <v>37</v>
      </c>
      <c r="C333" s="947"/>
      <c r="D333" s="948"/>
      <c r="E333" s="390"/>
      <c r="F333" s="406">
        <f t="shared" ref="F333:G333" si="183">SUM(F329:F332)</f>
        <v>0</v>
      </c>
      <c r="G333" s="407">
        <f t="shared" si="183"/>
        <v>0</v>
      </c>
      <c r="H333" s="391"/>
      <c r="I333" s="406">
        <f>SUM(I329:I332)</f>
        <v>0</v>
      </c>
      <c r="J333" s="425">
        <f>SUM(J329:J332)</f>
        <v>0</v>
      </c>
    </row>
    <row r="334" spans="1:10" ht="24" x14ac:dyDescent="0.25">
      <c r="A334" s="274" t="s">
        <v>102</v>
      </c>
      <c r="B334" s="949" t="s">
        <v>402</v>
      </c>
      <c r="C334" s="314" t="s">
        <v>116</v>
      </c>
      <c r="D334" s="314"/>
      <c r="E334" s="502">
        <v>195.2808</v>
      </c>
      <c r="F334" s="402">
        <f>IFERROR(E334*'01 Prod Physique Boites'!H330,"-")</f>
        <v>0</v>
      </c>
      <c r="G334" s="403">
        <f>IFERROR(E334*'01 Prod Physique Boites'!L330,"-")</f>
        <v>0</v>
      </c>
      <c r="H334" s="681">
        <v>256.7</v>
      </c>
      <c r="I334" s="419">
        <f>IFERROR(H334*(F334/E334),"-")</f>
        <v>0</v>
      </c>
      <c r="J334" s="420">
        <f t="shared" ref="J334:J335" si="184">IFERROR(H334*(G334/E334),"-")</f>
        <v>0</v>
      </c>
    </row>
    <row r="335" spans="1:10" ht="24.75" thickBot="1" x14ac:dyDescent="0.3">
      <c r="A335" s="274" t="s">
        <v>102</v>
      </c>
      <c r="B335" s="950"/>
      <c r="C335" s="286" t="s">
        <v>132</v>
      </c>
      <c r="D335" s="286"/>
      <c r="E335" s="500">
        <v>189.91890000000001</v>
      </c>
      <c r="F335" s="402">
        <f>IFERROR(E335*'01 Prod Physique Boites'!H331,"-")</f>
        <v>320962.94099999999</v>
      </c>
      <c r="G335" s="403">
        <f>IFERROR(E335*'01 Prod Physique Boites'!L331,"-")</f>
        <v>472898.06100000005</v>
      </c>
      <c r="H335" s="387">
        <v>320.35000000000002</v>
      </c>
      <c r="I335" s="423">
        <f>IFERROR(H335*(F335/E335),"-")</f>
        <v>541391.5</v>
      </c>
      <c r="J335" s="424">
        <f t="shared" si="184"/>
        <v>797671.5</v>
      </c>
    </row>
    <row r="336" spans="1:10" ht="23.25" thickBot="1" x14ac:dyDescent="0.3">
      <c r="A336" s="777" t="s">
        <v>102</v>
      </c>
      <c r="B336" s="946" t="s">
        <v>38</v>
      </c>
      <c r="C336" s="947"/>
      <c r="D336" s="948"/>
      <c r="E336" s="390"/>
      <c r="F336" s="406">
        <f>SUM(F334:F335)</f>
        <v>320962.94099999999</v>
      </c>
      <c r="G336" s="407">
        <f t="shared" ref="G336" si="185">SUM(G334:G335)</f>
        <v>472898.06100000005</v>
      </c>
      <c r="H336" s="391"/>
      <c r="I336" s="406">
        <f t="shared" ref="I336:J336" si="186">SUM(I334:I335)</f>
        <v>541391.5</v>
      </c>
      <c r="J336" s="425">
        <f t="shared" si="186"/>
        <v>797671.5</v>
      </c>
    </row>
    <row r="337" spans="1:10" ht="24" x14ac:dyDescent="0.25">
      <c r="A337" s="274" t="s">
        <v>102</v>
      </c>
      <c r="B337" s="949" t="s">
        <v>403</v>
      </c>
      <c r="C337" s="269" t="s">
        <v>306</v>
      </c>
      <c r="D337" s="269" t="s">
        <v>238</v>
      </c>
      <c r="E337" s="504">
        <v>37.248699999999999</v>
      </c>
      <c r="F337" s="402">
        <f>IFERROR(E337*'01 Prod Physique Boites'!H333,"-")</f>
        <v>1001245.056</v>
      </c>
      <c r="G337" s="403">
        <f>IFERROR(E337*'01 Prod Physique Boites'!L333,"-")</f>
        <v>2190223.56</v>
      </c>
      <c r="H337" s="381">
        <v>71.44</v>
      </c>
      <c r="I337" s="419">
        <f>IFERROR(H337*(F337/E337),"-")</f>
        <v>1920307.2</v>
      </c>
      <c r="J337" s="420">
        <f>IFERROR(H337*(G337/E337),"-")</f>
        <v>4200672</v>
      </c>
    </row>
    <row r="338" spans="1:10" ht="24" x14ac:dyDescent="0.25">
      <c r="A338" s="274" t="s">
        <v>102</v>
      </c>
      <c r="B338" s="951"/>
      <c r="C338" s="269" t="s">
        <v>156</v>
      </c>
      <c r="D338" s="275"/>
      <c r="E338" s="504">
        <v>37.248699999999999</v>
      </c>
      <c r="F338" s="402">
        <f>IFERROR(E338*'01 Prod Physique Boites'!H334,"-")</f>
        <v>0</v>
      </c>
      <c r="G338" s="403">
        <f>IFERROR(E338*'01 Prod Physique Boites'!L334,"-")</f>
        <v>0</v>
      </c>
      <c r="H338" s="385"/>
      <c r="I338" s="421">
        <f>IFERROR(H338*(F338/E338),"-")</f>
        <v>0</v>
      </c>
      <c r="J338" s="422">
        <f t="shared" ref="J338:J340" si="187">IFERROR(H338*(G338/E338),"-")</f>
        <v>0</v>
      </c>
    </row>
    <row r="339" spans="1:10" ht="24" x14ac:dyDescent="0.25">
      <c r="A339" s="274" t="s">
        <v>102</v>
      </c>
      <c r="B339" s="951"/>
      <c r="C339" s="275" t="s">
        <v>345</v>
      </c>
      <c r="D339" s="269" t="s">
        <v>238</v>
      </c>
      <c r="E339" s="504">
        <v>37.248699999999999</v>
      </c>
      <c r="F339" s="402">
        <f>IFERROR(E339*'01 Prod Physique Boites'!H335,"-")</f>
        <v>0</v>
      </c>
      <c r="G339" s="403">
        <f>IFERROR(E339*'01 Prod Physique Boites'!L335,"-")</f>
        <v>0</v>
      </c>
      <c r="H339" s="385">
        <v>71.44</v>
      </c>
      <c r="I339" s="421">
        <f>IFERROR(H339*(F339/E339),"-")</f>
        <v>0</v>
      </c>
      <c r="J339" s="422">
        <f t="shared" si="187"/>
        <v>0</v>
      </c>
    </row>
    <row r="340" spans="1:10" ht="24.75" thickBot="1" x14ac:dyDescent="0.3">
      <c r="A340" s="274" t="s">
        <v>102</v>
      </c>
      <c r="B340" s="951"/>
      <c r="C340" s="275" t="s">
        <v>157</v>
      </c>
      <c r="D340" s="275"/>
      <c r="E340" s="505">
        <v>38.466099999999997</v>
      </c>
      <c r="F340" s="402">
        <f>IFERROR(E340*'01 Prod Physique Boites'!H336,"-")</f>
        <v>0</v>
      </c>
      <c r="G340" s="403">
        <f>IFERROR(E340*'01 Prod Physique Boites'!L336,"-")</f>
        <v>0</v>
      </c>
      <c r="H340" s="385"/>
      <c r="I340" s="421">
        <f>IFERROR(H340*(F340/E340),"-")</f>
        <v>0</v>
      </c>
      <c r="J340" s="422">
        <f t="shared" si="187"/>
        <v>0</v>
      </c>
    </row>
    <row r="341" spans="1:10" ht="23.25" thickBot="1" x14ac:dyDescent="0.3">
      <c r="A341" s="274" t="s">
        <v>102</v>
      </c>
      <c r="B341" s="946" t="s">
        <v>39</v>
      </c>
      <c r="C341" s="947"/>
      <c r="D341" s="948"/>
      <c r="E341" s="390"/>
      <c r="F341" s="406">
        <f>SUM(F337:F340)</f>
        <v>1001245.056</v>
      </c>
      <c r="G341" s="407">
        <f>SUM(G337:G340)</f>
        <v>2190223.56</v>
      </c>
      <c r="H341" s="391"/>
      <c r="I341" s="406">
        <f>SUM(I337:I340)</f>
        <v>1920307.2</v>
      </c>
      <c r="J341" s="406">
        <f>SUM(J337:J340)</f>
        <v>4200672</v>
      </c>
    </row>
    <row r="342" spans="1:10" ht="24" x14ac:dyDescent="0.25">
      <c r="A342" s="274" t="s">
        <v>102</v>
      </c>
      <c r="B342" s="949" t="s">
        <v>40</v>
      </c>
      <c r="C342" s="269" t="s">
        <v>186</v>
      </c>
      <c r="D342" s="269" t="s">
        <v>183</v>
      </c>
      <c r="E342" s="504">
        <v>30.7499</v>
      </c>
      <c r="F342" s="402">
        <f>IFERROR(E342*'01 Prod Physique Boites'!H339,"-")</f>
        <v>0</v>
      </c>
      <c r="G342" s="402">
        <f>IFERROR(F342*'01 Prod Physique Boites'!I339,"-")</f>
        <v>0</v>
      </c>
      <c r="H342" s="381"/>
      <c r="I342" s="419">
        <f>IFERROR(H342*(F342/E342),"-")</f>
        <v>0</v>
      </c>
      <c r="J342" s="420">
        <f>IFERROR(H342*(G342/E342),"-")</f>
        <v>0</v>
      </c>
    </row>
    <row r="343" spans="1:10" ht="24" x14ac:dyDescent="0.25">
      <c r="A343" s="274" t="s">
        <v>102</v>
      </c>
      <c r="B343" s="951"/>
      <c r="C343" s="275" t="s">
        <v>159</v>
      </c>
      <c r="D343" s="275"/>
      <c r="E343" s="684">
        <v>30.073599999999999</v>
      </c>
      <c r="F343" s="402">
        <f>IFERROR(E343*'01 Prod Physique Boites'!H340,"-")</f>
        <v>0</v>
      </c>
      <c r="G343" s="403">
        <f>IFERROR(E343*'01 Prod Physique Boites'!L340,"-")</f>
        <v>342839.03999999998</v>
      </c>
      <c r="H343" s="385">
        <v>59.96</v>
      </c>
      <c r="I343" s="421">
        <f>IFERROR(H343*(F343/E343),"-")</f>
        <v>0</v>
      </c>
      <c r="J343" s="422">
        <f t="shared" ref="J343:J344" si="188">IFERROR(H343*(G343/E343),"-")</f>
        <v>683544</v>
      </c>
    </row>
    <row r="344" spans="1:10" ht="24.75" thickBot="1" x14ac:dyDescent="0.3">
      <c r="A344" s="274" t="s">
        <v>102</v>
      </c>
      <c r="B344" s="950"/>
      <c r="C344" s="279" t="s">
        <v>186</v>
      </c>
      <c r="D344" s="279" t="s">
        <v>185</v>
      </c>
      <c r="E344" s="501">
        <v>30.073599999999999</v>
      </c>
      <c r="F344" s="402">
        <f>IFERROR(E344*'01 Prod Physique Boites'!H341,"-")</f>
        <v>0</v>
      </c>
      <c r="G344" s="403">
        <f>IFERROR(E344*'01 Prod Physique Boites'!L341,"-")</f>
        <v>0</v>
      </c>
      <c r="H344" s="387"/>
      <c r="I344" s="423">
        <f>IFERROR(H344*(F344/E344),"-")</f>
        <v>0</v>
      </c>
      <c r="J344" s="424">
        <f t="shared" si="188"/>
        <v>0</v>
      </c>
    </row>
    <row r="345" spans="1:10" ht="23.25" thickBot="1" x14ac:dyDescent="0.3">
      <c r="A345" s="274" t="s">
        <v>102</v>
      </c>
      <c r="B345" s="952" t="s">
        <v>41</v>
      </c>
      <c r="C345" s="953"/>
      <c r="D345" s="954"/>
      <c r="E345" s="390"/>
      <c r="F345" s="406">
        <f t="shared" ref="F345:G345" si="189">SUM(F342:F344)</f>
        <v>0</v>
      </c>
      <c r="G345" s="407">
        <f t="shared" si="189"/>
        <v>342839.03999999998</v>
      </c>
      <c r="H345" s="391"/>
      <c r="I345" s="406">
        <f t="shared" ref="I345:J345" si="190">SUM(I342:I344)</f>
        <v>0</v>
      </c>
      <c r="J345" s="425">
        <f t="shared" si="190"/>
        <v>683544</v>
      </c>
    </row>
    <row r="346" spans="1:10" ht="24" x14ac:dyDescent="0.25">
      <c r="A346" s="274" t="s">
        <v>102</v>
      </c>
      <c r="B346" s="949" t="s">
        <v>42</v>
      </c>
      <c r="C346" s="269" t="s">
        <v>160</v>
      </c>
      <c r="D346" s="269"/>
      <c r="E346" s="504">
        <v>36.684899999999999</v>
      </c>
      <c r="F346" s="402">
        <f>IFERROR(E346*'01 Prod Physique Boites'!H343,"-")</f>
        <v>0</v>
      </c>
      <c r="G346" s="403">
        <f>IFERROR(E346*'01 Prod Physique Boites'!L343,"-")</f>
        <v>0</v>
      </c>
      <c r="H346" s="381"/>
      <c r="I346" s="382" t="s">
        <v>190</v>
      </c>
      <c r="J346" s="383" t="s">
        <v>190</v>
      </c>
    </row>
    <row r="347" spans="1:10" ht="24.75" thickBot="1" x14ac:dyDescent="0.3">
      <c r="A347" s="274" t="s">
        <v>102</v>
      </c>
      <c r="B347" s="950"/>
      <c r="C347" s="279" t="s">
        <v>161</v>
      </c>
      <c r="D347" s="279"/>
      <c r="E347" s="501">
        <v>37.002800000000001</v>
      </c>
      <c r="F347" s="402">
        <f>IFERROR(E347*'01 Prod Physique Boites'!H344,"-")</f>
        <v>0</v>
      </c>
      <c r="G347" s="403">
        <f>IFERROR(E347*'01 Prod Physique Boites'!L344,"-")</f>
        <v>0</v>
      </c>
      <c r="H347" s="387"/>
      <c r="I347" s="388" t="s">
        <v>190</v>
      </c>
      <c r="J347" s="389" t="s">
        <v>190</v>
      </c>
    </row>
    <row r="348" spans="1:10" ht="23.25" thickBot="1" x14ac:dyDescent="0.3">
      <c r="A348" s="274" t="s">
        <v>102</v>
      </c>
      <c r="B348" s="952" t="s">
        <v>43</v>
      </c>
      <c r="C348" s="953"/>
      <c r="D348" s="954"/>
      <c r="E348" s="390"/>
      <c r="F348" s="402">
        <f>IFERROR(E348*'01 Prod Physique Boites'!H347,"-")</f>
        <v>0</v>
      </c>
      <c r="G348" s="407">
        <f>IFERROR(E348*'01 Prod Physique Boites'!L347,"-")</f>
        <v>0</v>
      </c>
      <c r="H348" s="391"/>
      <c r="I348" s="406">
        <f t="shared" ref="I348:J348" si="191">SUM(I346:I347)</f>
        <v>0</v>
      </c>
      <c r="J348" s="425">
        <f t="shared" si="191"/>
        <v>0</v>
      </c>
    </row>
    <row r="349" spans="1:10" ht="23.25" thickBot="1" x14ac:dyDescent="0.3">
      <c r="A349" s="274" t="s">
        <v>102</v>
      </c>
      <c r="B349" s="938" t="s">
        <v>25</v>
      </c>
      <c r="C349" s="939"/>
      <c r="D349" s="940"/>
      <c r="E349" s="393"/>
      <c r="F349" s="410">
        <f>+F328+F333+F336+F341+F345+F348</f>
        <v>1618024.6770000001</v>
      </c>
      <c r="G349" s="411">
        <f>+G328+G333+G336+G341+G345+G348</f>
        <v>3474337.0710000005</v>
      </c>
      <c r="H349" s="394"/>
      <c r="I349" s="410">
        <f>+I328+I333+I336+I341+I345+I348</f>
        <v>2977722.7</v>
      </c>
      <c r="J349" s="428">
        <f>+J328+J333+J336+J341+J345+J348</f>
        <v>6498925.5</v>
      </c>
    </row>
    <row r="350" spans="1:10" ht="23.25" thickBot="1" x14ac:dyDescent="0.3">
      <c r="A350" s="318" t="s">
        <v>102</v>
      </c>
      <c r="B350" s="941" t="s">
        <v>173</v>
      </c>
      <c r="C350" s="941"/>
      <c r="D350" s="942"/>
      <c r="E350" s="395"/>
      <c r="F350" s="412">
        <f t="shared" ref="F350:G350" si="192">+F349</f>
        <v>1618024.6770000001</v>
      </c>
      <c r="G350" s="413">
        <f t="shared" si="192"/>
        <v>3474337.0710000005</v>
      </c>
      <c r="H350" s="396"/>
      <c r="I350" s="412">
        <f t="shared" ref="I350" si="193">+I349</f>
        <v>2977722.7</v>
      </c>
      <c r="J350" s="429">
        <f>+J349</f>
        <v>6498925.5</v>
      </c>
    </row>
    <row r="351" spans="1:10" ht="26.25" thickBot="1" x14ac:dyDescent="0.3">
      <c r="A351" s="319"/>
      <c r="B351" s="943" t="s">
        <v>174</v>
      </c>
      <c r="C351" s="944"/>
      <c r="D351" s="945"/>
      <c r="E351" s="401"/>
      <c r="F351" s="418">
        <f>+F289+F324+F350</f>
        <v>6514509.0122000007</v>
      </c>
      <c r="G351" s="418">
        <f>+G289+G324+G350</f>
        <v>16668552.495800002</v>
      </c>
      <c r="H351" s="401"/>
      <c r="I351" s="418">
        <f>+I289+I324+I350</f>
        <v>9193854.9400000013</v>
      </c>
      <c r="J351" s="432">
        <f>+J289+J324+J350</f>
        <v>22929203.100000001</v>
      </c>
    </row>
    <row r="352" spans="1:10" ht="24.6" customHeight="1" thickBot="1" x14ac:dyDescent="0.3">
      <c r="A352" s="230"/>
      <c r="B352" s="230"/>
      <c r="C352" s="230"/>
      <c r="D352" s="230"/>
      <c r="E352" s="378"/>
      <c r="F352" s="378"/>
      <c r="G352" s="378"/>
      <c r="H352" s="378"/>
      <c r="I352" s="378"/>
      <c r="J352" s="378"/>
    </row>
    <row r="353" spans="1:15" ht="22.5" x14ac:dyDescent="0.25">
      <c r="A353" s="978" t="s">
        <v>1</v>
      </c>
      <c r="B353" s="981" t="s">
        <v>2</v>
      </c>
      <c r="C353" s="984" t="s">
        <v>396</v>
      </c>
      <c r="D353" s="984" t="s">
        <v>397</v>
      </c>
      <c r="E353" s="1011" t="s">
        <v>405</v>
      </c>
      <c r="F353" s="1012"/>
      <c r="G353" s="1012"/>
      <c r="H353" s="442"/>
      <c r="I353" s="442"/>
      <c r="J353" s="443"/>
    </row>
    <row r="354" spans="1:15" ht="22.5" x14ac:dyDescent="0.25">
      <c r="A354" s="979"/>
      <c r="B354" s="982"/>
      <c r="C354" s="985"/>
      <c r="D354" s="985"/>
      <c r="E354" s="1013" t="s">
        <v>408</v>
      </c>
      <c r="F354" s="1014"/>
      <c r="G354" s="1015"/>
      <c r="H354" s="1013" t="s">
        <v>168</v>
      </c>
      <c r="I354" s="1014"/>
      <c r="J354" s="1015"/>
    </row>
    <row r="355" spans="1:15" ht="45" x14ac:dyDescent="0.25">
      <c r="A355" s="980"/>
      <c r="B355" s="1009"/>
      <c r="C355" s="1010"/>
      <c r="D355" s="1010"/>
      <c r="E355" s="379" t="s">
        <v>170</v>
      </c>
      <c r="F355" s="783" t="s">
        <v>407</v>
      </c>
      <c r="G355" s="784" t="s">
        <v>406</v>
      </c>
      <c r="H355" s="1016" t="s">
        <v>170</v>
      </c>
      <c r="I355" s="1018" t="s">
        <v>137</v>
      </c>
      <c r="J355" s="1020" t="s">
        <v>406</v>
      </c>
    </row>
    <row r="356" spans="1:15" ht="23.25" thickBot="1" x14ac:dyDescent="0.3">
      <c r="A356" s="980"/>
      <c r="B356" s="983"/>
      <c r="C356" s="986"/>
      <c r="D356" s="986"/>
      <c r="E356" s="1022" t="s">
        <v>493</v>
      </c>
      <c r="F356" s="1023"/>
      <c r="G356" s="1024"/>
      <c r="H356" s="1017"/>
      <c r="I356" s="1019"/>
      <c r="J356" s="1021"/>
    </row>
    <row r="357" spans="1:15" ht="24" x14ac:dyDescent="0.25">
      <c r="A357" s="268" t="s">
        <v>103</v>
      </c>
      <c r="B357" s="965" t="s">
        <v>16</v>
      </c>
      <c r="C357" s="269" t="s">
        <v>368</v>
      </c>
      <c r="D357" s="269" t="s">
        <v>369</v>
      </c>
      <c r="E357" s="705">
        <v>81.360699999999994</v>
      </c>
      <c r="F357" s="402">
        <f>IFERROR(E357*'01 Prod Physique Boites'!H352,"-")</f>
        <v>0</v>
      </c>
      <c r="G357" s="402">
        <f>IFERROR(E357*'01 Prod Physique Boites'!L352,"-")</f>
        <v>0</v>
      </c>
      <c r="H357" s="706">
        <v>143.28</v>
      </c>
      <c r="I357" s="419">
        <f>IFERROR(H357*(F357/E357),"-")</f>
        <v>0</v>
      </c>
      <c r="J357" s="420">
        <f t="shared" ref="J357:J359" si="194">IFERROR(H357*(G357/E357),"-")</f>
        <v>0</v>
      </c>
    </row>
    <row r="358" spans="1:15" ht="24" x14ac:dyDescent="0.25">
      <c r="A358" s="713"/>
      <c r="B358" s="966"/>
      <c r="C358" s="275" t="s">
        <v>470</v>
      </c>
      <c r="D358" s="275" t="s">
        <v>375</v>
      </c>
      <c r="E358" s="505">
        <v>81.360699999999994</v>
      </c>
      <c r="F358" s="402">
        <f>IFERROR(E358*'01 Prod Physique Boites'!H353,"-")</f>
        <v>0</v>
      </c>
      <c r="G358" s="402">
        <f>IFERROR(E358*'01 Prod Physique Boites'!L353,"-")</f>
        <v>0</v>
      </c>
      <c r="H358" s="708">
        <v>143.28</v>
      </c>
      <c r="I358" s="419">
        <f>IFERROR(H358*(F358/E358),"-")</f>
        <v>0</v>
      </c>
      <c r="J358" s="420">
        <f t="shared" si="194"/>
        <v>0</v>
      </c>
    </row>
    <row r="359" spans="1:15" ht="24" x14ac:dyDescent="0.25">
      <c r="A359" s="274" t="s">
        <v>103</v>
      </c>
      <c r="B359" s="966"/>
      <c r="C359" s="275" t="s">
        <v>430</v>
      </c>
      <c r="D359" s="275" t="s">
        <v>384</v>
      </c>
      <c r="E359" s="684">
        <v>77.170400000000001</v>
      </c>
      <c r="F359" s="402">
        <f>IFERROR(E359*'01 Prod Physique Boites'!H354,"-")</f>
        <v>0</v>
      </c>
      <c r="G359" s="402">
        <f>IFERROR(E359*'01 Prod Physique Boites'!L354,"-")</f>
        <v>271639.80800000002</v>
      </c>
      <c r="H359" s="385">
        <v>0</v>
      </c>
      <c r="I359" s="419">
        <f>IFERROR(H359*(F359/E359),"-")</f>
        <v>0</v>
      </c>
      <c r="J359" s="420">
        <f t="shared" si="194"/>
        <v>0</v>
      </c>
    </row>
    <row r="360" spans="1:15" ht="24.75" thickBot="1" x14ac:dyDescent="0.3">
      <c r="A360" s="274" t="s">
        <v>103</v>
      </c>
      <c r="B360" s="967"/>
      <c r="C360" s="279" t="s">
        <v>262</v>
      </c>
      <c r="D360" s="279" t="s">
        <v>231</v>
      </c>
      <c r="E360" s="501">
        <v>60.703499999999998</v>
      </c>
      <c r="F360" s="402">
        <f>IFERROR(E360*'01 Prod Physique Boites'!H355,"-")</f>
        <v>0</v>
      </c>
      <c r="G360" s="402">
        <f>IFERROR(E360*'01 Prod Physique Boites'!L355,"-")</f>
        <v>0</v>
      </c>
      <c r="H360" s="387">
        <v>111.09</v>
      </c>
      <c r="I360" s="419">
        <f>IFERROR(H360*(F360/E360),"-")</f>
        <v>0</v>
      </c>
      <c r="J360" s="420">
        <f>IFERROR(H360*(G360/E360),"-")</f>
        <v>0</v>
      </c>
    </row>
    <row r="361" spans="1:15" ht="23.25" thickBot="1" x14ac:dyDescent="0.3">
      <c r="A361" s="274" t="s">
        <v>103</v>
      </c>
      <c r="B361" s="946" t="s">
        <v>44</v>
      </c>
      <c r="C361" s="947"/>
      <c r="D361" s="948"/>
      <c r="E361" s="390"/>
      <c r="F361" s="406">
        <f t="shared" ref="F361" si="195">SUM(F357:F360)</f>
        <v>0</v>
      </c>
      <c r="G361" s="407">
        <f>SUM(G357:G360)</f>
        <v>271639.80800000002</v>
      </c>
      <c r="H361" s="391"/>
      <c r="I361" s="406">
        <f t="shared" ref="I361:J361" si="196">SUM(I357:I360)</f>
        <v>0</v>
      </c>
      <c r="J361" s="425">
        <f t="shared" si="196"/>
        <v>0</v>
      </c>
      <c r="K361" s="704"/>
      <c r="L361" s="704"/>
      <c r="M361" s="704"/>
      <c r="N361" s="704"/>
      <c r="O361" s="704"/>
    </row>
    <row r="362" spans="1:15" ht="24" x14ac:dyDescent="0.25">
      <c r="A362" s="274" t="s">
        <v>103</v>
      </c>
      <c r="B362" s="965" t="s">
        <v>17</v>
      </c>
      <c r="C362" s="269" t="s">
        <v>294</v>
      </c>
      <c r="D362" s="269"/>
      <c r="E362" s="504">
        <v>12.5275</v>
      </c>
      <c r="F362" s="402">
        <f>IFERROR(E362*'01 Prod Physique Boites'!H357,"-")</f>
        <v>0</v>
      </c>
      <c r="G362" s="402">
        <f>IFERROR(E362*'01 Prod Physique Boites'!L357,"-")</f>
        <v>0</v>
      </c>
      <c r="H362" s="681">
        <v>18.836400000000001</v>
      </c>
      <c r="I362" s="419">
        <f t="shared" ref="I362:I368" si="197">IFERROR(H362*(F362/E362),"-")</f>
        <v>0</v>
      </c>
      <c r="J362" s="420">
        <f t="shared" ref="J362:J367" si="198">IFERROR(H362*(G362/E362),"-")</f>
        <v>0</v>
      </c>
    </row>
    <row r="363" spans="1:15" ht="24" x14ac:dyDescent="0.25">
      <c r="A363" s="274" t="s">
        <v>103</v>
      </c>
      <c r="B363" s="966"/>
      <c r="C363" s="275" t="s">
        <v>344</v>
      </c>
      <c r="D363" s="275" t="s">
        <v>232</v>
      </c>
      <c r="E363" s="677">
        <v>13.002700000000001</v>
      </c>
      <c r="F363" s="402">
        <f>IFERROR(E363*'01 Prod Physique Boites'!H358,"-")</f>
        <v>77756.146000000008</v>
      </c>
      <c r="G363" s="402">
        <f>IFERROR(E363*'01 Prod Physique Boites'!L358,"-")</f>
        <v>77756.146000000008</v>
      </c>
      <c r="H363" s="385">
        <v>21.18</v>
      </c>
      <c r="I363" s="421">
        <f t="shared" si="197"/>
        <v>126656.4</v>
      </c>
      <c r="J363" s="422">
        <f t="shared" si="198"/>
        <v>126656.4</v>
      </c>
    </row>
    <row r="364" spans="1:15" ht="24" x14ac:dyDescent="0.25">
      <c r="A364" s="274" t="s">
        <v>103</v>
      </c>
      <c r="B364" s="966"/>
      <c r="C364" s="275" t="s">
        <v>351</v>
      </c>
      <c r="D364" s="275" t="s">
        <v>187</v>
      </c>
      <c r="E364" s="677">
        <v>12.9049</v>
      </c>
      <c r="F364" s="402">
        <f>IFERROR(E364*'01 Prod Physique Boites'!H359,"-")</f>
        <v>1579559.76</v>
      </c>
      <c r="G364" s="402">
        <f>IFERROR(E364*'01 Prod Physique Boites'!L359,"-")</f>
        <v>3238097.5079999999</v>
      </c>
      <c r="H364" s="385">
        <v>20.5</v>
      </c>
      <c r="I364" s="421">
        <f t="shared" si="197"/>
        <v>2509200</v>
      </c>
      <c r="J364" s="422">
        <f t="shared" si="198"/>
        <v>5143860</v>
      </c>
    </row>
    <row r="365" spans="1:15" ht="24" x14ac:dyDescent="0.25">
      <c r="A365" s="274" t="s">
        <v>103</v>
      </c>
      <c r="B365" s="966"/>
      <c r="C365" s="275" t="s">
        <v>293</v>
      </c>
      <c r="D365" s="275" t="s">
        <v>188</v>
      </c>
      <c r="E365" s="505">
        <v>13.078200000000001</v>
      </c>
      <c r="F365" s="402">
        <f>IFERROR(E365*'01 Prod Physique Boites'!H360,"-")</f>
        <v>0</v>
      </c>
      <c r="G365" s="402">
        <f>IFERROR(E365*'01 Prod Physique Boites'!L360,"-")</f>
        <v>0</v>
      </c>
      <c r="H365" s="385">
        <v>20.6</v>
      </c>
      <c r="I365" s="421">
        <f t="shared" si="197"/>
        <v>0</v>
      </c>
      <c r="J365" s="422">
        <f t="shared" si="198"/>
        <v>0</v>
      </c>
    </row>
    <row r="366" spans="1:15" ht="24" x14ac:dyDescent="0.25">
      <c r="A366" s="274" t="s">
        <v>103</v>
      </c>
      <c r="B366" s="966"/>
      <c r="C366" s="275" t="s">
        <v>323</v>
      </c>
      <c r="D366" s="275" t="s">
        <v>318</v>
      </c>
      <c r="E366" s="505">
        <v>13.1958</v>
      </c>
      <c r="F366" s="402">
        <f>IFERROR(E366*'01 Prod Physique Boites'!H361,"-")</f>
        <v>0</v>
      </c>
      <c r="G366" s="402">
        <f>IFERROR(E366*'01 Prod Physique Boites'!L361,"-")</f>
        <v>0</v>
      </c>
      <c r="H366" s="385">
        <v>21.28</v>
      </c>
      <c r="I366" s="421">
        <f t="shared" si="197"/>
        <v>0</v>
      </c>
      <c r="J366" s="422">
        <f t="shared" si="198"/>
        <v>0</v>
      </c>
    </row>
    <row r="367" spans="1:15" ht="24" x14ac:dyDescent="0.25">
      <c r="A367" s="274">
        <v>1</v>
      </c>
      <c r="B367" s="966"/>
      <c r="C367" s="275" t="s">
        <v>352</v>
      </c>
      <c r="D367" s="275" t="s">
        <v>189</v>
      </c>
      <c r="E367" s="677">
        <v>12.9049</v>
      </c>
      <c r="F367" s="402">
        <f>IFERROR(E367*'01 Prod Physique Boites'!H362,"-")</f>
        <v>0</v>
      </c>
      <c r="G367" s="402">
        <f>IFERROR(E367*'01 Prod Physique Boites'!L362,"-")</f>
        <v>0</v>
      </c>
      <c r="H367" s="664">
        <v>20.5</v>
      </c>
      <c r="I367" s="421">
        <f t="shared" si="197"/>
        <v>0</v>
      </c>
      <c r="J367" s="422">
        <f t="shared" si="198"/>
        <v>0</v>
      </c>
    </row>
    <row r="368" spans="1:15" ht="24.75" thickBot="1" x14ac:dyDescent="0.3">
      <c r="A368" s="274" t="s">
        <v>103</v>
      </c>
      <c r="B368" s="967"/>
      <c r="C368" s="279" t="s">
        <v>341</v>
      </c>
      <c r="D368" s="279" t="s">
        <v>175</v>
      </c>
      <c r="E368" s="501">
        <v>13.6509</v>
      </c>
      <c r="F368" s="402">
        <f>IFERROR(E368*'01 Prod Physique Boites'!H363,"-")</f>
        <v>0</v>
      </c>
      <c r="G368" s="402">
        <f>IFERROR(E368*'01 Prod Physique Boites'!L363,"-")</f>
        <v>0</v>
      </c>
      <c r="H368" s="387">
        <v>21.18</v>
      </c>
      <c r="I368" s="423">
        <f t="shared" si="197"/>
        <v>0</v>
      </c>
      <c r="J368" s="424">
        <f>IFERROR(H368*(G368/E368),"-")</f>
        <v>0</v>
      </c>
    </row>
    <row r="369" spans="1:15" ht="23.25" thickBot="1" x14ac:dyDescent="0.3">
      <c r="A369" s="274" t="s">
        <v>103</v>
      </c>
      <c r="B369" s="946" t="s">
        <v>45</v>
      </c>
      <c r="C369" s="947"/>
      <c r="D369" s="948"/>
      <c r="E369" s="390"/>
      <c r="F369" s="406">
        <f t="shared" ref="F369" si="199">SUM(F362:F368)</f>
        <v>1657315.906</v>
      </c>
      <c r="G369" s="407">
        <f>SUM(G362:G368)</f>
        <v>3315853.6540000001</v>
      </c>
      <c r="H369" s="391"/>
      <c r="I369" s="406">
        <f t="shared" ref="I369" si="200">SUM(I362:I368)</f>
        <v>2635856.4</v>
      </c>
      <c r="J369" s="425">
        <f>SUM(J362:J368)</f>
        <v>5270516.4000000004</v>
      </c>
      <c r="K369" s="704"/>
      <c r="L369" s="704"/>
      <c r="M369" s="704"/>
      <c r="N369" s="704"/>
      <c r="O369" s="704"/>
    </row>
    <row r="370" spans="1:15" ht="24" x14ac:dyDescent="0.25">
      <c r="A370" s="274" t="s">
        <v>103</v>
      </c>
      <c r="B370" s="965" t="s">
        <v>18</v>
      </c>
      <c r="C370" s="269" t="s">
        <v>312</v>
      </c>
      <c r="D370" s="269" t="s">
        <v>92</v>
      </c>
      <c r="E370" s="504">
        <v>17.8202</v>
      </c>
      <c r="F370" s="402">
        <f>IFERROR(E370*'01 Prod Physique Boites'!H365,"-")</f>
        <v>0</v>
      </c>
      <c r="G370" s="403">
        <f>IFERROR(E370*'01 Prod Physique Boites'!L365,"-")</f>
        <v>0</v>
      </c>
      <c r="H370" s="381">
        <v>24.93</v>
      </c>
      <c r="I370" s="419">
        <f t="shared" ref="I370:I376" si="201">IFERROR(H370*(F370/E370),"-")</f>
        <v>0</v>
      </c>
      <c r="J370" s="420">
        <f t="shared" ref="J370:J372" si="202">IFERROR(H370*(G370/E370),"-")</f>
        <v>0</v>
      </c>
    </row>
    <row r="371" spans="1:15" ht="24" x14ac:dyDescent="0.25">
      <c r="A371" s="274" t="s">
        <v>103</v>
      </c>
      <c r="B371" s="966"/>
      <c r="C371" s="275" t="s">
        <v>130</v>
      </c>
      <c r="D371" s="275"/>
      <c r="E371" s="505">
        <v>17.8202</v>
      </c>
      <c r="F371" s="402">
        <f>IFERROR(E371*'01 Prod Physique Boites'!H366,"-")</f>
        <v>0</v>
      </c>
      <c r="G371" s="403">
        <f>IFERROR(E371*'01 Prod Physique Boites'!L366,"-")</f>
        <v>0</v>
      </c>
      <c r="H371" s="385">
        <v>0</v>
      </c>
      <c r="I371" s="421">
        <f t="shared" si="201"/>
        <v>0</v>
      </c>
      <c r="J371" s="422">
        <f t="shared" si="202"/>
        <v>0</v>
      </c>
    </row>
    <row r="372" spans="1:15" ht="24" x14ac:dyDescent="0.25">
      <c r="A372" s="274" t="s">
        <v>103</v>
      </c>
      <c r="B372" s="966"/>
      <c r="C372" s="275" t="s">
        <v>115</v>
      </c>
      <c r="D372" s="275"/>
      <c r="E372" s="505">
        <v>16.4071</v>
      </c>
      <c r="F372" s="402">
        <f>IFERROR(E372*'01 Prod Physique Boites'!H367,"-")</f>
        <v>0</v>
      </c>
      <c r="G372" s="403">
        <f>IFERROR(E372*'01 Prod Physique Boites'!L367,"-")</f>
        <v>0</v>
      </c>
      <c r="H372" s="385">
        <v>0</v>
      </c>
      <c r="I372" s="421">
        <f t="shared" si="201"/>
        <v>0</v>
      </c>
      <c r="J372" s="422">
        <f t="shared" si="202"/>
        <v>0</v>
      </c>
    </row>
    <row r="373" spans="1:15" ht="24" x14ac:dyDescent="0.25">
      <c r="A373" s="274" t="s">
        <v>103</v>
      </c>
      <c r="B373" s="966"/>
      <c r="C373" s="275" t="s">
        <v>122</v>
      </c>
      <c r="D373" s="275"/>
      <c r="E373" s="505">
        <v>17.8202</v>
      </c>
      <c r="F373" s="402">
        <f>IFERROR(E373*'01 Prod Physique Boites'!H368,"-")</f>
        <v>0</v>
      </c>
      <c r="G373" s="403">
        <f>IFERROR(E373*'01 Prod Physique Boites'!L368,"-")</f>
        <v>0</v>
      </c>
      <c r="H373" s="385">
        <v>0</v>
      </c>
      <c r="I373" s="421">
        <f t="shared" si="201"/>
        <v>0</v>
      </c>
      <c r="J373" s="422">
        <f>IFERROR(H373*(G373/E373),"-")</f>
        <v>0</v>
      </c>
    </row>
    <row r="374" spans="1:15" ht="24" x14ac:dyDescent="0.25">
      <c r="A374" s="274" t="s">
        <v>103</v>
      </c>
      <c r="B374" s="966"/>
      <c r="C374" s="275" t="s">
        <v>176</v>
      </c>
      <c r="D374" s="275" t="s">
        <v>177</v>
      </c>
      <c r="E374" s="505">
        <v>17.8202</v>
      </c>
      <c r="F374" s="402">
        <f>IFERROR(E374*'01 Prod Physique Boites'!H369,"-")</f>
        <v>0</v>
      </c>
      <c r="G374" s="403">
        <f>IFERROR(E374*'01 Prod Physique Boites'!L369,"-")</f>
        <v>0</v>
      </c>
      <c r="H374" s="385">
        <v>0</v>
      </c>
      <c r="I374" s="421">
        <f t="shared" si="201"/>
        <v>0</v>
      </c>
      <c r="J374" s="422">
        <f t="shared" ref="J374:J376" si="203">IFERROR(H374*(G374/E374),"-")</f>
        <v>0</v>
      </c>
    </row>
    <row r="375" spans="1:15" ht="24" x14ac:dyDescent="0.25">
      <c r="A375" s="274" t="s">
        <v>103</v>
      </c>
      <c r="B375" s="966"/>
      <c r="C375" s="275" t="s">
        <v>179</v>
      </c>
      <c r="D375" s="275" t="s">
        <v>178</v>
      </c>
      <c r="E375" s="505">
        <v>16.7288</v>
      </c>
      <c r="F375" s="402">
        <f>IFERROR(E375*'01 Prod Physique Boites'!H370,"-")</f>
        <v>0</v>
      </c>
      <c r="G375" s="403">
        <f>IFERROR(E375*'01 Prod Physique Boites'!L370,"-")</f>
        <v>0</v>
      </c>
      <c r="H375" s="385">
        <v>0</v>
      </c>
      <c r="I375" s="421">
        <f t="shared" si="201"/>
        <v>0</v>
      </c>
      <c r="J375" s="422">
        <f t="shared" si="203"/>
        <v>0</v>
      </c>
    </row>
    <row r="376" spans="1:15" ht="24.75" thickBot="1" x14ac:dyDescent="0.3">
      <c r="A376" s="274" t="s">
        <v>103</v>
      </c>
      <c r="B376" s="967"/>
      <c r="C376" s="286" t="s">
        <v>180</v>
      </c>
      <c r="D376" s="286" t="s">
        <v>107</v>
      </c>
      <c r="E376" s="501">
        <v>17.8202</v>
      </c>
      <c r="F376" s="402">
        <f>IFERROR(E376*'01 Prod Physique Boites'!H371,"-")</f>
        <v>0</v>
      </c>
      <c r="G376" s="403">
        <f>IFERROR(E376*'01 Prod Physique Boites'!L371,"-")</f>
        <v>0</v>
      </c>
      <c r="H376" s="385">
        <v>0</v>
      </c>
      <c r="I376" s="423">
        <f t="shared" si="201"/>
        <v>0</v>
      </c>
      <c r="J376" s="424">
        <f t="shared" si="203"/>
        <v>0</v>
      </c>
    </row>
    <row r="377" spans="1:15" ht="23.25" thickBot="1" x14ac:dyDescent="0.3">
      <c r="A377" s="274" t="s">
        <v>103</v>
      </c>
      <c r="B377" s="946" t="s">
        <v>29</v>
      </c>
      <c r="C377" s="947"/>
      <c r="D377" s="948"/>
      <c r="E377" s="648"/>
      <c r="F377" s="649">
        <f t="shared" ref="F377:G377" si="204">SUM(F370:F376)</f>
        <v>0</v>
      </c>
      <c r="G377" s="407">
        <f t="shared" si="204"/>
        <v>0</v>
      </c>
      <c r="H377" s="391"/>
      <c r="I377" s="406">
        <f t="shared" ref="I377:J377" si="205">SUM(I370:I376)</f>
        <v>0</v>
      </c>
      <c r="J377" s="425">
        <f t="shared" si="205"/>
        <v>0</v>
      </c>
    </row>
    <row r="378" spans="1:15" ht="24.75" thickBot="1" x14ac:dyDescent="0.3">
      <c r="A378" s="274"/>
      <c r="B378" s="1004" t="s">
        <v>19</v>
      </c>
      <c r="C378" s="650" t="s">
        <v>235</v>
      </c>
      <c r="D378" s="656" t="s">
        <v>177</v>
      </c>
      <c r="E378" s="657">
        <v>12.2659</v>
      </c>
      <c r="F378" s="658">
        <f>IFERROR(E378*'01 Prod Physique Boites'!H373,"-")</f>
        <v>0</v>
      </c>
      <c r="G378" s="659">
        <f>IFERROR(E378*'01 Prod Physique Boites'!L373,"-")</f>
        <v>0</v>
      </c>
      <c r="H378" s="653">
        <v>14.79</v>
      </c>
      <c r="I378" s="638">
        <f t="shared" ref="I378:I380" si="206">IFERROR(H378*(F378/E378),"-")</f>
        <v>0</v>
      </c>
      <c r="J378" s="638">
        <f>IFERROR(H378*(G378/E378),"-")</f>
        <v>0</v>
      </c>
    </row>
    <row r="379" spans="1:15" ht="24.75" thickBot="1" x14ac:dyDescent="0.3">
      <c r="A379" s="274"/>
      <c r="B379" s="1005"/>
      <c r="C379" s="651" t="s">
        <v>359</v>
      </c>
      <c r="D379" s="660" t="s">
        <v>423</v>
      </c>
      <c r="E379" s="642">
        <v>12.2659</v>
      </c>
      <c r="F379" s="658">
        <f>IFERROR(E379*'01 Prod Physique Boites'!H374,"-")</f>
        <v>2072446.4640000002</v>
      </c>
      <c r="G379" s="633">
        <f>IFERROR(E379*'01 Prod Physique Boites'!L374,"-")</f>
        <v>7046317.9775999999</v>
      </c>
      <c r="H379" s="654">
        <v>14.55</v>
      </c>
      <c r="I379" s="643">
        <f t="shared" si="206"/>
        <v>2458368</v>
      </c>
      <c r="J379" s="643">
        <f>IFERROR(H379*(G379/E379),"-")</f>
        <v>8358451.2000000002</v>
      </c>
    </row>
    <row r="380" spans="1:15" ht="24.75" thickBot="1" x14ac:dyDescent="0.3">
      <c r="A380" s="785" t="s">
        <v>103</v>
      </c>
      <c r="B380" s="1006"/>
      <c r="C380" s="652" t="s">
        <v>342</v>
      </c>
      <c r="D380" s="661"/>
      <c r="E380" s="662">
        <v>0</v>
      </c>
      <c r="F380" s="658">
        <f>IFERROR(E380*'01 Prod Physique Boites'!H375,"-")</f>
        <v>0</v>
      </c>
      <c r="G380" s="663">
        <f>IFERROR(E380*'01 Prod Physique Boites'!L375,"-")</f>
        <v>0</v>
      </c>
      <c r="H380" s="655">
        <v>0</v>
      </c>
      <c r="I380" s="426" t="str">
        <f t="shared" si="206"/>
        <v>-</v>
      </c>
      <c r="J380" s="427" t="str">
        <f t="shared" ref="J380" si="207">IFERROR(I380*(G380/F380),"-")</f>
        <v>-</v>
      </c>
    </row>
    <row r="381" spans="1:15" ht="23.25" thickBot="1" x14ac:dyDescent="0.3">
      <c r="A381" s="274" t="s">
        <v>103</v>
      </c>
      <c r="B381" s="946" t="s">
        <v>46</v>
      </c>
      <c r="C381" s="947"/>
      <c r="D381" s="948"/>
      <c r="E381" s="390"/>
      <c r="F381" s="406">
        <f>SUM(F378:F380)</f>
        <v>2072446.4640000002</v>
      </c>
      <c r="G381" s="406">
        <f>SUM(G378:G380)</f>
        <v>7046317.9775999999</v>
      </c>
      <c r="H381" s="391"/>
      <c r="I381" s="406">
        <f>SUM(I378:I380)</f>
        <v>2458368</v>
      </c>
      <c r="J381" s="425">
        <f>SUM(J378:J380)</f>
        <v>8358451.2000000002</v>
      </c>
    </row>
    <row r="382" spans="1:15" ht="24" x14ac:dyDescent="0.25">
      <c r="A382" s="274" t="s">
        <v>103</v>
      </c>
      <c r="B382" s="965" t="s">
        <v>20</v>
      </c>
      <c r="C382" s="291" t="s">
        <v>317</v>
      </c>
      <c r="D382" s="291" t="s">
        <v>289</v>
      </c>
      <c r="E382" s="504">
        <v>26.032900000000001</v>
      </c>
      <c r="F382" s="402">
        <f>IFERROR(E382*'01 Prod Physique Boites'!H377,"-")</f>
        <v>0</v>
      </c>
      <c r="G382" s="403">
        <f>IFERROR(E382*'01 Prod Physique Boites'!L377,"-")</f>
        <v>0</v>
      </c>
      <c r="H382" s="381">
        <v>36.44</v>
      </c>
      <c r="I382" s="419">
        <f>IFERROR(H382*(F382/E382),"-")</f>
        <v>0</v>
      </c>
      <c r="J382" s="420">
        <f t="shared" ref="J382:J384" si="208">IFERROR(H382*(G382/E382),"-")</f>
        <v>0</v>
      </c>
    </row>
    <row r="383" spans="1:15" ht="24" x14ac:dyDescent="0.25">
      <c r="A383" s="274" t="s">
        <v>103</v>
      </c>
      <c r="B383" s="966"/>
      <c r="C383" s="292" t="s">
        <v>114</v>
      </c>
      <c r="D383" s="292"/>
      <c r="E383" s="384">
        <v>24.2607</v>
      </c>
      <c r="F383" s="402">
        <f>IFERROR(E383*'01 Prod Physique Boites'!H378,"-")</f>
        <v>0</v>
      </c>
      <c r="G383" s="403">
        <f>IFERROR(E383*'01 Prod Physique Boites'!L378,"-")</f>
        <v>0</v>
      </c>
      <c r="H383" s="385">
        <v>37.369999999999997</v>
      </c>
      <c r="I383" s="421">
        <f>IFERROR(H383*(F383/E383),"-")</f>
        <v>0</v>
      </c>
      <c r="J383" s="422">
        <f t="shared" si="208"/>
        <v>0</v>
      </c>
    </row>
    <row r="384" spans="1:15" ht="24.75" thickBot="1" x14ac:dyDescent="0.3">
      <c r="A384" s="274" t="s">
        <v>103</v>
      </c>
      <c r="B384" s="967"/>
      <c r="C384" s="293" t="s">
        <v>120</v>
      </c>
      <c r="D384" s="293"/>
      <c r="E384" s="386">
        <v>26.035799999999998</v>
      </c>
      <c r="F384" s="402">
        <f>IFERROR(E384*'01 Prod Physique Boites'!H379,"-")</f>
        <v>0</v>
      </c>
      <c r="G384" s="403">
        <f>IFERROR(E384*'01 Prod Physique Boites'!L379,"-")</f>
        <v>0</v>
      </c>
      <c r="H384" s="387">
        <v>37.11</v>
      </c>
      <c r="I384" s="423">
        <f>IFERROR(H384*(F384/E384),"-")</f>
        <v>0</v>
      </c>
      <c r="J384" s="424">
        <f t="shared" si="208"/>
        <v>0</v>
      </c>
    </row>
    <row r="385" spans="1:10" ht="23.25" thickBot="1" x14ac:dyDescent="0.3">
      <c r="A385" s="274" t="s">
        <v>103</v>
      </c>
      <c r="B385" s="947" t="s">
        <v>47</v>
      </c>
      <c r="C385" s="947"/>
      <c r="D385" s="964"/>
      <c r="E385" s="390"/>
      <c r="F385" s="406">
        <f t="shared" ref="F385:G385" si="209">SUM(F382:F384)</f>
        <v>0</v>
      </c>
      <c r="G385" s="407">
        <f t="shared" si="209"/>
        <v>0</v>
      </c>
      <c r="H385" s="391"/>
      <c r="I385" s="406">
        <f t="shared" ref="I385:J385" si="210">SUM(I382:I384)</f>
        <v>0</v>
      </c>
      <c r="J385" s="425">
        <f t="shared" si="210"/>
        <v>0</v>
      </c>
    </row>
    <row r="386" spans="1:10" ht="23.25" thickBot="1" x14ac:dyDescent="0.3">
      <c r="A386" s="274" t="s">
        <v>103</v>
      </c>
      <c r="B386" s="960" t="s">
        <v>21</v>
      </c>
      <c r="C386" s="961"/>
      <c r="D386" s="962"/>
      <c r="E386" s="393"/>
      <c r="F386" s="410">
        <f>+F361+F369+F377+F381+F385</f>
        <v>3729762.37</v>
      </c>
      <c r="G386" s="411">
        <f>+G361+G369+G377+G381+G385</f>
        <v>10633811.4396</v>
      </c>
      <c r="H386" s="394"/>
      <c r="I386" s="410">
        <f>+I361+I369+I377+I381+I385</f>
        <v>5094224.4000000004</v>
      </c>
      <c r="J386" s="428">
        <f>+J361+J369+J377+J381+J385</f>
        <v>13628967.600000001</v>
      </c>
    </row>
    <row r="387" spans="1:10" ht="24" x14ac:dyDescent="0.25">
      <c r="A387" s="274" t="s">
        <v>103</v>
      </c>
      <c r="B387" s="965" t="s">
        <v>400</v>
      </c>
      <c r="C387" s="269" t="s">
        <v>125</v>
      </c>
      <c r="D387" s="269"/>
      <c r="E387" s="380">
        <v>22.820599999999999</v>
      </c>
      <c r="F387" s="402">
        <f>IFERROR(E387*'01 Prod Physique Boites'!H382,"-")</f>
        <v>0</v>
      </c>
      <c r="G387" s="403">
        <f>IFERROR(E387*'01 Prod Physique Boites'!L382,"-")</f>
        <v>0</v>
      </c>
      <c r="H387" s="381">
        <v>27.5</v>
      </c>
      <c r="I387" s="419">
        <f>IFERROR(H387*(F387/E387),"-")</f>
        <v>0</v>
      </c>
      <c r="J387" s="420">
        <f t="shared" ref="J387:J390" si="211">IFERROR(H387*(G387/E387),"-")</f>
        <v>0</v>
      </c>
    </row>
    <row r="388" spans="1:10" ht="24" x14ac:dyDescent="0.25">
      <c r="A388" s="274" t="s">
        <v>103</v>
      </c>
      <c r="B388" s="966"/>
      <c r="C388" s="295" t="s">
        <v>263</v>
      </c>
      <c r="D388" s="295" t="s">
        <v>181</v>
      </c>
      <c r="E388" s="384">
        <v>23.570699999999999</v>
      </c>
      <c r="F388" s="402">
        <f>IFERROR(E388*'01 Prod Physique Boites'!H383,"-")</f>
        <v>0</v>
      </c>
      <c r="G388" s="403">
        <f>IFERROR(E388*'01 Prod Physique Boites'!L383,"-")</f>
        <v>0</v>
      </c>
      <c r="H388" s="385">
        <v>27.5</v>
      </c>
      <c r="I388" s="421">
        <f>IFERROR(H388*(F388/E388),"-")</f>
        <v>0</v>
      </c>
      <c r="J388" s="422">
        <f t="shared" si="211"/>
        <v>0</v>
      </c>
    </row>
    <row r="389" spans="1:10" ht="24" x14ac:dyDescent="0.25">
      <c r="A389" s="274" t="s">
        <v>103</v>
      </c>
      <c r="B389" s="966"/>
      <c r="C389" s="295" t="s">
        <v>362</v>
      </c>
      <c r="D389" s="295" t="s">
        <v>181</v>
      </c>
      <c r="E389" s="384">
        <v>22.820599999999999</v>
      </c>
      <c r="F389" s="402">
        <f>IFERROR(E389*'01 Prod Physique Boites'!H384,"-")</f>
        <v>0</v>
      </c>
      <c r="G389" s="403">
        <f>IFERROR(E389*'01 Prod Physique Boites'!L384,"-")</f>
        <v>0</v>
      </c>
      <c r="H389" s="385">
        <v>27.5</v>
      </c>
      <c r="I389" s="421">
        <f>IFERROR(H389*(F389/E389),"-")</f>
        <v>0</v>
      </c>
      <c r="J389" s="422">
        <f t="shared" si="211"/>
        <v>0</v>
      </c>
    </row>
    <row r="390" spans="1:10" ht="24.75" thickBot="1" x14ac:dyDescent="0.3">
      <c r="A390" s="274" t="s">
        <v>103</v>
      </c>
      <c r="B390" s="967"/>
      <c r="C390" s="279" t="s">
        <v>182</v>
      </c>
      <c r="D390" s="279" t="s">
        <v>93</v>
      </c>
      <c r="E390" s="386">
        <v>23.5685</v>
      </c>
      <c r="F390" s="402">
        <f>IFERROR(E390*'01 Prod Physique Boites'!H385,"-")</f>
        <v>0</v>
      </c>
      <c r="G390" s="403">
        <f>IFERROR(E390*'01 Prod Physique Boites'!L385,"-")</f>
        <v>0</v>
      </c>
      <c r="H390" s="387">
        <v>24</v>
      </c>
      <c r="I390" s="423">
        <f>IFERROR(H390*(F390/E390),"-")</f>
        <v>0</v>
      </c>
      <c r="J390" s="424">
        <f t="shared" si="211"/>
        <v>0</v>
      </c>
    </row>
    <row r="391" spans="1:10" ht="23.25" thickBot="1" x14ac:dyDescent="0.3">
      <c r="A391" s="274" t="s">
        <v>103</v>
      </c>
      <c r="B391" s="946" t="s">
        <v>48</v>
      </c>
      <c r="C391" s="947"/>
      <c r="D391" s="948"/>
      <c r="E391" s="390"/>
      <c r="F391" s="406">
        <f t="shared" ref="F391:G391" si="212">SUM(F387:F390)</f>
        <v>0</v>
      </c>
      <c r="G391" s="407">
        <f t="shared" si="212"/>
        <v>0</v>
      </c>
      <c r="H391" s="391"/>
      <c r="I391" s="406">
        <f t="shared" ref="I391:J391" si="213">SUM(I387:I390)</f>
        <v>0</v>
      </c>
      <c r="J391" s="425">
        <f t="shared" si="213"/>
        <v>0</v>
      </c>
    </row>
    <row r="392" spans="1:10" ht="24" x14ac:dyDescent="0.25">
      <c r="A392" s="274" t="s">
        <v>103</v>
      </c>
      <c r="B392" s="965" t="s">
        <v>23</v>
      </c>
      <c r="C392" s="296" t="s">
        <v>308</v>
      </c>
      <c r="D392" s="296" t="s">
        <v>238</v>
      </c>
      <c r="E392" s="380">
        <v>101.4935</v>
      </c>
      <c r="F392" s="402">
        <f>IFERROR(E392*'01 Prod Physique Boites'!H387,"-")</f>
        <v>0</v>
      </c>
      <c r="G392" s="403">
        <f>IFERROR(E392*'01 Prod Physique Boites'!L387,"-")</f>
        <v>0</v>
      </c>
      <c r="H392" s="385">
        <v>160.44999999999999</v>
      </c>
      <c r="I392" s="419">
        <f t="shared" ref="I392:I400" si="214">IFERROR(H392*(F392/E392),"-")</f>
        <v>0</v>
      </c>
      <c r="J392" s="420">
        <f t="shared" ref="J392:J400" si="215">IFERROR(H392*(G392/E392),"-")</f>
        <v>0</v>
      </c>
    </row>
    <row r="393" spans="1:10" ht="24" x14ac:dyDescent="0.25">
      <c r="A393" s="274" t="s">
        <v>103</v>
      </c>
      <c r="B393" s="966"/>
      <c r="C393" s="275" t="s">
        <v>24</v>
      </c>
      <c r="D393" s="275" t="s">
        <v>238</v>
      </c>
      <c r="E393" s="384">
        <v>101.4935</v>
      </c>
      <c r="F393" s="402">
        <f>IFERROR(E393*'01 Prod Physique Boites'!H388,"-")</f>
        <v>0</v>
      </c>
      <c r="G393" s="403">
        <f>IFERROR(E393*'01 Prod Physique Boites'!L388,"-")</f>
        <v>0</v>
      </c>
      <c r="H393" s="385">
        <v>160.44999999999999</v>
      </c>
      <c r="I393" s="421">
        <f t="shared" si="214"/>
        <v>0</v>
      </c>
      <c r="J393" s="422">
        <f t="shared" si="215"/>
        <v>0</v>
      </c>
    </row>
    <row r="394" spans="1:10" ht="24" x14ac:dyDescent="0.25">
      <c r="A394" s="274" t="s">
        <v>103</v>
      </c>
      <c r="B394" s="966"/>
      <c r="C394" s="275" t="s">
        <v>236</v>
      </c>
      <c r="D394" s="275" t="s">
        <v>238</v>
      </c>
      <c r="E394" s="384">
        <v>101.4935</v>
      </c>
      <c r="F394" s="402">
        <f>IFERROR(E394*'01 Prod Physique Boites'!H389,"-")</f>
        <v>0</v>
      </c>
      <c r="G394" s="403">
        <f>IFERROR(E394*'01 Prod Physique Boites'!L389,"-")</f>
        <v>0</v>
      </c>
      <c r="H394" s="385">
        <v>160.44999999999999</v>
      </c>
      <c r="I394" s="421">
        <f t="shared" si="214"/>
        <v>0</v>
      </c>
      <c r="J394" s="422">
        <f t="shared" si="215"/>
        <v>0</v>
      </c>
    </row>
    <row r="395" spans="1:10" ht="24" x14ac:dyDescent="0.25">
      <c r="A395" s="274" t="s">
        <v>103</v>
      </c>
      <c r="B395" s="966"/>
      <c r="C395" s="275" t="s">
        <v>237</v>
      </c>
      <c r="D395" s="275" t="s">
        <v>238</v>
      </c>
      <c r="E395" s="384">
        <v>101.4935</v>
      </c>
      <c r="F395" s="402">
        <f>IFERROR(E395*'01 Prod Physique Boites'!H390,"-")</f>
        <v>0</v>
      </c>
      <c r="G395" s="403">
        <f>IFERROR(E395*'01 Prod Physique Boites'!L390,"-")</f>
        <v>0</v>
      </c>
      <c r="H395" s="385">
        <v>160.44999999999999</v>
      </c>
      <c r="I395" s="421">
        <f t="shared" si="214"/>
        <v>0</v>
      </c>
      <c r="J395" s="422">
        <f t="shared" si="215"/>
        <v>0</v>
      </c>
    </row>
    <row r="396" spans="1:10" ht="24" x14ac:dyDescent="0.25">
      <c r="A396" s="274" t="s">
        <v>103</v>
      </c>
      <c r="B396" s="966"/>
      <c r="C396" s="295" t="s">
        <v>239</v>
      </c>
      <c r="D396" s="275" t="s">
        <v>238</v>
      </c>
      <c r="E396" s="384">
        <v>101.4935</v>
      </c>
      <c r="F396" s="402">
        <f>IFERROR(E396*'01 Prod Physique Boites'!H391,"-")</f>
        <v>0</v>
      </c>
      <c r="G396" s="403">
        <f>IFERROR(E396*'01 Prod Physique Boites'!L391,"-")</f>
        <v>0</v>
      </c>
      <c r="H396" s="385">
        <v>160.44999999999999</v>
      </c>
      <c r="I396" s="421">
        <f t="shared" si="214"/>
        <v>0</v>
      </c>
      <c r="J396" s="422">
        <f t="shared" si="215"/>
        <v>0</v>
      </c>
    </row>
    <row r="397" spans="1:10" ht="24" x14ac:dyDescent="0.25">
      <c r="A397" s="274" t="s">
        <v>103</v>
      </c>
      <c r="B397" s="966"/>
      <c r="C397" s="295" t="s">
        <v>240</v>
      </c>
      <c r="D397" s="275" t="s">
        <v>238</v>
      </c>
      <c r="E397" s="384">
        <v>101.4935</v>
      </c>
      <c r="F397" s="402">
        <f>IFERROR(E397*'01 Prod Physique Boites'!H392,"-")</f>
        <v>0</v>
      </c>
      <c r="G397" s="403">
        <f>IFERROR(E397*'01 Prod Physique Boites'!L392,"-")</f>
        <v>0</v>
      </c>
      <c r="H397" s="385">
        <v>160.44999999999999</v>
      </c>
      <c r="I397" s="421">
        <f t="shared" si="214"/>
        <v>0</v>
      </c>
      <c r="J397" s="422">
        <f t="shared" si="215"/>
        <v>0</v>
      </c>
    </row>
    <row r="398" spans="1:10" ht="24" x14ac:dyDescent="0.25">
      <c r="A398" s="274" t="s">
        <v>103</v>
      </c>
      <c r="B398" s="966"/>
      <c r="C398" s="295" t="s">
        <v>241</v>
      </c>
      <c r="D398" s="275" t="s">
        <v>243</v>
      </c>
      <c r="E398" s="384">
        <v>101.4935</v>
      </c>
      <c r="F398" s="402">
        <f>IFERROR(E398*'01 Prod Physique Boites'!H393,"-")</f>
        <v>0</v>
      </c>
      <c r="G398" s="403">
        <f>IFERROR(E398*'01 Prod Physique Boites'!L393,"-")</f>
        <v>0</v>
      </c>
      <c r="H398" s="385">
        <v>160.44999999999999</v>
      </c>
      <c r="I398" s="421">
        <f t="shared" si="214"/>
        <v>0</v>
      </c>
      <c r="J398" s="422">
        <f t="shared" si="215"/>
        <v>0</v>
      </c>
    </row>
    <row r="399" spans="1:10" ht="24" x14ac:dyDescent="0.25">
      <c r="A399" s="274"/>
      <c r="B399" s="967"/>
      <c r="C399" s="295" t="s">
        <v>457</v>
      </c>
      <c r="D399" s="275" t="s">
        <v>238</v>
      </c>
      <c r="E399" s="386">
        <v>101.49</v>
      </c>
      <c r="F399" s="402">
        <f>IFERROR(E399*'01 Prod Physique Boites'!H394,"-")</f>
        <v>0</v>
      </c>
      <c r="G399" s="403">
        <f>IFERROR(E399*'01 Prod Physique Boites'!L394,"-")</f>
        <v>0</v>
      </c>
      <c r="H399" s="385">
        <v>160.44999999999999</v>
      </c>
      <c r="I399" s="421">
        <f t="shared" si="214"/>
        <v>0</v>
      </c>
      <c r="J399" s="422">
        <f t="shared" si="215"/>
        <v>0</v>
      </c>
    </row>
    <row r="400" spans="1:10" ht="24.75" thickBot="1" x14ac:dyDescent="0.3">
      <c r="A400" s="274" t="s">
        <v>103</v>
      </c>
      <c r="B400" s="967"/>
      <c r="C400" s="295" t="s">
        <v>242</v>
      </c>
      <c r="D400" s="275" t="s">
        <v>238</v>
      </c>
      <c r="E400" s="386">
        <v>101.4935</v>
      </c>
      <c r="F400" s="402">
        <f>IFERROR(E400*'01 Prod Physique Boites'!H395,"-")</f>
        <v>0</v>
      </c>
      <c r="G400" s="403">
        <f>IFERROR(E400*'01 Prod Physique Boites'!L395,"-")</f>
        <v>0</v>
      </c>
      <c r="H400" s="385">
        <v>160.44999999999999</v>
      </c>
      <c r="I400" s="421">
        <f t="shared" si="214"/>
        <v>0</v>
      </c>
      <c r="J400" s="424">
        <f t="shared" si="215"/>
        <v>0</v>
      </c>
    </row>
    <row r="401" spans="1:10" ht="23.25" thickBot="1" x14ac:dyDescent="0.3">
      <c r="A401" s="274" t="s">
        <v>103</v>
      </c>
      <c r="B401" s="946" t="s">
        <v>49</v>
      </c>
      <c r="C401" s="947"/>
      <c r="D401" s="948"/>
      <c r="E401" s="390"/>
      <c r="F401" s="406">
        <f t="shared" ref="F401" si="216">SUM(F392:F400)</f>
        <v>0</v>
      </c>
      <c r="G401" s="407">
        <f>SUM(G392:G400)</f>
        <v>0</v>
      </c>
      <c r="H401" s="391"/>
      <c r="I401" s="406">
        <f t="shared" ref="I401" si="217">SUM(I392:I400)</f>
        <v>0</v>
      </c>
      <c r="J401" s="425">
        <f>SUM(J392:J400)</f>
        <v>0</v>
      </c>
    </row>
    <row r="402" spans="1:10" ht="23.25" thickBot="1" x14ac:dyDescent="0.3">
      <c r="A402" s="274" t="s">
        <v>103</v>
      </c>
      <c r="B402" s="960" t="s">
        <v>25</v>
      </c>
      <c r="C402" s="961"/>
      <c r="D402" s="962"/>
      <c r="E402" s="393"/>
      <c r="F402" s="410">
        <f t="shared" ref="F402" si="218">+F391+F401</f>
        <v>0</v>
      </c>
      <c r="G402" s="411">
        <f>+G391+G401</f>
        <v>0</v>
      </c>
      <c r="H402" s="394"/>
      <c r="I402" s="410">
        <f t="shared" ref="I402:J402" si="219">+I391+I401</f>
        <v>0</v>
      </c>
      <c r="J402" s="428">
        <f t="shared" si="219"/>
        <v>0</v>
      </c>
    </row>
    <row r="403" spans="1:10" ht="23.25" thickBot="1" x14ac:dyDescent="0.3">
      <c r="A403" s="274" t="s">
        <v>103</v>
      </c>
      <c r="B403" s="963" t="s">
        <v>172</v>
      </c>
      <c r="C403" s="941"/>
      <c r="D403" s="942"/>
      <c r="E403" s="395"/>
      <c r="F403" s="412">
        <f t="shared" ref="F403" si="220">+F386+F402</f>
        <v>3729762.37</v>
      </c>
      <c r="G403" s="413">
        <f>+G386+G402</f>
        <v>10633811.4396</v>
      </c>
      <c r="H403" s="396"/>
      <c r="I403" s="412">
        <f t="shared" ref="I403:J403" si="221">+I386+I402</f>
        <v>5094224.4000000004</v>
      </c>
      <c r="J403" s="429">
        <f t="shared" si="221"/>
        <v>13628967.600000001</v>
      </c>
    </row>
    <row r="404" spans="1:10" ht="24" x14ac:dyDescent="0.25">
      <c r="A404" s="268" t="s">
        <v>101</v>
      </c>
      <c r="B404" s="956" t="s">
        <v>26</v>
      </c>
      <c r="C404" s="297" t="s">
        <v>297</v>
      </c>
      <c r="D404" s="299" t="s">
        <v>177</v>
      </c>
      <c r="E404" s="504">
        <v>13.1272</v>
      </c>
      <c r="F404" s="402">
        <f>IFERROR(E404*'01 Prod Physique Boites'!H399,"-")</f>
        <v>0</v>
      </c>
      <c r="G404" s="403">
        <f>IFERROR(E404*'01 Prod Physique Boites'!L399,"-")</f>
        <v>0</v>
      </c>
      <c r="H404" s="381">
        <v>20.76</v>
      </c>
      <c r="I404" s="419">
        <f t="shared" ref="I404:I413" si="222">IFERROR(H404*(F404/E404),"-")</f>
        <v>0</v>
      </c>
      <c r="J404" s="632">
        <f t="shared" ref="J404:J413" si="223">IFERROR(H404*(G404/E404),"-")</f>
        <v>0</v>
      </c>
    </row>
    <row r="405" spans="1:10" ht="24" x14ac:dyDescent="0.25">
      <c r="A405" s="274" t="s">
        <v>101</v>
      </c>
      <c r="B405" s="956"/>
      <c r="C405" s="298" t="s">
        <v>424</v>
      </c>
      <c r="D405" s="298" t="s">
        <v>423</v>
      </c>
      <c r="E405" s="505">
        <v>16.7288</v>
      </c>
      <c r="F405" s="402">
        <f>IFERROR(E405*'01 Prod Physique Boites'!H400,"-")</f>
        <v>0</v>
      </c>
      <c r="G405" s="403">
        <f>IFERROR(E405*'01 Prod Physique Boites'!L400,"-")</f>
        <v>4125924.3168000001</v>
      </c>
      <c r="H405" s="385">
        <v>20.76</v>
      </c>
      <c r="I405" s="421">
        <f t="shared" si="222"/>
        <v>0</v>
      </c>
      <c r="J405" s="633">
        <f t="shared" si="223"/>
        <v>5120163.3600000003</v>
      </c>
    </row>
    <row r="406" spans="1:10" ht="24" x14ac:dyDescent="0.25">
      <c r="A406" s="274" t="s">
        <v>101</v>
      </c>
      <c r="B406" s="956"/>
      <c r="C406" s="299" t="s">
        <v>27</v>
      </c>
      <c r="D406" s="299" t="s">
        <v>334</v>
      </c>
      <c r="E406" s="501">
        <v>17.8202</v>
      </c>
      <c r="F406" s="402">
        <f>IFERROR(E406*'01 Prod Physique Boites'!H401,"-")</f>
        <v>0</v>
      </c>
      <c r="G406" s="403">
        <f>IFERROR(E406*'01 Prod Physique Boites'!L401,"-")</f>
        <v>0</v>
      </c>
      <c r="H406" s="385">
        <v>21.22</v>
      </c>
      <c r="I406" s="643">
        <f t="shared" si="222"/>
        <v>0</v>
      </c>
      <c r="J406" s="633">
        <f t="shared" si="223"/>
        <v>0</v>
      </c>
    </row>
    <row r="407" spans="1:10" ht="24" x14ac:dyDescent="0.25">
      <c r="A407" s="274" t="s">
        <v>101</v>
      </c>
      <c r="B407" s="956"/>
      <c r="C407" s="299" t="s">
        <v>27</v>
      </c>
      <c r="D407" s="297" t="s">
        <v>492</v>
      </c>
      <c r="E407" s="501">
        <v>17.8202</v>
      </c>
      <c r="F407" s="402">
        <f>IFERROR(E407*'01 Prod Physique Boites'!H402,"-")</f>
        <v>1205108.8452000001</v>
      </c>
      <c r="G407" s="403">
        <f>IFERROR(E407*'01 Prod Physique Boites'!L402,"-")</f>
        <v>1205108.8452000001</v>
      </c>
      <c r="H407" s="385">
        <v>26.75</v>
      </c>
      <c r="I407" s="643">
        <f t="shared" si="222"/>
        <v>1808995.5</v>
      </c>
      <c r="J407" s="633">
        <f t="shared" si="223"/>
        <v>1808995.5</v>
      </c>
    </row>
    <row r="408" spans="1:10" ht="24" x14ac:dyDescent="0.25">
      <c r="A408" s="274" t="s">
        <v>101</v>
      </c>
      <c r="B408" s="956"/>
      <c r="C408" s="299" t="s">
        <v>27</v>
      </c>
      <c r="D408" s="299" t="s">
        <v>279</v>
      </c>
      <c r="E408" s="501">
        <v>17.8202</v>
      </c>
      <c r="F408" s="402">
        <f>IFERROR(E408*'01 Prod Physique Boites'!H403,"-")</f>
        <v>0</v>
      </c>
      <c r="G408" s="403">
        <f>IFERROR(E408*'01 Prod Physique Boites'!L403,"-")</f>
        <v>0</v>
      </c>
      <c r="H408" s="385">
        <v>24.93</v>
      </c>
      <c r="I408" s="643">
        <f t="shared" si="222"/>
        <v>0</v>
      </c>
      <c r="J408" s="633">
        <f t="shared" si="223"/>
        <v>0</v>
      </c>
    </row>
    <row r="409" spans="1:10" ht="24" x14ac:dyDescent="0.25">
      <c r="A409" s="274"/>
      <c r="B409" s="956"/>
      <c r="C409" s="299" t="s">
        <v>437</v>
      </c>
      <c r="D409" s="299" t="s">
        <v>178</v>
      </c>
      <c r="E409" s="501">
        <v>14.608000000000001</v>
      </c>
      <c r="F409" s="402">
        <f>IFERROR(E409*'01 Prod Physique Boites'!H404,"-")</f>
        <v>0</v>
      </c>
      <c r="G409" s="403">
        <f>IFERROR(E409*'01 Prod Physique Boites'!L404,"-")</f>
        <v>0</v>
      </c>
      <c r="H409" s="387">
        <v>24.93</v>
      </c>
      <c r="I409" s="643">
        <f t="shared" si="222"/>
        <v>0</v>
      </c>
      <c r="J409" s="634">
        <f t="shared" si="223"/>
        <v>0</v>
      </c>
    </row>
    <row r="410" spans="1:10" ht="24" x14ac:dyDescent="0.25">
      <c r="A410" s="274"/>
      <c r="B410" s="956"/>
      <c r="C410" s="299" t="s">
        <v>436</v>
      </c>
      <c r="D410" s="299" t="s">
        <v>94</v>
      </c>
      <c r="E410" s="501">
        <v>17.8202</v>
      </c>
      <c r="F410" s="724">
        <f>IFERROR(E410*'01 Prod Physique Boites'!H405,"-")</f>
        <v>0</v>
      </c>
      <c r="G410" s="403">
        <f>IFERROR(E410*'01 Prod Physique Boites'!L405,"-")</f>
        <v>0</v>
      </c>
      <c r="H410" s="387">
        <v>24.93</v>
      </c>
      <c r="I410" s="730">
        <f t="shared" si="222"/>
        <v>0</v>
      </c>
      <c r="J410" s="634">
        <f t="shared" si="223"/>
        <v>0</v>
      </c>
    </row>
    <row r="411" spans="1:10" s="731" customFormat="1" ht="24" x14ac:dyDescent="0.25">
      <c r="A411" s="725"/>
      <c r="B411" s="956"/>
      <c r="C411" s="726" t="s">
        <v>383</v>
      </c>
      <c r="D411" s="726" t="s">
        <v>384</v>
      </c>
      <c r="E411" s="727">
        <v>16.345199999999998</v>
      </c>
      <c r="F411" s="724">
        <f>IFERROR(E411*'01 Prod Physique Boites'!H406,"-")</f>
        <v>0</v>
      </c>
      <c r="G411" s="728">
        <f>IFERROR(E411*'01 Prod Physique Boites'!L406,"-")</f>
        <v>0</v>
      </c>
      <c r="H411" s="729">
        <v>23.78</v>
      </c>
      <c r="I411" s="730">
        <f t="shared" si="222"/>
        <v>0</v>
      </c>
      <c r="J411" s="634">
        <f t="shared" si="223"/>
        <v>0</v>
      </c>
    </row>
    <row r="412" spans="1:10" s="731" customFormat="1" ht="24" x14ac:dyDescent="0.25">
      <c r="A412" s="725"/>
      <c r="B412" s="956"/>
      <c r="C412" s="299" t="s">
        <v>433</v>
      </c>
      <c r="D412" s="299" t="s">
        <v>178</v>
      </c>
      <c r="E412" s="727">
        <v>16.7288</v>
      </c>
      <c r="F412" s="724">
        <f>IFERROR(E412*'01 Prod Physique Boites'!H407,"-")</f>
        <v>0</v>
      </c>
      <c r="G412" s="728">
        <f>IFERROR(E412*'01 Prod Physique Boites'!L407,"-")</f>
        <v>0</v>
      </c>
      <c r="H412" s="729">
        <v>25.49</v>
      </c>
      <c r="I412" s="730">
        <f t="shared" si="222"/>
        <v>0</v>
      </c>
      <c r="J412" s="634">
        <f t="shared" si="223"/>
        <v>0</v>
      </c>
    </row>
    <row r="413" spans="1:10" ht="24.75" thickBot="1" x14ac:dyDescent="0.3">
      <c r="A413" s="274" t="s">
        <v>101</v>
      </c>
      <c r="B413" s="956"/>
      <c r="C413" s="300" t="s">
        <v>290</v>
      </c>
      <c r="D413" s="299" t="s">
        <v>289</v>
      </c>
      <c r="E413" s="501">
        <v>12.6997</v>
      </c>
      <c r="F413" s="402">
        <f>IFERROR(E413*'01 Prod Physique Boites'!H408,"-")</f>
        <v>0</v>
      </c>
      <c r="G413" s="728">
        <f>IFERROR(E413*'01 Prod Physique Boites'!L408,"-")</f>
        <v>0</v>
      </c>
      <c r="H413" s="387">
        <v>13.25</v>
      </c>
      <c r="I413" s="730">
        <f t="shared" si="222"/>
        <v>0</v>
      </c>
      <c r="J413" s="634">
        <f t="shared" si="223"/>
        <v>0</v>
      </c>
    </row>
    <row r="414" spans="1:10" ht="23.25" thickBot="1" x14ac:dyDescent="0.3">
      <c r="A414" s="274" t="s">
        <v>101</v>
      </c>
      <c r="B414" s="969"/>
      <c r="C414" s="301"/>
      <c r="D414" s="302" t="s">
        <v>52</v>
      </c>
      <c r="E414" s="390"/>
      <c r="F414" s="406">
        <f>SUM(F404:F413)</f>
        <v>1205108.8452000001</v>
      </c>
      <c r="G414" s="407">
        <f>SUM(G404:G413)</f>
        <v>5331033.1620000005</v>
      </c>
      <c r="H414" s="391"/>
      <c r="I414" s="406">
        <f>SUM(I404:I413)</f>
        <v>1808995.5</v>
      </c>
      <c r="J414" s="425">
        <f>SUM(J404:J413)</f>
        <v>6929158.8600000003</v>
      </c>
    </row>
    <row r="415" spans="1:10" ht="24" x14ac:dyDescent="0.25">
      <c r="A415" s="274" t="s">
        <v>101</v>
      </c>
      <c r="B415" s="955" t="s">
        <v>28</v>
      </c>
      <c r="C415" s="299" t="s">
        <v>27</v>
      </c>
      <c r="D415" s="297" t="s">
        <v>492</v>
      </c>
      <c r="E415" s="504">
        <v>17.8202</v>
      </c>
      <c r="F415" s="402">
        <f>IFERROR(E415*'01 Prod Physique Boites'!H410,"-")</f>
        <v>779776.31160000002</v>
      </c>
      <c r="G415" s="403">
        <f>IFERROR(E415*'01 Prod Physique Boites'!L410,"-")</f>
        <v>1346886.3563999999</v>
      </c>
      <c r="H415" s="381">
        <v>26.75</v>
      </c>
      <c r="I415" s="419">
        <f t="shared" ref="I415:I421" si="224">IFERROR(H415*(F415/E415),"-")</f>
        <v>1170526.5</v>
      </c>
      <c r="J415" s="632">
        <f t="shared" ref="J415:J416" si="225">IFERROR(H415*(G415/E415),"-")</f>
        <v>2021818.5</v>
      </c>
    </row>
    <row r="416" spans="1:10" ht="24" x14ac:dyDescent="0.25">
      <c r="A416" s="274" t="s">
        <v>101</v>
      </c>
      <c r="B416" s="956"/>
      <c r="C416" s="299" t="s">
        <v>386</v>
      </c>
      <c r="D416" s="299" t="s">
        <v>334</v>
      </c>
      <c r="E416" s="711">
        <v>16.7288</v>
      </c>
      <c r="F416" s="402">
        <f>IFERROR(E416*'01 Prod Physique Boites'!H411,"-")</f>
        <v>0</v>
      </c>
      <c r="G416" s="728">
        <f>IFERROR(E416*'01 Prod Physique Boites'!L411,"-")</f>
        <v>1597131.9935999999</v>
      </c>
      <c r="H416" s="708">
        <v>20.76</v>
      </c>
      <c r="I416" s="421">
        <f t="shared" si="224"/>
        <v>0</v>
      </c>
      <c r="J416" s="633">
        <f t="shared" si="225"/>
        <v>1981998.7200000002</v>
      </c>
    </row>
    <row r="417" spans="1:10" ht="24" x14ac:dyDescent="0.25">
      <c r="A417" s="274" t="s">
        <v>101</v>
      </c>
      <c r="B417" s="956"/>
      <c r="C417" s="299" t="s">
        <v>385</v>
      </c>
      <c r="D417" s="299" t="s">
        <v>334</v>
      </c>
      <c r="E417" s="501">
        <v>17.8202</v>
      </c>
      <c r="F417" s="402">
        <f>IFERROR(E417*'01 Prod Physique Boites'!H412,"-")</f>
        <v>0</v>
      </c>
      <c r="G417" s="403">
        <f>IFERROR(E417*'01 Prod Physique Boites'!L412,"-")</f>
        <v>0</v>
      </c>
      <c r="H417" s="385">
        <v>21.22</v>
      </c>
      <c r="I417" s="421">
        <f t="shared" si="224"/>
        <v>0</v>
      </c>
      <c r="J417" s="633">
        <f>IFERROR(H417*(G417/E417),"-")</f>
        <v>0</v>
      </c>
    </row>
    <row r="418" spans="1:10" ht="24" x14ac:dyDescent="0.25">
      <c r="A418" s="274"/>
      <c r="B418" s="956"/>
      <c r="C418" s="299" t="s">
        <v>460</v>
      </c>
      <c r="D418" s="299" t="s">
        <v>334</v>
      </c>
      <c r="E418" s="501">
        <v>14.608000000000001</v>
      </c>
      <c r="F418" s="402">
        <f>IFERROR(E418*'01 Prod Physique Boites'!H413,"-")</f>
        <v>0</v>
      </c>
      <c r="G418" s="403">
        <f>IFERROR(E418*'01 Prod Physique Boites'!L413,"-")</f>
        <v>0</v>
      </c>
      <c r="H418" s="385">
        <v>21.22</v>
      </c>
      <c r="I418" s="421">
        <f t="shared" si="224"/>
        <v>0</v>
      </c>
      <c r="J418" s="633">
        <f>IFERROR(H418*(G418/E418),"-")</f>
        <v>0</v>
      </c>
    </row>
    <row r="419" spans="1:10" ht="24" x14ac:dyDescent="0.25">
      <c r="A419" s="274"/>
      <c r="B419" s="956"/>
      <c r="C419" s="299" t="s">
        <v>383</v>
      </c>
      <c r="D419" s="299" t="s">
        <v>384</v>
      </c>
      <c r="E419" s="711">
        <v>16.345199999999998</v>
      </c>
      <c r="F419" s="402">
        <f>IFERROR(E419*'01 Prod Physique Boites'!H414,"-")</f>
        <v>0</v>
      </c>
      <c r="G419" s="403">
        <f>IFERROR(E419*'01 Prod Physique Boites'!L414,"-")</f>
        <v>0</v>
      </c>
      <c r="H419" s="385">
        <v>23.78</v>
      </c>
      <c r="I419" s="423">
        <f t="shared" si="224"/>
        <v>0</v>
      </c>
      <c r="J419" s="634">
        <f t="shared" ref="J419:J421" si="226">IFERROR(H419*(G419/E419),"-")</f>
        <v>0</v>
      </c>
    </row>
    <row r="420" spans="1:10" ht="24" x14ac:dyDescent="0.25">
      <c r="A420" s="274"/>
      <c r="B420" s="956"/>
      <c r="C420" s="299" t="s">
        <v>458</v>
      </c>
      <c r="D420" s="300" t="s">
        <v>280</v>
      </c>
      <c r="E420" s="711">
        <v>17.8202</v>
      </c>
      <c r="F420" s="402">
        <f>IFERROR(E420*'01 Prod Physique Boites'!H415,"-")</f>
        <v>0</v>
      </c>
      <c r="G420" s="403">
        <f>IFERROR(E420*'01 Prod Physique Boites'!L415,"-")</f>
        <v>0</v>
      </c>
      <c r="H420" s="385">
        <v>24.93</v>
      </c>
      <c r="I420" s="730">
        <f t="shared" si="224"/>
        <v>0</v>
      </c>
      <c r="J420" s="634">
        <f t="shared" si="226"/>
        <v>0</v>
      </c>
    </row>
    <row r="421" spans="1:10" ht="24.75" thickBot="1" x14ac:dyDescent="0.3">
      <c r="A421" s="274" t="s">
        <v>101</v>
      </c>
      <c r="B421" s="956"/>
      <c r="C421" s="299" t="s">
        <v>27</v>
      </c>
      <c r="D421" s="300" t="s">
        <v>234</v>
      </c>
      <c r="E421" s="501">
        <v>17.8202</v>
      </c>
      <c r="F421" s="402">
        <f>IFERROR(E421*'01 Prod Physique Boites'!H416,"-")</f>
        <v>0</v>
      </c>
      <c r="G421" s="403">
        <f>IFERROR(E421*'01 Prod Physique Boites'!L416,"-")</f>
        <v>0</v>
      </c>
      <c r="H421" s="385">
        <v>24.93</v>
      </c>
      <c r="I421" s="423">
        <f t="shared" si="224"/>
        <v>0</v>
      </c>
      <c r="J421" s="634">
        <f t="shared" si="226"/>
        <v>0</v>
      </c>
    </row>
    <row r="422" spans="1:10" ht="23.25" thickBot="1" x14ac:dyDescent="0.3">
      <c r="A422" s="274" t="s">
        <v>101</v>
      </c>
      <c r="B422" s="956"/>
      <c r="C422" s="304"/>
      <c r="D422" s="305" t="s">
        <v>52</v>
      </c>
      <c r="E422" s="397"/>
      <c r="F422" s="414">
        <f t="shared" ref="F422:G422" si="227">SUM(F415:F421)</f>
        <v>779776.31160000002</v>
      </c>
      <c r="G422" s="415">
        <f t="shared" si="227"/>
        <v>2944018.3499999996</v>
      </c>
      <c r="H422" s="398"/>
      <c r="I422" s="414">
        <f t="shared" ref="I422:J422" si="228">SUM(I415:I421)</f>
        <v>1170526.5</v>
      </c>
      <c r="J422" s="430">
        <f t="shared" si="228"/>
        <v>4003817.22</v>
      </c>
    </row>
    <row r="423" spans="1:10" ht="23.25" thickBot="1" x14ac:dyDescent="0.3">
      <c r="A423" s="785" t="s">
        <v>101</v>
      </c>
      <c r="B423" s="957" t="s">
        <v>162</v>
      </c>
      <c r="C423" s="958"/>
      <c r="D423" s="959"/>
      <c r="E423" s="399"/>
      <c r="F423" s="416">
        <f t="shared" ref="F423:G423" si="229">+F414+F422</f>
        <v>1984885.1568</v>
      </c>
      <c r="G423" s="417">
        <f t="shared" si="229"/>
        <v>8275051.5120000001</v>
      </c>
      <c r="H423" s="400"/>
      <c r="I423" s="416">
        <f t="shared" ref="I423:J423" si="230">+I414+I422</f>
        <v>2979522</v>
      </c>
      <c r="J423" s="431">
        <f t="shared" si="230"/>
        <v>10932976.08</v>
      </c>
    </row>
    <row r="424" spans="1:10" ht="24" x14ac:dyDescent="0.25">
      <c r="A424" s="274" t="s">
        <v>101</v>
      </c>
      <c r="B424" s="956" t="s">
        <v>30</v>
      </c>
      <c r="C424" s="303" t="s">
        <v>450</v>
      </c>
      <c r="D424" s="299" t="s">
        <v>334</v>
      </c>
      <c r="E424" s="736">
        <v>27.917000000000002</v>
      </c>
      <c r="F424" s="402">
        <f>IFERROR(E424*'01 Prod Physique Boites'!H419,"-")</f>
        <v>0</v>
      </c>
      <c r="G424" s="728">
        <f>IFERROR(E424*'01 Prod Physique Boites'!L419,"-")</f>
        <v>0</v>
      </c>
      <c r="H424" s="734">
        <v>33.299999999999997</v>
      </c>
      <c r="I424" s="419">
        <f>IFERROR(H424*(F424/E424),"-")</f>
        <v>0</v>
      </c>
      <c r="J424" s="420">
        <f t="shared" ref="J424:J426" si="231">IFERROR(H424*(G424/E424),"-")</f>
        <v>0</v>
      </c>
    </row>
    <row r="425" spans="1:10" ht="24" x14ac:dyDescent="0.25">
      <c r="A425" s="274" t="s">
        <v>101</v>
      </c>
      <c r="B425" s="956"/>
      <c r="C425" s="300" t="s">
        <v>448</v>
      </c>
      <c r="D425" s="303" t="s">
        <v>384</v>
      </c>
      <c r="E425" s="733">
        <v>28.526700000000002</v>
      </c>
      <c r="F425" s="402">
        <f>IFERROR(E425*'01 Prod Physique Boites'!H420,"-")</f>
        <v>0</v>
      </c>
      <c r="G425" s="728">
        <f>IFERROR(E425*'01 Prod Physique Boites'!L420,"-")</f>
        <v>0</v>
      </c>
      <c r="H425" s="735">
        <v>37.89</v>
      </c>
      <c r="I425" s="421">
        <f>IFERROR(H425*(F425/E425),"-")</f>
        <v>0</v>
      </c>
      <c r="J425" s="422">
        <f t="shared" si="231"/>
        <v>0</v>
      </c>
    </row>
    <row r="426" spans="1:10" ht="24.75" thickBot="1" x14ac:dyDescent="0.3">
      <c r="A426" s="274" t="s">
        <v>101</v>
      </c>
      <c r="B426" s="956"/>
      <c r="C426" s="300" t="s">
        <v>291</v>
      </c>
      <c r="D426" s="300" t="s">
        <v>384</v>
      </c>
      <c r="E426" s="501">
        <v>25.751300000000001</v>
      </c>
      <c r="F426" s="724">
        <f>IFERROR(E426*'01 Prod Physique Boites'!H421,"-")</f>
        <v>0</v>
      </c>
      <c r="G426" s="728">
        <f>IFERROR(E426*'01 Prod Physique Boites'!L421,"-")</f>
        <v>0</v>
      </c>
      <c r="H426" s="387">
        <v>37.89</v>
      </c>
      <c r="I426" s="423">
        <f>IFERROR(H426*(F426/E426),"-")</f>
        <v>0</v>
      </c>
      <c r="J426" s="424">
        <f t="shared" si="231"/>
        <v>0</v>
      </c>
    </row>
    <row r="427" spans="1:10" ht="23.25" thickBot="1" x14ac:dyDescent="0.3">
      <c r="A427" s="274" t="s">
        <v>101</v>
      </c>
      <c r="B427" s="956"/>
      <c r="C427" s="301"/>
      <c r="D427" s="302" t="s">
        <v>50</v>
      </c>
      <c r="E427" s="390"/>
      <c r="F427" s="406">
        <f t="shared" ref="F427:G427" si="232">SUM(F424:F426)</f>
        <v>0</v>
      </c>
      <c r="G427" s="407">
        <f t="shared" si="232"/>
        <v>0</v>
      </c>
      <c r="H427" s="391"/>
      <c r="I427" s="406">
        <f t="shared" ref="I427" si="233">SUM(I424:I426)</f>
        <v>0</v>
      </c>
      <c r="J427" s="425">
        <f>SUM(J424:J426)</f>
        <v>0</v>
      </c>
    </row>
    <row r="428" spans="1:10" ht="24" x14ac:dyDescent="0.25">
      <c r="A428" s="274" t="s">
        <v>101</v>
      </c>
      <c r="B428" s="956"/>
      <c r="C428" s="297" t="s">
        <v>439</v>
      </c>
      <c r="D428" s="297" t="s">
        <v>92</v>
      </c>
      <c r="E428" s="504">
        <v>24.2607</v>
      </c>
      <c r="F428" s="402">
        <f>IFERROR(E428*'01 Prod Physique Boites'!H423,"-")</f>
        <v>0</v>
      </c>
      <c r="G428" s="728">
        <f>IFERROR(E428*'01 Prod Physique Boites'!L423,"-")</f>
        <v>0</v>
      </c>
      <c r="H428" s="381">
        <v>28.31</v>
      </c>
      <c r="I428" s="638">
        <f>IFERROR(H428*(F428/E428),"-")</f>
        <v>0</v>
      </c>
      <c r="J428" s="420">
        <f t="shared" ref="J428:J433" si="234">IFERROR(H428*(G428/E428),"-")</f>
        <v>0</v>
      </c>
    </row>
    <row r="429" spans="1:10" ht="24" x14ac:dyDescent="0.25">
      <c r="A429" s="274"/>
      <c r="B429" s="956"/>
      <c r="C429" s="303" t="s">
        <v>449</v>
      </c>
      <c r="D429" s="299" t="s">
        <v>334</v>
      </c>
      <c r="E429" s="504">
        <v>24.2607</v>
      </c>
      <c r="F429" s="402">
        <f>IFERROR(E429*'01 Prod Physique Boites'!H424,"-")</f>
        <v>0</v>
      </c>
      <c r="G429" s="728">
        <f>IFERROR(E429*'01 Prod Physique Boites'!L424,"-")</f>
        <v>0</v>
      </c>
      <c r="H429" s="381">
        <v>28.88</v>
      </c>
      <c r="I429" s="638">
        <f t="shared" ref="I429:I433" si="235">IFERROR(H429*(F429/E429),"-")</f>
        <v>0</v>
      </c>
      <c r="J429" s="420">
        <f t="shared" si="234"/>
        <v>0</v>
      </c>
    </row>
    <row r="430" spans="1:10" ht="24" x14ac:dyDescent="0.25">
      <c r="A430" s="274"/>
      <c r="B430" s="956"/>
      <c r="C430" s="303" t="s">
        <v>452</v>
      </c>
      <c r="D430" s="299" t="s">
        <v>334</v>
      </c>
      <c r="E430" s="504">
        <v>25.4041</v>
      </c>
      <c r="F430" s="402">
        <f>IFERROR(E430*'01 Prod Physique Boites'!H425,"-")</f>
        <v>0</v>
      </c>
      <c r="G430" s="728">
        <f>IFERROR(E430*'01 Prod Physique Boites'!L425,"-")</f>
        <v>0</v>
      </c>
      <c r="H430" s="381">
        <v>28.21</v>
      </c>
      <c r="I430" s="638">
        <f t="shared" si="235"/>
        <v>0</v>
      </c>
      <c r="J430" s="420">
        <f t="shared" si="234"/>
        <v>0</v>
      </c>
    </row>
    <row r="431" spans="1:10" ht="24" x14ac:dyDescent="0.25">
      <c r="A431" s="274" t="s">
        <v>101</v>
      </c>
      <c r="B431" s="956"/>
      <c r="C431" s="303" t="s">
        <v>501</v>
      </c>
      <c r="D431" s="300" t="s">
        <v>423</v>
      </c>
      <c r="E431" s="505">
        <v>23.697399999999998</v>
      </c>
      <c r="F431" s="724">
        <f>IFERROR(E431*'01 Prod Physique Boites'!H426,"-")</f>
        <v>177446.13119999997</v>
      </c>
      <c r="G431" s="728">
        <f>IFERROR(E431*'01 Prod Physique Boites'!L426,"-")</f>
        <v>177446.13119999997</v>
      </c>
      <c r="H431" s="385">
        <v>28.21</v>
      </c>
      <c r="I431" s="638">
        <f t="shared" si="235"/>
        <v>211236.47999999998</v>
      </c>
      <c r="J431" s="420">
        <f t="shared" si="234"/>
        <v>211236.47999999998</v>
      </c>
    </row>
    <row r="432" spans="1:10" ht="24" x14ac:dyDescent="0.25">
      <c r="A432" s="274"/>
      <c r="B432" s="956"/>
      <c r="C432" s="300" t="s">
        <v>459</v>
      </c>
      <c r="D432" s="300" t="s">
        <v>366</v>
      </c>
      <c r="E432" s="501">
        <v>22.094999999999999</v>
      </c>
      <c r="F432" s="724">
        <f>IFERROR(E432*'01 Prod Physique Boites'!H427,"-")</f>
        <v>0</v>
      </c>
      <c r="G432" s="728">
        <f>IFERROR(E432*'01 Prod Physique Boites'!L427,"-")</f>
        <v>0</v>
      </c>
      <c r="H432" s="745">
        <v>37.11</v>
      </c>
      <c r="I432" s="638">
        <f t="shared" si="235"/>
        <v>0</v>
      </c>
      <c r="J432" s="420">
        <f t="shared" si="234"/>
        <v>0</v>
      </c>
    </row>
    <row r="433" spans="1:10" ht="24.75" thickBot="1" x14ac:dyDescent="0.3">
      <c r="A433" s="274" t="s">
        <v>101</v>
      </c>
      <c r="B433" s="956"/>
      <c r="C433" s="300" t="s">
        <v>438</v>
      </c>
      <c r="D433" s="300" t="s">
        <v>423</v>
      </c>
      <c r="E433" s="501">
        <v>23.697399999999998</v>
      </c>
      <c r="F433" s="402">
        <f>IFERROR(E433*'01 Prod Physique Boites'!H428,"-")</f>
        <v>0</v>
      </c>
      <c r="G433" s="403">
        <f>IFERROR(E433*'01 Prod Physique Boites'!L428,"-")</f>
        <v>0</v>
      </c>
      <c r="H433" s="387">
        <v>28.21</v>
      </c>
      <c r="I433" s="638">
        <f t="shared" si="235"/>
        <v>0</v>
      </c>
      <c r="J433" s="420">
        <f t="shared" si="234"/>
        <v>0</v>
      </c>
    </row>
    <row r="434" spans="1:10" ht="23.25" thickBot="1" x14ac:dyDescent="0.3">
      <c r="A434" s="274" t="s">
        <v>101</v>
      </c>
      <c r="B434" s="956"/>
      <c r="C434" s="304"/>
      <c r="D434" s="305" t="s">
        <v>51</v>
      </c>
      <c r="E434" s="397"/>
      <c r="F434" s="414">
        <f t="shared" ref="F434:G434" si="236">SUM(F428:F433)</f>
        <v>177446.13119999997</v>
      </c>
      <c r="G434" s="415">
        <f t="shared" si="236"/>
        <v>177446.13119999997</v>
      </c>
      <c r="H434" s="398"/>
      <c r="I434" s="414">
        <f t="shared" ref="I434" si="237">SUM(I428:I433)</f>
        <v>211236.47999999998</v>
      </c>
      <c r="J434" s="430">
        <f>SUM(J428:J433)</f>
        <v>211236.47999999998</v>
      </c>
    </row>
    <row r="435" spans="1:10" ht="23.25" thickBot="1" x14ac:dyDescent="0.3">
      <c r="A435" s="274" t="s">
        <v>101</v>
      </c>
      <c r="B435" s="957" t="s">
        <v>163</v>
      </c>
      <c r="C435" s="958"/>
      <c r="D435" s="959"/>
      <c r="E435" s="399"/>
      <c r="F435" s="416">
        <f t="shared" ref="F435:G435" si="238">+F427+F434</f>
        <v>177446.13119999997</v>
      </c>
      <c r="G435" s="417">
        <f t="shared" si="238"/>
        <v>177446.13119999997</v>
      </c>
      <c r="H435" s="400"/>
      <c r="I435" s="416">
        <f t="shared" ref="I435:J435" si="239">+I427+I434</f>
        <v>211236.47999999998</v>
      </c>
      <c r="J435" s="431">
        <f t="shared" si="239"/>
        <v>211236.47999999998</v>
      </c>
    </row>
    <row r="436" spans="1:10" ht="24.75" thickBot="1" x14ac:dyDescent="0.3">
      <c r="A436" s="274" t="s">
        <v>101</v>
      </c>
      <c r="B436" s="599" t="s">
        <v>32</v>
      </c>
      <c r="C436" s="781"/>
      <c r="D436" s="310"/>
      <c r="E436" s="506">
        <v>12.2659</v>
      </c>
      <c r="F436" s="408">
        <f>IFERROR(E436*'01 Prod Physique Boites'!H431,"-")</f>
        <v>0</v>
      </c>
      <c r="G436" s="409">
        <f>IFERROR(E436*'01 Prod Physique Boites'!L431,"-")</f>
        <v>0</v>
      </c>
      <c r="H436" s="392"/>
      <c r="I436" s="426">
        <f>IFERROR(H436*(F436/E436),"-")</f>
        <v>0</v>
      </c>
      <c r="J436" s="427">
        <f>IFERROR(H436*(G436/E436),"-")</f>
        <v>0</v>
      </c>
    </row>
    <row r="437" spans="1:10" ht="23.25" thickBot="1" x14ac:dyDescent="0.3">
      <c r="A437" s="274" t="s">
        <v>101</v>
      </c>
      <c r="B437" s="960" t="s">
        <v>21</v>
      </c>
      <c r="C437" s="961"/>
      <c r="D437" s="962"/>
      <c r="E437" s="393"/>
      <c r="F437" s="410">
        <f t="shared" ref="F437" si="240">+F423+F435+F436</f>
        <v>2162331.2880000002</v>
      </c>
      <c r="G437" s="411">
        <f>+G423+G435+G436</f>
        <v>8452497.6432000007</v>
      </c>
      <c r="H437" s="394"/>
      <c r="I437" s="410">
        <f t="shared" ref="I437:J437" si="241">+I423+I435+I436</f>
        <v>3190758.48</v>
      </c>
      <c r="J437" s="428">
        <f t="shared" si="241"/>
        <v>11144212.560000001</v>
      </c>
    </row>
    <row r="438" spans="1:10" ht="23.25" thickBot="1" x14ac:dyDescent="0.3">
      <c r="A438" s="274" t="s">
        <v>101</v>
      </c>
      <c r="B438" s="963" t="s">
        <v>171</v>
      </c>
      <c r="C438" s="941"/>
      <c r="D438" s="942"/>
      <c r="E438" s="395"/>
      <c r="F438" s="412">
        <f t="shared" ref="F438:G438" si="242">+F437</f>
        <v>2162331.2880000002</v>
      </c>
      <c r="G438" s="413">
        <f t="shared" si="242"/>
        <v>8452497.6432000007</v>
      </c>
      <c r="H438" s="396"/>
      <c r="I438" s="412">
        <f t="shared" ref="I438:J438" si="243">+I437</f>
        <v>3190758.48</v>
      </c>
      <c r="J438" s="429">
        <f t="shared" si="243"/>
        <v>11144212.560000001</v>
      </c>
    </row>
    <row r="439" spans="1:10" ht="24" x14ac:dyDescent="0.25">
      <c r="A439" s="268" t="s">
        <v>102</v>
      </c>
      <c r="B439" s="949" t="s">
        <v>401</v>
      </c>
      <c r="C439" s="311" t="s">
        <v>113</v>
      </c>
      <c r="D439" s="311"/>
      <c r="E439" s="709">
        <v>254.89750000000001</v>
      </c>
      <c r="F439" s="402">
        <f>IFERROR(E439*'01 Prod Physique Boites'!H434,"-")</f>
        <v>0</v>
      </c>
      <c r="G439" s="403">
        <f>IFERROR(E439*'01 Prod Physique Boites'!L434,"-")</f>
        <v>0</v>
      </c>
      <c r="H439" s="381">
        <v>445.38</v>
      </c>
      <c r="I439" s="419">
        <f>IFERROR(H439*(F439/E439),"-")</f>
        <v>0</v>
      </c>
      <c r="J439" s="420">
        <f t="shared" ref="J439:J441" si="244">IFERROR(H439*(G439/E439),"-")</f>
        <v>0</v>
      </c>
    </row>
    <row r="440" spans="1:10" ht="24" x14ac:dyDescent="0.25">
      <c r="A440" s="274" t="s">
        <v>102</v>
      </c>
      <c r="B440" s="951"/>
      <c r="C440" s="312" t="s">
        <v>247</v>
      </c>
      <c r="D440" s="312"/>
      <c r="E440" s="503">
        <v>246.51390000000001</v>
      </c>
      <c r="F440" s="402">
        <f>IFERROR(E440*'01 Prod Physique Boites'!H435,"-")</f>
        <v>320468.07</v>
      </c>
      <c r="G440" s="403">
        <f>IFERROR(E440*'01 Prod Physique Boites'!L435,"-")</f>
        <v>788844.48</v>
      </c>
      <c r="H440" s="385">
        <v>430.02</v>
      </c>
      <c r="I440" s="421">
        <f>IFERROR(H440*(F440/E440),"-")</f>
        <v>559026</v>
      </c>
      <c r="J440" s="422">
        <f t="shared" si="244"/>
        <v>1376064</v>
      </c>
    </row>
    <row r="441" spans="1:10" ht="24.75" thickBot="1" x14ac:dyDescent="0.3">
      <c r="A441" s="274" t="s">
        <v>102</v>
      </c>
      <c r="B441" s="950"/>
      <c r="C441" s="313" t="s">
        <v>33</v>
      </c>
      <c r="D441" s="313"/>
      <c r="E441" s="500">
        <v>225.7713</v>
      </c>
      <c r="F441" s="402">
        <f>IFERROR(E441*'01 Prod Physique Boites'!H436,"-")</f>
        <v>0</v>
      </c>
      <c r="G441" s="403">
        <f>IFERROR(E441*'01 Prod Physique Boites'!L436,"-")</f>
        <v>0</v>
      </c>
      <c r="H441" s="387"/>
      <c r="I441" s="423">
        <f>IFERROR(H441*(F441/E441),"-")</f>
        <v>0</v>
      </c>
      <c r="J441" s="424">
        <f t="shared" si="244"/>
        <v>0</v>
      </c>
    </row>
    <row r="442" spans="1:10" ht="23.25" thickBot="1" x14ac:dyDescent="0.3">
      <c r="A442" s="274" t="s">
        <v>102</v>
      </c>
      <c r="B442" s="946" t="s">
        <v>34</v>
      </c>
      <c r="C442" s="947"/>
      <c r="D442" s="948"/>
      <c r="E442" s="390"/>
      <c r="F442" s="406">
        <f t="shared" ref="F442:G442" si="245">SUM(F439:F441)</f>
        <v>320468.07</v>
      </c>
      <c r="G442" s="407">
        <f t="shared" si="245"/>
        <v>788844.48</v>
      </c>
      <c r="H442" s="391"/>
      <c r="I442" s="406">
        <f t="shared" ref="I442:J442" si="246">SUM(I439:I441)</f>
        <v>559026</v>
      </c>
      <c r="J442" s="425">
        <f t="shared" si="246"/>
        <v>1376064</v>
      </c>
    </row>
    <row r="443" spans="1:10" ht="24" x14ac:dyDescent="0.25">
      <c r="A443" s="274" t="s">
        <v>102</v>
      </c>
      <c r="B443" s="949" t="s">
        <v>35</v>
      </c>
      <c r="C443" s="311" t="s">
        <v>113</v>
      </c>
      <c r="D443" s="311"/>
      <c r="E443" s="502">
        <v>254.89750000000001</v>
      </c>
      <c r="F443" s="402">
        <f>IFERROR(E443*'01 Prod Physique Boites'!H438,"-")</f>
        <v>0</v>
      </c>
      <c r="G443" s="403">
        <f>IFERROR(E443*'01 Prod Physique Boites'!L438,"-")</f>
        <v>0</v>
      </c>
      <c r="H443" s="381">
        <v>445.38</v>
      </c>
      <c r="I443" s="419">
        <f>IFERROR(H443*(F443/E443),"-")</f>
        <v>0</v>
      </c>
      <c r="J443" s="420">
        <f t="shared" ref="J443:J446" si="247">IFERROR(H443*(G443/E443),"-")</f>
        <v>0</v>
      </c>
    </row>
    <row r="444" spans="1:10" ht="24" x14ac:dyDescent="0.25">
      <c r="A444" s="274" t="s">
        <v>102</v>
      </c>
      <c r="B444" s="951"/>
      <c r="C444" s="312" t="s">
        <v>247</v>
      </c>
      <c r="D444" s="312"/>
      <c r="E444" s="503">
        <v>246.51390000000001</v>
      </c>
      <c r="F444" s="402">
        <f>IFERROR(E444*'01 Prod Physique Boites'!H439,"-")</f>
        <v>0</v>
      </c>
      <c r="G444" s="403">
        <f>IFERROR(E444*'01 Prod Physique Boites'!L439,"-")</f>
        <v>0</v>
      </c>
      <c r="H444" s="385">
        <v>430.02</v>
      </c>
      <c r="I444" s="421">
        <f>IFERROR(H444*(F444/E444),"-")</f>
        <v>0</v>
      </c>
      <c r="J444" s="422">
        <f t="shared" si="247"/>
        <v>0</v>
      </c>
    </row>
    <row r="445" spans="1:10" ht="24" x14ac:dyDescent="0.25">
      <c r="A445" s="274" t="s">
        <v>102</v>
      </c>
      <c r="B445" s="951"/>
      <c r="C445" s="312" t="s">
        <v>184</v>
      </c>
      <c r="D445" s="312" t="s">
        <v>183</v>
      </c>
      <c r="E445" s="503">
        <v>254.89750000000001</v>
      </c>
      <c r="F445" s="402">
        <f>IFERROR(E445*'01 Prod Physique Boites'!H440,"-")</f>
        <v>0</v>
      </c>
      <c r="G445" s="403">
        <f>IFERROR(E445*'01 Prod Physique Boites'!L440,"-")</f>
        <v>0</v>
      </c>
      <c r="H445" s="385"/>
      <c r="I445" s="421">
        <f>IFERROR(H445*(F445/E445),"-")</f>
        <v>0</v>
      </c>
      <c r="J445" s="422">
        <f t="shared" si="247"/>
        <v>0</v>
      </c>
    </row>
    <row r="446" spans="1:10" ht="24.75" thickBot="1" x14ac:dyDescent="0.3">
      <c r="A446" s="274" t="s">
        <v>102</v>
      </c>
      <c r="B446" s="950"/>
      <c r="C446" s="313" t="s">
        <v>36</v>
      </c>
      <c r="D446" s="313"/>
      <c r="E446" s="500">
        <v>229.99359999999999</v>
      </c>
      <c r="F446" s="402">
        <f>IFERROR(E446*'01 Prod Physique Boites'!H441,"-")</f>
        <v>0</v>
      </c>
      <c r="G446" s="403">
        <f>IFERROR(E446*'01 Prod Physique Boites'!L441,"-")</f>
        <v>0</v>
      </c>
      <c r="H446" s="387"/>
      <c r="I446" s="423">
        <f>IFERROR(H446*(F446/E446),"-")</f>
        <v>0</v>
      </c>
      <c r="J446" s="424">
        <f t="shared" si="247"/>
        <v>0</v>
      </c>
    </row>
    <row r="447" spans="1:10" ht="23.25" thickBot="1" x14ac:dyDescent="0.3">
      <c r="A447" s="274" t="s">
        <v>102</v>
      </c>
      <c r="B447" s="946" t="s">
        <v>37</v>
      </c>
      <c r="C447" s="947"/>
      <c r="D447" s="948"/>
      <c r="E447" s="390"/>
      <c r="F447" s="406">
        <f t="shared" ref="F447:G447" si="248">SUM(F443:F446)</f>
        <v>0</v>
      </c>
      <c r="G447" s="407">
        <f t="shared" si="248"/>
        <v>0</v>
      </c>
      <c r="H447" s="391"/>
      <c r="I447" s="406">
        <f>SUM(I443:I446)</f>
        <v>0</v>
      </c>
      <c r="J447" s="425">
        <f>SUM(J443:J446)</f>
        <v>0</v>
      </c>
    </row>
    <row r="448" spans="1:10" ht="24" x14ac:dyDescent="0.25">
      <c r="A448" s="274" t="s">
        <v>102</v>
      </c>
      <c r="B448" s="949" t="s">
        <v>402</v>
      </c>
      <c r="C448" s="314" t="s">
        <v>116</v>
      </c>
      <c r="D448" s="314"/>
      <c r="E448" s="502">
        <v>195.2808</v>
      </c>
      <c r="F448" s="402">
        <f>IFERROR(E448*'01 Prod Physique Boites'!H443,"-")</f>
        <v>0</v>
      </c>
      <c r="G448" s="403">
        <f>IFERROR(E448*'01 Prod Physique Boites'!L443,"-")</f>
        <v>0</v>
      </c>
      <c r="H448" s="681">
        <v>256.7</v>
      </c>
      <c r="I448" s="419">
        <f>IFERROR(H448*(F448/E448),"-")</f>
        <v>0</v>
      </c>
      <c r="J448" s="420">
        <f t="shared" ref="J448:J449" si="249">IFERROR(H448*(G448/E448),"-")</f>
        <v>0</v>
      </c>
    </row>
    <row r="449" spans="1:10" ht="24.75" thickBot="1" x14ac:dyDescent="0.3">
      <c r="A449" s="274" t="s">
        <v>102</v>
      </c>
      <c r="B449" s="950"/>
      <c r="C449" s="286" t="s">
        <v>132</v>
      </c>
      <c r="D449" s="286"/>
      <c r="E449" s="500">
        <v>189.91890000000001</v>
      </c>
      <c r="F449" s="402">
        <f>IFERROR(E449*'01 Prod Physique Boites'!H444,"-")</f>
        <v>0</v>
      </c>
      <c r="G449" s="403">
        <f>IFERROR(E449*'01 Prod Physique Boites'!L444,"-")</f>
        <v>472898.06100000005</v>
      </c>
      <c r="H449" s="387">
        <v>320.35000000000002</v>
      </c>
      <c r="I449" s="423">
        <f>IFERROR(H449*(F449/E449),"-")</f>
        <v>0</v>
      </c>
      <c r="J449" s="424">
        <f t="shared" si="249"/>
        <v>797671.5</v>
      </c>
    </row>
    <row r="450" spans="1:10" ht="23.25" thickBot="1" x14ac:dyDescent="0.3">
      <c r="A450" s="785" t="s">
        <v>102</v>
      </c>
      <c r="B450" s="946" t="s">
        <v>38</v>
      </c>
      <c r="C450" s="947"/>
      <c r="D450" s="948"/>
      <c r="E450" s="390"/>
      <c r="F450" s="406">
        <f>SUM(F448:F449)</f>
        <v>0</v>
      </c>
      <c r="G450" s="407">
        <f t="shared" ref="G450" si="250">SUM(G448:G449)</f>
        <v>472898.06100000005</v>
      </c>
      <c r="H450" s="391"/>
      <c r="I450" s="406">
        <f t="shared" ref="I450:J450" si="251">SUM(I448:I449)</f>
        <v>0</v>
      </c>
      <c r="J450" s="425">
        <f t="shared" si="251"/>
        <v>797671.5</v>
      </c>
    </row>
    <row r="451" spans="1:10" ht="24" x14ac:dyDescent="0.25">
      <c r="A451" s="274" t="s">
        <v>102</v>
      </c>
      <c r="B451" s="949" t="s">
        <v>403</v>
      </c>
      <c r="C451" s="269" t="s">
        <v>306</v>
      </c>
      <c r="D451" s="269" t="s">
        <v>238</v>
      </c>
      <c r="E451" s="504">
        <v>37.248699999999999</v>
      </c>
      <c r="F451" s="402">
        <f>IFERROR(E451*'01 Prod Physique Boites'!H446,"-")</f>
        <v>720985.83719999995</v>
      </c>
      <c r="G451" s="403">
        <f>IFERROR(E451*'01 Prod Physique Boites'!L446,"-")</f>
        <v>2911209.3972</v>
      </c>
      <c r="H451" s="381">
        <v>71.44</v>
      </c>
      <c r="I451" s="419">
        <f>IFERROR(H451*(F451/E451),"-")</f>
        <v>1382792.64</v>
      </c>
      <c r="J451" s="420">
        <f>IFERROR(H451*(G451/E451),"-")</f>
        <v>5583464.6399999997</v>
      </c>
    </row>
    <row r="452" spans="1:10" ht="24" x14ac:dyDescent="0.25">
      <c r="A452" s="274" t="s">
        <v>102</v>
      </c>
      <c r="B452" s="951"/>
      <c r="C452" s="269" t="s">
        <v>156</v>
      </c>
      <c r="D452" s="275"/>
      <c r="E452" s="504">
        <v>37.248699999999999</v>
      </c>
      <c r="F452" s="402">
        <f>IFERROR(E452*'01 Prod Physique Boites'!H447,"-")</f>
        <v>0</v>
      </c>
      <c r="G452" s="403">
        <f>IFERROR(E452*'01 Prod Physique Boites'!L447,"-")</f>
        <v>0</v>
      </c>
      <c r="H452" s="385"/>
      <c r="I452" s="421">
        <f>IFERROR(H452*(F452/E452),"-")</f>
        <v>0</v>
      </c>
      <c r="J452" s="422">
        <f t="shared" ref="J452:J454" si="252">IFERROR(H452*(G452/E452),"-")</f>
        <v>0</v>
      </c>
    </row>
    <row r="453" spans="1:10" ht="24" x14ac:dyDescent="0.25">
      <c r="A453" s="274" t="s">
        <v>102</v>
      </c>
      <c r="B453" s="951"/>
      <c r="C453" s="275" t="s">
        <v>345</v>
      </c>
      <c r="D453" s="269" t="s">
        <v>238</v>
      </c>
      <c r="E453" s="504">
        <v>37.248699999999999</v>
      </c>
      <c r="F453" s="402">
        <f>IFERROR(E453*'01 Prod Physique Boites'!H448,"-")</f>
        <v>268190.64</v>
      </c>
      <c r="G453" s="403">
        <f>IFERROR(E453*'01 Prod Physique Boites'!L448,"-")</f>
        <v>268190.64</v>
      </c>
      <c r="H453" s="385">
        <v>71.44</v>
      </c>
      <c r="I453" s="421">
        <f>IFERROR(H453*(F453/E453),"-")</f>
        <v>514368.00000000006</v>
      </c>
      <c r="J453" s="422">
        <f t="shared" si="252"/>
        <v>514368.00000000006</v>
      </c>
    </row>
    <row r="454" spans="1:10" ht="24.75" thickBot="1" x14ac:dyDescent="0.3">
      <c r="A454" s="274" t="s">
        <v>102</v>
      </c>
      <c r="B454" s="951"/>
      <c r="C454" s="275" t="s">
        <v>157</v>
      </c>
      <c r="D454" s="275"/>
      <c r="E454" s="505">
        <v>38.466099999999997</v>
      </c>
      <c r="F454" s="402">
        <f>IFERROR(E454*'01 Prod Physique Boites'!H449,"-")</f>
        <v>0</v>
      </c>
      <c r="G454" s="403">
        <f>IFERROR(E454*'01 Prod Physique Boites'!L449,"-")</f>
        <v>0</v>
      </c>
      <c r="H454" s="385"/>
      <c r="I454" s="421">
        <f>IFERROR(H454*(F454/E454),"-")</f>
        <v>0</v>
      </c>
      <c r="J454" s="422">
        <f t="shared" si="252"/>
        <v>0</v>
      </c>
    </row>
    <row r="455" spans="1:10" ht="23.25" thickBot="1" x14ac:dyDescent="0.3">
      <c r="A455" s="274" t="s">
        <v>102</v>
      </c>
      <c r="B455" s="946" t="s">
        <v>39</v>
      </c>
      <c r="C455" s="947"/>
      <c r="D455" s="948"/>
      <c r="E455" s="390"/>
      <c r="F455" s="406">
        <f>SUM(F451:F454)</f>
        <v>989176.47719999996</v>
      </c>
      <c r="G455" s="407">
        <f>SUM(G451:G454)</f>
        <v>3179400.0372000001</v>
      </c>
      <c r="H455" s="391"/>
      <c r="I455" s="406">
        <f>SUM(I451:I454)</f>
        <v>1897160.64</v>
      </c>
      <c r="J455" s="406">
        <f>SUM(J451:J454)</f>
        <v>6097832.6399999997</v>
      </c>
    </row>
    <row r="456" spans="1:10" ht="24" x14ac:dyDescent="0.25">
      <c r="A456" s="274" t="s">
        <v>102</v>
      </c>
      <c r="B456" s="949" t="s">
        <v>40</v>
      </c>
      <c r="C456" s="269" t="s">
        <v>186</v>
      </c>
      <c r="D456" s="269" t="s">
        <v>183</v>
      </c>
      <c r="E456" s="504">
        <v>30.7499</v>
      </c>
      <c r="F456" s="402">
        <f>IFERROR(E456*'01 Prod Physique Boites'!H452,"-")</f>
        <v>0</v>
      </c>
      <c r="G456" s="402">
        <f>IFERROR(E456*'01 Prod Physique Boites'!L452,"-")</f>
        <v>0</v>
      </c>
      <c r="H456" s="381"/>
      <c r="I456" s="419">
        <f>IFERROR(H456*(F456/E456),"-")</f>
        <v>0</v>
      </c>
      <c r="J456" s="420">
        <f>IFERROR(H456*(G456/E456),"-")</f>
        <v>0</v>
      </c>
    </row>
    <row r="457" spans="1:10" ht="24" x14ac:dyDescent="0.25">
      <c r="A457" s="274" t="s">
        <v>102</v>
      </c>
      <c r="B457" s="951"/>
      <c r="C457" s="275" t="s">
        <v>159</v>
      </c>
      <c r="D457" s="275"/>
      <c r="E457" s="684">
        <v>30.073599999999999</v>
      </c>
      <c r="F457" s="402">
        <f>IFERROR(E457*'01 Prod Physique Boites'!H453,"-")</f>
        <v>0</v>
      </c>
      <c r="G457" s="403">
        <f>IFERROR(E457*'01 Prod Physique Boites'!L453,"-")</f>
        <v>342839.03999999998</v>
      </c>
      <c r="H457" s="385">
        <v>59.96</v>
      </c>
      <c r="I457" s="421">
        <f>IFERROR(H457*(F457/E457),"-")</f>
        <v>0</v>
      </c>
      <c r="J457" s="422">
        <f t="shared" ref="J457:J458" si="253">IFERROR(H457*(G457/E457),"-")</f>
        <v>683544</v>
      </c>
    </row>
    <row r="458" spans="1:10" ht="24.75" thickBot="1" x14ac:dyDescent="0.3">
      <c r="A458" s="274" t="s">
        <v>102</v>
      </c>
      <c r="B458" s="950"/>
      <c r="C458" s="279" t="s">
        <v>186</v>
      </c>
      <c r="D458" s="279" t="s">
        <v>185</v>
      </c>
      <c r="E458" s="501">
        <v>30.073599999999999</v>
      </c>
      <c r="F458" s="402">
        <f>IFERROR(E458*'01 Prod Physique Boites'!H454,"-")</f>
        <v>0</v>
      </c>
      <c r="G458" s="403">
        <f>IFERROR(E458*'01 Prod Physique Boites'!L454,"-")</f>
        <v>0</v>
      </c>
      <c r="H458" s="387"/>
      <c r="I458" s="423">
        <f>IFERROR(H458*(F458/E458),"-")</f>
        <v>0</v>
      </c>
      <c r="J458" s="424">
        <f t="shared" si="253"/>
        <v>0</v>
      </c>
    </row>
    <row r="459" spans="1:10" ht="23.25" thickBot="1" x14ac:dyDescent="0.3">
      <c r="A459" s="274" t="s">
        <v>102</v>
      </c>
      <c r="B459" s="952" t="s">
        <v>41</v>
      </c>
      <c r="C459" s="953"/>
      <c r="D459" s="954"/>
      <c r="E459" s="390"/>
      <c r="F459" s="406">
        <f t="shared" ref="F459:G459" si="254">SUM(F456:F458)</f>
        <v>0</v>
      </c>
      <c r="G459" s="407">
        <f t="shared" si="254"/>
        <v>342839.03999999998</v>
      </c>
      <c r="H459" s="391"/>
      <c r="I459" s="406">
        <f t="shared" ref="I459:J459" si="255">SUM(I456:I458)</f>
        <v>0</v>
      </c>
      <c r="J459" s="425">
        <f t="shared" si="255"/>
        <v>683544</v>
      </c>
    </row>
    <row r="460" spans="1:10" ht="24" x14ac:dyDescent="0.25">
      <c r="A460" s="274" t="s">
        <v>102</v>
      </c>
      <c r="B460" s="949" t="s">
        <v>42</v>
      </c>
      <c r="C460" s="269" t="s">
        <v>160</v>
      </c>
      <c r="D460" s="269"/>
      <c r="E460" s="504">
        <v>36.684899999999999</v>
      </c>
      <c r="F460" s="402">
        <f>IFERROR(E460*'01 Prod Physique Boites'!H456,"-")</f>
        <v>0</v>
      </c>
      <c r="G460" s="402">
        <f>IFERROR(E460*'01 Prod Physique Boites'!L456,"-")</f>
        <v>0</v>
      </c>
      <c r="H460" s="381"/>
      <c r="I460" s="382" t="s">
        <v>190</v>
      </c>
      <c r="J460" s="383" t="s">
        <v>190</v>
      </c>
    </row>
    <row r="461" spans="1:10" ht="24.75" thickBot="1" x14ac:dyDescent="0.3">
      <c r="A461" s="274" t="s">
        <v>102</v>
      </c>
      <c r="B461" s="950"/>
      <c r="C461" s="279" t="s">
        <v>161</v>
      </c>
      <c r="D461" s="279"/>
      <c r="E461" s="501">
        <v>37.002800000000001</v>
      </c>
      <c r="F461" s="402">
        <f>IFERROR(E461*'01 Prod Physique Boites'!H457,"-")</f>
        <v>0</v>
      </c>
      <c r="G461" s="402">
        <f>IFERROR(E461*'01 Prod Physique Boites'!L457,"-")</f>
        <v>0</v>
      </c>
      <c r="H461" s="387"/>
      <c r="I461" s="388" t="s">
        <v>190</v>
      </c>
      <c r="J461" s="389" t="s">
        <v>190</v>
      </c>
    </row>
    <row r="462" spans="1:10" ht="23.25" thickBot="1" x14ac:dyDescent="0.3">
      <c r="A462" s="274" t="s">
        <v>102</v>
      </c>
      <c r="B462" s="952" t="s">
        <v>43</v>
      </c>
      <c r="C462" s="953"/>
      <c r="D462" s="954"/>
      <c r="E462" s="390"/>
      <c r="F462" s="402">
        <f>IFERROR(E462*'01 Prod Physique Boites'!H461,"-")</f>
        <v>0</v>
      </c>
      <c r="G462" s="407">
        <f>IFERROR(E462*'01 Prod Physique Boites'!L461,"-")</f>
        <v>0</v>
      </c>
      <c r="H462" s="391"/>
      <c r="I462" s="406">
        <f t="shared" ref="I462:J462" si="256">SUM(I460:I461)</f>
        <v>0</v>
      </c>
      <c r="J462" s="425">
        <f t="shared" si="256"/>
        <v>0</v>
      </c>
    </row>
    <row r="463" spans="1:10" ht="23.25" thickBot="1" x14ac:dyDescent="0.3">
      <c r="A463" s="274" t="s">
        <v>102</v>
      </c>
      <c r="B463" s="938" t="s">
        <v>25</v>
      </c>
      <c r="C463" s="939"/>
      <c r="D463" s="940"/>
      <c r="E463" s="393"/>
      <c r="F463" s="410">
        <f>+F442+F447+F450+F455+F459+F462</f>
        <v>1309644.5471999999</v>
      </c>
      <c r="G463" s="411">
        <f>+G442+G447+G450+G455+G459+G462</f>
        <v>4783981.6182000004</v>
      </c>
      <c r="H463" s="394"/>
      <c r="I463" s="410">
        <f>+I442+I447+I450+I455+I459+I462</f>
        <v>2456186.6399999997</v>
      </c>
      <c r="J463" s="428">
        <f>+J442+J447+J450+J455+J459+J462</f>
        <v>8955112.1400000006</v>
      </c>
    </row>
    <row r="464" spans="1:10" ht="23.25" thickBot="1" x14ac:dyDescent="0.3">
      <c r="A464" s="318" t="s">
        <v>102</v>
      </c>
      <c r="B464" s="941" t="s">
        <v>173</v>
      </c>
      <c r="C464" s="941"/>
      <c r="D464" s="942"/>
      <c r="E464" s="395"/>
      <c r="F464" s="412">
        <f t="shared" ref="F464:G464" si="257">+F463</f>
        <v>1309644.5471999999</v>
      </c>
      <c r="G464" s="413">
        <f t="shared" si="257"/>
        <v>4783981.6182000004</v>
      </c>
      <c r="H464" s="396"/>
      <c r="I464" s="412">
        <f t="shared" ref="I464" si="258">+I463</f>
        <v>2456186.6399999997</v>
      </c>
      <c r="J464" s="429">
        <f>+J463</f>
        <v>8955112.1400000006</v>
      </c>
    </row>
    <row r="465" spans="1:15" ht="26.25" thickBot="1" x14ac:dyDescent="0.3">
      <c r="A465" s="319"/>
      <c r="B465" s="943" t="s">
        <v>174</v>
      </c>
      <c r="C465" s="944"/>
      <c r="D465" s="945"/>
      <c r="E465" s="401"/>
      <c r="F465" s="418">
        <f>+F403+F438+F464</f>
        <v>7201738.2051999997</v>
      </c>
      <c r="G465" s="418">
        <f>+G403+G438+G464</f>
        <v>23870290.701000001</v>
      </c>
      <c r="H465" s="401"/>
      <c r="I465" s="418">
        <f>+I403+I438+I464</f>
        <v>10741169.52</v>
      </c>
      <c r="J465" s="432">
        <f>+J403+J438+J464</f>
        <v>33728292.300000004</v>
      </c>
    </row>
    <row r="466" spans="1:15" ht="24.6" customHeight="1" thickBot="1" x14ac:dyDescent="0.3">
      <c r="A466" s="230"/>
      <c r="B466" s="230"/>
      <c r="C466" s="230"/>
      <c r="D466" s="230"/>
      <c r="E466" s="378"/>
      <c r="F466" s="378"/>
      <c r="G466" s="378"/>
      <c r="H466" s="378"/>
      <c r="I466" s="378"/>
      <c r="J466" s="378"/>
    </row>
    <row r="467" spans="1:15" ht="22.5" x14ac:dyDescent="0.25">
      <c r="A467" s="978" t="s">
        <v>1</v>
      </c>
      <c r="B467" s="981" t="s">
        <v>2</v>
      </c>
      <c r="C467" s="984" t="s">
        <v>396</v>
      </c>
      <c r="D467" s="984" t="s">
        <v>397</v>
      </c>
      <c r="E467" s="1011" t="s">
        <v>405</v>
      </c>
      <c r="F467" s="1012"/>
      <c r="G467" s="1012"/>
      <c r="H467" s="442"/>
      <c r="I467" s="442"/>
      <c r="J467" s="443"/>
    </row>
    <row r="468" spans="1:15" ht="22.5" x14ac:dyDescent="0.25">
      <c r="A468" s="979"/>
      <c r="B468" s="982"/>
      <c r="C468" s="985"/>
      <c r="D468" s="985"/>
      <c r="E468" s="1013" t="s">
        <v>408</v>
      </c>
      <c r="F468" s="1014"/>
      <c r="G468" s="1015"/>
      <c r="H468" s="1013" t="s">
        <v>168</v>
      </c>
      <c r="I468" s="1014"/>
      <c r="J468" s="1015"/>
    </row>
    <row r="469" spans="1:15" ht="45" x14ac:dyDescent="0.25">
      <c r="A469" s="980"/>
      <c r="B469" s="1009"/>
      <c r="C469" s="1010"/>
      <c r="D469" s="1010"/>
      <c r="E469" s="379" t="s">
        <v>170</v>
      </c>
      <c r="F469" s="792" t="s">
        <v>407</v>
      </c>
      <c r="G469" s="793" t="s">
        <v>406</v>
      </c>
      <c r="H469" s="1016" t="s">
        <v>170</v>
      </c>
      <c r="I469" s="1018" t="s">
        <v>137</v>
      </c>
      <c r="J469" s="1020" t="s">
        <v>406</v>
      </c>
    </row>
    <row r="470" spans="1:15" ht="23.25" thickBot="1" x14ac:dyDescent="0.3">
      <c r="A470" s="980"/>
      <c r="B470" s="983"/>
      <c r="C470" s="986"/>
      <c r="D470" s="986"/>
      <c r="E470" s="1022" t="s">
        <v>506</v>
      </c>
      <c r="F470" s="1023"/>
      <c r="G470" s="1024"/>
      <c r="H470" s="1017"/>
      <c r="I470" s="1019"/>
      <c r="J470" s="1021"/>
    </row>
    <row r="471" spans="1:15" ht="24" x14ac:dyDescent="0.25">
      <c r="A471" s="268" t="s">
        <v>103</v>
      </c>
      <c r="B471" s="965" t="s">
        <v>16</v>
      </c>
      <c r="C471" s="269" t="s">
        <v>368</v>
      </c>
      <c r="D471" s="269" t="s">
        <v>369</v>
      </c>
      <c r="E471" s="705">
        <v>81.360699999999994</v>
      </c>
      <c r="F471" s="402">
        <f>IFERROR(E471*'01 Prod Physique Boites'!H465,"-")</f>
        <v>0</v>
      </c>
      <c r="G471" s="402">
        <f>IFERROR(E471*'01 Prod Physique Boites'!L465,"-")</f>
        <v>0</v>
      </c>
      <c r="H471" s="706">
        <v>143.28</v>
      </c>
      <c r="I471" s="419">
        <f>IFERROR(H471*(F471/E471),"-")</f>
        <v>0</v>
      </c>
      <c r="J471" s="420">
        <f t="shared" ref="J471:J473" si="259">IFERROR(H471*(G471/E471),"-")</f>
        <v>0</v>
      </c>
    </row>
    <row r="472" spans="1:15" ht="24" x14ac:dyDescent="0.25">
      <c r="A472" s="713"/>
      <c r="B472" s="966"/>
      <c r="C472" s="275" t="s">
        <v>470</v>
      </c>
      <c r="D472" s="275" t="s">
        <v>375</v>
      </c>
      <c r="E472" s="505">
        <v>81.360699999999994</v>
      </c>
      <c r="F472" s="402">
        <f>IFERROR(E472*'01 Prod Physique Boites'!H466,"-")</f>
        <v>0</v>
      </c>
      <c r="G472" s="402">
        <f>IFERROR(E472*'01 Prod Physique Boites'!L466,"-")</f>
        <v>0</v>
      </c>
      <c r="H472" s="708">
        <v>143.28</v>
      </c>
      <c r="I472" s="419">
        <f>IFERROR(H472*(F472/E472),"-")</f>
        <v>0</v>
      </c>
      <c r="J472" s="420">
        <f t="shared" si="259"/>
        <v>0</v>
      </c>
    </row>
    <row r="473" spans="1:15" ht="24" x14ac:dyDescent="0.25">
      <c r="A473" s="274" t="s">
        <v>103</v>
      </c>
      <c r="B473" s="966"/>
      <c r="C473" s="275" t="s">
        <v>430</v>
      </c>
      <c r="D473" s="275" t="s">
        <v>384</v>
      </c>
      <c r="E473" s="684">
        <v>77.170400000000001</v>
      </c>
      <c r="F473" s="402">
        <f>IFERROR(E473*'01 Prod Physique Boites'!H467,"-")</f>
        <v>0</v>
      </c>
      <c r="G473" s="402">
        <f>IFERROR(E473*'01 Prod Physique Boites'!L467,"-")</f>
        <v>271639.80800000002</v>
      </c>
      <c r="H473" s="385">
        <v>0</v>
      </c>
      <c r="I473" s="419">
        <f>IFERROR(H473*(F473/E473),"-")</f>
        <v>0</v>
      </c>
      <c r="J473" s="420">
        <f t="shared" si="259"/>
        <v>0</v>
      </c>
    </row>
    <row r="474" spans="1:15" ht="24.75" thickBot="1" x14ac:dyDescent="0.3">
      <c r="A474" s="274" t="s">
        <v>103</v>
      </c>
      <c r="B474" s="967"/>
      <c r="C474" s="279" t="s">
        <v>262</v>
      </c>
      <c r="D474" s="279" t="s">
        <v>231</v>
      </c>
      <c r="E474" s="501">
        <v>60.703499999999998</v>
      </c>
      <c r="F474" s="402">
        <f>IFERROR(E474*'01 Prod Physique Boites'!H468,"-")</f>
        <v>0</v>
      </c>
      <c r="G474" s="402">
        <f>IFERROR(E474*'01 Prod Physique Boites'!L468,"-")</f>
        <v>0</v>
      </c>
      <c r="H474" s="387">
        <v>111.09</v>
      </c>
      <c r="I474" s="419">
        <f>IFERROR(H474*(F474/E474),"-")</f>
        <v>0</v>
      </c>
      <c r="J474" s="420">
        <f>IFERROR(H474*(G474/E474),"-")</f>
        <v>0</v>
      </c>
    </row>
    <row r="475" spans="1:15" ht="23.25" thickBot="1" x14ac:dyDescent="0.3">
      <c r="A475" s="274" t="s">
        <v>103</v>
      </c>
      <c r="B475" s="946" t="s">
        <v>44</v>
      </c>
      <c r="C475" s="947"/>
      <c r="D475" s="948"/>
      <c r="E475" s="390"/>
      <c r="F475" s="406">
        <f t="shared" ref="F475" si="260">SUM(F471:F474)</f>
        <v>0</v>
      </c>
      <c r="G475" s="407">
        <f>SUM(G471:G474)</f>
        <v>271639.80800000002</v>
      </c>
      <c r="H475" s="391"/>
      <c r="I475" s="406">
        <f t="shared" ref="I475:J475" si="261">SUM(I471:I474)</f>
        <v>0</v>
      </c>
      <c r="J475" s="425">
        <f t="shared" si="261"/>
        <v>0</v>
      </c>
      <c r="K475" s="704"/>
      <c r="L475" s="704"/>
      <c r="M475" s="704"/>
      <c r="N475" s="704"/>
      <c r="O475" s="704"/>
    </row>
    <row r="476" spans="1:15" ht="24" x14ac:dyDescent="0.25">
      <c r="A476" s="274" t="s">
        <v>103</v>
      </c>
      <c r="B476" s="965" t="s">
        <v>17</v>
      </c>
      <c r="C476" s="269" t="s">
        <v>294</v>
      </c>
      <c r="D476" s="269"/>
      <c r="E476" s="504">
        <v>12.5275</v>
      </c>
      <c r="F476" s="402">
        <f>IFERROR(E476*'01 Prod Physique Boites'!H470,"-")</f>
        <v>0</v>
      </c>
      <c r="G476" s="402">
        <f>IFERROR(E476*'01 Prod Physique Boites'!L470,"-")</f>
        <v>0</v>
      </c>
      <c r="H476" s="681">
        <v>18.836400000000001</v>
      </c>
      <c r="I476" s="419">
        <f t="shared" ref="I476:I482" si="262">IFERROR(H476*(F476/E476),"-")</f>
        <v>0</v>
      </c>
      <c r="J476" s="420">
        <f t="shared" ref="J476:J481" si="263">IFERROR(H476*(G476/E476),"-")</f>
        <v>0</v>
      </c>
    </row>
    <row r="477" spans="1:15" ht="24" x14ac:dyDescent="0.25">
      <c r="A477" s="274" t="s">
        <v>103</v>
      </c>
      <c r="B477" s="966"/>
      <c r="C477" s="275" t="s">
        <v>344</v>
      </c>
      <c r="D477" s="275" t="s">
        <v>232</v>
      </c>
      <c r="E477" s="677">
        <v>13.002700000000001</v>
      </c>
      <c r="F477" s="402">
        <f>IFERROR(E477*'01 Prod Physique Boites'!H471,"-")</f>
        <v>0</v>
      </c>
      <c r="G477" s="402">
        <f>IFERROR(E477*'01 Prod Physique Boites'!L471,"-")</f>
        <v>77756.146000000008</v>
      </c>
      <c r="H477" s="385">
        <v>21.18</v>
      </c>
      <c r="I477" s="421">
        <f t="shared" si="262"/>
        <v>0</v>
      </c>
      <c r="J477" s="422">
        <f t="shared" si="263"/>
        <v>126656.4</v>
      </c>
    </row>
    <row r="478" spans="1:15" ht="24" x14ac:dyDescent="0.25">
      <c r="A478" s="274" t="s">
        <v>103</v>
      </c>
      <c r="B478" s="966"/>
      <c r="C478" s="275" t="s">
        <v>351</v>
      </c>
      <c r="D478" s="275" t="s">
        <v>187</v>
      </c>
      <c r="E478" s="677">
        <v>12.9049</v>
      </c>
      <c r="F478" s="402">
        <f>IFERROR(E478*'01 Prod Physique Boites'!H472,"-")</f>
        <v>1263647.808</v>
      </c>
      <c r="G478" s="402">
        <f>IFERROR(E478*'01 Prod Physique Boites'!L472,"-")</f>
        <v>4501745.3159999996</v>
      </c>
      <c r="H478" s="385">
        <v>20.5</v>
      </c>
      <c r="I478" s="421">
        <f t="shared" si="262"/>
        <v>2007360</v>
      </c>
      <c r="J478" s="422">
        <f t="shared" si="263"/>
        <v>7151220</v>
      </c>
    </row>
    <row r="479" spans="1:15" ht="24" x14ac:dyDescent="0.25">
      <c r="A479" s="274" t="s">
        <v>103</v>
      </c>
      <c r="B479" s="966"/>
      <c r="C479" s="275" t="s">
        <v>293</v>
      </c>
      <c r="D479" s="275" t="s">
        <v>188</v>
      </c>
      <c r="E479" s="505">
        <v>13.078200000000001</v>
      </c>
      <c r="F479" s="402">
        <f>IFERROR(E479*'01 Prod Physique Boites'!H473,"-")</f>
        <v>0</v>
      </c>
      <c r="G479" s="402">
        <f>IFERROR(E479*'01 Prod Physique Boites'!L473,"-")</f>
        <v>0</v>
      </c>
      <c r="H479" s="385">
        <v>20.6</v>
      </c>
      <c r="I479" s="421">
        <f t="shared" si="262"/>
        <v>0</v>
      </c>
      <c r="J479" s="422">
        <f t="shared" si="263"/>
        <v>0</v>
      </c>
    </row>
    <row r="480" spans="1:15" ht="24" x14ac:dyDescent="0.25">
      <c r="A480" s="274" t="s">
        <v>103</v>
      </c>
      <c r="B480" s="966"/>
      <c r="C480" s="275" t="s">
        <v>323</v>
      </c>
      <c r="D480" s="275" t="s">
        <v>318</v>
      </c>
      <c r="E480" s="505">
        <v>13.1958</v>
      </c>
      <c r="F480" s="402">
        <f>IFERROR(E480*'01 Prod Physique Boites'!H474,"-")</f>
        <v>0</v>
      </c>
      <c r="G480" s="402">
        <f>IFERROR(E480*'01 Prod Physique Boites'!L474,"-")</f>
        <v>0</v>
      </c>
      <c r="H480" s="385">
        <v>21.28</v>
      </c>
      <c r="I480" s="421">
        <f t="shared" si="262"/>
        <v>0</v>
      </c>
      <c r="J480" s="422">
        <f t="shared" si="263"/>
        <v>0</v>
      </c>
    </row>
    <row r="481" spans="1:15" ht="24" x14ac:dyDescent="0.25">
      <c r="A481" s="274">
        <v>1</v>
      </c>
      <c r="B481" s="966"/>
      <c r="C481" s="275" t="s">
        <v>352</v>
      </c>
      <c r="D481" s="275" t="s">
        <v>189</v>
      </c>
      <c r="E481" s="677">
        <v>12.9049</v>
      </c>
      <c r="F481" s="402">
        <f>IFERROR(E481*'01 Prod Physique Boites'!H475,"-")</f>
        <v>0</v>
      </c>
      <c r="G481" s="402">
        <f>IFERROR(E481*'01 Prod Physique Boites'!L475,"-")</f>
        <v>0</v>
      </c>
      <c r="H481" s="664">
        <v>20.5</v>
      </c>
      <c r="I481" s="421">
        <f t="shared" si="262"/>
        <v>0</v>
      </c>
      <c r="J481" s="422">
        <f t="shared" si="263"/>
        <v>0</v>
      </c>
    </row>
    <row r="482" spans="1:15" ht="24.75" thickBot="1" x14ac:dyDescent="0.3">
      <c r="A482" s="274" t="s">
        <v>103</v>
      </c>
      <c r="B482" s="967"/>
      <c r="C482" s="279" t="s">
        <v>341</v>
      </c>
      <c r="D482" s="279" t="s">
        <v>175</v>
      </c>
      <c r="E482" s="501">
        <v>13.6509</v>
      </c>
      <c r="F482" s="402">
        <f>IFERROR(E482*'01 Prod Physique Boites'!H476,"-")</f>
        <v>0</v>
      </c>
      <c r="G482" s="402">
        <f>IFERROR(E482*'01 Prod Physique Boites'!L476,"-")</f>
        <v>0</v>
      </c>
      <c r="H482" s="387">
        <v>21.18</v>
      </c>
      <c r="I482" s="423">
        <f t="shared" si="262"/>
        <v>0</v>
      </c>
      <c r="J482" s="424">
        <f>IFERROR(H482*(G482/E482),"-")</f>
        <v>0</v>
      </c>
    </row>
    <row r="483" spans="1:15" ht="23.25" thickBot="1" x14ac:dyDescent="0.3">
      <c r="A483" s="274" t="s">
        <v>103</v>
      </c>
      <c r="B483" s="946" t="s">
        <v>45</v>
      </c>
      <c r="C483" s="947"/>
      <c r="D483" s="948"/>
      <c r="E483" s="390"/>
      <c r="F483" s="406">
        <f t="shared" ref="F483" si="264">SUM(F476:F482)</f>
        <v>1263647.808</v>
      </c>
      <c r="G483" s="407">
        <f>SUM(G476:G482)</f>
        <v>4579501.4619999994</v>
      </c>
      <c r="H483" s="391"/>
      <c r="I483" s="406">
        <f t="shared" ref="I483" si="265">SUM(I476:I482)</f>
        <v>2007360</v>
      </c>
      <c r="J483" s="425">
        <f>SUM(J476:J482)</f>
        <v>7277876.4000000004</v>
      </c>
      <c r="K483" s="704"/>
      <c r="L483" s="704"/>
      <c r="M483" s="704"/>
      <c r="N483" s="704"/>
      <c r="O483" s="704"/>
    </row>
    <row r="484" spans="1:15" ht="24" x14ac:dyDescent="0.25">
      <c r="A484" s="274" t="s">
        <v>103</v>
      </c>
      <c r="B484" s="965" t="s">
        <v>18</v>
      </c>
      <c r="C484" s="269" t="s">
        <v>312</v>
      </c>
      <c r="D484" s="269" t="s">
        <v>92</v>
      </c>
      <c r="E484" s="504">
        <v>17.8202</v>
      </c>
      <c r="F484" s="402">
        <f>IFERROR(E484*'01 Prod Physique Boites'!H478,"-")</f>
        <v>0</v>
      </c>
      <c r="G484" s="403">
        <f>IFERROR(E484*'01 Prod Physique Boites'!L478,"-")</f>
        <v>0</v>
      </c>
      <c r="H484" s="381">
        <v>24.93</v>
      </c>
      <c r="I484" s="419">
        <f t="shared" ref="I484:I490" si="266">IFERROR(H484*(F484/E484),"-")</f>
        <v>0</v>
      </c>
      <c r="J484" s="420">
        <f t="shared" ref="J484:J486" si="267">IFERROR(H484*(G484/E484),"-")</f>
        <v>0</v>
      </c>
    </row>
    <row r="485" spans="1:15" ht="24" x14ac:dyDescent="0.25">
      <c r="A485" s="274" t="s">
        <v>103</v>
      </c>
      <c r="B485" s="966"/>
      <c r="C485" s="275" t="s">
        <v>130</v>
      </c>
      <c r="D485" s="275"/>
      <c r="E485" s="505">
        <v>17.8202</v>
      </c>
      <c r="F485" s="402">
        <f>IFERROR(E485*'01 Prod Physique Boites'!H479,"-")</f>
        <v>0</v>
      </c>
      <c r="G485" s="403">
        <f>IFERROR(E485*'01 Prod Physique Boites'!L479,"-")</f>
        <v>0</v>
      </c>
      <c r="H485" s="385">
        <v>0</v>
      </c>
      <c r="I485" s="421">
        <f t="shared" si="266"/>
        <v>0</v>
      </c>
      <c r="J485" s="422">
        <f t="shared" si="267"/>
        <v>0</v>
      </c>
    </row>
    <row r="486" spans="1:15" ht="24" x14ac:dyDescent="0.25">
      <c r="A486" s="274" t="s">
        <v>103</v>
      </c>
      <c r="B486" s="966"/>
      <c r="C486" s="275" t="s">
        <v>115</v>
      </c>
      <c r="D486" s="275"/>
      <c r="E486" s="505">
        <v>16.4071</v>
      </c>
      <c r="F486" s="402">
        <f>IFERROR(E486*'01 Prod Physique Boites'!H480,"-")</f>
        <v>0</v>
      </c>
      <c r="G486" s="403">
        <f>IFERROR(E486*'01 Prod Physique Boites'!L480,"-")</f>
        <v>0</v>
      </c>
      <c r="H486" s="385">
        <v>0</v>
      </c>
      <c r="I486" s="421">
        <f t="shared" si="266"/>
        <v>0</v>
      </c>
      <c r="J486" s="422">
        <f t="shared" si="267"/>
        <v>0</v>
      </c>
    </row>
    <row r="487" spans="1:15" ht="24" x14ac:dyDescent="0.25">
      <c r="A487" s="274" t="s">
        <v>103</v>
      </c>
      <c r="B487" s="966"/>
      <c r="C487" s="275" t="s">
        <v>122</v>
      </c>
      <c r="D487" s="275"/>
      <c r="E487" s="505">
        <v>17.8202</v>
      </c>
      <c r="F487" s="402">
        <f>IFERROR(E487*'01 Prod Physique Boites'!H481,"-")</f>
        <v>0</v>
      </c>
      <c r="G487" s="403">
        <f>IFERROR(E487*'01 Prod Physique Boites'!L481,"-")</f>
        <v>0</v>
      </c>
      <c r="H487" s="385">
        <v>0</v>
      </c>
      <c r="I487" s="421">
        <f t="shared" si="266"/>
        <v>0</v>
      </c>
      <c r="J487" s="422">
        <f>IFERROR(H487*(G487/E487),"-")</f>
        <v>0</v>
      </c>
    </row>
    <row r="488" spans="1:15" ht="24" x14ac:dyDescent="0.25">
      <c r="A488" s="274" t="s">
        <v>103</v>
      </c>
      <c r="B488" s="966"/>
      <c r="C488" s="275" t="s">
        <v>176</v>
      </c>
      <c r="D488" s="275" t="s">
        <v>177</v>
      </c>
      <c r="E488" s="505">
        <v>17.8202</v>
      </c>
      <c r="F488" s="402">
        <f>IFERROR(E488*'01 Prod Physique Boites'!H482,"-")</f>
        <v>0</v>
      </c>
      <c r="G488" s="403">
        <f>IFERROR(E488*'01 Prod Physique Boites'!L482,"-")</f>
        <v>0</v>
      </c>
      <c r="H488" s="385">
        <v>0</v>
      </c>
      <c r="I488" s="421">
        <f t="shared" si="266"/>
        <v>0</v>
      </c>
      <c r="J488" s="422">
        <f t="shared" ref="J488:J490" si="268">IFERROR(H488*(G488/E488),"-")</f>
        <v>0</v>
      </c>
    </row>
    <row r="489" spans="1:15" ht="24" x14ac:dyDescent="0.25">
      <c r="A489" s="274" t="s">
        <v>103</v>
      </c>
      <c r="B489" s="966"/>
      <c r="C489" s="275" t="s">
        <v>179</v>
      </c>
      <c r="D489" s="275" t="s">
        <v>178</v>
      </c>
      <c r="E489" s="505">
        <v>16.7288</v>
      </c>
      <c r="F489" s="402">
        <f>IFERROR(E489*'01 Prod Physique Boites'!H483,"-")</f>
        <v>0</v>
      </c>
      <c r="G489" s="403">
        <f>IFERROR(E489*'01 Prod Physique Boites'!L483,"-")</f>
        <v>0</v>
      </c>
      <c r="H489" s="385">
        <v>0</v>
      </c>
      <c r="I489" s="421">
        <f t="shared" si="266"/>
        <v>0</v>
      </c>
      <c r="J489" s="422">
        <f t="shared" si="268"/>
        <v>0</v>
      </c>
    </row>
    <row r="490" spans="1:15" ht="24.75" thickBot="1" x14ac:dyDescent="0.3">
      <c r="A490" s="274" t="s">
        <v>103</v>
      </c>
      <c r="B490" s="967"/>
      <c r="C490" s="286" t="s">
        <v>180</v>
      </c>
      <c r="D490" s="286" t="s">
        <v>107</v>
      </c>
      <c r="E490" s="501">
        <v>17.8202</v>
      </c>
      <c r="F490" s="402">
        <f>IFERROR(E490*'01 Prod Physique Boites'!H484,"-")</f>
        <v>0</v>
      </c>
      <c r="G490" s="403">
        <f>IFERROR(E490*'01 Prod Physique Boites'!L484,"-")</f>
        <v>0</v>
      </c>
      <c r="H490" s="385">
        <v>0</v>
      </c>
      <c r="I490" s="423">
        <f t="shared" si="266"/>
        <v>0</v>
      </c>
      <c r="J490" s="424">
        <f t="shared" si="268"/>
        <v>0</v>
      </c>
    </row>
    <row r="491" spans="1:15" ht="23.25" thickBot="1" x14ac:dyDescent="0.3">
      <c r="A491" s="274" t="s">
        <v>103</v>
      </c>
      <c r="B491" s="946" t="s">
        <v>29</v>
      </c>
      <c r="C491" s="947"/>
      <c r="D491" s="948"/>
      <c r="E491" s="648"/>
      <c r="F491" s="649">
        <f t="shared" ref="F491:G491" si="269">SUM(F484:F490)</f>
        <v>0</v>
      </c>
      <c r="G491" s="407">
        <f t="shared" si="269"/>
        <v>0</v>
      </c>
      <c r="H491" s="391"/>
      <c r="I491" s="406">
        <f t="shared" ref="I491:J491" si="270">SUM(I484:I490)</f>
        <v>0</v>
      </c>
      <c r="J491" s="425">
        <f t="shared" si="270"/>
        <v>0</v>
      </c>
    </row>
    <row r="492" spans="1:15" ht="24.75" thickBot="1" x14ac:dyDescent="0.3">
      <c r="A492" s="274"/>
      <c r="B492" s="1004" t="s">
        <v>19</v>
      </c>
      <c r="C492" s="650" t="s">
        <v>235</v>
      </c>
      <c r="D492" s="656" t="s">
        <v>177</v>
      </c>
      <c r="E492" s="657">
        <v>12.2659</v>
      </c>
      <c r="F492" s="658">
        <f>IFERROR(E492*'01 Prod Physique Boites'!H486,"-")</f>
        <v>0</v>
      </c>
      <c r="G492" s="659">
        <f>IFERROR(E492*'01 Prod Physique Boites'!L486,"-")</f>
        <v>0</v>
      </c>
      <c r="H492" s="653">
        <v>14.79</v>
      </c>
      <c r="I492" s="638">
        <f t="shared" ref="I492:I494" si="271">IFERROR(H492*(F492/E492),"-")</f>
        <v>0</v>
      </c>
      <c r="J492" s="638">
        <f>IFERROR(H492*(G492/E492),"-")</f>
        <v>0</v>
      </c>
    </row>
    <row r="493" spans="1:15" ht="24.75" thickBot="1" x14ac:dyDescent="0.3">
      <c r="A493" s="274"/>
      <c r="B493" s="1005"/>
      <c r="C493" s="651" t="s">
        <v>359</v>
      </c>
      <c r="D493" s="660" t="s">
        <v>423</v>
      </c>
      <c r="E493" s="642">
        <v>12.2659</v>
      </c>
      <c r="F493" s="658">
        <f>IFERROR(E493*'01 Prod Physique Boites'!H487,"-")</f>
        <v>0</v>
      </c>
      <c r="G493" s="659">
        <f>IFERROR(E493*'01 Prod Physique Boites'!L487,"-")</f>
        <v>7046317.9775999999</v>
      </c>
      <c r="H493" s="654">
        <v>14.55</v>
      </c>
      <c r="I493" s="643">
        <f t="shared" si="271"/>
        <v>0</v>
      </c>
      <c r="J493" s="643">
        <f>IFERROR(H493*(G493/E493),"-")</f>
        <v>8358451.2000000002</v>
      </c>
    </row>
    <row r="494" spans="1:15" ht="24.75" thickBot="1" x14ac:dyDescent="0.3">
      <c r="A494" s="794" t="s">
        <v>103</v>
      </c>
      <c r="B494" s="1006"/>
      <c r="C494" s="652" t="s">
        <v>342</v>
      </c>
      <c r="D494" s="661"/>
      <c r="E494" s="662">
        <v>0</v>
      </c>
      <c r="F494" s="658">
        <f>IFERROR(E494*'01 Prod Physique Boites'!H488,"-")</f>
        <v>0</v>
      </c>
      <c r="G494" s="659">
        <f>IFERROR(E494*'01 Prod Physique Boites'!L488,"-")</f>
        <v>0</v>
      </c>
      <c r="H494" s="655">
        <v>0</v>
      </c>
      <c r="I494" s="426" t="str">
        <f t="shared" si="271"/>
        <v>-</v>
      </c>
      <c r="J494" s="427" t="str">
        <f t="shared" ref="J494" si="272">IFERROR(I494*(G494/F494),"-")</f>
        <v>-</v>
      </c>
    </row>
    <row r="495" spans="1:15" ht="23.25" thickBot="1" x14ac:dyDescent="0.3">
      <c r="A495" s="274" t="s">
        <v>103</v>
      </c>
      <c r="B495" s="946" t="s">
        <v>46</v>
      </c>
      <c r="C495" s="947"/>
      <c r="D495" s="948"/>
      <c r="E495" s="390"/>
      <c r="F495" s="406">
        <f>SUM(F492:F494)</f>
        <v>0</v>
      </c>
      <c r="G495" s="406">
        <f>SUM(G492:G494)</f>
        <v>7046317.9775999999</v>
      </c>
      <c r="H495" s="391"/>
      <c r="I495" s="406">
        <f>SUM(I492:I494)</f>
        <v>0</v>
      </c>
      <c r="J495" s="425">
        <f>SUM(J492:J494)</f>
        <v>8358451.2000000002</v>
      </c>
    </row>
    <row r="496" spans="1:15" ht="24" x14ac:dyDescent="0.25">
      <c r="A496" s="274" t="s">
        <v>103</v>
      </c>
      <c r="B496" s="965" t="s">
        <v>20</v>
      </c>
      <c r="C496" s="291" t="s">
        <v>317</v>
      </c>
      <c r="D496" s="291" t="s">
        <v>289</v>
      </c>
      <c r="E496" s="504">
        <v>26.032900000000001</v>
      </c>
      <c r="F496" s="402">
        <f>IFERROR(E496*'01 Prod Physique Boites'!H490,"-")</f>
        <v>0</v>
      </c>
      <c r="G496" s="403">
        <f>IFERROR(E496*'01 Prod Physique Boites'!L490,"-")</f>
        <v>0</v>
      </c>
      <c r="H496" s="381">
        <v>36.44</v>
      </c>
      <c r="I496" s="419">
        <f>IFERROR(H496*(F496/E496),"-")</f>
        <v>0</v>
      </c>
      <c r="J496" s="420">
        <f t="shared" ref="J496:J498" si="273">IFERROR(H496*(G496/E496),"-")</f>
        <v>0</v>
      </c>
    </row>
    <row r="497" spans="1:10" ht="24" x14ac:dyDescent="0.25">
      <c r="A497" s="274" t="s">
        <v>103</v>
      </c>
      <c r="B497" s="966"/>
      <c r="C497" s="292" t="s">
        <v>114</v>
      </c>
      <c r="D497" s="292"/>
      <c r="E497" s="384">
        <v>24.2607</v>
      </c>
      <c r="F497" s="402">
        <f>IFERROR(E497*'01 Prod Physique Boites'!H491,"-")</f>
        <v>0</v>
      </c>
      <c r="G497" s="403">
        <f>IFERROR(E497*'01 Prod Physique Boites'!L491,"-")</f>
        <v>0</v>
      </c>
      <c r="H497" s="385">
        <v>37.369999999999997</v>
      </c>
      <c r="I497" s="421">
        <f>IFERROR(H497*(F497/E497),"-")</f>
        <v>0</v>
      </c>
      <c r="J497" s="422">
        <f t="shared" si="273"/>
        <v>0</v>
      </c>
    </row>
    <row r="498" spans="1:10" ht="24.75" thickBot="1" x14ac:dyDescent="0.3">
      <c r="A498" s="274" t="s">
        <v>103</v>
      </c>
      <c r="B498" s="967"/>
      <c r="C498" s="293" t="s">
        <v>120</v>
      </c>
      <c r="D498" s="293"/>
      <c r="E498" s="386">
        <v>26.035799999999998</v>
      </c>
      <c r="F498" s="402">
        <f>IFERROR(E498*'01 Prod Physique Boites'!H492,"-")</f>
        <v>0</v>
      </c>
      <c r="G498" s="403">
        <f>IFERROR(E498*'01 Prod Physique Boites'!L492,"-")</f>
        <v>0</v>
      </c>
      <c r="H498" s="387">
        <v>37.11</v>
      </c>
      <c r="I498" s="423">
        <f>IFERROR(H498*(F498/E498),"-")</f>
        <v>0</v>
      </c>
      <c r="J498" s="424">
        <f t="shared" si="273"/>
        <v>0</v>
      </c>
    </row>
    <row r="499" spans="1:10" ht="23.25" thickBot="1" x14ac:dyDescent="0.3">
      <c r="A499" s="274" t="s">
        <v>103</v>
      </c>
      <c r="B499" s="947" t="s">
        <v>47</v>
      </c>
      <c r="C499" s="947"/>
      <c r="D499" s="964"/>
      <c r="E499" s="390"/>
      <c r="F499" s="406">
        <f t="shared" ref="F499:G499" si="274">SUM(F496:F498)</f>
        <v>0</v>
      </c>
      <c r="G499" s="407">
        <f t="shared" si="274"/>
        <v>0</v>
      </c>
      <c r="H499" s="391"/>
      <c r="I499" s="406">
        <f t="shared" ref="I499:J499" si="275">SUM(I496:I498)</f>
        <v>0</v>
      </c>
      <c r="J499" s="425">
        <f t="shared" si="275"/>
        <v>0</v>
      </c>
    </row>
    <row r="500" spans="1:10" ht="23.25" thickBot="1" x14ac:dyDescent="0.3">
      <c r="A500" s="274" t="s">
        <v>103</v>
      </c>
      <c r="B500" s="960" t="s">
        <v>21</v>
      </c>
      <c r="C500" s="961"/>
      <c r="D500" s="962"/>
      <c r="E500" s="393"/>
      <c r="F500" s="410">
        <f>+F475+F483+F491+F495+F499</f>
        <v>1263647.808</v>
      </c>
      <c r="G500" s="411">
        <f>+G475+G483+G491+G495+G499</f>
        <v>11897459.2476</v>
      </c>
      <c r="H500" s="394"/>
      <c r="I500" s="410">
        <f>+I475+I483+I491+I495+I499</f>
        <v>2007360</v>
      </c>
      <c r="J500" s="428">
        <f>+J475+J483+J491+J495+J499</f>
        <v>15636327.600000001</v>
      </c>
    </row>
    <row r="501" spans="1:10" ht="24" x14ac:dyDescent="0.25">
      <c r="A501" s="274" t="s">
        <v>103</v>
      </c>
      <c r="B501" s="965" t="s">
        <v>400</v>
      </c>
      <c r="C501" s="269" t="s">
        <v>125</v>
      </c>
      <c r="D501" s="269"/>
      <c r="E501" s="380">
        <v>22.820599999999999</v>
      </c>
      <c r="F501" s="402">
        <f>IFERROR(E501*'01 Prod Physique Boites'!H495,"-")</f>
        <v>0</v>
      </c>
      <c r="G501" s="403">
        <f>IFERROR(E501*'01 Prod Physique Boites'!L495,"-")</f>
        <v>0</v>
      </c>
      <c r="H501" s="381">
        <v>27.5</v>
      </c>
      <c r="I501" s="419">
        <f>IFERROR(H501*(F501/E501),"-")</f>
        <v>0</v>
      </c>
      <c r="J501" s="420">
        <f t="shared" ref="J501:J504" si="276">IFERROR(H501*(G501/E501),"-")</f>
        <v>0</v>
      </c>
    </row>
    <row r="502" spans="1:10" ht="24" x14ac:dyDescent="0.25">
      <c r="A502" s="274" t="s">
        <v>103</v>
      </c>
      <c r="B502" s="966"/>
      <c r="C502" s="295" t="s">
        <v>263</v>
      </c>
      <c r="D502" s="295" t="s">
        <v>181</v>
      </c>
      <c r="E502" s="384">
        <v>23.570699999999999</v>
      </c>
      <c r="F502" s="402">
        <f>IFERROR(E502*'01 Prod Physique Boites'!H496,"-")</f>
        <v>0</v>
      </c>
      <c r="G502" s="403">
        <f>IFERROR(E502*'01 Prod Physique Boites'!L496,"-")</f>
        <v>0</v>
      </c>
      <c r="H502" s="385">
        <v>27.5</v>
      </c>
      <c r="I502" s="421">
        <f>IFERROR(H502*(F502/E502),"-")</f>
        <v>0</v>
      </c>
      <c r="J502" s="422">
        <f t="shared" si="276"/>
        <v>0</v>
      </c>
    </row>
    <row r="503" spans="1:10" ht="24" x14ac:dyDescent="0.25">
      <c r="A503" s="274" t="s">
        <v>103</v>
      </c>
      <c r="B503" s="966"/>
      <c r="C503" s="295" t="s">
        <v>362</v>
      </c>
      <c r="D503" s="295" t="s">
        <v>181</v>
      </c>
      <c r="E503" s="384">
        <v>22.820599999999999</v>
      </c>
      <c r="F503" s="402">
        <f>IFERROR(E503*'01 Prod Physique Boites'!H497,"-")</f>
        <v>0</v>
      </c>
      <c r="G503" s="403">
        <f>IFERROR(E503*'01 Prod Physique Boites'!L497,"-")</f>
        <v>0</v>
      </c>
      <c r="H503" s="385">
        <v>27.5</v>
      </c>
      <c r="I503" s="421">
        <f>IFERROR(H503*(F503/E503),"-")</f>
        <v>0</v>
      </c>
      <c r="J503" s="422">
        <f t="shared" si="276"/>
        <v>0</v>
      </c>
    </row>
    <row r="504" spans="1:10" ht="24.75" thickBot="1" x14ac:dyDescent="0.3">
      <c r="A504" s="274" t="s">
        <v>103</v>
      </c>
      <c r="B504" s="967"/>
      <c r="C504" s="279" t="s">
        <v>182</v>
      </c>
      <c r="D504" s="279" t="s">
        <v>93</v>
      </c>
      <c r="E504" s="386">
        <v>23.5685</v>
      </c>
      <c r="F504" s="402">
        <f>IFERROR(E504*'01 Prod Physique Boites'!H498,"-")</f>
        <v>0</v>
      </c>
      <c r="G504" s="403">
        <f>IFERROR(E504*'01 Prod Physique Boites'!L498,"-")</f>
        <v>0</v>
      </c>
      <c r="H504" s="387">
        <v>24</v>
      </c>
      <c r="I504" s="423">
        <f>IFERROR(H504*(F504/E504),"-")</f>
        <v>0</v>
      </c>
      <c r="J504" s="424">
        <f t="shared" si="276"/>
        <v>0</v>
      </c>
    </row>
    <row r="505" spans="1:10" ht="23.25" thickBot="1" x14ac:dyDescent="0.3">
      <c r="A505" s="274" t="s">
        <v>103</v>
      </c>
      <c r="B505" s="946" t="s">
        <v>48</v>
      </c>
      <c r="C505" s="947"/>
      <c r="D505" s="948"/>
      <c r="E505" s="390"/>
      <c r="F505" s="406">
        <f t="shared" ref="F505:G505" si="277">SUM(F501:F504)</f>
        <v>0</v>
      </c>
      <c r="G505" s="407">
        <f t="shared" si="277"/>
        <v>0</v>
      </c>
      <c r="H505" s="391"/>
      <c r="I505" s="406">
        <f t="shared" ref="I505:J505" si="278">SUM(I501:I504)</f>
        <v>0</v>
      </c>
      <c r="J505" s="425">
        <f t="shared" si="278"/>
        <v>0</v>
      </c>
    </row>
    <row r="506" spans="1:10" ht="24" x14ac:dyDescent="0.25">
      <c r="A506" s="274" t="s">
        <v>103</v>
      </c>
      <c r="B506" s="965" t="s">
        <v>23</v>
      </c>
      <c r="C506" s="296" t="s">
        <v>308</v>
      </c>
      <c r="D506" s="296" t="s">
        <v>238</v>
      </c>
      <c r="E506" s="380">
        <v>101.4935</v>
      </c>
      <c r="F506" s="402">
        <f>IFERROR(E506*'01 Prod Physique Boites'!H500,"-")</f>
        <v>0</v>
      </c>
      <c r="G506" s="403">
        <f>IFERROR(E506*'01 Prod Physique Boites'!L500,"-")</f>
        <v>0</v>
      </c>
      <c r="H506" s="385">
        <v>160.44999999999999</v>
      </c>
      <c r="I506" s="419">
        <f t="shared" ref="I506:I514" si="279">IFERROR(H506*(F506/E506),"-")</f>
        <v>0</v>
      </c>
      <c r="J506" s="420">
        <f t="shared" ref="J506:J514" si="280">IFERROR(H506*(G506/E506),"-")</f>
        <v>0</v>
      </c>
    </row>
    <row r="507" spans="1:10" ht="24" x14ac:dyDescent="0.25">
      <c r="A507" s="274" t="s">
        <v>103</v>
      </c>
      <c r="B507" s="966"/>
      <c r="C507" s="275" t="s">
        <v>24</v>
      </c>
      <c r="D507" s="275" t="s">
        <v>238</v>
      </c>
      <c r="E507" s="384">
        <v>101.4935</v>
      </c>
      <c r="F507" s="402">
        <f>IFERROR(E507*'01 Prod Physique Boites'!H501,"-")</f>
        <v>0</v>
      </c>
      <c r="G507" s="403">
        <f>IFERROR(E507*'01 Prod Physique Boites'!L501,"-")</f>
        <v>0</v>
      </c>
      <c r="H507" s="385">
        <v>160.44999999999999</v>
      </c>
      <c r="I507" s="421">
        <f t="shared" si="279"/>
        <v>0</v>
      </c>
      <c r="J507" s="422">
        <f t="shared" si="280"/>
        <v>0</v>
      </c>
    </row>
    <row r="508" spans="1:10" ht="24" x14ac:dyDescent="0.25">
      <c r="A508" s="274" t="s">
        <v>103</v>
      </c>
      <c r="B508" s="966"/>
      <c r="C508" s="275" t="s">
        <v>236</v>
      </c>
      <c r="D508" s="275" t="s">
        <v>238</v>
      </c>
      <c r="E508" s="384">
        <v>101.4935</v>
      </c>
      <c r="F508" s="402">
        <f>IFERROR(E508*'01 Prod Physique Boites'!H502,"-")</f>
        <v>0</v>
      </c>
      <c r="G508" s="403">
        <f>IFERROR(E508*'01 Prod Physique Boites'!L502,"-")</f>
        <v>0</v>
      </c>
      <c r="H508" s="385">
        <v>160.44999999999999</v>
      </c>
      <c r="I508" s="421">
        <f t="shared" si="279"/>
        <v>0</v>
      </c>
      <c r="J508" s="422">
        <f t="shared" si="280"/>
        <v>0</v>
      </c>
    </row>
    <row r="509" spans="1:10" ht="24" x14ac:dyDescent="0.25">
      <c r="A509" s="274" t="s">
        <v>103</v>
      </c>
      <c r="B509" s="966"/>
      <c r="C509" s="275" t="s">
        <v>237</v>
      </c>
      <c r="D509" s="275" t="s">
        <v>238</v>
      </c>
      <c r="E509" s="384">
        <v>101.4935</v>
      </c>
      <c r="F509" s="402">
        <f>IFERROR(E509*'01 Prod Physique Boites'!H503,"-")</f>
        <v>0</v>
      </c>
      <c r="G509" s="403">
        <f>IFERROR(E509*'01 Prod Physique Boites'!L503,"-")</f>
        <v>0</v>
      </c>
      <c r="H509" s="385">
        <v>160.44999999999999</v>
      </c>
      <c r="I509" s="421">
        <f t="shared" si="279"/>
        <v>0</v>
      </c>
      <c r="J509" s="422">
        <f t="shared" si="280"/>
        <v>0</v>
      </c>
    </row>
    <row r="510" spans="1:10" ht="24" x14ac:dyDescent="0.25">
      <c r="A510" s="274" t="s">
        <v>103</v>
      </c>
      <c r="B510" s="966"/>
      <c r="C510" s="295" t="s">
        <v>239</v>
      </c>
      <c r="D510" s="275" t="s">
        <v>238</v>
      </c>
      <c r="E510" s="384">
        <v>101.4935</v>
      </c>
      <c r="F510" s="402">
        <f>IFERROR(E510*'01 Prod Physique Boites'!H504,"-")</f>
        <v>0</v>
      </c>
      <c r="G510" s="403">
        <f>IFERROR(E510*'01 Prod Physique Boites'!L504,"-")</f>
        <v>0</v>
      </c>
      <c r="H510" s="385">
        <v>160.44999999999999</v>
      </c>
      <c r="I510" s="421">
        <f t="shared" si="279"/>
        <v>0</v>
      </c>
      <c r="J510" s="422">
        <f t="shared" si="280"/>
        <v>0</v>
      </c>
    </row>
    <row r="511" spans="1:10" ht="24" x14ac:dyDescent="0.25">
      <c r="A511" s="274" t="s">
        <v>103</v>
      </c>
      <c r="B511" s="966"/>
      <c r="C511" s="295" t="s">
        <v>240</v>
      </c>
      <c r="D511" s="275" t="s">
        <v>238</v>
      </c>
      <c r="E511" s="384">
        <v>101.4935</v>
      </c>
      <c r="F511" s="402">
        <f>IFERROR(E511*'01 Prod Physique Boites'!H505,"-")</f>
        <v>0</v>
      </c>
      <c r="G511" s="403">
        <f>IFERROR(E511*'01 Prod Physique Boites'!L505,"-")</f>
        <v>0</v>
      </c>
      <c r="H511" s="385">
        <v>160.44999999999999</v>
      </c>
      <c r="I511" s="421">
        <f t="shared" si="279"/>
        <v>0</v>
      </c>
      <c r="J511" s="422">
        <f t="shared" si="280"/>
        <v>0</v>
      </c>
    </row>
    <row r="512" spans="1:10" ht="24" x14ac:dyDescent="0.25">
      <c r="A512" s="274" t="s">
        <v>103</v>
      </c>
      <c r="B512" s="966"/>
      <c r="C512" s="295" t="s">
        <v>241</v>
      </c>
      <c r="D512" s="275" t="s">
        <v>243</v>
      </c>
      <c r="E512" s="384">
        <v>101.4935</v>
      </c>
      <c r="F512" s="402">
        <f>IFERROR(E512*'01 Prod Physique Boites'!H506,"-")</f>
        <v>0</v>
      </c>
      <c r="G512" s="403">
        <f>IFERROR(E512*'01 Prod Physique Boites'!L506,"-")</f>
        <v>0</v>
      </c>
      <c r="H512" s="385">
        <v>160.44999999999999</v>
      </c>
      <c r="I512" s="421">
        <f t="shared" si="279"/>
        <v>0</v>
      </c>
      <c r="J512" s="422">
        <f t="shared" si="280"/>
        <v>0</v>
      </c>
    </row>
    <row r="513" spans="1:10" ht="24" x14ac:dyDescent="0.25">
      <c r="A513" s="274"/>
      <c r="B513" s="967"/>
      <c r="C513" s="295" t="s">
        <v>457</v>
      </c>
      <c r="D513" s="275" t="s">
        <v>238</v>
      </c>
      <c r="E513" s="386">
        <v>101.49</v>
      </c>
      <c r="F513" s="402">
        <f>IFERROR(E513*'01 Prod Physique Boites'!H507,"-")</f>
        <v>0</v>
      </c>
      <c r="G513" s="403">
        <f>IFERROR(E513*'01 Prod Physique Boites'!L507,"-")</f>
        <v>0</v>
      </c>
      <c r="H513" s="385">
        <v>160.44999999999999</v>
      </c>
      <c r="I513" s="421">
        <f t="shared" si="279"/>
        <v>0</v>
      </c>
      <c r="J513" s="422">
        <f t="shared" si="280"/>
        <v>0</v>
      </c>
    </row>
    <row r="514" spans="1:10" ht="24.75" thickBot="1" x14ac:dyDescent="0.3">
      <c r="A514" s="274" t="s">
        <v>103</v>
      </c>
      <c r="B514" s="967"/>
      <c r="C514" s="295" t="s">
        <v>242</v>
      </c>
      <c r="D514" s="275" t="s">
        <v>238</v>
      </c>
      <c r="E514" s="386">
        <v>101.4935</v>
      </c>
      <c r="F514" s="402">
        <f>IFERROR(E514*'01 Prod Physique Boites'!H508,"-")</f>
        <v>0</v>
      </c>
      <c r="G514" s="403">
        <f>IFERROR(E514*'01 Prod Physique Boites'!L508,"-")</f>
        <v>0</v>
      </c>
      <c r="H514" s="385">
        <v>160.44999999999999</v>
      </c>
      <c r="I514" s="421">
        <f t="shared" si="279"/>
        <v>0</v>
      </c>
      <c r="J514" s="424">
        <f t="shared" si="280"/>
        <v>0</v>
      </c>
    </row>
    <row r="515" spans="1:10" ht="23.25" thickBot="1" x14ac:dyDescent="0.3">
      <c r="A515" s="274" t="s">
        <v>103</v>
      </c>
      <c r="B515" s="946" t="s">
        <v>49</v>
      </c>
      <c r="C515" s="947"/>
      <c r="D515" s="948"/>
      <c r="E515" s="390"/>
      <c r="F515" s="406">
        <f t="shared" ref="F515" si="281">SUM(F506:F514)</f>
        <v>0</v>
      </c>
      <c r="G515" s="407">
        <f>SUM(G506:G514)</f>
        <v>0</v>
      </c>
      <c r="H515" s="391"/>
      <c r="I515" s="406">
        <f t="shared" ref="I515" si="282">SUM(I506:I514)</f>
        <v>0</v>
      </c>
      <c r="J515" s="425">
        <f>SUM(J506:J514)</f>
        <v>0</v>
      </c>
    </row>
    <row r="516" spans="1:10" ht="23.25" thickBot="1" x14ac:dyDescent="0.3">
      <c r="A516" s="274" t="s">
        <v>103</v>
      </c>
      <c r="B516" s="960" t="s">
        <v>25</v>
      </c>
      <c r="C516" s="961"/>
      <c r="D516" s="962"/>
      <c r="E516" s="393"/>
      <c r="F516" s="410">
        <f t="shared" ref="F516" si="283">+F505+F515</f>
        <v>0</v>
      </c>
      <c r="G516" s="411">
        <f>+G505+G515</f>
        <v>0</v>
      </c>
      <c r="H516" s="394"/>
      <c r="I516" s="410">
        <f t="shared" ref="I516:J516" si="284">+I505+I515</f>
        <v>0</v>
      </c>
      <c r="J516" s="428">
        <f t="shared" si="284"/>
        <v>0</v>
      </c>
    </row>
    <row r="517" spans="1:10" ht="23.25" thickBot="1" x14ac:dyDescent="0.3">
      <c r="A517" s="274" t="s">
        <v>103</v>
      </c>
      <c r="B517" s="963" t="s">
        <v>172</v>
      </c>
      <c r="C517" s="941"/>
      <c r="D517" s="942"/>
      <c r="E517" s="395"/>
      <c r="F517" s="412">
        <f t="shared" ref="F517" si="285">+F500+F516</f>
        <v>1263647.808</v>
      </c>
      <c r="G517" s="413">
        <f>+G500+G516</f>
        <v>11897459.2476</v>
      </c>
      <c r="H517" s="396"/>
      <c r="I517" s="412">
        <f t="shared" ref="I517:J517" si="286">+I500+I516</f>
        <v>2007360</v>
      </c>
      <c r="J517" s="429">
        <f t="shared" si="286"/>
        <v>15636327.600000001</v>
      </c>
    </row>
    <row r="518" spans="1:10" ht="24" x14ac:dyDescent="0.25">
      <c r="A518" s="268" t="s">
        <v>101</v>
      </c>
      <c r="B518" s="956" t="s">
        <v>26</v>
      </c>
      <c r="C518" s="297" t="s">
        <v>297</v>
      </c>
      <c r="D518" s="299" t="s">
        <v>177</v>
      </c>
      <c r="E518" s="504">
        <v>13.1272</v>
      </c>
      <c r="F518" s="402">
        <f>IFERROR(E518*'01 Prod Physique Boites'!H512,"-")</f>
        <v>0</v>
      </c>
      <c r="G518" s="403">
        <f>IFERROR(E518*'01 Prod Physique Boites'!L512,"-")</f>
        <v>0</v>
      </c>
      <c r="H518" s="381">
        <v>20.76</v>
      </c>
      <c r="I518" s="419">
        <f t="shared" ref="I518:I527" si="287">IFERROR(H518*(F518/E518),"-")</f>
        <v>0</v>
      </c>
      <c r="J518" s="632">
        <f t="shared" ref="J518:J527" si="288">IFERROR(H518*(G518/E518),"-")</f>
        <v>0</v>
      </c>
    </row>
    <row r="519" spans="1:10" ht="24" x14ac:dyDescent="0.25">
      <c r="A519" s="274" t="s">
        <v>101</v>
      </c>
      <c r="B519" s="956"/>
      <c r="C519" s="298" t="s">
        <v>424</v>
      </c>
      <c r="D519" s="298" t="s">
        <v>423</v>
      </c>
      <c r="E519" s="505">
        <v>16.7288</v>
      </c>
      <c r="F519" s="402">
        <f>IFERROR(E519*'01 Prod Physique Boites'!H513,"-")</f>
        <v>66547.166400000002</v>
      </c>
      <c r="G519" s="403">
        <f>IFERROR(E519*'01 Prod Physique Boites'!L513,"-")</f>
        <v>4192471.4832000001</v>
      </c>
      <c r="H519" s="385">
        <v>20.76</v>
      </c>
      <c r="I519" s="421">
        <f t="shared" si="287"/>
        <v>82583.280000000013</v>
      </c>
      <c r="J519" s="633">
        <f t="shared" si="288"/>
        <v>5202746.6400000006</v>
      </c>
    </row>
    <row r="520" spans="1:10" ht="24" x14ac:dyDescent="0.25">
      <c r="A520" s="274" t="s">
        <v>101</v>
      </c>
      <c r="B520" s="956"/>
      <c r="C520" s="299" t="s">
        <v>27</v>
      </c>
      <c r="D520" s="299" t="s">
        <v>334</v>
      </c>
      <c r="E520" s="501">
        <v>17.8202</v>
      </c>
      <c r="F520" s="402">
        <f>IFERROR(E520*'01 Prod Physique Boites'!H514,"-")</f>
        <v>0</v>
      </c>
      <c r="G520" s="403">
        <f>IFERROR(E520*'01 Prod Physique Boites'!L514,"-")</f>
        <v>0</v>
      </c>
      <c r="H520" s="385">
        <v>21.22</v>
      </c>
      <c r="I520" s="643">
        <f t="shared" si="287"/>
        <v>0</v>
      </c>
      <c r="J520" s="633">
        <f t="shared" si="288"/>
        <v>0</v>
      </c>
    </row>
    <row r="521" spans="1:10" ht="24" x14ac:dyDescent="0.25">
      <c r="A521" s="274" t="s">
        <v>101</v>
      </c>
      <c r="B521" s="956"/>
      <c r="C521" s="299" t="s">
        <v>27</v>
      </c>
      <c r="D521" s="297" t="s">
        <v>492</v>
      </c>
      <c r="E521" s="501">
        <v>17.8202</v>
      </c>
      <c r="F521" s="402">
        <f>IFERROR(E521*'01 Prod Physique Boites'!H515,"-")</f>
        <v>3544437.78</v>
      </c>
      <c r="G521" s="403">
        <f>IFERROR(E521*'01 Prod Physique Boites'!L515,"-")</f>
        <v>4749546.6251999997</v>
      </c>
      <c r="H521" s="385">
        <v>26.75</v>
      </c>
      <c r="I521" s="643">
        <f t="shared" si="287"/>
        <v>5320575</v>
      </c>
      <c r="J521" s="633">
        <f t="shared" si="288"/>
        <v>7129570.5</v>
      </c>
    </row>
    <row r="522" spans="1:10" ht="24" x14ac:dyDescent="0.25">
      <c r="A522" s="274" t="s">
        <v>101</v>
      </c>
      <c r="B522" s="956"/>
      <c r="C522" s="299" t="s">
        <v>27</v>
      </c>
      <c r="D522" s="299" t="s">
        <v>279</v>
      </c>
      <c r="E522" s="501">
        <v>17.8202</v>
      </c>
      <c r="F522" s="402">
        <f>IFERROR(E522*'01 Prod Physique Boites'!H516,"-")</f>
        <v>0</v>
      </c>
      <c r="G522" s="403">
        <f>IFERROR(E522*'01 Prod Physique Boites'!L516,"-")</f>
        <v>0</v>
      </c>
      <c r="H522" s="385">
        <v>24.93</v>
      </c>
      <c r="I522" s="643">
        <f t="shared" si="287"/>
        <v>0</v>
      </c>
      <c r="J522" s="633">
        <f t="shared" si="288"/>
        <v>0</v>
      </c>
    </row>
    <row r="523" spans="1:10" ht="24" x14ac:dyDescent="0.25">
      <c r="A523" s="274"/>
      <c r="B523" s="956"/>
      <c r="C523" s="299" t="s">
        <v>437</v>
      </c>
      <c r="D523" s="299" t="s">
        <v>178</v>
      </c>
      <c r="E523" s="501">
        <v>14.608000000000001</v>
      </c>
      <c r="F523" s="402">
        <f>IFERROR(E523*'01 Prod Physique Boites'!H517,"-")</f>
        <v>0</v>
      </c>
      <c r="G523" s="403">
        <f>IFERROR(E523*'01 Prod Physique Boites'!L517,"-")</f>
        <v>0</v>
      </c>
      <c r="H523" s="387">
        <v>24.93</v>
      </c>
      <c r="I523" s="643">
        <f t="shared" si="287"/>
        <v>0</v>
      </c>
      <c r="J523" s="634">
        <f t="shared" si="288"/>
        <v>0</v>
      </c>
    </row>
    <row r="524" spans="1:10" ht="24" x14ac:dyDescent="0.25">
      <c r="A524" s="274"/>
      <c r="B524" s="956"/>
      <c r="C524" s="299" t="s">
        <v>436</v>
      </c>
      <c r="D524" s="299" t="s">
        <v>94</v>
      </c>
      <c r="E524" s="501">
        <v>17.8202</v>
      </c>
      <c r="F524" s="724">
        <f>IFERROR(E524*'01 Prod Physique Boites'!H518,"-")</f>
        <v>0</v>
      </c>
      <c r="G524" s="403">
        <f>IFERROR(E524*'01 Prod Physique Boites'!L518,"-")</f>
        <v>0</v>
      </c>
      <c r="H524" s="387">
        <v>24.93</v>
      </c>
      <c r="I524" s="730">
        <f t="shared" si="287"/>
        <v>0</v>
      </c>
      <c r="J524" s="634">
        <f t="shared" si="288"/>
        <v>0</v>
      </c>
    </row>
    <row r="525" spans="1:10" s="731" customFormat="1" ht="24" x14ac:dyDescent="0.25">
      <c r="A525" s="725"/>
      <c r="B525" s="956"/>
      <c r="C525" s="726" t="s">
        <v>383</v>
      </c>
      <c r="D525" s="726" t="s">
        <v>384</v>
      </c>
      <c r="E525" s="727">
        <v>16.345199999999998</v>
      </c>
      <c r="F525" s="724">
        <f>IFERROR(E525*'01 Prod Physique Boites'!H519,"-")</f>
        <v>0</v>
      </c>
      <c r="G525" s="728">
        <f>IFERROR(E525*'01 Prod Physique Boites'!L519,"-")</f>
        <v>0</v>
      </c>
      <c r="H525" s="729">
        <v>23.78</v>
      </c>
      <c r="I525" s="730">
        <f t="shared" si="287"/>
        <v>0</v>
      </c>
      <c r="J525" s="634">
        <f t="shared" si="288"/>
        <v>0</v>
      </c>
    </row>
    <row r="526" spans="1:10" s="731" customFormat="1" ht="24" x14ac:dyDescent="0.25">
      <c r="A526" s="725"/>
      <c r="B526" s="956"/>
      <c r="C526" s="299" t="s">
        <v>433</v>
      </c>
      <c r="D526" s="299" t="s">
        <v>178</v>
      </c>
      <c r="E526" s="727">
        <v>16.7288</v>
      </c>
      <c r="F526" s="724">
        <f>IFERROR(E526*'01 Prod Physique Boites'!H520,"-")</f>
        <v>0</v>
      </c>
      <c r="G526" s="728">
        <f>IFERROR(E526*'01 Prod Physique Boites'!L520,"-")</f>
        <v>0</v>
      </c>
      <c r="H526" s="729">
        <v>25.49</v>
      </c>
      <c r="I526" s="730">
        <f t="shared" si="287"/>
        <v>0</v>
      </c>
      <c r="J526" s="634">
        <f t="shared" si="288"/>
        <v>0</v>
      </c>
    </row>
    <row r="527" spans="1:10" ht="24.75" thickBot="1" x14ac:dyDescent="0.3">
      <c r="A527" s="274" t="s">
        <v>101</v>
      </c>
      <c r="B527" s="956"/>
      <c r="C527" s="300" t="s">
        <v>290</v>
      </c>
      <c r="D527" s="299" t="s">
        <v>289</v>
      </c>
      <c r="E527" s="501">
        <v>12.6997</v>
      </c>
      <c r="F527" s="402">
        <f>IFERROR(E527*'01 Prod Physique Boites'!H521,"-")</f>
        <v>0</v>
      </c>
      <c r="G527" s="728">
        <f>IFERROR(E527*'01 Prod Physique Boites'!L521,"-")</f>
        <v>0</v>
      </c>
      <c r="H527" s="387">
        <v>13.25</v>
      </c>
      <c r="I527" s="730">
        <f t="shared" si="287"/>
        <v>0</v>
      </c>
      <c r="J527" s="634">
        <f t="shared" si="288"/>
        <v>0</v>
      </c>
    </row>
    <row r="528" spans="1:10" ht="23.25" thickBot="1" x14ac:dyDescent="0.3">
      <c r="A528" s="274" t="s">
        <v>101</v>
      </c>
      <c r="B528" s="969"/>
      <c r="C528" s="301"/>
      <c r="D528" s="302" t="s">
        <v>52</v>
      </c>
      <c r="E528" s="390"/>
      <c r="F528" s="406">
        <f>SUM(F518:F527)</f>
        <v>3610984.9463999998</v>
      </c>
      <c r="G528" s="407">
        <f>SUM(G518:G527)</f>
        <v>8942018.1084000003</v>
      </c>
      <c r="H528" s="391"/>
      <c r="I528" s="406">
        <f>SUM(I518:I527)</f>
        <v>5403158.2800000003</v>
      </c>
      <c r="J528" s="425">
        <f>SUM(J518:J527)</f>
        <v>12332317.140000001</v>
      </c>
    </row>
    <row r="529" spans="1:10" ht="24" x14ac:dyDescent="0.25">
      <c r="A529" s="274" t="s">
        <v>101</v>
      </c>
      <c r="B529" s="955" t="s">
        <v>28</v>
      </c>
      <c r="C529" s="299" t="s">
        <v>27</v>
      </c>
      <c r="D529" s="297" t="s">
        <v>492</v>
      </c>
      <c r="E529" s="504">
        <v>17.8202</v>
      </c>
      <c r="F529" s="402">
        <f>IFERROR(E529*'01 Prod Physique Boites'!H523,"-")</f>
        <v>0</v>
      </c>
      <c r="G529" s="403">
        <f>IFERROR(E529*'01 Prod Physique Boites'!L523,"-")</f>
        <v>1346886.3563999999</v>
      </c>
      <c r="H529" s="381">
        <v>26.75</v>
      </c>
      <c r="I529" s="419">
        <f t="shared" ref="I529:I535" si="289">IFERROR(H529*(F529/E529),"-")</f>
        <v>0</v>
      </c>
      <c r="J529" s="632">
        <f t="shared" ref="J529:J530" si="290">IFERROR(H529*(G529/E529),"-")</f>
        <v>2021818.5</v>
      </c>
    </row>
    <row r="530" spans="1:10" ht="24" x14ac:dyDescent="0.25">
      <c r="A530" s="274" t="s">
        <v>101</v>
      </c>
      <c r="B530" s="956"/>
      <c r="C530" s="299" t="s">
        <v>386</v>
      </c>
      <c r="D530" s="299" t="s">
        <v>334</v>
      </c>
      <c r="E530" s="711">
        <v>16.7288</v>
      </c>
      <c r="F530" s="402">
        <f>IFERROR(E530*'01 Prod Physique Boites'!H524,"-")</f>
        <v>0</v>
      </c>
      <c r="G530" s="728">
        <f>IFERROR(E530*'01 Prod Physique Boites'!L524,"-")</f>
        <v>1597131.9935999999</v>
      </c>
      <c r="H530" s="708">
        <v>20.76</v>
      </c>
      <c r="I530" s="421">
        <f t="shared" si="289"/>
        <v>0</v>
      </c>
      <c r="J530" s="633">
        <f t="shared" si="290"/>
        <v>1981998.7200000002</v>
      </c>
    </row>
    <row r="531" spans="1:10" ht="24" x14ac:dyDescent="0.25">
      <c r="A531" s="274" t="s">
        <v>101</v>
      </c>
      <c r="B531" s="956"/>
      <c r="C531" s="299" t="s">
        <v>385</v>
      </c>
      <c r="D531" s="299" t="s">
        <v>334</v>
      </c>
      <c r="E531" s="501">
        <v>17.8202</v>
      </c>
      <c r="F531" s="402">
        <f>IFERROR(E531*'01 Prod Physique Boites'!H525,"-")</f>
        <v>0</v>
      </c>
      <c r="G531" s="403">
        <f>IFERROR(E531*'01 Prod Physique Boites'!L525,"-")</f>
        <v>0</v>
      </c>
      <c r="H531" s="385">
        <v>21.22</v>
      </c>
      <c r="I531" s="421">
        <f t="shared" si="289"/>
        <v>0</v>
      </c>
      <c r="J531" s="633">
        <f>IFERROR(H531*(G531/E531),"-")</f>
        <v>0</v>
      </c>
    </row>
    <row r="532" spans="1:10" ht="24" x14ac:dyDescent="0.25">
      <c r="A532" s="274"/>
      <c r="B532" s="956"/>
      <c r="C532" s="299" t="s">
        <v>460</v>
      </c>
      <c r="D532" s="299" t="s">
        <v>334</v>
      </c>
      <c r="E532" s="501">
        <v>14.608000000000001</v>
      </c>
      <c r="F532" s="402">
        <f>IFERROR(E532*'01 Prod Physique Boites'!H526,"-")</f>
        <v>0</v>
      </c>
      <c r="G532" s="403">
        <f>IFERROR(E532*'01 Prod Physique Boites'!L526,"-")</f>
        <v>0</v>
      </c>
      <c r="H532" s="385">
        <v>21.22</v>
      </c>
      <c r="I532" s="421">
        <f t="shared" si="289"/>
        <v>0</v>
      </c>
      <c r="J532" s="633">
        <f>IFERROR(H532*(G532/E532),"-")</f>
        <v>0</v>
      </c>
    </row>
    <row r="533" spans="1:10" ht="24" x14ac:dyDescent="0.25">
      <c r="A533" s="274"/>
      <c r="B533" s="956"/>
      <c r="C533" s="299" t="s">
        <v>383</v>
      </c>
      <c r="D533" s="299" t="s">
        <v>384</v>
      </c>
      <c r="E533" s="711">
        <v>16.345199999999998</v>
      </c>
      <c r="F533" s="402">
        <f>IFERROR(E533*'01 Prod Physique Boites'!H527,"-")</f>
        <v>0</v>
      </c>
      <c r="G533" s="403">
        <f>IFERROR(E533*'01 Prod Physique Boites'!L527,"-")</f>
        <v>0</v>
      </c>
      <c r="H533" s="385">
        <v>23.78</v>
      </c>
      <c r="I533" s="423">
        <f t="shared" si="289"/>
        <v>0</v>
      </c>
      <c r="J533" s="634">
        <f t="shared" ref="J533:J535" si="291">IFERROR(H533*(G533/E533),"-")</f>
        <v>0</v>
      </c>
    </row>
    <row r="534" spans="1:10" ht="24" x14ac:dyDescent="0.25">
      <c r="A534" s="274"/>
      <c r="B534" s="956"/>
      <c r="C534" s="299" t="s">
        <v>458</v>
      </c>
      <c r="D534" s="300" t="s">
        <v>280</v>
      </c>
      <c r="E534" s="711">
        <v>17.8202</v>
      </c>
      <c r="F534" s="402">
        <f>IFERROR(E534*'01 Prod Physique Boites'!H528,"-")</f>
        <v>0</v>
      </c>
      <c r="G534" s="403">
        <f>IFERROR(E534*'01 Prod Physique Boites'!L528,"-")</f>
        <v>0</v>
      </c>
      <c r="H534" s="385">
        <v>24.93</v>
      </c>
      <c r="I534" s="730">
        <f t="shared" si="289"/>
        <v>0</v>
      </c>
      <c r="J534" s="634">
        <f t="shared" si="291"/>
        <v>0</v>
      </c>
    </row>
    <row r="535" spans="1:10" ht="24.75" thickBot="1" x14ac:dyDescent="0.3">
      <c r="A535" s="274" t="s">
        <v>101</v>
      </c>
      <c r="B535" s="956"/>
      <c r="C535" s="299" t="s">
        <v>27</v>
      </c>
      <c r="D535" s="300" t="s">
        <v>234</v>
      </c>
      <c r="E535" s="501">
        <v>17.8202</v>
      </c>
      <c r="F535" s="402">
        <f>IFERROR(E535*'01 Prod Physique Boites'!H529,"-")</f>
        <v>0</v>
      </c>
      <c r="G535" s="403">
        <f>IFERROR(E535*'01 Prod Physique Boites'!L529,"-")</f>
        <v>0</v>
      </c>
      <c r="H535" s="385">
        <v>24.93</v>
      </c>
      <c r="I535" s="423">
        <f t="shared" si="289"/>
        <v>0</v>
      </c>
      <c r="J535" s="634">
        <f t="shared" si="291"/>
        <v>0</v>
      </c>
    </row>
    <row r="536" spans="1:10" ht="23.25" thickBot="1" x14ac:dyDescent="0.3">
      <c r="A536" s="274" t="s">
        <v>101</v>
      </c>
      <c r="B536" s="956"/>
      <c r="C536" s="304"/>
      <c r="D536" s="305" t="s">
        <v>52</v>
      </c>
      <c r="E536" s="397"/>
      <c r="F536" s="414">
        <f t="shared" ref="F536:G536" si="292">SUM(F529:F535)</f>
        <v>0</v>
      </c>
      <c r="G536" s="415">
        <f t="shared" si="292"/>
        <v>2944018.3499999996</v>
      </c>
      <c r="H536" s="398"/>
      <c r="I536" s="414">
        <f t="shared" ref="I536:J536" si="293">SUM(I529:I535)</f>
        <v>0</v>
      </c>
      <c r="J536" s="430">
        <f t="shared" si="293"/>
        <v>4003817.22</v>
      </c>
    </row>
    <row r="537" spans="1:10" ht="23.25" thickBot="1" x14ac:dyDescent="0.3">
      <c r="A537" s="794" t="s">
        <v>101</v>
      </c>
      <c r="B537" s="957" t="s">
        <v>162</v>
      </c>
      <c r="C537" s="958"/>
      <c r="D537" s="959"/>
      <c r="E537" s="399"/>
      <c r="F537" s="416">
        <f t="shared" ref="F537:G537" si="294">+F528+F536</f>
        <v>3610984.9463999998</v>
      </c>
      <c r="G537" s="417">
        <f t="shared" si="294"/>
        <v>11886036.4584</v>
      </c>
      <c r="H537" s="400"/>
      <c r="I537" s="416">
        <f t="shared" ref="I537:J537" si="295">+I528+I536</f>
        <v>5403158.2800000003</v>
      </c>
      <c r="J537" s="431">
        <f t="shared" si="295"/>
        <v>16336134.360000001</v>
      </c>
    </row>
    <row r="538" spans="1:10" ht="24" x14ac:dyDescent="0.25">
      <c r="A538" s="274" t="s">
        <v>101</v>
      </c>
      <c r="B538" s="956" t="s">
        <v>30</v>
      </c>
      <c r="C538" s="303" t="s">
        <v>450</v>
      </c>
      <c r="D538" s="299" t="s">
        <v>334</v>
      </c>
      <c r="E538" s="736">
        <v>27.917000000000002</v>
      </c>
      <c r="F538" s="402">
        <f>IFERROR(E538*'01 Prod Physique Boites'!H532,"-")</f>
        <v>0</v>
      </c>
      <c r="G538" s="728">
        <f>IFERROR(E538*'01 Prod Physique Boites'!L532,"-")</f>
        <v>0</v>
      </c>
      <c r="H538" s="734">
        <v>33.299999999999997</v>
      </c>
      <c r="I538" s="419">
        <f>IFERROR(H538*(F538/E538),"-")</f>
        <v>0</v>
      </c>
      <c r="J538" s="420">
        <f t="shared" ref="J538:J540" si="296">IFERROR(H538*(G538/E538),"-")</f>
        <v>0</v>
      </c>
    </row>
    <row r="539" spans="1:10" ht="24" x14ac:dyDescent="0.25">
      <c r="A539" s="274" t="s">
        <v>101</v>
      </c>
      <c r="B539" s="956"/>
      <c r="C539" s="300" t="s">
        <v>448</v>
      </c>
      <c r="D539" s="303" t="s">
        <v>384</v>
      </c>
      <c r="E539" s="733">
        <v>28.526700000000002</v>
      </c>
      <c r="F539" s="402">
        <f>IFERROR(E539*'01 Prod Physique Boites'!H533,"-")</f>
        <v>0</v>
      </c>
      <c r="G539" s="728">
        <f>IFERROR(E539*'01 Prod Physique Boites'!L533,"-")</f>
        <v>0</v>
      </c>
      <c r="H539" s="735">
        <v>37.89</v>
      </c>
      <c r="I539" s="421">
        <f>IFERROR(H539*(F539/E539),"-")</f>
        <v>0</v>
      </c>
      <c r="J539" s="422">
        <f t="shared" si="296"/>
        <v>0</v>
      </c>
    </row>
    <row r="540" spans="1:10" ht="24.75" thickBot="1" x14ac:dyDescent="0.3">
      <c r="A540" s="274" t="s">
        <v>101</v>
      </c>
      <c r="B540" s="956"/>
      <c r="C540" s="300" t="s">
        <v>291</v>
      </c>
      <c r="D540" s="300" t="s">
        <v>384</v>
      </c>
      <c r="E540" s="501">
        <v>25.751300000000001</v>
      </c>
      <c r="F540" s="724">
        <f>IFERROR(E540*'01 Prod Physique Boites'!H534,"-")</f>
        <v>0</v>
      </c>
      <c r="G540" s="728">
        <f>IFERROR(E540*'01 Prod Physique Boites'!L534,"-")</f>
        <v>0</v>
      </c>
      <c r="H540" s="387">
        <v>37.89</v>
      </c>
      <c r="I540" s="423">
        <f>IFERROR(H540*(F540/E540),"-")</f>
        <v>0</v>
      </c>
      <c r="J540" s="424">
        <f t="shared" si="296"/>
        <v>0</v>
      </c>
    </row>
    <row r="541" spans="1:10" ht="23.25" thickBot="1" x14ac:dyDescent="0.3">
      <c r="A541" s="274" t="s">
        <v>101</v>
      </c>
      <c r="B541" s="956"/>
      <c r="C541" s="301"/>
      <c r="D541" s="302" t="s">
        <v>50</v>
      </c>
      <c r="E541" s="390"/>
      <c r="F541" s="406">
        <f t="shared" ref="F541:G541" si="297">SUM(F538:F540)</f>
        <v>0</v>
      </c>
      <c r="G541" s="407">
        <f t="shared" si="297"/>
        <v>0</v>
      </c>
      <c r="H541" s="391"/>
      <c r="I541" s="406">
        <f t="shared" ref="I541" si="298">SUM(I538:I540)</f>
        <v>0</v>
      </c>
      <c r="J541" s="425">
        <f>SUM(J538:J540)</f>
        <v>0</v>
      </c>
    </row>
    <row r="542" spans="1:10" ht="24" x14ac:dyDescent="0.25">
      <c r="A542" s="274" t="s">
        <v>101</v>
      </c>
      <c r="B542" s="956"/>
      <c r="C542" s="297" t="s">
        <v>439</v>
      </c>
      <c r="D542" s="297" t="s">
        <v>92</v>
      </c>
      <c r="E542" s="504">
        <v>24.2607</v>
      </c>
      <c r="F542" s="402">
        <f>IFERROR(E542*'01 Prod Physique Boites'!H536,"-")</f>
        <v>0</v>
      </c>
      <c r="G542" s="728">
        <f>IFERROR(E542*'01 Prod Physique Boites'!L536,"-")</f>
        <v>0</v>
      </c>
      <c r="H542" s="381">
        <v>28.31</v>
      </c>
      <c r="I542" s="638">
        <f>IFERROR(H542*(F542/E542),"-")</f>
        <v>0</v>
      </c>
      <c r="J542" s="420">
        <f t="shared" ref="J542:J547" si="299">IFERROR(H542*(G542/E542),"-")</f>
        <v>0</v>
      </c>
    </row>
    <row r="543" spans="1:10" ht="24" x14ac:dyDescent="0.25">
      <c r="A543" s="274"/>
      <c r="B543" s="956"/>
      <c r="C543" s="303" t="s">
        <v>449</v>
      </c>
      <c r="D543" s="299" t="s">
        <v>334</v>
      </c>
      <c r="E543" s="504">
        <v>24.2607</v>
      </c>
      <c r="F543" s="402">
        <f>IFERROR(E543*'01 Prod Physique Boites'!H537,"-")</f>
        <v>0</v>
      </c>
      <c r="G543" s="728">
        <f>IFERROR(E543*'01 Prod Physique Boites'!L537,"-")</f>
        <v>0</v>
      </c>
      <c r="H543" s="381">
        <v>28.88</v>
      </c>
      <c r="I543" s="638">
        <f t="shared" ref="I543:I547" si="300">IFERROR(H543*(F543/E543),"-")</f>
        <v>0</v>
      </c>
      <c r="J543" s="420">
        <f t="shared" si="299"/>
        <v>0</v>
      </c>
    </row>
    <row r="544" spans="1:10" ht="24" x14ac:dyDescent="0.25">
      <c r="A544" s="274"/>
      <c r="B544" s="956"/>
      <c r="C544" s="303" t="s">
        <v>452</v>
      </c>
      <c r="D544" s="299" t="s">
        <v>334</v>
      </c>
      <c r="E544" s="504">
        <v>25.4041</v>
      </c>
      <c r="F544" s="402">
        <f>IFERROR(E544*'01 Prod Physique Boites'!H538,"-")</f>
        <v>0</v>
      </c>
      <c r="G544" s="728">
        <f>IFERROR(E544*'01 Prod Physique Boites'!L538,"-")</f>
        <v>0</v>
      </c>
      <c r="H544" s="381">
        <v>28.21</v>
      </c>
      <c r="I544" s="638">
        <f t="shared" si="300"/>
        <v>0</v>
      </c>
      <c r="J544" s="420">
        <f t="shared" si="299"/>
        <v>0</v>
      </c>
    </row>
    <row r="545" spans="1:10" ht="24" x14ac:dyDescent="0.25">
      <c r="A545" s="274" t="s">
        <v>101</v>
      </c>
      <c r="B545" s="956"/>
      <c r="C545" s="303" t="s">
        <v>501</v>
      </c>
      <c r="D545" s="300" t="s">
        <v>423</v>
      </c>
      <c r="E545" s="505">
        <v>23.697399999999998</v>
      </c>
      <c r="F545" s="724">
        <f>IFERROR(E545*'01 Prod Physique Boites'!H539,"-")</f>
        <v>0</v>
      </c>
      <c r="G545" s="728">
        <f>IFERROR(E545*'01 Prod Physique Boites'!L539,"-")</f>
        <v>177446.13119999997</v>
      </c>
      <c r="H545" s="385">
        <v>28.21</v>
      </c>
      <c r="I545" s="638">
        <f t="shared" si="300"/>
        <v>0</v>
      </c>
      <c r="J545" s="420">
        <f t="shared" si="299"/>
        <v>211236.47999999998</v>
      </c>
    </row>
    <row r="546" spans="1:10" ht="24" x14ac:dyDescent="0.25">
      <c r="A546" s="274"/>
      <c r="B546" s="956"/>
      <c r="C546" s="300" t="s">
        <v>459</v>
      </c>
      <c r="D546" s="300" t="s">
        <v>366</v>
      </c>
      <c r="E546" s="501">
        <v>22.094999999999999</v>
      </c>
      <c r="F546" s="724">
        <f>IFERROR(E546*'01 Prod Physique Boites'!H540,"-")</f>
        <v>0</v>
      </c>
      <c r="G546" s="728">
        <f>IFERROR(E546*'01 Prod Physique Boites'!L540,"-")</f>
        <v>0</v>
      </c>
      <c r="H546" s="745">
        <v>37.11</v>
      </c>
      <c r="I546" s="638">
        <f t="shared" si="300"/>
        <v>0</v>
      </c>
      <c r="J546" s="420">
        <f t="shared" si="299"/>
        <v>0</v>
      </c>
    </row>
    <row r="547" spans="1:10" ht="24.75" thickBot="1" x14ac:dyDescent="0.3">
      <c r="A547" s="274" t="s">
        <v>101</v>
      </c>
      <c r="B547" s="956"/>
      <c r="C547" s="300" t="s">
        <v>438</v>
      </c>
      <c r="D547" s="300" t="s">
        <v>423</v>
      </c>
      <c r="E547" s="501">
        <v>23.697399999999998</v>
      </c>
      <c r="F547" s="402">
        <f>IFERROR(E547*'01 Prod Physique Boites'!H541,"-")</f>
        <v>0</v>
      </c>
      <c r="G547" s="403">
        <f>IFERROR(E547*'01 Prod Physique Boites'!L541,"-")</f>
        <v>0</v>
      </c>
      <c r="H547" s="387">
        <v>28.21</v>
      </c>
      <c r="I547" s="638">
        <f t="shared" si="300"/>
        <v>0</v>
      </c>
      <c r="J547" s="420">
        <f t="shared" si="299"/>
        <v>0</v>
      </c>
    </row>
    <row r="548" spans="1:10" ht="23.25" thickBot="1" x14ac:dyDescent="0.3">
      <c r="A548" s="274" t="s">
        <v>101</v>
      </c>
      <c r="B548" s="956"/>
      <c r="C548" s="304"/>
      <c r="D548" s="305" t="s">
        <v>51</v>
      </c>
      <c r="E548" s="397"/>
      <c r="F548" s="414">
        <f t="shared" ref="F548:G548" si="301">SUM(F542:F547)</f>
        <v>0</v>
      </c>
      <c r="G548" s="415">
        <f t="shared" si="301"/>
        <v>177446.13119999997</v>
      </c>
      <c r="H548" s="398"/>
      <c r="I548" s="414">
        <f t="shared" ref="I548" si="302">SUM(I542:I547)</f>
        <v>0</v>
      </c>
      <c r="J548" s="430">
        <f>SUM(J542:J547)</f>
        <v>211236.47999999998</v>
      </c>
    </row>
    <row r="549" spans="1:10" ht="23.25" thickBot="1" x14ac:dyDescent="0.3">
      <c r="A549" s="274" t="s">
        <v>101</v>
      </c>
      <c r="B549" s="957" t="s">
        <v>163</v>
      </c>
      <c r="C549" s="958"/>
      <c r="D549" s="959"/>
      <c r="E549" s="399"/>
      <c r="F549" s="416">
        <f t="shared" ref="F549:G549" si="303">+F541+F548</f>
        <v>0</v>
      </c>
      <c r="G549" s="417">
        <f t="shared" si="303"/>
        <v>177446.13119999997</v>
      </c>
      <c r="H549" s="400"/>
      <c r="I549" s="416">
        <f t="shared" ref="I549:J549" si="304">+I541+I548</f>
        <v>0</v>
      </c>
      <c r="J549" s="431">
        <f t="shared" si="304"/>
        <v>211236.47999999998</v>
      </c>
    </row>
    <row r="550" spans="1:10" ht="24.75" thickBot="1" x14ac:dyDescent="0.3">
      <c r="A550" s="274" t="s">
        <v>101</v>
      </c>
      <c r="B550" s="599" t="s">
        <v>32</v>
      </c>
      <c r="C550" s="790"/>
      <c r="D550" s="310"/>
      <c r="E550" s="506">
        <v>12.2659</v>
      </c>
      <c r="F550" s="408">
        <f>IFERROR(E550*'01 Prod Physique Boites'!H544,"-")</f>
        <v>0</v>
      </c>
      <c r="G550" s="409">
        <f>IFERROR(F550*'01 Prod Physique Boites'!I544,"-")</f>
        <v>0</v>
      </c>
      <c r="H550" s="392"/>
      <c r="I550" s="426">
        <f>IFERROR(H550*(F550/E550),"-")</f>
        <v>0</v>
      </c>
      <c r="J550" s="427">
        <f>IFERROR(H550*(G550/E550),"-")</f>
        <v>0</v>
      </c>
    </row>
    <row r="551" spans="1:10" ht="23.25" thickBot="1" x14ac:dyDescent="0.3">
      <c r="A551" s="274" t="s">
        <v>101</v>
      </c>
      <c r="B551" s="960" t="s">
        <v>21</v>
      </c>
      <c r="C551" s="961"/>
      <c r="D551" s="962"/>
      <c r="E551" s="393"/>
      <c r="F551" s="410">
        <f t="shared" ref="F551" si="305">+F537+F549+F550</f>
        <v>3610984.9463999998</v>
      </c>
      <c r="G551" s="411">
        <f>+G537+G549+G550</f>
        <v>12063482.589600001</v>
      </c>
      <c r="H551" s="394"/>
      <c r="I551" s="410">
        <f t="shared" ref="I551:J551" si="306">+I537+I549+I550</f>
        <v>5403158.2800000003</v>
      </c>
      <c r="J551" s="428">
        <f t="shared" si="306"/>
        <v>16547370.840000002</v>
      </c>
    </row>
    <row r="552" spans="1:10" ht="23.25" thickBot="1" x14ac:dyDescent="0.3">
      <c r="A552" s="274" t="s">
        <v>101</v>
      </c>
      <c r="B552" s="963" t="s">
        <v>171</v>
      </c>
      <c r="C552" s="941"/>
      <c r="D552" s="942"/>
      <c r="E552" s="395"/>
      <c r="F552" s="412">
        <f t="shared" ref="F552:G552" si="307">+F551</f>
        <v>3610984.9463999998</v>
      </c>
      <c r="G552" s="413">
        <f t="shared" si="307"/>
        <v>12063482.589600001</v>
      </c>
      <c r="H552" s="396"/>
      <c r="I552" s="412">
        <f t="shared" ref="I552:J552" si="308">+I551</f>
        <v>5403158.2800000003</v>
      </c>
      <c r="J552" s="429">
        <f t="shared" si="308"/>
        <v>16547370.840000002</v>
      </c>
    </row>
    <row r="553" spans="1:10" ht="24" x14ac:dyDescent="0.25">
      <c r="A553" s="268" t="s">
        <v>102</v>
      </c>
      <c r="B553" s="949" t="s">
        <v>401</v>
      </c>
      <c r="C553" s="311" t="s">
        <v>113</v>
      </c>
      <c r="D553" s="311"/>
      <c r="E553" s="709">
        <v>254.89750000000001</v>
      </c>
      <c r="F553" s="402">
        <f>IFERROR(E553*'01 Prod Physique Boites'!H547,"-")</f>
        <v>0</v>
      </c>
      <c r="G553" s="403">
        <f>IFERROR(E553*'01 Prod Physique Boites'!L547,"-")</f>
        <v>0</v>
      </c>
      <c r="H553" s="381">
        <v>445.38</v>
      </c>
      <c r="I553" s="419">
        <f>IFERROR(H553*(F553/E553),"-")</f>
        <v>0</v>
      </c>
      <c r="J553" s="420">
        <f t="shared" ref="J553:J555" si="309">IFERROR(H553*(G553/E553),"-")</f>
        <v>0</v>
      </c>
    </row>
    <row r="554" spans="1:10" ht="24" x14ac:dyDescent="0.25">
      <c r="A554" s="274" t="s">
        <v>102</v>
      </c>
      <c r="B554" s="951"/>
      <c r="C554" s="312" t="s">
        <v>247</v>
      </c>
      <c r="D554" s="312"/>
      <c r="E554" s="503">
        <v>246.51390000000001</v>
      </c>
      <c r="F554" s="402">
        <f>IFERROR(E554*'01 Prod Physique Boites'!H548,"-")</f>
        <v>640936.14</v>
      </c>
      <c r="G554" s="403">
        <f>IFERROR(E554*'01 Prod Physique Boites'!L548,"-")</f>
        <v>1429780.62</v>
      </c>
      <c r="H554" s="385">
        <v>430.02</v>
      </c>
      <c r="I554" s="421">
        <f>IFERROR(H554*(F554/E554),"-")</f>
        <v>1118052</v>
      </c>
      <c r="J554" s="422">
        <f t="shared" si="309"/>
        <v>2494116</v>
      </c>
    </row>
    <row r="555" spans="1:10" ht="24.75" thickBot="1" x14ac:dyDescent="0.3">
      <c r="A555" s="274" t="s">
        <v>102</v>
      </c>
      <c r="B555" s="950"/>
      <c r="C555" s="313" t="s">
        <v>33</v>
      </c>
      <c r="D555" s="313"/>
      <c r="E555" s="500">
        <v>225.7713</v>
      </c>
      <c r="F555" s="402">
        <f>IFERROR(E555*'01 Prod Physique Boites'!H549,"-")</f>
        <v>0</v>
      </c>
      <c r="G555" s="403">
        <f>IFERROR(E555*'01 Prod Physique Boites'!L549,"-")</f>
        <v>0</v>
      </c>
      <c r="H555" s="387"/>
      <c r="I555" s="423">
        <f>IFERROR(H555*(F555/E555),"-")</f>
        <v>0</v>
      </c>
      <c r="J555" s="424">
        <f t="shared" si="309"/>
        <v>0</v>
      </c>
    </row>
    <row r="556" spans="1:10" ht="23.25" thickBot="1" x14ac:dyDescent="0.3">
      <c r="A556" s="274" t="s">
        <v>102</v>
      </c>
      <c r="B556" s="946" t="s">
        <v>34</v>
      </c>
      <c r="C556" s="947"/>
      <c r="D556" s="948"/>
      <c r="E556" s="390"/>
      <c r="F556" s="406">
        <f t="shared" ref="F556:G556" si="310">SUM(F553:F555)</f>
        <v>640936.14</v>
      </c>
      <c r="G556" s="407">
        <f t="shared" si="310"/>
        <v>1429780.62</v>
      </c>
      <c r="H556" s="391"/>
      <c r="I556" s="406">
        <f t="shared" ref="I556:J556" si="311">SUM(I553:I555)</f>
        <v>1118052</v>
      </c>
      <c r="J556" s="425">
        <f t="shared" si="311"/>
        <v>2494116</v>
      </c>
    </row>
    <row r="557" spans="1:10" ht="24" x14ac:dyDescent="0.25">
      <c r="A557" s="274" t="s">
        <v>102</v>
      </c>
      <c r="B557" s="949" t="s">
        <v>35</v>
      </c>
      <c r="C557" s="311" t="s">
        <v>113</v>
      </c>
      <c r="D557" s="311"/>
      <c r="E557" s="502">
        <v>254.89750000000001</v>
      </c>
      <c r="F557" s="402">
        <f>IFERROR(E557*'01 Prod Physique Boites'!H551,"-")</f>
        <v>0</v>
      </c>
      <c r="G557" s="403">
        <f>IFERROR(E557*'01 Prod Physique Boites'!L551,"-")</f>
        <v>0</v>
      </c>
      <c r="H557" s="381">
        <v>445.38</v>
      </c>
      <c r="I557" s="419">
        <f>IFERROR(H557*(F557/E557),"-")</f>
        <v>0</v>
      </c>
      <c r="J557" s="420">
        <f t="shared" ref="J557:J560" si="312">IFERROR(H557*(G557/E557),"-")</f>
        <v>0</v>
      </c>
    </row>
    <row r="558" spans="1:10" ht="24" x14ac:dyDescent="0.25">
      <c r="A558" s="274" t="s">
        <v>102</v>
      </c>
      <c r="B558" s="951"/>
      <c r="C558" s="312" t="s">
        <v>247</v>
      </c>
      <c r="D558" s="312"/>
      <c r="E558" s="503">
        <v>246.51390000000001</v>
      </c>
      <c r="F558" s="402">
        <f>IFERROR(E558*'01 Prod Physique Boites'!H552,"-")</f>
        <v>0</v>
      </c>
      <c r="G558" s="403">
        <f>IFERROR(E558*'01 Prod Physique Boites'!L552,"-")</f>
        <v>0</v>
      </c>
      <c r="H558" s="385">
        <v>430.02</v>
      </c>
      <c r="I558" s="421">
        <f>IFERROR(H558*(F558/E558),"-")</f>
        <v>0</v>
      </c>
      <c r="J558" s="422">
        <f t="shared" si="312"/>
        <v>0</v>
      </c>
    </row>
    <row r="559" spans="1:10" ht="24" x14ac:dyDescent="0.25">
      <c r="A559" s="274" t="s">
        <v>102</v>
      </c>
      <c r="B559" s="951"/>
      <c r="C559" s="312" t="s">
        <v>184</v>
      </c>
      <c r="D559" s="312" t="s">
        <v>183</v>
      </c>
      <c r="E559" s="503">
        <v>254.89750000000001</v>
      </c>
      <c r="F559" s="402">
        <f>IFERROR(E559*'01 Prod Physique Boites'!H553,"-")</f>
        <v>0</v>
      </c>
      <c r="G559" s="403">
        <f>IFERROR(E559*'01 Prod Physique Boites'!L553,"-")</f>
        <v>0</v>
      </c>
      <c r="H559" s="385"/>
      <c r="I559" s="421">
        <f>IFERROR(H559*(F559/E559),"-")</f>
        <v>0</v>
      </c>
      <c r="J559" s="422">
        <f t="shared" si="312"/>
        <v>0</v>
      </c>
    </row>
    <row r="560" spans="1:10" ht="24.75" thickBot="1" x14ac:dyDescent="0.3">
      <c r="A560" s="274" t="s">
        <v>102</v>
      </c>
      <c r="B560" s="950"/>
      <c r="C560" s="313" t="s">
        <v>36</v>
      </c>
      <c r="D560" s="313"/>
      <c r="E560" s="500">
        <v>229.99359999999999</v>
      </c>
      <c r="F560" s="402">
        <f>IFERROR(E560*'01 Prod Physique Boites'!H554,"-")</f>
        <v>0</v>
      </c>
      <c r="G560" s="403">
        <f>IFERROR(E560*'01 Prod Physique Boites'!L554,"-")</f>
        <v>0</v>
      </c>
      <c r="H560" s="387"/>
      <c r="I560" s="423">
        <f>IFERROR(H560*(F560/E560),"-")</f>
        <v>0</v>
      </c>
      <c r="J560" s="424">
        <f t="shared" si="312"/>
        <v>0</v>
      </c>
    </row>
    <row r="561" spans="1:10" ht="23.25" thickBot="1" x14ac:dyDescent="0.3">
      <c r="A561" s="274" t="s">
        <v>102</v>
      </c>
      <c r="B561" s="946" t="s">
        <v>37</v>
      </c>
      <c r="C561" s="947"/>
      <c r="D561" s="948"/>
      <c r="E561" s="390"/>
      <c r="F561" s="406">
        <f t="shared" ref="F561:G561" si="313">SUM(F557:F560)</f>
        <v>0</v>
      </c>
      <c r="G561" s="407">
        <f t="shared" si="313"/>
        <v>0</v>
      </c>
      <c r="H561" s="391"/>
      <c r="I561" s="406">
        <f>SUM(I557:I560)</f>
        <v>0</v>
      </c>
      <c r="J561" s="425">
        <f>SUM(J557:J560)</f>
        <v>0</v>
      </c>
    </row>
    <row r="562" spans="1:10" ht="24" x14ac:dyDescent="0.25">
      <c r="A562" s="274" t="s">
        <v>102</v>
      </c>
      <c r="B562" s="949" t="s">
        <v>402</v>
      </c>
      <c r="C562" s="314" t="s">
        <v>116</v>
      </c>
      <c r="D562" s="314"/>
      <c r="E562" s="502">
        <v>195.2808</v>
      </c>
      <c r="F562" s="402">
        <f>IFERROR(E562*'01 Prod Physique Boites'!H556,"-")</f>
        <v>0</v>
      </c>
      <c r="G562" s="403">
        <f>IFERROR(E562*'01 Prod Physique Boites'!L556,"-")</f>
        <v>0</v>
      </c>
      <c r="H562" s="681">
        <v>256.7</v>
      </c>
      <c r="I562" s="419">
        <f>IFERROR(H562*(F562/E562),"-")</f>
        <v>0</v>
      </c>
      <c r="J562" s="420">
        <f t="shared" ref="J562:J563" si="314">IFERROR(H562*(G562/E562),"-")</f>
        <v>0</v>
      </c>
    </row>
    <row r="563" spans="1:10" ht="24.75" thickBot="1" x14ac:dyDescent="0.3">
      <c r="A563" s="274" t="s">
        <v>102</v>
      </c>
      <c r="B563" s="950"/>
      <c r="C563" s="286" t="s">
        <v>132</v>
      </c>
      <c r="D563" s="286"/>
      <c r="E563" s="500">
        <v>189.91890000000001</v>
      </c>
      <c r="F563" s="402">
        <f>IFERROR(E563*'01 Prod Physique Boites'!H557,"-")</f>
        <v>987578.28</v>
      </c>
      <c r="G563" s="403">
        <f>IFERROR(E563*'01 Prod Physique Boites'!L557,"-")</f>
        <v>1460476.341</v>
      </c>
      <c r="H563" s="387">
        <v>320.35000000000002</v>
      </c>
      <c r="I563" s="423">
        <f>IFERROR(H563*(F563/E563),"-")</f>
        <v>1665820.0000000002</v>
      </c>
      <c r="J563" s="424">
        <f t="shared" si="314"/>
        <v>2463491.5</v>
      </c>
    </row>
    <row r="564" spans="1:10" ht="23.25" thickBot="1" x14ac:dyDescent="0.3">
      <c r="A564" s="794" t="s">
        <v>102</v>
      </c>
      <c r="B564" s="946" t="s">
        <v>38</v>
      </c>
      <c r="C564" s="947"/>
      <c r="D564" s="948"/>
      <c r="E564" s="390"/>
      <c r="F564" s="406">
        <f>SUM(F562:F563)</f>
        <v>987578.28</v>
      </c>
      <c r="G564" s="407">
        <f t="shared" ref="G564" si="315">SUM(G562:G563)</f>
        <v>1460476.341</v>
      </c>
      <c r="H564" s="391"/>
      <c r="I564" s="406">
        <f t="shared" ref="I564:J564" si="316">SUM(I562:I563)</f>
        <v>1665820.0000000002</v>
      </c>
      <c r="J564" s="425">
        <f t="shared" si="316"/>
        <v>2463491.5</v>
      </c>
    </row>
    <row r="565" spans="1:10" ht="24" x14ac:dyDescent="0.25">
      <c r="A565" s="274" t="s">
        <v>102</v>
      </c>
      <c r="B565" s="949" t="s">
        <v>403</v>
      </c>
      <c r="C565" s="269" t="s">
        <v>306</v>
      </c>
      <c r="D565" s="269" t="s">
        <v>238</v>
      </c>
      <c r="E565" s="504">
        <v>37.248699999999999</v>
      </c>
      <c r="F565" s="402">
        <f>IFERROR(E565*'01 Prod Physique Boites'!H559,"-")</f>
        <v>0</v>
      </c>
      <c r="G565" s="403">
        <f>IFERROR(E565*'01 Prod Physique Boites'!L559,"-")</f>
        <v>2911209.3972</v>
      </c>
      <c r="H565" s="381">
        <v>71.44</v>
      </c>
      <c r="I565" s="419">
        <f>IFERROR(H565*(F565/E565),"-")</f>
        <v>0</v>
      </c>
      <c r="J565" s="420">
        <f>IFERROR(H565*(G565/E565),"-")</f>
        <v>5583464.6399999997</v>
      </c>
    </row>
    <row r="566" spans="1:10" ht="24" x14ac:dyDescent="0.25">
      <c r="A566" s="274" t="s">
        <v>102</v>
      </c>
      <c r="B566" s="951"/>
      <c r="C566" s="269" t="s">
        <v>156</v>
      </c>
      <c r="D566" s="275"/>
      <c r="E566" s="504">
        <v>37.248699999999999</v>
      </c>
      <c r="F566" s="402">
        <f>IFERROR(E566*'01 Prod Physique Boites'!H560,"-")</f>
        <v>0</v>
      </c>
      <c r="G566" s="403">
        <f>IFERROR(E566*'01 Prod Physique Boites'!L560,"-")</f>
        <v>0</v>
      </c>
      <c r="H566" s="385"/>
      <c r="I566" s="421">
        <f>IFERROR(H566*(F566/E566),"-")</f>
        <v>0</v>
      </c>
      <c r="J566" s="422">
        <f t="shared" ref="J566:J568" si="317">IFERROR(H566*(G566/E566),"-")</f>
        <v>0</v>
      </c>
    </row>
    <row r="567" spans="1:10" ht="24" x14ac:dyDescent="0.25">
      <c r="A567" s="274" t="s">
        <v>102</v>
      </c>
      <c r="B567" s="951"/>
      <c r="C567" s="275" t="s">
        <v>345</v>
      </c>
      <c r="D567" s="269" t="s">
        <v>238</v>
      </c>
      <c r="E567" s="504">
        <v>37.248699999999999</v>
      </c>
      <c r="F567" s="402">
        <f>IFERROR(E567*'01 Prod Physique Boites'!H561,"-")</f>
        <v>804571.92</v>
      </c>
      <c r="G567" s="403">
        <f>IFERROR(E567*'01 Prod Physique Boites'!L561,"-")</f>
        <v>1072762.56</v>
      </c>
      <c r="H567" s="385">
        <v>71.44</v>
      </c>
      <c r="I567" s="421">
        <f>IFERROR(H567*(F567/E567),"-")</f>
        <v>1543104</v>
      </c>
      <c r="J567" s="422">
        <f t="shared" si="317"/>
        <v>2057472.0000000002</v>
      </c>
    </row>
    <row r="568" spans="1:10" ht="24.75" thickBot="1" x14ac:dyDescent="0.3">
      <c r="A568" s="274" t="s">
        <v>102</v>
      </c>
      <c r="B568" s="951"/>
      <c r="C568" s="275" t="s">
        <v>157</v>
      </c>
      <c r="D568" s="275"/>
      <c r="E568" s="505">
        <v>38.466099999999997</v>
      </c>
      <c r="F568" s="402">
        <f>IFERROR(E568*'01 Prod Physique Boites'!H562,"-")</f>
        <v>0</v>
      </c>
      <c r="G568" s="403">
        <f>IFERROR(E568*'01 Prod Physique Boites'!L562,"-")</f>
        <v>0</v>
      </c>
      <c r="H568" s="385"/>
      <c r="I568" s="421">
        <f>IFERROR(H568*(F568/E568),"-")</f>
        <v>0</v>
      </c>
      <c r="J568" s="422">
        <f t="shared" si="317"/>
        <v>0</v>
      </c>
    </row>
    <row r="569" spans="1:10" ht="23.25" thickBot="1" x14ac:dyDescent="0.3">
      <c r="A569" s="274" t="s">
        <v>102</v>
      </c>
      <c r="B569" s="946" t="s">
        <v>39</v>
      </c>
      <c r="C569" s="947"/>
      <c r="D569" s="948"/>
      <c r="E569" s="390"/>
      <c r="F569" s="406">
        <f>SUM(F565:F568)</f>
        <v>804571.92</v>
      </c>
      <c r="G569" s="407">
        <f>SUM(G565:G568)</f>
        <v>3983971.9572000001</v>
      </c>
      <c r="H569" s="391"/>
      <c r="I569" s="406">
        <f>SUM(I565:I568)</f>
        <v>1543104</v>
      </c>
      <c r="J569" s="406">
        <f>SUM(J565:J568)</f>
        <v>7640936.6399999997</v>
      </c>
    </row>
    <row r="570" spans="1:10" ht="24" x14ac:dyDescent="0.25">
      <c r="A570" s="274" t="s">
        <v>102</v>
      </c>
      <c r="B570" s="949" t="s">
        <v>40</v>
      </c>
      <c r="C570" s="269" t="s">
        <v>186</v>
      </c>
      <c r="D570" s="269" t="s">
        <v>183</v>
      </c>
      <c r="E570" s="504">
        <v>30.7499</v>
      </c>
      <c r="F570" s="402">
        <f>IFERROR(E570*'01 Prod Physique Boites'!H565,"-")</f>
        <v>0</v>
      </c>
      <c r="G570" s="402">
        <f>IFERROR(E570*'01 Prod Physique Boites'!L565,"-")</f>
        <v>0</v>
      </c>
      <c r="H570" s="381"/>
      <c r="I570" s="419">
        <f>IFERROR(H570*(F570/E570),"-")</f>
        <v>0</v>
      </c>
      <c r="J570" s="420">
        <f>IFERROR(H570*(G570/E570),"-")</f>
        <v>0</v>
      </c>
    </row>
    <row r="571" spans="1:10" ht="24" x14ac:dyDescent="0.25">
      <c r="A571" s="274" t="s">
        <v>102</v>
      </c>
      <c r="B571" s="951"/>
      <c r="C571" s="275" t="s">
        <v>159</v>
      </c>
      <c r="D571" s="275"/>
      <c r="E571" s="684">
        <v>30.073599999999999</v>
      </c>
      <c r="F571" s="402">
        <f>IFERROR(E571*'01 Prod Physique Boites'!H566,"-")</f>
        <v>0</v>
      </c>
      <c r="G571" s="403">
        <f>IFERROR(E571*'01 Prod Physique Boites'!L566,"-")</f>
        <v>342839.03999999998</v>
      </c>
      <c r="H571" s="385">
        <v>59.96</v>
      </c>
      <c r="I571" s="421">
        <f>IFERROR(H571*(F571/E571),"-")</f>
        <v>0</v>
      </c>
      <c r="J571" s="422">
        <f t="shared" ref="J571:J572" si="318">IFERROR(H571*(G571/E571),"-")</f>
        <v>683544</v>
      </c>
    </row>
    <row r="572" spans="1:10" ht="24.75" thickBot="1" x14ac:dyDescent="0.3">
      <c r="A572" s="274" t="s">
        <v>102</v>
      </c>
      <c r="B572" s="950"/>
      <c r="C572" s="279" t="s">
        <v>186</v>
      </c>
      <c r="D572" s="279" t="s">
        <v>185</v>
      </c>
      <c r="E572" s="501">
        <v>30.073599999999999</v>
      </c>
      <c r="F572" s="402">
        <f>IFERROR(E572*'01 Prod Physique Boites'!H567,"-")</f>
        <v>0</v>
      </c>
      <c r="G572" s="403">
        <f>IFERROR(E572*'01 Prod Physique Boites'!L567,"-")</f>
        <v>0</v>
      </c>
      <c r="H572" s="387"/>
      <c r="I572" s="423">
        <f>IFERROR(H572*(F572/E572),"-")</f>
        <v>0</v>
      </c>
      <c r="J572" s="424">
        <f t="shared" si="318"/>
        <v>0</v>
      </c>
    </row>
    <row r="573" spans="1:10" ht="23.25" thickBot="1" x14ac:dyDescent="0.3">
      <c r="A573" s="274" t="s">
        <v>102</v>
      </c>
      <c r="B573" s="952" t="s">
        <v>41</v>
      </c>
      <c r="C573" s="953"/>
      <c r="D573" s="954"/>
      <c r="E573" s="390"/>
      <c r="F573" s="406">
        <f t="shared" ref="F573:G573" si="319">SUM(F570:F572)</f>
        <v>0</v>
      </c>
      <c r="G573" s="407">
        <f t="shared" si="319"/>
        <v>342839.03999999998</v>
      </c>
      <c r="H573" s="391"/>
      <c r="I573" s="406">
        <f t="shared" ref="I573:J573" si="320">SUM(I570:I572)</f>
        <v>0</v>
      </c>
      <c r="J573" s="425">
        <f t="shared" si="320"/>
        <v>683544</v>
      </c>
    </row>
    <row r="574" spans="1:10" ht="24" x14ac:dyDescent="0.25">
      <c r="A574" s="274" t="s">
        <v>102</v>
      </c>
      <c r="B574" s="949" t="s">
        <v>42</v>
      </c>
      <c r="C574" s="269" t="s">
        <v>160</v>
      </c>
      <c r="D574" s="269"/>
      <c r="E574" s="504">
        <v>36.684899999999999</v>
      </c>
      <c r="F574" s="402">
        <f>IFERROR(E574*'01 Prod Physique Boites'!H569,"-")</f>
        <v>0</v>
      </c>
      <c r="G574" s="402">
        <f>IFERROR(E574*'01 Prod Physique Boites'!L569,"-")</f>
        <v>0</v>
      </c>
      <c r="H574" s="381"/>
      <c r="I574" s="382" t="s">
        <v>190</v>
      </c>
      <c r="J574" s="383" t="s">
        <v>190</v>
      </c>
    </row>
    <row r="575" spans="1:10" ht="24.75" thickBot="1" x14ac:dyDescent="0.3">
      <c r="A575" s="274" t="s">
        <v>102</v>
      </c>
      <c r="B575" s="950"/>
      <c r="C575" s="279" t="s">
        <v>161</v>
      </c>
      <c r="D575" s="279"/>
      <c r="E575" s="501">
        <v>37.002800000000001</v>
      </c>
      <c r="F575" s="402">
        <f>IFERROR(E575*'01 Prod Physique Boites'!H570,"-")</f>
        <v>0</v>
      </c>
      <c r="G575" s="402">
        <f>IFERROR(E575*'01 Prod Physique Boites'!L570,"-")</f>
        <v>0</v>
      </c>
      <c r="H575" s="387"/>
      <c r="I575" s="388" t="s">
        <v>190</v>
      </c>
      <c r="J575" s="389" t="s">
        <v>190</v>
      </c>
    </row>
    <row r="576" spans="1:10" ht="23.25" thickBot="1" x14ac:dyDescent="0.3">
      <c r="A576" s="274" t="s">
        <v>102</v>
      </c>
      <c r="B576" s="952" t="s">
        <v>43</v>
      </c>
      <c r="C576" s="953"/>
      <c r="D576" s="954"/>
      <c r="E576" s="390"/>
      <c r="F576" s="402">
        <f>IFERROR(E576*'01 Prod Physique Boites'!H575,"-")</f>
        <v>0</v>
      </c>
      <c r="G576" s="407">
        <f>IFERROR(E576*'01 Prod Physique Boites'!L575,"-")</f>
        <v>0</v>
      </c>
      <c r="H576" s="391"/>
      <c r="I576" s="406">
        <f t="shared" ref="I576:J576" si="321">SUM(I574:I575)</f>
        <v>0</v>
      </c>
      <c r="J576" s="425">
        <f t="shared" si="321"/>
        <v>0</v>
      </c>
    </row>
    <row r="577" spans="1:15" ht="23.25" thickBot="1" x14ac:dyDescent="0.3">
      <c r="A577" s="274" t="s">
        <v>102</v>
      </c>
      <c r="B577" s="938" t="s">
        <v>25</v>
      </c>
      <c r="C577" s="939"/>
      <c r="D577" s="940"/>
      <c r="E577" s="393"/>
      <c r="F577" s="410">
        <f>+F556+F561+F564+F569+F573+F576</f>
        <v>2433086.34</v>
      </c>
      <c r="G577" s="411">
        <f>+G556+G561+G564+G569+G573+G576</f>
        <v>7217067.9582000002</v>
      </c>
      <c r="H577" s="394"/>
      <c r="I577" s="410">
        <f>+I556+I561+I564+I569+I573+I576</f>
        <v>4326976</v>
      </c>
      <c r="J577" s="428">
        <f>+J556+J561+J564+J569+J573+J576</f>
        <v>13282088.140000001</v>
      </c>
    </row>
    <row r="578" spans="1:15" ht="23.25" thickBot="1" x14ac:dyDescent="0.3">
      <c r="A578" s="318" t="s">
        <v>102</v>
      </c>
      <c r="B578" s="941" t="s">
        <v>173</v>
      </c>
      <c r="C578" s="941"/>
      <c r="D578" s="942"/>
      <c r="E578" s="395"/>
      <c r="F578" s="412">
        <f t="shared" ref="F578:G578" si="322">+F577</f>
        <v>2433086.34</v>
      </c>
      <c r="G578" s="413">
        <f t="shared" si="322"/>
        <v>7217067.9582000002</v>
      </c>
      <c r="H578" s="396"/>
      <c r="I578" s="412">
        <f t="shared" ref="I578" si="323">+I577</f>
        <v>4326976</v>
      </c>
      <c r="J578" s="429">
        <f>+J577</f>
        <v>13282088.140000001</v>
      </c>
    </row>
    <row r="579" spans="1:15" ht="26.25" thickBot="1" x14ac:dyDescent="0.3">
      <c r="A579" s="319"/>
      <c r="B579" s="943" t="s">
        <v>174</v>
      </c>
      <c r="C579" s="944"/>
      <c r="D579" s="945"/>
      <c r="E579" s="401"/>
      <c r="F579" s="418">
        <f>+F517+F552+F578</f>
        <v>7307719.0943999998</v>
      </c>
      <c r="G579" s="418">
        <f>+G517+G552+G578</f>
        <v>31178009.795400001</v>
      </c>
      <c r="H579" s="401"/>
      <c r="I579" s="418">
        <f>+I517+I552+I578</f>
        <v>11737494.280000001</v>
      </c>
      <c r="J579" s="432">
        <f>+J517+J552+J578</f>
        <v>45465786.580000006</v>
      </c>
    </row>
    <row r="580" spans="1:15" ht="22.5" x14ac:dyDescent="0.25">
      <c r="A580" s="978" t="s">
        <v>1</v>
      </c>
      <c r="B580" s="981" t="s">
        <v>2</v>
      </c>
      <c r="C580" s="984" t="s">
        <v>396</v>
      </c>
      <c r="D580" s="984" t="s">
        <v>397</v>
      </c>
      <c r="E580" s="1011" t="s">
        <v>405</v>
      </c>
      <c r="F580" s="1012"/>
      <c r="G580" s="1012"/>
      <c r="H580" s="442"/>
      <c r="I580" s="442"/>
      <c r="J580" s="443"/>
    </row>
    <row r="581" spans="1:15" ht="22.5" x14ac:dyDescent="0.25">
      <c r="A581" s="979"/>
      <c r="B581" s="982"/>
      <c r="C581" s="985"/>
      <c r="D581" s="985"/>
      <c r="E581" s="1013" t="s">
        <v>408</v>
      </c>
      <c r="F581" s="1014"/>
      <c r="G581" s="1015"/>
      <c r="H581" s="1013" t="s">
        <v>168</v>
      </c>
      <c r="I581" s="1014"/>
      <c r="J581" s="1015"/>
    </row>
    <row r="582" spans="1:15" ht="45" x14ac:dyDescent="0.25">
      <c r="A582" s="980"/>
      <c r="B582" s="1009"/>
      <c r="C582" s="1010"/>
      <c r="D582" s="1010"/>
      <c r="E582" s="379" t="s">
        <v>170</v>
      </c>
      <c r="F582" s="800" t="s">
        <v>407</v>
      </c>
      <c r="G582" s="801" t="s">
        <v>406</v>
      </c>
      <c r="H582" s="1016" t="s">
        <v>170</v>
      </c>
      <c r="I582" s="1018" t="s">
        <v>137</v>
      </c>
      <c r="J582" s="1020" t="s">
        <v>406</v>
      </c>
    </row>
    <row r="583" spans="1:15" ht="23.25" thickBot="1" x14ac:dyDescent="0.3">
      <c r="A583" s="980"/>
      <c r="B583" s="983"/>
      <c r="C583" s="986"/>
      <c r="D583" s="986"/>
      <c r="E583" s="1022" t="s">
        <v>511</v>
      </c>
      <c r="F583" s="1023"/>
      <c r="G583" s="1024"/>
      <c r="H583" s="1017"/>
      <c r="I583" s="1019"/>
      <c r="J583" s="1021"/>
    </row>
    <row r="584" spans="1:15" ht="24" x14ac:dyDescent="0.25">
      <c r="A584" s="268" t="s">
        <v>103</v>
      </c>
      <c r="B584" s="965" t="s">
        <v>16</v>
      </c>
      <c r="C584" s="269" t="s">
        <v>368</v>
      </c>
      <c r="D584" s="269" t="s">
        <v>369</v>
      </c>
      <c r="E584" s="705">
        <v>81.360699999999994</v>
      </c>
      <c r="F584" s="402">
        <f>IFERROR(E584*'01 Prod Physique Boites'!H578,"-")</f>
        <v>0</v>
      </c>
      <c r="G584" s="402">
        <f>IFERROR(E584*'01 Prod Physique Boites'!L578,"-")</f>
        <v>0</v>
      </c>
      <c r="H584" s="706">
        <v>143.28</v>
      </c>
      <c r="I584" s="419">
        <f>IFERROR(H584*(F584/E584),"-")</f>
        <v>0</v>
      </c>
      <c r="J584" s="420">
        <f t="shared" ref="J584:J586" si="324">IFERROR(H584*(G584/E584),"-")</f>
        <v>0</v>
      </c>
    </row>
    <row r="585" spans="1:15" ht="24" x14ac:dyDescent="0.25">
      <c r="A585" s="713"/>
      <c r="B585" s="966"/>
      <c r="C585" s="275" t="s">
        <v>470</v>
      </c>
      <c r="D585" s="275" t="s">
        <v>375</v>
      </c>
      <c r="E585" s="505">
        <v>81.360699999999994</v>
      </c>
      <c r="F585" s="402">
        <f>IFERROR(E585*'01 Prod Physique Boites'!H579,"-")</f>
        <v>0</v>
      </c>
      <c r="G585" s="402">
        <f>IFERROR(E585*'01 Prod Physique Boites'!L579,"-")</f>
        <v>0</v>
      </c>
      <c r="H585" s="708">
        <v>143.28</v>
      </c>
      <c r="I585" s="419">
        <f>IFERROR(H585*(F585/E585),"-")</f>
        <v>0</v>
      </c>
      <c r="J585" s="420">
        <f t="shared" si="324"/>
        <v>0</v>
      </c>
    </row>
    <row r="586" spans="1:15" ht="24" x14ac:dyDescent="0.25">
      <c r="A586" s="274" t="s">
        <v>103</v>
      </c>
      <c r="B586" s="966"/>
      <c r="C586" s="275" t="s">
        <v>430</v>
      </c>
      <c r="D586" s="275" t="s">
        <v>384</v>
      </c>
      <c r="E586" s="684">
        <v>77.170400000000001</v>
      </c>
      <c r="F586" s="402">
        <f>IFERROR(E586*'01 Prod Physique Boites'!H580,"-")</f>
        <v>172861.696</v>
      </c>
      <c r="G586" s="402">
        <f>IFERROR(E586*'01 Prod Physique Boites'!L580,"-")</f>
        <v>444501.50400000002</v>
      </c>
      <c r="H586" s="385">
        <v>0</v>
      </c>
      <c r="I586" s="419">
        <f>IFERROR(H586*(F586/E586),"-")</f>
        <v>0</v>
      </c>
      <c r="J586" s="420">
        <f t="shared" si="324"/>
        <v>0</v>
      </c>
    </row>
    <row r="587" spans="1:15" ht="24.75" thickBot="1" x14ac:dyDescent="0.3">
      <c r="A587" s="274" t="s">
        <v>103</v>
      </c>
      <c r="B587" s="967"/>
      <c r="C587" s="279" t="s">
        <v>262</v>
      </c>
      <c r="D587" s="279" t="s">
        <v>231</v>
      </c>
      <c r="E587" s="501">
        <v>60.703499999999998</v>
      </c>
      <c r="F587" s="402">
        <f>IFERROR(E587*'01 Prod Physique Boites'!H581,"-")</f>
        <v>0</v>
      </c>
      <c r="G587" s="402">
        <f>IFERROR(E587*'01 Prod Physique Boites'!L581,"-")</f>
        <v>0</v>
      </c>
      <c r="H587" s="387">
        <v>111.09</v>
      </c>
      <c r="I587" s="419">
        <f>IFERROR(H587*(F587/E587),"-")</f>
        <v>0</v>
      </c>
      <c r="J587" s="420">
        <f>IFERROR(H587*(G587/E587),"-")</f>
        <v>0</v>
      </c>
    </row>
    <row r="588" spans="1:15" ht="23.25" thickBot="1" x14ac:dyDescent="0.3">
      <c r="A588" s="274" t="s">
        <v>103</v>
      </c>
      <c r="B588" s="946" t="s">
        <v>44</v>
      </c>
      <c r="C588" s="947"/>
      <c r="D588" s="948"/>
      <c r="E588" s="390"/>
      <c r="F588" s="406">
        <f t="shared" ref="F588" si="325">SUM(F584:F587)</f>
        <v>172861.696</v>
      </c>
      <c r="G588" s="407">
        <f>SUM(G584:G587)</f>
        <v>444501.50400000002</v>
      </c>
      <c r="H588" s="391"/>
      <c r="I588" s="406">
        <f t="shared" ref="I588:J588" si="326">SUM(I584:I587)</f>
        <v>0</v>
      </c>
      <c r="J588" s="425">
        <f t="shared" si="326"/>
        <v>0</v>
      </c>
      <c r="K588" s="704"/>
      <c r="L588" s="704"/>
      <c r="M588" s="704"/>
      <c r="N588" s="704"/>
      <c r="O588" s="704"/>
    </row>
    <row r="589" spans="1:15" ht="24" x14ac:dyDescent="0.25">
      <c r="A589" s="274" t="s">
        <v>103</v>
      </c>
      <c r="B589" s="965" t="s">
        <v>17</v>
      </c>
      <c r="C589" s="269" t="s">
        <v>294</v>
      </c>
      <c r="D589" s="269"/>
      <c r="E589" s="504">
        <v>12.5275</v>
      </c>
      <c r="F589" s="402">
        <f>IFERROR(E589*'01 Prod Physique Boites'!H583,"-")</f>
        <v>0</v>
      </c>
      <c r="G589" s="402">
        <f>IFERROR(E589*'01 Prod Physique Boites'!L583,"-")</f>
        <v>0</v>
      </c>
      <c r="H589" s="681">
        <v>18.836400000000001</v>
      </c>
      <c r="I589" s="419">
        <f t="shared" ref="I589:I595" si="327">IFERROR(H589*(F589/E589),"-")</f>
        <v>0</v>
      </c>
      <c r="J589" s="420">
        <f t="shared" ref="J589:J594" si="328">IFERROR(H589*(G589/E589),"-")</f>
        <v>0</v>
      </c>
    </row>
    <row r="590" spans="1:15" ht="24" x14ac:dyDescent="0.25">
      <c r="A590" s="274" t="s">
        <v>103</v>
      </c>
      <c r="B590" s="966"/>
      <c r="C590" s="275" t="s">
        <v>344</v>
      </c>
      <c r="D590" s="275" t="s">
        <v>232</v>
      </c>
      <c r="E590" s="677">
        <v>13.002700000000001</v>
      </c>
      <c r="F590" s="402">
        <f>IFERROR(E590*'01 Prod Physique Boites'!H584,"-")</f>
        <v>0</v>
      </c>
      <c r="G590" s="402">
        <f>IFERROR(E590*'01 Prod Physique Boites'!L584,"-")</f>
        <v>77756.146000000008</v>
      </c>
      <c r="H590" s="385">
        <v>21.18</v>
      </c>
      <c r="I590" s="421">
        <f t="shared" si="327"/>
        <v>0</v>
      </c>
      <c r="J590" s="422">
        <f t="shared" si="328"/>
        <v>126656.4</v>
      </c>
    </row>
    <row r="591" spans="1:15" ht="24" x14ac:dyDescent="0.25">
      <c r="A591" s="274" t="s">
        <v>103</v>
      </c>
      <c r="B591" s="966"/>
      <c r="C591" s="275" t="s">
        <v>351</v>
      </c>
      <c r="D591" s="275" t="s">
        <v>187</v>
      </c>
      <c r="E591" s="677">
        <v>12.9049</v>
      </c>
      <c r="F591" s="402">
        <f>IFERROR(E591*'01 Prod Physique Boites'!H585,"-")</f>
        <v>1263647.808</v>
      </c>
      <c r="G591" s="402">
        <f>IFERROR(E591*'01 Prod Physique Boites'!L585,"-")</f>
        <v>5765393.1239999998</v>
      </c>
      <c r="H591" s="385">
        <v>20.5</v>
      </c>
      <c r="I591" s="421">
        <f t="shared" si="327"/>
        <v>2007360</v>
      </c>
      <c r="J591" s="422">
        <f t="shared" si="328"/>
        <v>9158580</v>
      </c>
    </row>
    <row r="592" spans="1:15" ht="24" x14ac:dyDescent="0.25">
      <c r="A592" s="274" t="s">
        <v>103</v>
      </c>
      <c r="B592" s="966"/>
      <c r="C592" s="275" t="s">
        <v>293</v>
      </c>
      <c r="D592" s="275" t="s">
        <v>188</v>
      </c>
      <c r="E592" s="505">
        <v>13.078200000000001</v>
      </c>
      <c r="F592" s="402">
        <f>IFERROR(E592*'01 Prod Physique Boites'!H586,"-")</f>
        <v>0</v>
      </c>
      <c r="G592" s="402">
        <f>IFERROR(E592*'01 Prod Physique Boites'!L586,"-")</f>
        <v>0</v>
      </c>
      <c r="H592" s="385">
        <v>20.6</v>
      </c>
      <c r="I592" s="421">
        <f t="shared" si="327"/>
        <v>0</v>
      </c>
      <c r="J592" s="422">
        <f t="shared" si="328"/>
        <v>0</v>
      </c>
    </row>
    <row r="593" spans="1:15" ht="24" x14ac:dyDescent="0.25">
      <c r="A593" s="274" t="s">
        <v>103</v>
      </c>
      <c r="B593" s="966"/>
      <c r="C593" s="275" t="s">
        <v>323</v>
      </c>
      <c r="D593" s="275" t="s">
        <v>318</v>
      </c>
      <c r="E593" s="505">
        <v>13.1958</v>
      </c>
      <c r="F593" s="402">
        <f>IFERROR(E593*'01 Prod Physique Boites'!H587,"-")</f>
        <v>0</v>
      </c>
      <c r="G593" s="402">
        <f>IFERROR(E593*'01 Prod Physique Boites'!L587,"-")</f>
        <v>0</v>
      </c>
      <c r="H593" s="385">
        <v>21.28</v>
      </c>
      <c r="I593" s="421">
        <f t="shared" si="327"/>
        <v>0</v>
      </c>
      <c r="J593" s="422">
        <f t="shared" si="328"/>
        <v>0</v>
      </c>
    </row>
    <row r="594" spans="1:15" ht="24" x14ac:dyDescent="0.25">
      <c r="A594" s="274">
        <v>1</v>
      </c>
      <c r="B594" s="966"/>
      <c r="C594" s="275" t="s">
        <v>352</v>
      </c>
      <c r="D594" s="275" t="s">
        <v>189</v>
      </c>
      <c r="E594" s="677">
        <v>12.9049</v>
      </c>
      <c r="F594" s="402">
        <f>IFERROR(E594*'01 Prod Physique Boites'!H588,"-")</f>
        <v>0</v>
      </c>
      <c r="G594" s="402">
        <f>IFERROR(E594*'01 Prod Physique Boites'!L588,"-")</f>
        <v>0</v>
      </c>
      <c r="H594" s="664">
        <v>20.5</v>
      </c>
      <c r="I594" s="421">
        <f t="shared" si="327"/>
        <v>0</v>
      </c>
      <c r="J594" s="422">
        <f t="shared" si="328"/>
        <v>0</v>
      </c>
    </row>
    <row r="595" spans="1:15" ht="24.75" thickBot="1" x14ac:dyDescent="0.3">
      <c r="A595" s="274" t="s">
        <v>103</v>
      </c>
      <c r="B595" s="967"/>
      <c r="C595" s="279" t="s">
        <v>341</v>
      </c>
      <c r="D595" s="279" t="s">
        <v>175</v>
      </c>
      <c r="E595" s="501">
        <v>13.6509</v>
      </c>
      <c r="F595" s="402">
        <f>IFERROR(E595*'01 Prod Physique Boites'!H589,"-")</f>
        <v>0</v>
      </c>
      <c r="G595" s="402">
        <f>IFERROR(E595*'01 Prod Physique Boites'!L589,"-")</f>
        <v>0</v>
      </c>
      <c r="H595" s="387">
        <v>21.18</v>
      </c>
      <c r="I595" s="423">
        <f t="shared" si="327"/>
        <v>0</v>
      </c>
      <c r="J595" s="424">
        <f>IFERROR(H595*(G595/E595),"-")</f>
        <v>0</v>
      </c>
    </row>
    <row r="596" spans="1:15" ht="23.25" thickBot="1" x14ac:dyDescent="0.3">
      <c r="A596" s="274" t="s">
        <v>103</v>
      </c>
      <c r="B596" s="946" t="s">
        <v>45</v>
      </c>
      <c r="C596" s="947"/>
      <c r="D596" s="948"/>
      <c r="E596" s="390"/>
      <c r="F596" s="406">
        <f t="shared" ref="F596" si="329">SUM(F589:F595)</f>
        <v>1263647.808</v>
      </c>
      <c r="G596" s="407">
        <f>SUM(G589:G595)</f>
        <v>5843149.2699999996</v>
      </c>
      <c r="H596" s="391"/>
      <c r="I596" s="406">
        <f t="shared" ref="I596" si="330">SUM(I589:I595)</f>
        <v>2007360</v>
      </c>
      <c r="J596" s="425">
        <f>SUM(J589:J595)</f>
        <v>9285236.4000000004</v>
      </c>
      <c r="K596" s="704"/>
      <c r="L596" s="704"/>
      <c r="M596" s="704"/>
      <c r="N596" s="704"/>
      <c r="O596" s="704"/>
    </row>
    <row r="597" spans="1:15" ht="24" x14ac:dyDescent="0.25">
      <c r="A597" s="274" t="s">
        <v>103</v>
      </c>
      <c r="B597" s="965" t="s">
        <v>18</v>
      </c>
      <c r="C597" s="269" t="s">
        <v>312</v>
      </c>
      <c r="D597" s="269" t="s">
        <v>92</v>
      </c>
      <c r="E597" s="504">
        <v>17.8202</v>
      </c>
      <c r="F597" s="402">
        <f>IFERROR(E597*'01 Prod Physique Boites'!H591,"-")</f>
        <v>0</v>
      </c>
      <c r="G597" s="403">
        <f>IFERROR(E597*'01 Prod Physique Boites'!L591,"-")</f>
        <v>0</v>
      </c>
      <c r="H597" s="381">
        <v>24.93</v>
      </c>
      <c r="I597" s="419">
        <f t="shared" ref="I597:I603" si="331">IFERROR(H597*(F597/E597),"-")</f>
        <v>0</v>
      </c>
      <c r="J597" s="420">
        <f t="shared" ref="J597:J599" si="332">IFERROR(H597*(G597/E597),"-")</f>
        <v>0</v>
      </c>
    </row>
    <row r="598" spans="1:15" ht="24" x14ac:dyDescent="0.25">
      <c r="A598" s="274" t="s">
        <v>103</v>
      </c>
      <c r="B598" s="966"/>
      <c r="C598" s="275" t="s">
        <v>130</v>
      </c>
      <c r="D598" s="275"/>
      <c r="E598" s="505">
        <v>17.8202</v>
      </c>
      <c r="F598" s="402">
        <f>IFERROR(E598*'01 Prod Physique Boites'!H592,"-")</f>
        <v>0</v>
      </c>
      <c r="G598" s="403">
        <f>IFERROR(E598*'01 Prod Physique Boites'!L592,"-")</f>
        <v>0</v>
      </c>
      <c r="H598" s="385">
        <v>0</v>
      </c>
      <c r="I598" s="421">
        <f t="shared" si="331"/>
        <v>0</v>
      </c>
      <c r="J598" s="422">
        <f t="shared" si="332"/>
        <v>0</v>
      </c>
    </row>
    <row r="599" spans="1:15" ht="24" x14ac:dyDescent="0.25">
      <c r="A599" s="274" t="s">
        <v>103</v>
      </c>
      <c r="B599" s="966"/>
      <c r="C599" s="275" t="s">
        <v>115</v>
      </c>
      <c r="D599" s="275"/>
      <c r="E599" s="505">
        <v>16.4071</v>
      </c>
      <c r="F599" s="402">
        <f>IFERROR(E599*'01 Prod Physique Boites'!H593,"-")</f>
        <v>0</v>
      </c>
      <c r="G599" s="403">
        <f>IFERROR(E599*'01 Prod Physique Boites'!L593,"-")</f>
        <v>0</v>
      </c>
      <c r="H599" s="385">
        <v>0</v>
      </c>
      <c r="I599" s="421">
        <f t="shared" si="331"/>
        <v>0</v>
      </c>
      <c r="J599" s="422">
        <f t="shared" si="332"/>
        <v>0</v>
      </c>
    </row>
    <row r="600" spans="1:15" ht="24" x14ac:dyDescent="0.25">
      <c r="A600" s="274" t="s">
        <v>103</v>
      </c>
      <c r="B600" s="966"/>
      <c r="C600" s="275" t="s">
        <v>122</v>
      </c>
      <c r="D600" s="275"/>
      <c r="E600" s="505">
        <v>17.8202</v>
      </c>
      <c r="F600" s="402">
        <f>IFERROR(E600*'01 Prod Physique Boites'!H594,"-")</f>
        <v>0</v>
      </c>
      <c r="G600" s="403">
        <f>IFERROR(E600*'01 Prod Physique Boites'!L594,"-")</f>
        <v>0</v>
      </c>
      <c r="H600" s="385">
        <v>0</v>
      </c>
      <c r="I600" s="421">
        <f t="shared" si="331"/>
        <v>0</v>
      </c>
      <c r="J600" s="422">
        <f>IFERROR(H600*(G600/E600),"-")</f>
        <v>0</v>
      </c>
    </row>
    <row r="601" spans="1:15" ht="24" x14ac:dyDescent="0.25">
      <c r="A601" s="274" t="s">
        <v>103</v>
      </c>
      <c r="B601" s="966"/>
      <c r="C601" s="275" t="s">
        <v>176</v>
      </c>
      <c r="D601" s="275" t="s">
        <v>177</v>
      </c>
      <c r="E601" s="505">
        <v>17.8202</v>
      </c>
      <c r="F601" s="402">
        <f>IFERROR(E601*'01 Prod Physique Boites'!H595,"-")</f>
        <v>0</v>
      </c>
      <c r="G601" s="403">
        <f>IFERROR(E601*'01 Prod Physique Boites'!L595,"-")</f>
        <v>0</v>
      </c>
      <c r="H601" s="385">
        <v>0</v>
      </c>
      <c r="I601" s="421">
        <f t="shared" si="331"/>
        <v>0</v>
      </c>
      <c r="J601" s="422">
        <f t="shared" ref="J601:J603" si="333">IFERROR(H601*(G601/E601),"-")</f>
        <v>0</v>
      </c>
    </row>
    <row r="602" spans="1:15" ht="24" x14ac:dyDescent="0.25">
      <c r="A602" s="274" t="s">
        <v>103</v>
      </c>
      <c r="B602" s="966"/>
      <c r="C602" s="275" t="s">
        <v>179</v>
      </c>
      <c r="D602" s="275" t="s">
        <v>178</v>
      </c>
      <c r="E602" s="505">
        <v>16.7288</v>
      </c>
      <c r="F602" s="402">
        <f>IFERROR(E602*'01 Prod Physique Boites'!H596,"-")</f>
        <v>0</v>
      </c>
      <c r="G602" s="403">
        <f>IFERROR(E602*'01 Prod Physique Boites'!L596,"-")</f>
        <v>0</v>
      </c>
      <c r="H602" s="385">
        <v>0</v>
      </c>
      <c r="I602" s="421">
        <f t="shared" si="331"/>
        <v>0</v>
      </c>
      <c r="J602" s="422">
        <f t="shared" si="333"/>
        <v>0</v>
      </c>
    </row>
    <row r="603" spans="1:15" ht="24.75" thickBot="1" x14ac:dyDescent="0.3">
      <c r="A603" s="274" t="s">
        <v>103</v>
      </c>
      <c r="B603" s="967"/>
      <c r="C603" s="286" t="s">
        <v>180</v>
      </c>
      <c r="D603" s="286" t="s">
        <v>107</v>
      </c>
      <c r="E603" s="501">
        <v>17.8202</v>
      </c>
      <c r="F603" s="402">
        <f>IFERROR(E603*'01 Prod Physique Boites'!H597,"-")</f>
        <v>0</v>
      </c>
      <c r="G603" s="403">
        <f>IFERROR(E603*'01 Prod Physique Boites'!L597,"-")</f>
        <v>0</v>
      </c>
      <c r="H603" s="385">
        <v>0</v>
      </c>
      <c r="I603" s="423">
        <f t="shared" si="331"/>
        <v>0</v>
      </c>
      <c r="J603" s="424">
        <f t="shared" si="333"/>
        <v>0</v>
      </c>
    </row>
    <row r="604" spans="1:15" ht="23.25" thickBot="1" x14ac:dyDescent="0.3">
      <c r="A604" s="274" t="s">
        <v>103</v>
      </c>
      <c r="B604" s="946" t="s">
        <v>29</v>
      </c>
      <c r="C604" s="970"/>
      <c r="D604" s="971"/>
      <c r="E604" s="841"/>
      <c r="F604" s="856">
        <f t="shared" ref="F604:G604" si="334">SUM(F597:F603)</f>
        <v>0</v>
      </c>
      <c r="G604" s="415">
        <f t="shared" si="334"/>
        <v>0</v>
      </c>
      <c r="H604" s="398"/>
      <c r="I604" s="414">
        <f t="shared" ref="I604:J604" si="335">SUM(I597:I603)</f>
        <v>0</v>
      </c>
      <c r="J604" s="430">
        <f t="shared" si="335"/>
        <v>0</v>
      </c>
    </row>
    <row r="605" spans="1:15" ht="24" x14ac:dyDescent="0.25">
      <c r="A605" s="274"/>
      <c r="B605" s="972" t="s">
        <v>19</v>
      </c>
      <c r="C605" s="669" t="s">
        <v>235</v>
      </c>
      <c r="D605" s="669" t="s">
        <v>177</v>
      </c>
      <c r="E605" s="850">
        <v>12.2659</v>
      </c>
      <c r="F605" s="845">
        <f>IFERROR(E605*'01 Prod Physique Boites'!H599,"-")</f>
        <v>0</v>
      </c>
      <c r="G605" s="659">
        <f>IFERROR(E605*'01 Prod Physique Boites'!L599,"-")</f>
        <v>0</v>
      </c>
      <c r="H605" s="853">
        <v>14.79</v>
      </c>
      <c r="I605" s="843">
        <f t="shared" ref="I605:I609" si="336">IFERROR(H605*(F605/E605),"-")</f>
        <v>0</v>
      </c>
      <c r="J605" s="659">
        <f>IFERROR(H605*(G605/E605),"-")</f>
        <v>0</v>
      </c>
    </row>
    <row r="606" spans="1:15" ht="24.75" thickBot="1" x14ac:dyDescent="0.3">
      <c r="A606" s="274"/>
      <c r="B606" s="973"/>
      <c r="C606" s="840" t="s">
        <v>359</v>
      </c>
      <c r="D606" s="840" t="s">
        <v>423</v>
      </c>
      <c r="E606" s="851">
        <v>12.2659</v>
      </c>
      <c r="F606" s="846">
        <f>IFERROR(E606*'01 Prod Physique Boites'!H600,"-")</f>
        <v>0</v>
      </c>
      <c r="G606" s="633">
        <f>IFERROR(E606*'01 Prod Physique Boites'!L600,"-")</f>
        <v>7046317.9775999999</v>
      </c>
      <c r="H606" s="854">
        <v>14.55</v>
      </c>
      <c r="I606" s="848">
        <f t="shared" si="336"/>
        <v>0</v>
      </c>
      <c r="J606" s="633">
        <f>IFERROR(H606*(G606/E606),"-")</f>
        <v>8358451.2000000002</v>
      </c>
    </row>
    <row r="607" spans="1:15" ht="24" x14ac:dyDescent="0.25">
      <c r="A607" s="274"/>
      <c r="B607" s="973"/>
      <c r="C607" s="669" t="s">
        <v>235</v>
      </c>
      <c r="D607" s="840" t="s">
        <v>522</v>
      </c>
      <c r="E607" s="851">
        <v>12.2659</v>
      </c>
      <c r="F607" s="846">
        <f>IFERROR(E607*'01 Prod Physique Boites'!H601,"-")</f>
        <v>2143686.8111999999</v>
      </c>
      <c r="G607" s="633">
        <f>IFERROR(E607*'01 Prod Physique Boites'!L601,"-")</f>
        <v>2143686.8111999999</v>
      </c>
      <c r="H607" s="854">
        <v>14.55</v>
      </c>
      <c r="I607" s="848">
        <f t="shared" si="336"/>
        <v>2542874.4</v>
      </c>
      <c r="J607" s="633">
        <f t="shared" ref="J607:J608" si="337">IFERROR(H607*(G607/E607),"-")</f>
        <v>2542874.4</v>
      </c>
    </row>
    <row r="608" spans="1:15" ht="24" x14ac:dyDescent="0.25">
      <c r="A608" s="274"/>
      <c r="B608" s="973"/>
      <c r="C608" s="840" t="s">
        <v>377</v>
      </c>
      <c r="D608" s="840" t="s">
        <v>522</v>
      </c>
      <c r="E608" s="851">
        <v>12.2659</v>
      </c>
      <c r="F608" s="846">
        <f>IFERROR(E608*'01 Prod Physique Boites'!H602,"-")</f>
        <v>310866.96960000001</v>
      </c>
      <c r="G608" s="633">
        <f>IFERROR(E608*'01 Prod Physique Boites'!L602,"-")</f>
        <v>310866.96960000001</v>
      </c>
      <c r="H608" s="854">
        <v>14.55</v>
      </c>
      <c r="I608" s="848">
        <f t="shared" si="336"/>
        <v>368755.20000000001</v>
      </c>
      <c r="J608" s="633">
        <f t="shared" si="337"/>
        <v>368755.20000000001</v>
      </c>
    </row>
    <row r="609" spans="1:10" ht="24.75" thickBot="1" x14ac:dyDescent="0.3">
      <c r="A609" s="802" t="s">
        <v>103</v>
      </c>
      <c r="B609" s="974"/>
      <c r="C609" s="670" t="s">
        <v>342</v>
      </c>
      <c r="D609" s="670"/>
      <c r="E609" s="852">
        <v>0</v>
      </c>
      <c r="F609" s="857">
        <f>IFERROR(E609*'01 Prod Physique Boites'!H603,"-")</f>
        <v>0</v>
      </c>
      <c r="G609" s="858">
        <f>IFERROR(E609*'01 Prod Physique Boites'!L603,"-")</f>
        <v>0</v>
      </c>
      <c r="H609" s="855">
        <v>0</v>
      </c>
      <c r="I609" s="849" t="str">
        <f t="shared" si="336"/>
        <v>-</v>
      </c>
      <c r="J609" s="847" t="str">
        <f t="shared" ref="J609" si="338">IFERROR(I609*(G609/F609),"-")</f>
        <v>-</v>
      </c>
    </row>
    <row r="610" spans="1:10" ht="23.25" thickBot="1" x14ac:dyDescent="0.3">
      <c r="A610" s="274" t="s">
        <v>103</v>
      </c>
      <c r="B610" s="946" t="s">
        <v>46</v>
      </c>
      <c r="C610" s="976"/>
      <c r="D610" s="977"/>
      <c r="E610" s="842"/>
      <c r="F610" s="523">
        <f>SUM(F605:F609)</f>
        <v>2454553.7807999998</v>
      </c>
      <c r="G610" s="523">
        <f>SUM(G605:G609)</f>
        <v>9500871.7583999988</v>
      </c>
      <c r="H610" s="522"/>
      <c r="I610" s="523">
        <f>SUM(I605:I609)</f>
        <v>2911629.6</v>
      </c>
      <c r="J610" s="844">
        <f>SUM(J605:J609)</f>
        <v>11270080.799999999</v>
      </c>
    </row>
    <row r="611" spans="1:10" ht="24" x14ac:dyDescent="0.25">
      <c r="A611" s="274" t="s">
        <v>103</v>
      </c>
      <c r="B611" s="965" t="s">
        <v>20</v>
      </c>
      <c r="C611" s="291" t="s">
        <v>317</v>
      </c>
      <c r="D611" s="291" t="s">
        <v>289</v>
      </c>
      <c r="E611" s="504">
        <v>26.032900000000001</v>
      </c>
      <c r="F611" s="402">
        <f>IFERROR(E611*'01 Prod Physique Boites'!H605,"-")</f>
        <v>0</v>
      </c>
      <c r="G611" s="403">
        <f>IFERROR(E611*'01 Prod Physique Boites'!L605,"-")</f>
        <v>0</v>
      </c>
      <c r="H611" s="381">
        <v>36.44</v>
      </c>
      <c r="I611" s="419">
        <f>IFERROR(H611*(F611/E611),"-")</f>
        <v>0</v>
      </c>
      <c r="J611" s="420">
        <f t="shared" ref="J611:J613" si="339">IFERROR(H611*(G611/E611),"-")</f>
        <v>0</v>
      </c>
    </row>
    <row r="612" spans="1:10" ht="24" x14ac:dyDescent="0.25">
      <c r="A612" s="274" t="s">
        <v>103</v>
      </c>
      <c r="B612" s="966"/>
      <c r="C612" s="292" t="s">
        <v>114</v>
      </c>
      <c r="D612" s="292"/>
      <c r="E612" s="384">
        <v>24.2607</v>
      </c>
      <c r="F612" s="402">
        <f>IFERROR(E612*'01 Prod Physique Boites'!H606,"-")</f>
        <v>0</v>
      </c>
      <c r="G612" s="403">
        <f>IFERROR(E612*'01 Prod Physique Boites'!L606,"-")</f>
        <v>0</v>
      </c>
      <c r="H612" s="385">
        <v>37.369999999999997</v>
      </c>
      <c r="I612" s="421">
        <f>IFERROR(H612*(F612/E612),"-")</f>
        <v>0</v>
      </c>
      <c r="J612" s="422">
        <f t="shared" si="339"/>
        <v>0</v>
      </c>
    </row>
    <row r="613" spans="1:10" ht="24.75" thickBot="1" x14ac:dyDescent="0.3">
      <c r="A613" s="274" t="s">
        <v>103</v>
      </c>
      <c r="B613" s="967"/>
      <c r="C613" s="293" t="s">
        <v>120</v>
      </c>
      <c r="D613" s="293"/>
      <c r="E613" s="386">
        <v>26.035799999999998</v>
      </c>
      <c r="F613" s="402">
        <f>IFERROR(E613*'01 Prod Physique Boites'!H607,"-")</f>
        <v>0</v>
      </c>
      <c r="G613" s="403">
        <f>IFERROR(E613*'01 Prod Physique Boites'!L607,"-")</f>
        <v>0</v>
      </c>
      <c r="H613" s="387">
        <v>37.11</v>
      </c>
      <c r="I613" s="423">
        <f>IFERROR(H613*(F613/E613),"-")</f>
        <v>0</v>
      </c>
      <c r="J613" s="424">
        <f t="shared" si="339"/>
        <v>0</v>
      </c>
    </row>
    <row r="614" spans="1:10" ht="23.25" thickBot="1" x14ac:dyDescent="0.3">
      <c r="A614" s="274" t="s">
        <v>103</v>
      </c>
      <c r="B614" s="947" t="s">
        <v>47</v>
      </c>
      <c r="C614" s="947"/>
      <c r="D614" s="964"/>
      <c r="E614" s="390"/>
      <c r="F614" s="406">
        <f t="shared" ref="F614:G614" si="340">SUM(F611:F613)</f>
        <v>0</v>
      </c>
      <c r="G614" s="407">
        <f t="shared" si="340"/>
        <v>0</v>
      </c>
      <c r="H614" s="391"/>
      <c r="I614" s="406">
        <f t="shared" ref="I614:J614" si="341">SUM(I611:I613)</f>
        <v>0</v>
      </c>
      <c r="J614" s="425">
        <f t="shared" si="341"/>
        <v>0</v>
      </c>
    </row>
    <row r="615" spans="1:10" ht="23.25" thickBot="1" x14ac:dyDescent="0.3">
      <c r="A615" s="274" t="s">
        <v>103</v>
      </c>
      <c r="B615" s="960" t="s">
        <v>21</v>
      </c>
      <c r="C615" s="961"/>
      <c r="D615" s="962"/>
      <c r="E615" s="393"/>
      <c r="F615" s="410">
        <f>+F588+F596+F604+F610+F614</f>
        <v>3891063.2847999996</v>
      </c>
      <c r="G615" s="411">
        <f>+G588+G596+G604+G610+G614</f>
        <v>15788522.532399997</v>
      </c>
      <c r="H615" s="394"/>
      <c r="I615" s="410">
        <f>+I588+I596+I604+I610+I614</f>
        <v>4918989.5999999996</v>
      </c>
      <c r="J615" s="428">
        <f>+J588+J596+J604+J610+J614</f>
        <v>20555317.199999999</v>
      </c>
    </row>
    <row r="616" spans="1:10" ht="24" x14ac:dyDescent="0.25">
      <c r="A616" s="274" t="s">
        <v>103</v>
      </c>
      <c r="B616" s="965" t="s">
        <v>400</v>
      </c>
      <c r="C616" s="269" t="s">
        <v>125</v>
      </c>
      <c r="D616" s="269"/>
      <c r="E616" s="380">
        <v>22.820599999999999</v>
      </c>
      <c r="F616" s="402">
        <f>IFERROR(E616*'01 Prod Physique Boites'!H610,"-")</f>
        <v>0</v>
      </c>
      <c r="G616" s="403">
        <f>IFERROR(E616*'01 Prod Physique Boites'!L610,"-")</f>
        <v>0</v>
      </c>
      <c r="H616" s="381">
        <v>27.5</v>
      </c>
      <c r="I616" s="419">
        <f>IFERROR(H616*(F616/E616),"-")</f>
        <v>0</v>
      </c>
      <c r="J616" s="420">
        <f t="shared" ref="J616:J619" si="342">IFERROR(H616*(G616/E616),"-")</f>
        <v>0</v>
      </c>
    </row>
    <row r="617" spans="1:10" ht="24" x14ac:dyDescent="0.25">
      <c r="A617" s="274" t="s">
        <v>103</v>
      </c>
      <c r="B617" s="966"/>
      <c r="C617" s="295" t="s">
        <v>263</v>
      </c>
      <c r="D617" s="295" t="s">
        <v>181</v>
      </c>
      <c r="E617" s="384">
        <v>23.570699999999999</v>
      </c>
      <c r="F617" s="402">
        <f>IFERROR(E617*'01 Prod Physique Boites'!H611,"-")</f>
        <v>0</v>
      </c>
      <c r="G617" s="403">
        <f>IFERROR(E617*'01 Prod Physique Boites'!L611,"-")</f>
        <v>0</v>
      </c>
      <c r="H617" s="385">
        <v>27.5</v>
      </c>
      <c r="I617" s="421">
        <f>IFERROR(H617*(F617/E617),"-")</f>
        <v>0</v>
      </c>
      <c r="J617" s="422">
        <f t="shared" si="342"/>
        <v>0</v>
      </c>
    </row>
    <row r="618" spans="1:10" ht="24" x14ac:dyDescent="0.25">
      <c r="A618" s="274" t="s">
        <v>103</v>
      </c>
      <c r="B618" s="966"/>
      <c r="C618" s="295" t="s">
        <v>362</v>
      </c>
      <c r="D618" s="295" t="s">
        <v>181</v>
      </c>
      <c r="E618" s="384">
        <v>22.820599999999999</v>
      </c>
      <c r="F618" s="402">
        <f>IFERROR(E618*'01 Prod Physique Boites'!H612,"-")</f>
        <v>0</v>
      </c>
      <c r="G618" s="403">
        <f>IFERROR(E618*'01 Prod Physique Boites'!L612,"-")</f>
        <v>0</v>
      </c>
      <c r="H618" s="385">
        <v>27.5</v>
      </c>
      <c r="I618" s="421">
        <f>IFERROR(H618*(F618/E618),"-")</f>
        <v>0</v>
      </c>
      <c r="J618" s="422">
        <f t="shared" si="342"/>
        <v>0</v>
      </c>
    </row>
    <row r="619" spans="1:10" ht="24.75" thickBot="1" x14ac:dyDescent="0.3">
      <c r="A619" s="274" t="s">
        <v>103</v>
      </c>
      <c r="B619" s="967"/>
      <c r="C619" s="279" t="s">
        <v>182</v>
      </c>
      <c r="D619" s="279" t="s">
        <v>93</v>
      </c>
      <c r="E619" s="386">
        <v>23.5685</v>
      </c>
      <c r="F619" s="402">
        <f>IFERROR(E619*'01 Prod Physique Boites'!H613,"-")</f>
        <v>0</v>
      </c>
      <c r="G619" s="403">
        <f>IFERROR(E619*'01 Prod Physique Boites'!L613,"-")</f>
        <v>0</v>
      </c>
      <c r="H619" s="387">
        <v>24</v>
      </c>
      <c r="I619" s="423">
        <f>IFERROR(H619*(F619/E619),"-")</f>
        <v>0</v>
      </c>
      <c r="J619" s="424">
        <f t="shared" si="342"/>
        <v>0</v>
      </c>
    </row>
    <row r="620" spans="1:10" ht="23.25" thickBot="1" x14ac:dyDescent="0.3">
      <c r="A620" s="274" t="s">
        <v>103</v>
      </c>
      <c r="B620" s="946" t="s">
        <v>48</v>
      </c>
      <c r="C620" s="947"/>
      <c r="D620" s="948"/>
      <c r="E620" s="390"/>
      <c r="F620" s="406">
        <f t="shared" ref="F620:G620" si="343">SUM(F616:F619)</f>
        <v>0</v>
      </c>
      <c r="G620" s="407">
        <f t="shared" si="343"/>
        <v>0</v>
      </c>
      <c r="H620" s="391"/>
      <c r="I620" s="406">
        <f t="shared" ref="I620:J620" si="344">SUM(I616:I619)</f>
        <v>0</v>
      </c>
      <c r="J620" s="425">
        <f t="shared" si="344"/>
        <v>0</v>
      </c>
    </row>
    <row r="621" spans="1:10" ht="24" x14ac:dyDescent="0.25">
      <c r="A621" s="274" t="s">
        <v>103</v>
      </c>
      <c r="B621" s="965" t="s">
        <v>23</v>
      </c>
      <c r="C621" s="296" t="s">
        <v>308</v>
      </c>
      <c r="D621" s="296" t="s">
        <v>238</v>
      </c>
      <c r="E621" s="380">
        <v>101.4935</v>
      </c>
      <c r="F621" s="402">
        <f>IFERROR(E621*'01 Prod Physique Boites'!H615,"-")</f>
        <v>0</v>
      </c>
      <c r="G621" s="403">
        <f>IFERROR(E621*'01 Prod Physique Boites'!L615,"-")</f>
        <v>0</v>
      </c>
      <c r="H621" s="385">
        <v>160.44999999999999</v>
      </c>
      <c r="I621" s="419">
        <f t="shared" ref="I621:I629" si="345">IFERROR(H621*(F621/E621),"-")</f>
        <v>0</v>
      </c>
      <c r="J621" s="420">
        <f t="shared" ref="J621:J629" si="346">IFERROR(H621*(G621/E621),"-")</f>
        <v>0</v>
      </c>
    </row>
    <row r="622" spans="1:10" ht="24" x14ac:dyDescent="0.25">
      <c r="A622" s="274" t="s">
        <v>103</v>
      </c>
      <c r="B622" s="966"/>
      <c r="C622" s="275" t="s">
        <v>24</v>
      </c>
      <c r="D622" s="275" t="s">
        <v>238</v>
      </c>
      <c r="E622" s="384">
        <v>101.4935</v>
      </c>
      <c r="F622" s="402">
        <f>IFERROR(E622*'01 Prod Physique Boites'!H616,"-")</f>
        <v>0</v>
      </c>
      <c r="G622" s="403">
        <f>IFERROR(E622*'01 Prod Physique Boites'!L616,"-")</f>
        <v>0</v>
      </c>
      <c r="H622" s="385">
        <v>160.44999999999999</v>
      </c>
      <c r="I622" s="421">
        <f t="shared" si="345"/>
        <v>0</v>
      </c>
      <c r="J622" s="422">
        <f t="shared" si="346"/>
        <v>0</v>
      </c>
    </row>
    <row r="623" spans="1:10" ht="24" x14ac:dyDescent="0.25">
      <c r="A623" s="274" t="s">
        <v>103</v>
      </c>
      <c r="B623" s="966"/>
      <c r="C623" s="275" t="s">
        <v>236</v>
      </c>
      <c r="D623" s="275" t="s">
        <v>238</v>
      </c>
      <c r="E623" s="384">
        <v>101.4935</v>
      </c>
      <c r="F623" s="402">
        <f>IFERROR(E623*'01 Prod Physique Boites'!H617,"-")</f>
        <v>0</v>
      </c>
      <c r="G623" s="403">
        <f>IFERROR(E623*'01 Prod Physique Boites'!L617,"-")</f>
        <v>0</v>
      </c>
      <c r="H623" s="385">
        <v>160.44999999999999</v>
      </c>
      <c r="I623" s="421">
        <f t="shared" si="345"/>
        <v>0</v>
      </c>
      <c r="J623" s="422">
        <f t="shared" si="346"/>
        <v>0</v>
      </c>
    </row>
    <row r="624" spans="1:10" ht="24" x14ac:dyDescent="0.25">
      <c r="A624" s="274" t="s">
        <v>103</v>
      </c>
      <c r="B624" s="966"/>
      <c r="C624" s="275" t="s">
        <v>237</v>
      </c>
      <c r="D624" s="275" t="s">
        <v>238</v>
      </c>
      <c r="E624" s="384">
        <v>101.4935</v>
      </c>
      <c r="F624" s="402">
        <f>IFERROR(E624*'01 Prod Physique Boites'!H618,"-")</f>
        <v>0</v>
      </c>
      <c r="G624" s="403">
        <f>IFERROR(E624*'01 Prod Physique Boites'!L618,"-")</f>
        <v>0</v>
      </c>
      <c r="H624" s="385">
        <v>160.44999999999999</v>
      </c>
      <c r="I624" s="421">
        <f t="shared" si="345"/>
        <v>0</v>
      </c>
      <c r="J624" s="422">
        <f t="shared" si="346"/>
        <v>0</v>
      </c>
    </row>
    <row r="625" spans="1:10" ht="24" x14ac:dyDescent="0.25">
      <c r="A625" s="274" t="s">
        <v>103</v>
      </c>
      <c r="B625" s="966"/>
      <c r="C625" s="295" t="s">
        <v>239</v>
      </c>
      <c r="D625" s="275" t="s">
        <v>238</v>
      </c>
      <c r="E625" s="384">
        <v>101.4935</v>
      </c>
      <c r="F625" s="402">
        <f>IFERROR(E625*'01 Prod Physique Boites'!H619,"-")</f>
        <v>0</v>
      </c>
      <c r="G625" s="403">
        <f>IFERROR(E625*'01 Prod Physique Boites'!L619,"-")</f>
        <v>0</v>
      </c>
      <c r="H625" s="385">
        <v>160.44999999999999</v>
      </c>
      <c r="I625" s="421">
        <f t="shared" si="345"/>
        <v>0</v>
      </c>
      <c r="J625" s="422">
        <f t="shared" si="346"/>
        <v>0</v>
      </c>
    </row>
    <row r="626" spans="1:10" ht="24" x14ac:dyDescent="0.25">
      <c r="A626" s="274" t="s">
        <v>103</v>
      </c>
      <c r="B626" s="966"/>
      <c r="C626" s="295" t="s">
        <v>240</v>
      </c>
      <c r="D626" s="275" t="s">
        <v>238</v>
      </c>
      <c r="E626" s="384">
        <v>101.4935</v>
      </c>
      <c r="F626" s="402">
        <f>IFERROR(E626*'01 Prod Physique Boites'!H620,"-")</f>
        <v>0</v>
      </c>
      <c r="G626" s="403">
        <f>IFERROR(E626*'01 Prod Physique Boites'!L620,"-")</f>
        <v>0</v>
      </c>
      <c r="H626" s="385">
        <v>160.44999999999999</v>
      </c>
      <c r="I626" s="421">
        <f t="shared" si="345"/>
        <v>0</v>
      </c>
      <c r="J626" s="422">
        <f t="shared" si="346"/>
        <v>0</v>
      </c>
    </row>
    <row r="627" spans="1:10" ht="24" x14ac:dyDescent="0.25">
      <c r="A627" s="274" t="s">
        <v>103</v>
      </c>
      <c r="B627" s="966"/>
      <c r="C627" s="295" t="s">
        <v>241</v>
      </c>
      <c r="D627" s="275" t="s">
        <v>243</v>
      </c>
      <c r="E627" s="384">
        <v>101.4935</v>
      </c>
      <c r="F627" s="402">
        <f>IFERROR(E627*'01 Prod Physique Boites'!H621,"-")</f>
        <v>0</v>
      </c>
      <c r="G627" s="403">
        <f>IFERROR(E627*'01 Prod Physique Boites'!L621,"-")</f>
        <v>0</v>
      </c>
      <c r="H627" s="385">
        <v>160.44999999999999</v>
      </c>
      <c r="I627" s="421">
        <f t="shared" si="345"/>
        <v>0</v>
      </c>
      <c r="J627" s="422">
        <f t="shared" si="346"/>
        <v>0</v>
      </c>
    </row>
    <row r="628" spans="1:10" ht="24" x14ac:dyDescent="0.25">
      <c r="A628" s="274"/>
      <c r="B628" s="967"/>
      <c r="C628" s="295" t="s">
        <v>457</v>
      </c>
      <c r="D628" s="275" t="s">
        <v>238</v>
      </c>
      <c r="E628" s="386">
        <v>101.49</v>
      </c>
      <c r="F628" s="402">
        <f>IFERROR(E628*'01 Prod Physique Boites'!H622,"-")</f>
        <v>0</v>
      </c>
      <c r="G628" s="403">
        <f>IFERROR(E628*'01 Prod Physique Boites'!L622,"-")</f>
        <v>0</v>
      </c>
      <c r="H628" s="385">
        <v>160.44999999999999</v>
      </c>
      <c r="I628" s="421">
        <f t="shared" si="345"/>
        <v>0</v>
      </c>
      <c r="J628" s="422">
        <f t="shared" si="346"/>
        <v>0</v>
      </c>
    </row>
    <row r="629" spans="1:10" ht="24.75" thickBot="1" x14ac:dyDescent="0.3">
      <c r="A629" s="274" t="s">
        <v>103</v>
      </c>
      <c r="B629" s="967"/>
      <c r="C629" s="295" t="s">
        <v>242</v>
      </c>
      <c r="D629" s="275" t="s">
        <v>238</v>
      </c>
      <c r="E629" s="386">
        <v>101.4935</v>
      </c>
      <c r="F629" s="402">
        <f>IFERROR(E629*'01 Prod Physique Boites'!H623,"-")</f>
        <v>0</v>
      </c>
      <c r="G629" s="403">
        <f>IFERROR(E629*'01 Prod Physique Boites'!L623,"-")</f>
        <v>0</v>
      </c>
      <c r="H629" s="385">
        <v>160.44999999999999</v>
      </c>
      <c r="I629" s="421">
        <f t="shared" si="345"/>
        <v>0</v>
      </c>
      <c r="J629" s="424">
        <f t="shared" si="346"/>
        <v>0</v>
      </c>
    </row>
    <row r="630" spans="1:10" ht="23.25" thickBot="1" x14ac:dyDescent="0.3">
      <c r="A630" s="274" t="s">
        <v>103</v>
      </c>
      <c r="B630" s="946" t="s">
        <v>49</v>
      </c>
      <c r="C630" s="947"/>
      <c r="D630" s="948"/>
      <c r="E630" s="390"/>
      <c r="F630" s="406">
        <f t="shared" ref="F630" si="347">SUM(F621:F629)</f>
        <v>0</v>
      </c>
      <c r="G630" s="407">
        <f>SUM(G621:G629)</f>
        <v>0</v>
      </c>
      <c r="H630" s="391"/>
      <c r="I630" s="406">
        <f t="shared" ref="I630" si="348">SUM(I621:I629)</f>
        <v>0</v>
      </c>
      <c r="J630" s="425">
        <f>SUM(J621:J629)</f>
        <v>0</v>
      </c>
    </row>
    <row r="631" spans="1:10" ht="23.25" thickBot="1" x14ac:dyDescent="0.3">
      <c r="A631" s="274" t="s">
        <v>103</v>
      </c>
      <c r="B631" s="960" t="s">
        <v>25</v>
      </c>
      <c r="C631" s="961"/>
      <c r="D631" s="962"/>
      <c r="E631" s="393"/>
      <c r="F631" s="410">
        <f t="shared" ref="F631" si="349">+F620+F630</f>
        <v>0</v>
      </c>
      <c r="G631" s="411">
        <f>+G620+G630</f>
        <v>0</v>
      </c>
      <c r="H631" s="394"/>
      <c r="I631" s="410">
        <f t="shared" ref="I631:J631" si="350">+I620+I630</f>
        <v>0</v>
      </c>
      <c r="J631" s="428">
        <f t="shared" si="350"/>
        <v>0</v>
      </c>
    </row>
    <row r="632" spans="1:10" ht="23.25" thickBot="1" x14ac:dyDescent="0.3">
      <c r="A632" s="274" t="s">
        <v>103</v>
      </c>
      <c r="B632" s="963" t="s">
        <v>172</v>
      </c>
      <c r="C632" s="941"/>
      <c r="D632" s="942"/>
      <c r="E632" s="395"/>
      <c r="F632" s="412">
        <f t="shared" ref="F632" si="351">+F615+F631</f>
        <v>3891063.2847999996</v>
      </c>
      <c r="G632" s="413">
        <f>+G615+G631</f>
        <v>15788522.532399997</v>
      </c>
      <c r="H632" s="396"/>
      <c r="I632" s="412">
        <f t="shared" ref="I632:J632" si="352">+I615+I631</f>
        <v>4918989.5999999996</v>
      </c>
      <c r="J632" s="429">
        <f t="shared" si="352"/>
        <v>20555317.199999999</v>
      </c>
    </row>
    <row r="633" spans="1:10" ht="24" x14ac:dyDescent="0.25">
      <c r="A633" s="268" t="s">
        <v>101</v>
      </c>
      <c r="B633" s="956" t="s">
        <v>26</v>
      </c>
      <c r="C633" s="297" t="s">
        <v>297</v>
      </c>
      <c r="D633" s="299" t="s">
        <v>177</v>
      </c>
      <c r="E633" s="504">
        <v>13.1272</v>
      </c>
      <c r="F633" s="402">
        <f>IFERROR(E633*'01 Prod Physique Boites'!H627,"-")</f>
        <v>0</v>
      </c>
      <c r="G633" s="403">
        <f>IFERROR(E633*'01 Prod Physique Boites'!L627,"-")</f>
        <v>0</v>
      </c>
      <c r="H633" s="381">
        <v>20.76</v>
      </c>
      <c r="I633" s="419">
        <f t="shared" ref="I633:I642" si="353">IFERROR(H633*(F633/E633),"-")</f>
        <v>0</v>
      </c>
      <c r="J633" s="632">
        <f t="shared" ref="J633:J642" si="354">IFERROR(H633*(G633/E633),"-")</f>
        <v>0</v>
      </c>
    </row>
    <row r="634" spans="1:10" ht="24" x14ac:dyDescent="0.25">
      <c r="A634" s="274" t="s">
        <v>101</v>
      </c>
      <c r="B634" s="956"/>
      <c r="C634" s="298" t="s">
        <v>424</v>
      </c>
      <c r="D634" s="298" t="s">
        <v>423</v>
      </c>
      <c r="E634" s="505">
        <v>16.7288</v>
      </c>
      <c r="F634" s="402">
        <f>IFERROR(E634*'01 Prod Physique Boites'!H628,"-")</f>
        <v>199641.49919999999</v>
      </c>
      <c r="G634" s="403">
        <f>IFERROR(E634*'01 Prod Physique Boites'!L628,"-")</f>
        <v>4392112.9824000001</v>
      </c>
      <c r="H634" s="385">
        <v>20.76</v>
      </c>
      <c r="I634" s="421">
        <f t="shared" si="353"/>
        <v>247749.84000000003</v>
      </c>
      <c r="J634" s="633">
        <f t="shared" si="354"/>
        <v>5450496.4800000004</v>
      </c>
    </row>
    <row r="635" spans="1:10" ht="24" x14ac:dyDescent="0.25">
      <c r="A635" s="274" t="s">
        <v>101</v>
      </c>
      <c r="B635" s="956"/>
      <c r="C635" s="813" t="s">
        <v>460</v>
      </c>
      <c r="D635" s="814" t="s">
        <v>334</v>
      </c>
      <c r="E635" s="501">
        <v>14.608000000000001</v>
      </c>
      <c r="F635" s="402">
        <f>IFERROR(E635*'01 Prod Physique Boites'!H629,"-")</f>
        <v>116221.24800000001</v>
      </c>
      <c r="G635" s="403">
        <f>IFERROR(E635*'01 Prod Physique Boites'!L629,"-")</f>
        <v>116221.24800000001</v>
      </c>
      <c r="H635" s="385">
        <v>21.22</v>
      </c>
      <c r="I635" s="643">
        <f t="shared" si="353"/>
        <v>168826.31999999998</v>
      </c>
      <c r="J635" s="633">
        <f t="shared" si="354"/>
        <v>168826.31999999998</v>
      </c>
    </row>
    <row r="636" spans="1:10" ht="24" x14ac:dyDescent="0.25">
      <c r="A636" s="274" t="s">
        <v>101</v>
      </c>
      <c r="B636" s="956"/>
      <c r="C636" s="299" t="s">
        <v>27</v>
      </c>
      <c r="D636" s="297" t="s">
        <v>492</v>
      </c>
      <c r="E636" s="501">
        <v>17.8202</v>
      </c>
      <c r="F636" s="402">
        <f>IFERROR(E636*'01 Prod Physique Boites'!H630,"-")</f>
        <v>0</v>
      </c>
      <c r="G636" s="403">
        <f>IFERROR(E636*'01 Prod Physique Boites'!L630,"-")</f>
        <v>4749546.6251999997</v>
      </c>
      <c r="H636" s="385">
        <v>26.75</v>
      </c>
      <c r="I636" s="643">
        <f t="shared" si="353"/>
        <v>0</v>
      </c>
      <c r="J636" s="633">
        <f t="shared" si="354"/>
        <v>7129570.5</v>
      </c>
    </row>
    <row r="637" spans="1:10" ht="24" x14ac:dyDescent="0.25">
      <c r="A637" s="274" t="s">
        <v>101</v>
      </c>
      <c r="B637" s="956"/>
      <c r="C637" s="299" t="s">
        <v>27</v>
      </c>
      <c r="D637" s="299" t="s">
        <v>279</v>
      </c>
      <c r="E637" s="501">
        <v>17.8202</v>
      </c>
      <c r="F637" s="402">
        <f>IFERROR(E637*'01 Prod Physique Boites'!H631,"-")</f>
        <v>0</v>
      </c>
      <c r="G637" s="403">
        <f>IFERROR(E637*'01 Prod Physique Boites'!L631,"-")</f>
        <v>0</v>
      </c>
      <c r="H637" s="385">
        <v>24.93</v>
      </c>
      <c r="I637" s="643">
        <f t="shared" si="353"/>
        <v>0</v>
      </c>
      <c r="J637" s="633">
        <f t="shared" si="354"/>
        <v>0</v>
      </c>
    </row>
    <row r="638" spans="1:10" ht="24" x14ac:dyDescent="0.25">
      <c r="A638" s="274"/>
      <c r="B638" s="956"/>
      <c r="C638" s="299" t="s">
        <v>437</v>
      </c>
      <c r="D638" s="299" t="s">
        <v>178</v>
      </c>
      <c r="E638" s="501">
        <v>14.608000000000001</v>
      </c>
      <c r="F638" s="402">
        <f>IFERROR(E638*'01 Prod Physique Boites'!H632,"-")</f>
        <v>0</v>
      </c>
      <c r="G638" s="403">
        <f>IFERROR(E638*'01 Prod Physique Boites'!L632,"-")</f>
        <v>0</v>
      </c>
      <c r="H638" s="387">
        <v>24.93</v>
      </c>
      <c r="I638" s="643">
        <f t="shared" si="353"/>
        <v>0</v>
      </c>
      <c r="J638" s="634">
        <f t="shared" si="354"/>
        <v>0</v>
      </c>
    </row>
    <row r="639" spans="1:10" ht="24" x14ac:dyDescent="0.25">
      <c r="A639" s="274"/>
      <c r="B639" s="956"/>
      <c r="C639" s="299" t="s">
        <v>436</v>
      </c>
      <c r="D639" s="299" t="s">
        <v>94</v>
      </c>
      <c r="E639" s="501">
        <v>17.8202</v>
      </c>
      <c r="F639" s="724">
        <f>IFERROR(E639*'01 Prod Physique Boites'!H633,"-")</f>
        <v>0</v>
      </c>
      <c r="G639" s="403">
        <f>IFERROR(E639*'01 Prod Physique Boites'!L633,"-")</f>
        <v>0</v>
      </c>
      <c r="H639" s="387">
        <v>24.93</v>
      </c>
      <c r="I639" s="730">
        <f t="shared" si="353"/>
        <v>0</v>
      </c>
      <c r="J639" s="634">
        <f t="shared" si="354"/>
        <v>0</v>
      </c>
    </row>
    <row r="640" spans="1:10" s="731" customFormat="1" ht="24" x14ac:dyDescent="0.25">
      <c r="A640" s="725"/>
      <c r="B640" s="956"/>
      <c r="C640" s="726" t="s">
        <v>383</v>
      </c>
      <c r="D640" s="726" t="s">
        <v>384</v>
      </c>
      <c r="E640" s="727">
        <v>16.345199999999998</v>
      </c>
      <c r="F640" s="724">
        <f>IFERROR(E640*'01 Prod Physique Boites'!H634,"-")</f>
        <v>0</v>
      </c>
      <c r="G640" s="728">
        <f>IFERROR(E640*'01 Prod Physique Boites'!L634,"-")</f>
        <v>0</v>
      </c>
      <c r="H640" s="729">
        <v>23.78</v>
      </c>
      <c r="I640" s="730">
        <f t="shared" si="353"/>
        <v>0</v>
      </c>
      <c r="J640" s="634">
        <f t="shared" si="354"/>
        <v>0</v>
      </c>
    </row>
    <row r="641" spans="1:10" s="731" customFormat="1" ht="24" x14ac:dyDescent="0.25">
      <c r="A641" s="725"/>
      <c r="B641" s="956"/>
      <c r="C641" s="299" t="s">
        <v>433</v>
      </c>
      <c r="D641" s="299" t="s">
        <v>178</v>
      </c>
      <c r="E641" s="727">
        <v>16.7288</v>
      </c>
      <c r="F641" s="724">
        <f>IFERROR(E641*'01 Prod Physique Boites'!H635,"-")</f>
        <v>0</v>
      </c>
      <c r="G641" s="728">
        <f>IFERROR(E641*'01 Prod Physique Boites'!L635,"-")</f>
        <v>0</v>
      </c>
      <c r="H641" s="729">
        <v>25.49</v>
      </c>
      <c r="I641" s="730">
        <f t="shared" si="353"/>
        <v>0</v>
      </c>
      <c r="J641" s="634">
        <f t="shared" si="354"/>
        <v>0</v>
      </c>
    </row>
    <row r="642" spans="1:10" ht="24.75" thickBot="1" x14ac:dyDescent="0.3">
      <c r="A642" s="274" t="s">
        <v>101</v>
      </c>
      <c r="B642" s="956"/>
      <c r="C642" s="300" t="s">
        <v>290</v>
      </c>
      <c r="D642" s="299" t="s">
        <v>289</v>
      </c>
      <c r="E642" s="501">
        <v>12.6997</v>
      </c>
      <c r="F642" s="402">
        <f>IFERROR(E642*'01 Prod Physique Boites'!H636,"-")</f>
        <v>0</v>
      </c>
      <c r="G642" s="728">
        <f>IFERROR(E642*'01 Prod Physique Boites'!L636,"-")</f>
        <v>0</v>
      </c>
      <c r="H642" s="387">
        <v>13.25</v>
      </c>
      <c r="I642" s="730">
        <f t="shared" si="353"/>
        <v>0</v>
      </c>
      <c r="J642" s="634">
        <f t="shared" si="354"/>
        <v>0</v>
      </c>
    </row>
    <row r="643" spans="1:10" ht="23.25" thickBot="1" x14ac:dyDescent="0.3">
      <c r="A643" s="274" t="s">
        <v>101</v>
      </c>
      <c r="B643" s="969"/>
      <c r="C643" s="301"/>
      <c r="D643" s="302" t="s">
        <v>52</v>
      </c>
      <c r="E643" s="390"/>
      <c r="F643" s="406">
        <f>SUM(F633:F642)</f>
        <v>315862.74719999998</v>
      </c>
      <c r="G643" s="407">
        <f>SUM(G633:G642)</f>
        <v>9257880.8555999994</v>
      </c>
      <c r="H643" s="391"/>
      <c r="I643" s="406">
        <f>SUM(I633:I642)</f>
        <v>416576.16000000003</v>
      </c>
      <c r="J643" s="425">
        <f>SUM(J633:J642)</f>
        <v>12748893.300000001</v>
      </c>
    </row>
    <row r="644" spans="1:10" ht="24" x14ac:dyDescent="0.25">
      <c r="A644" s="274" t="s">
        <v>101</v>
      </c>
      <c r="B644" s="955" t="s">
        <v>28</v>
      </c>
      <c r="C644" s="299" t="s">
        <v>27</v>
      </c>
      <c r="D644" s="297" t="s">
        <v>492</v>
      </c>
      <c r="E644" s="504">
        <v>17.8202</v>
      </c>
      <c r="F644" s="402">
        <f>IFERROR(E644*'01 Prod Physique Boites'!H638,"-")</f>
        <v>921553.82279999997</v>
      </c>
      <c r="G644" s="403">
        <f>IFERROR(E644*'01 Prod Physique Boites'!L638,"-")</f>
        <v>2268440.1792000001</v>
      </c>
      <c r="H644" s="381">
        <v>26.75</v>
      </c>
      <c r="I644" s="419">
        <f t="shared" ref="I644:I650" si="355">IFERROR(H644*(F644/E644),"-")</f>
        <v>1383349.5</v>
      </c>
      <c r="J644" s="632">
        <f t="shared" ref="J644:J645" si="356">IFERROR(H644*(G644/E644),"-")</f>
        <v>3405168.0000000005</v>
      </c>
    </row>
    <row r="645" spans="1:10" ht="24" x14ac:dyDescent="0.25">
      <c r="A645" s="274" t="s">
        <v>101</v>
      </c>
      <c r="B645" s="956"/>
      <c r="C645" s="299" t="s">
        <v>386</v>
      </c>
      <c r="D645" s="299" t="s">
        <v>334</v>
      </c>
      <c r="E645" s="711">
        <v>16.7288</v>
      </c>
      <c r="F645" s="402">
        <f>IFERROR(E645*'01 Prod Physique Boites'!H639,"-")</f>
        <v>0</v>
      </c>
      <c r="G645" s="728">
        <f>IFERROR(E645*'01 Prod Physique Boites'!L639,"-")</f>
        <v>1597131.9935999999</v>
      </c>
      <c r="H645" s="708">
        <v>20.76</v>
      </c>
      <c r="I645" s="421">
        <f t="shared" si="355"/>
        <v>0</v>
      </c>
      <c r="J645" s="633">
        <f t="shared" si="356"/>
        <v>1981998.7200000002</v>
      </c>
    </row>
    <row r="646" spans="1:10" ht="24" x14ac:dyDescent="0.25">
      <c r="A646" s="274" t="s">
        <v>101</v>
      </c>
      <c r="B646" s="956"/>
      <c r="C646" s="299" t="s">
        <v>385</v>
      </c>
      <c r="D646" s="299" t="s">
        <v>334</v>
      </c>
      <c r="E646" s="501">
        <v>17.8202</v>
      </c>
      <c r="F646" s="402">
        <f>IFERROR(E646*'01 Prod Physique Boites'!H640,"-")</f>
        <v>0</v>
      </c>
      <c r="G646" s="403">
        <f>IFERROR(E646*'01 Prod Physique Boites'!L640,"-")</f>
        <v>0</v>
      </c>
      <c r="H646" s="385">
        <v>21.22</v>
      </c>
      <c r="I646" s="421">
        <f t="shared" si="355"/>
        <v>0</v>
      </c>
      <c r="J646" s="633">
        <f>IFERROR(H646*(G646/E646),"-")</f>
        <v>0</v>
      </c>
    </row>
    <row r="647" spans="1:10" ht="24" x14ac:dyDescent="0.25">
      <c r="A647" s="274"/>
      <c r="B647" s="956"/>
      <c r="C647" s="299" t="s">
        <v>460</v>
      </c>
      <c r="D647" s="299" t="s">
        <v>334</v>
      </c>
      <c r="E647" s="501">
        <v>14.608000000000001</v>
      </c>
      <c r="F647" s="402">
        <f>IFERROR(E647*'01 Prod Physique Boites'!H641,"-")</f>
        <v>0</v>
      </c>
      <c r="G647" s="403">
        <f>IFERROR(E647*'01 Prod Physique Boites'!L641,"-")</f>
        <v>0</v>
      </c>
      <c r="H647" s="385">
        <v>21.22</v>
      </c>
      <c r="I647" s="421">
        <f t="shared" si="355"/>
        <v>0</v>
      </c>
      <c r="J647" s="633">
        <f>IFERROR(H647*(G647/E647),"-")</f>
        <v>0</v>
      </c>
    </row>
    <row r="648" spans="1:10" ht="24" x14ac:dyDescent="0.25">
      <c r="A648" s="274"/>
      <c r="B648" s="956"/>
      <c r="C648" s="299" t="s">
        <v>383</v>
      </c>
      <c r="D648" s="299" t="s">
        <v>384</v>
      </c>
      <c r="E648" s="711">
        <v>16.345199999999998</v>
      </c>
      <c r="F648" s="402">
        <f>IFERROR(E648*'01 Prod Physique Boites'!H642,"-")</f>
        <v>0</v>
      </c>
      <c r="G648" s="403">
        <f>IFERROR(E648*'01 Prod Physique Boites'!L642,"-")</f>
        <v>0</v>
      </c>
      <c r="H648" s="385">
        <v>23.78</v>
      </c>
      <c r="I648" s="423">
        <f t="shared" si="355"/>
        <v>0</v>
      </c>
      <c r="J648" s="634">
        <f t="shared" ref="J648:J650" si="357">IFERROR(H648*(G648/E648),"-")</f>
        <v>0</v>
      </c>
    </row>
    <row r="649" spans="1:10" ht="24" x14ac:dyDescent="0.25">
      <c r="A649" s="274"/>
      <c r="B649" s="956"/>
      <c r="C649" s="299" t="s">
        <v>458</v>
      </c>
      <c r="D649" s="300" t="s">
        <v>280</v>
      </c>
      <c r="E649" s="711">
        <v>17.8202</v>
      </c>
      <c r="F649" s="402">
        <f>IFERROR(E649*'01 Prod Physique Boites'!H643,"-")</f>
        <v>0</v>
      </c>
      <c r="G649" s="403">
        <f>IFERROR(E649*'01 Prod Physique Boites'!L643,"-")</f>
        <v>0</v>
      </c>
      <c r="H649" s="385">
        <v>24.93</v>
      </c>
      <c r="I649" s="730">
        <f t="shared" si="355"/>
        <v>0</v>
      </c>
      <c r="J649" s="634">
        <f t="shared" si="357"/>
        <v>0</v>
      </c>
    </row>
    <row r="650" spans="1:10" ht="24.75" thickBot="1" x14ac:dyDescent="0.3">
      <c r="A650" s="274" t="s">
        <v>101</v>
      </c>
      <c r="B650" s="956"/>
      <c r="C650" s="299" t="s">
        <v>27</v>
      </c>
      <c r="D650" s="300" t="s">
        <v>234</v>
      </c>
      <c r="E650" s="501">
        <v>17.8202</v>
      </c>
      <c r="F650" s="402">
        <f>IFERROR(E650*'01 Prod Physique Boites'!H644,"-")</f>
        <v>0</v>
      </c>
      <c r="G650" s="403">
        <f>IFERROR(E650*'01 Prod Physique Boites'!L644,"-")</f>
        <v>0</v>
      </c>
      <c r="H650" s="385">
        <v>24.93</v>
      </c>
      <c r="I650" s="423">
        <f t="shared" si="355"/>
        <v>0</v>
      </c>
      <c r="J650" s="634">
        <f t="shared" si="357"/>
        <v>0</v>
      </c>
    </row>
    <row r="651" spans="1:10" ht="23.25" thickBot="1" x14ac:dyDescent="0.3">
      <c r="A651" s="274" t="s">
        <v>101</v>
      </c>
      <c r="B651" s="956"/>
      <c r="C651" s="304"/>
      <c r="D651" s="305" t="s">
        <v>52</v>
      </c>
      <c r="E651" s="397"/>
      <c r="F651" s="414">
        <f t="shared" ref="F651:G651" si="358">SUM(F644:F650)</f>
        <v>921553.82279999997</v>
      </c>
      <c r="G651" s="415">
        <f t="shared" si="358"/>
        <v>3865572.1727999998</v>
      </c>
      <c r="H651" s="398"/>
      <c r="I651" s="414">
        <f t="shared" ref="I651:J651" si="359">SUM(I644:I650)</f>
        <v>1383349.5</v>
      </c>
      <c r="J651" s="430">
        <f t="shared" si="359"/>
        <v>5387166.7200000007</v>
      </c>
    </row>
    <row r="652" spans="1:10" ht="23.25" thickBot="1" x14ac:dyDescent="0.3">
      <c r="A652" s="802" t="s">
        <v>101</v>
      </c>
      <c r="B652" s="957" t="s">
        <v>162</v>
      </c>
      <c r="C652" s="958"/>
      <c r="D652" s="959"/>
      <c r="E652" s="399"/>
      <c r="F652" s="416">
        <f t="shared" ref="F652:G652" si="360">+F643+F651</f>
        <v>1237416.5699999998</v>
      </c>
      <c r="G652" s="417">
        <f t="shared" si="360"/>
        <v>13123453.0284</v>
      </c>
      <c r="H652" s="400"/>
      <c r="I652" s="416">
        <f t="shared" ref="I652:J652" si="361">+I643+I651</f>
        <v>1799925.6600000001</v>
      </c>
      <c r="J652" s="431">
        <f t="shared" si="361"/>
        <v>18136060.020000003</v>
      </c>
    </row>
    <row r="653" spans="1:10" ht="24" x14ac:dyDescent="0.25">
      <c r="A653" s="274" t="s">
        <v>101</v>
      </c>
      <c r="B653" s="956" t="s">
        <v>30</v>
      </c>
      <c r="C653" s="303" t="s">
        <v>450</v>
      </c>
      <c r="D653" s="299" t="s">
        <v>334</v>
      </c>
      <c r="E653" s="736">
        <v>27.917000000000002</v>
      </c>
      <c r="F653" s="402">
        <f>IFERROR(E653*'01 Prod Physique Boites'!H647,"-")</f>
        <v>0</v>
      </c>
      <c r="G653" s="728">
        <f>IFERROR(E653*'01 Prod Physique Boites'!L647,"-")</f>
        <v>0</v>
      </c>
      <c r="H653" s="734">
        <v>33.299999999999997</v>
      </c>
      <c r="I653" s="419">
        <f>IFERROR(H653*(F653/E653),"-")</f>
        <v>0</v>
      </c>
      <c r="J653" s="420">
        <f t="shared" ref="J653:J655" si="362">IFERROR(H653*(G653/E653),"-")</f>
        <v>0</v>
      </c>
    </row>
    <row r="654" spans="1:10" ht="24" x14ac:dyDescent="0.25">
      <c r="A654" s="274" t="s">
        <v>101</v>
      </c>
      <c r="B654" s="956"/>
      <c r="C654" s="300" t="s">
        <v>448</v>
      </c>
      <c r="D654" s="303" t="s">
        <v>384</v>
      </c>
      <c r="E654" s="733">
        <v>28.526700000000002</v>
      </c>
      <c r="F654" s="402">
        <f>IFERROR(E654*'01 Prod Physique Boites'!H648,"-")</f>
        <v>0</v>
      </c>
      <c r="G654" s="728">
        <f>IFERROR(E654*'01 Prod Physique Boites'!L648,"-")</f>
        <v>0</v>
      </c>
      <c r="H654" s="735">
        <v>37.89</v>
      </c>
      <c r="I654" s="421">
        <f>IFERROR(H654*(F654/E654),"-")</f>
        <v>0</v>
      </c>
      <c r="J654" s="422">
        <f t="shared" si="362"/>
        <v>0</v>
      </c>
    </row>
    <row r="655" spans="1:10" ht="24.75" thickBot="1" x14ac:dyDescent="0.3">
      <c r="A655" s="274" t="s">
        <v>101</v>
      </c>
      <c r="B655" s="956"/>
      <c r="C655" s="300" t="s">
        <v>291</v>
      </c>
      <c r="D655" s="300" t="s">
        <v>384</v>
      </c>
      <c r="E655" s="501">
        <v>25.751300000000001</v>
      </c>
      <c r="F655" s="724">
        <f>IFERROR(E655*'01 Prod Physique Boites'!H649,"-")</f>
        <v>0</v>
      </c>
      <c r="G655" s="728">
        <f>IFERROR(E655*'01 Prod Physique Boites'!L649,"-")</f>
        <v>0</v>
      </c>
      <c r="H655" s="387">
        <v>37.89</v>
      </c>
      <c r="I655" s="423">
        <f>IFERROR(H655*(F655/E655),"-")</f>
        <v>0</v>
      </c>
      <c r="J655" s="424">
        <f t="shared" si="362"/>
        <v>0</v>
      </c>
    </row>
    <row r="656" spans="1:10" ht="23.25" thickBot="1" x14ac:dyDescent="0.3">
      <c r="A656" s="274" t="s">
        <v>101</v>
      </c>
      <c r="B656" s="956"/>
      <c r="C656" s="301"/>
      <c r="D656" s="302" t="s">
        <v>50</v>
      </c>
      <c r="E656" s="390"/>
      <c r="F656" s="406">
        <f t="shared" ref="F656:G656" si="363">SUM(F653:F655)</f>
        <v>0</v>
      </c>
      <c r="G656" s="407">
        <f t="shared" si="363"/>
        <v>0</v>
      </c>
      <c r="H656" s="391"/>
      <c r="I656" s="406">
        <f t="shared" ref="I656" si="364">SUM(I653:I655)</f>
        <v>0</v>
      </c>
      <c r="J656" s="425">
        <f>SUM(J653:J655)</f>
        <v>0</v>
      </c>
    </row>
    <row r="657" spans="1:10" ht="24" x14ac:dyDescent="0.25">
      <c r="A657" s="274" t="s">
        <v>101</v>
      </c>
      <c r="B657" s="956"/>
      <c r="C657" s="297" t="s">
        <v>439</v>
      </c>
      <c r="D657" s="297" t="s">
        <v>92</v>
      </c>
      <c r="E657" s="504">
        <v>24.2607</v>
      </c>
      <c r="F657" s="402">
        <f>IFERROR(E657*'01 Prod Physique Boites'!H651,"-")</f>
        <v>0</v>
      </c>
      <c r="G657" s="728">
        <f>IFERROR(E657*'01 Prod Physique Boites'!L651,"-")</f>
        <v>0</v>
      </c>
      <c r="H657" s="381">
        <v>28.31</v>
      </c>
      <c r="I657" s="638">
        <f>IFERROR(H657*(F657/E657),"-")</f>
        <v>0</v>
      </c>
      <c r="J657" s="420">
        <f t="shared" ref="J657:J662" si="365">IFERROR(H657*(G657/E657),"-")</f>
        <v>0</v>
      </c>
    </row>
    <row r="658" spans="1:10" ht="24" x14ac:dyDescent="0.25">
      <c r="A658" s="274"/>
      <c r="B658" s="956"/>
      <c r="C658" s="303" t="s">
        <v>449</v>
      </c>
      <c r="D658" s="299" t="s">
        <v>334</v>
      </c>
      <c r="E658" s="504">
        <v>24.2607</v>
      </c>
      <c r="F658" s="402">
        <f>IFERROR(E658*'01 Prod Physique Boites'!H652,"-")</f>
        <v>0</v>
      </c>
      <c r="G658" s="728">
        <f>IFERROR(E658*'01 Prod Physique Boites'!L652,"-")</f>
        <v>0</v>
      </c>
      <c r="H658" s="381">
        <v>28.88</v>
      </c>
      <c r="I658" s="638">
        <f t="shared" ref="I658:I662" si="366">IFERROR(H658*(F658/E658),"-")</f>
        <v>0</v>
      </c>
      <c r="J658" s="420">
        <f t="shared" si="365"/>
        <v>0</v>
      </c>
    </row>
    <row r="659" spans="1:10" ht="24" x14ac:dyDescent="0.25">
      <c r="A659" s="274"/>
      <c r="B659" s="956"/>
      <c r="C659" s="303" t="s">
        <v>452</v>
      </c>
      <c r="D659" s="299" t="s">
        <v>334</v>
      </c>
      <c r="E659" s="504">
        <v>25.4041</v>
      </c>
      <c r="F659" s="402">
        <f>IFERROR(E659*'01 Prod Physique Boites'!H653,"-")</f>
        <v>0</v>
      </c>
      <c r="G659" s="728">
        <f>IFERROR(E659*'01 Prod Physique Boites'!L653,"-")</f>
        <v>0</v>
      </c>
      <c r="H659" s="381">
        <v>28.21</v>
      </c>
      <c r="I659" s="638">
        <f t="shared" si="366"/>
        <v>0</v>
      </c>
      <c r="J659" s="420">
        <f t="shared" si="365"/>
        <v>0</v>
      </c>
    </row>
    <row r="660" spans="1:10" ht="24" x14ac:dyDescent="0.25">
      <c r="A660" s="274" t="s">
        <v>101</v>
      </c>
      <c r="B660" s="956"/>
      <c r="C660" s="303" t="s">
        <v>501</v>
      </c>
      <c r="D660" s="300" t="s">
        <v>423</v>
      </c>
      <c r="E660" s="505">
        <v>23.697399999999998</v>
      </c>
      <c r="F660" s="724">
        <f>IFERROR(E660*'01 Prod Physique Boites'!H654,"-")</f>
        <v>0</v>
      </c>
      <c r="G660" s="728">
        <f>IFERROR(E660*'01 Prod Physique Boites'!L654,"-")</f>
        <v>177446.13119999997</v>
      </c>
      <c r="H660" s="385">
        <v>28.21</v>
      </c>
      <c r="I660" s="638">
        <f t="shared" si="366"/>
        <v>0</v>
      </c>
      <c r="J660" s="420">
        <f t="shared" si="365"/>
        <v>211236.47999999998</v>
      </c>
    </row>
    <row r="661" spans="1:10" ht="24" x14ac:dyDescent="0.25">
      <c r="A661" s="274"/>
      <c r="B661" s="956"/>
      <c r="C661" s="300" t="s">
        <v>459</v>
      </c>
      <c r="D661" s="300" t="s">
        <v>366</v>
      </c>
      <c r="E661" s="501">
        <v>22.094999999999999</v>
      </c>
      <c r="F661" s="724">
        <f>IFERROR(E661*'01 Prod Physique Boites'!H655,"-")</f>
        <v>0</v>
      </c>
      <c r="G661" s="728">
        <f>IFERROR(E661*'01 Prod Physique Boites'!L655,"-")</f>
        <v>0</v>
      </c>
      <c r="H661" s="745">
        <v>37.11</v>
      </c>
      <c r="I661" s="638">
        <f t="shared" si="366"/>
        <v>0</v>
      </c>
      <c r="J661" s="420">
        <f t="shared" si="365"/>
        <v>0</v>
      </c>
    </row>
    <row r="662" spans="1:10" ht="24.75" thickBot="1" x14ac:dyDescent="0.3">
      <c r="A662" s="274" t="s">
        <v>101</v>
      </c>
      <c r="B662" s="956"/>
      <c r="C662" s="300" t="s">
        <v>438</v>
      </c>
      <c r="D662" s="300" t="s">
        <v>423</v>
      </c>
      <c r="E662" s="501">
        <v>23.697399999999998</v>
      </c>
      <c r="F662" s="402">
        <f>IFERROR(E662*'01 Prod Physique Boites'!H656,"-")</f>
        <v>0</v>
      </c>
      <c r="G662" s="403">
        <f>IFERROR(E662*'01 Prod Physique Boites'!L656,"-")</f>
        <v>0</v>
      </c>
      <c r="H662" s="387">
        <v>28.21</v>
      </c>
      <c r="I662" s="638">
        <f t="shared" si="366"/>
        <v>0</v>
      </c>
      <c r="J662" s="420">
        <f t="shared" si="365"/>
        <v>0</v>
      </c>
    </row>
    <row r="663" spans="1:10" ht="23.25" thickBot="1" x14ac:dyDescent="0.3">
      <c r="A663" s="274" t="s">
        <v>101</v>
      </c>
      <c r="B663" s="956"/>
      <c r="C663" s="304"/>
      <c r="D663" s="305" t="s">
        <v>51</v>
      </c>
      <c r="E663" s="397"/>
      <c r="F663" s="414">
        <f t="shared" ref="F663:G663" si="367">SUM(F657:F662)</f>
        <v>0</v>
      </c>
      <c r="G663" s="415">
        <f t="shared" si="367"/>
        <v>177446.13119999997</v>
      </c>
      <c r="H663" s="398"/>
      <c r="I663" s="414">
        <f t="shared" ref="I663" si="368">SUM(I657:I662)</f>
        <v>0</v>
      </c>
      <c r="J663" s="430">
        <f>SUM(J657:J662)</f>
        <v>211236.47999999998</v>
      </c>
    </row>
    <row r="664" spans="1:10" ht="23.25" thickBot="1" x14ac:dyDescent="0.3">
      <c r="A664" s="274" t="s">
        <v>101</v>
      </c>
      <c r="B664" s="957" t="s">
        <v>163</v>
      </c>
      <c r="C664" s="958"/>
      <c r="D664" s="959"/>
      <c r="E664" s="399"/>
      <c r="F664" s="416">
        <f t="shared" ref="F664:G664" si="369">+F656+F663</f>
        <v>0</v>
      </c>
      <c r="G664" s="417">
        <f t="shared" si="369"/>
        <v>177446.13119999997</v>
      </c>
      <c r="H664" s="400"/>
      <c r="I664" s="416">
        <f t="shared" ref="I664:J664" si="370">+I656+I663</f>
        <v>0</v>
      </c>
      <c r="J664" s="431">
        <f t="shared" si="370"/>
        <v>211236.47999999998</v>
      </c>
    </row>
    <row r="665" spans="1:10" ht="24.75" thickBot="1" x14ac:dyDescent="0.3">
      <c r="A665" s="274" t="s">
        <v>101</v>
      </c>
      <c r="B665" s="599" t="s">
        <v>32</v>
      </c>
      <c r="C665" s="798"/>
      <c r="D665" s="310"/>
      <c r="E665" s="506">
        <v>12.2659</v>
      </c>
      <c r="F665" s="408">
        <f>IFERROR(E665*'01 Prod Physique Boites'!H659,"-")</f>
        <v>0</v>
      </c>
      <c r="G665" s="409">
        <f>IFERROR(E665*'01 Prod Physique Boites'!L659,"-")</f>
        <v>0</v>
      </c>
      <c r="H665" s="392"/>
      <c r="I665" s="426">
        <f>IFERROR(H665*(F665/E665),"-")</f>
        <v>0</v>
      </c>
      <c r="J665" s="427">
        <f>IFERROR(H665*(G665/E665),"-")</f>
        <v>0</v>
      </c>
    </row>
    <row r="666" spans="1:10" ht="23.25" thickBot="1" x14ac:dyDescent="0.3">
      <c r="A666" s="274" t="s">
        <v>101</v>
      </c>
      <c r="B666" s="960" t="s">
        <v>21</v>
      </c>
      <c r="C666" s="961"/>
      <c r="D666" s="962"/>
      <c r="E666" s="393"/>
      <c r="F666" s="410">
        <f t="shared" ref="F666" si="371">+F652+F664+F665</f>
        <v>1237416.5699999998</v>
      </c>
      <c r="G666" s="411">
        <f>+G652+G664+G665</f>
        <v>13300899.159600001</v>
      </c>
      <c r="H666" s="394"/>
      <c r="I666" s="410">
        <f t="shared" ref="I666:J666" si="372">+I652+I664+I665</f>
        <v>1799925.6600000001</v>
      </c>
      <c r="J666" s="428">
        <f t="shared" si="372"/>
        <v>18347296.500000004</v>
      </c>
    </row>
    <row r="667" spans="1:10" ht="23.25" thickBot="1" x14ac:dyDescent="0.3">
      <c r="A667" s="274" t="s">
        <v>101</v>
      </c>
      <c r="B667" s="963" t="s">
        <v>171</v>
      </c>
      <c r="C667" s="941"/>
      <c r="D667" s="942"/>
      <c r="E667" s="395"/>
      <c r="F667" s="412">
        <f t="shared" ref="F667:G667" si="373">+F666</f>
        <v>1237416.5699999998</v>
      </c>
      <c r="G667" s="413">
        <f t="shared" si="373"/>
        <v>13300899.159600001</v>
      </c>
      <c r="H667" s="396"/>
      <c r="I667" s="412">
        <f t="shared" ref="I667:J667" si="374">+I666</f>
        <v>1799925.6600000001</v>
      </c>
      <c r="J667" s="429">
        <f t="shared" si="374"/>
        <v>18347296.500000004</v>
      </c>
    </row>
    <row r="668" spans="1:10" ht="24" x14ac:dyDescent="0.25">
      <c r="A668" s="268" t="s">
        <v>102</v>
      </c>
      <c r="B668" s="949" t="s">
        <v>401</v>
      </c>
      <c r="C668" s="311" t="s">
        <v>113</v>
      </c>
      <c r="D668" s="311"/>
      <c r="E668" s="709">
        <v>254.89750000000001</v>
      </c>
      <c r="F668" s="402">
        <f>IFERROR(E668*'01 Prod Physique Boites'!H662,"-")</f>
        <v>0</v>
      </c>
      <c r="G668" s="403">
        <f>IFERROR(E668*'01 Prod Physique Boites'!L662,"-")</f>
        <v>0</v>
      </c>
      <c r="H668" s="381">
        <v>445.38</v>
      </c>
      <c r="I668" s="419">
        <f>IFERROR(H668*(F668/E668),"-")</f>
        <v>0</v>
      </c>
      <c r="J668" s="420">
        <f t="shared" ref="J668:J670" si="375">IFERROR(H668*(G668/E668),"-")</f>
        <v>0</v>
      </c>
    </row>
    <row r="669" spans="1:10" ht="24" x14ac:dyDescent="0.25">
      <c r="A669" s="274" t="s">
        <v>102</v>
      </c>
      <c r="B669" s="951"/>
      <c r="C669" s="312" t="s">
        <v>247</v>
      </c>
      <c r="D669" s="312"/>
      <c r="E669" s="503">
        <v>246.51390000000001</v>
      </c>
      <c r="F669" s="402">
        <f>IFERROR(E669*'01 Prod Physique Boites'!H663,"-")</f>
        <v>468376.41000000003</v>
      </c>
      <c r="G669" s="403">
        <f>IFERROR(E669*'01 Prod Physique Boites'!L663,"-")</f>
        <v>1898157.03</v>
      </c>
      <c r="H669" s="385">
        <v>430.02</v>
      </c>
      <c r="I669" s="421">
        <f>IFERROR(H669*(F669/E669),"-")</f>
        <v>817038</v>
      </c>
      <c r="J669" s="422">
        <f t="shared" si="375"/>
        <v>3311154</v>
      </c>
    </row>
    <row r="670" spans="1:10" ht="24.75" thickBot="1" x14ac:dyDescent="0.3">
      <c r="A670" s="274" t="s">
        <v>102</v>
      </c>
      <c r="B670" s="950"/>
      <c r="C670" s="313" t="s">
        <v>33</v>
      </c>
      <c r="D670" s="313"/>
      <c r="E670" s="500">
        <v>225.7713</v>
      </c>
      <c r="F670" s="402">
        <f>IFERROR(E670*'01 Prod Physique Boites'!H664,"-")</f>
        <v>0</v>
      </c>
      <c r="G670" s="403">
        <f>IFERROR(E670*'01 Prod Physique Boites'!L664,"-")</f>
        <v>0</v>
      </c>
      <c r="H670" s="387"/>
      <c r="I670" s="423">
        <f>IFERROR(H670*(F670/E670),"-")</f>
        <v>0</v>
      </c>
      <c r="J670" s="424">
        <f t="shared" si="375"/>
        <v>0</v>
      </c>
    </row>
    <row r="671" spans="1:10" ht="23.25" thickBot="1" x14ac:dyDescent="0.3">
      <c r="A671" s="274" t="s">
        <v>102</v>
      </c>
      <c r="B671" s="946" t="s">
        <v>34</v>
      </c>
      <c r="C671" s="947"/>
      <c r="D671" s="948"/>
      <c r="E671" s="390"/>
      <c r="F671" s="406">
        <f t="shared" ref="F671:G671" si="376">SUM(F668:F670)</f>
        <v>468376.41000000003</v>
      </c>
      <c r="G671" s="407">
        <f t="shared" si="376"/>
        <v>1898157.03</v>
      </c>
      <c r="H671" s="391"/>
      <c r="I671" s="406">
        <f t="shared" ref="I671:J671" si="377">SUM(I668:I670)</f>
        <v>817038</v>
      </c>
      <c r="J671" s="425">
        <f t="shared" si="377"/>
        <v>3311154</v>
      </c>
    </row>
    <row r="672" spans="1:10" ht="24" x14ac:dyDescent="0.25">
      <c r="A672" s="274" t="s">
        <v>102</v>
      </c>
      <c r="B672" s="949" t="s">
        <v>35</v>
      </c>
      <c r="C672" s="311" t="s">
        <v>113</v>
      </c>
      <c r="D672" s="311"/>
      <c r="E672" s="502">
        <v>254.89750000000001</v>
      </c>
      <c r="F672" s="402">
        <f>IFERROR(E672*'01 Prod Physique Boites'!H666,"-")</f>
        <v>0</v>
      </c>
      <c r="G672" s="403">
        <f>IFERROR(E672*'01 Prod Physique Boites'!L666,"-")</f>
        <v>0</v>
      </c>
      <c r="H672" s="381">
        <v>445.38</v>
      </c>
      <c r="I672" s="419">
        <f>IFERROR(H672*(F672/E672),"-")</f>
        <v>0</v>
      </c>
      <c r="J672" s="420">
        <f t="shared" ref="J672:J675" si="378">IFERROR(H672*(G672/E672),"-")</f>
        <v>0</v>
      </c>
    </row>
    <row r="673" spans="1:10" ht="24" x14ac:dyDescent="0.25">
      <c r="A673" s="274" t="s">
        <v>102</v>
      </c>
      <c r="B673" s="951"/>
      <c r="C673" s="312" t="s">
        <v>247</v>
      </c>
      <c r="D673" s="312"/>
      <c r="E673" s="503">
        <v>246.51390000000001</v>
      </c>
      <c r="F673" s="402">
        <f>IFERROR(E673*'01 Prod Physique Boites'!H667,"-")</f>
        <v>0</v>
      </c>
      <c r="G673" s="403">
        <f>IFERROR(E673*'01 Prod Physique Boites'!L667,"-")</f>
        <v>0</v>
      </c>
      <c r="H673" s="385">
        <v>430.02</v>
      </c>
      <c r="I673" s="421">
        <f>IFERROR(H673*(F673/E673),"-")</f>
        <v>0</v>
      </c>
      <c r="J673" s="422">
        <f t="shared" si="378"/>
        <v>0</v>
      </c>
    </row>
    <row r="674" spans="1:10" ht="24" x14ac:dyDescent="0.25">
      <c r="A674" s="274" t="s">
        <v>102</v>
      </c>
      <c r="B674" s="951"/>
      <c r="C674" s="312" t="s">
        <v>184</v>
      </c>
      <c r="D674" s="312" t="s">
        <v>183</v>
      </c>
      <c r="E674" s="503">
        <v>254.89750000000001</v>
      </c>
      <c r="F674" s="402">
        <f>IFERROR(E674*'01 Prod Physique Boites'!H668,"-")</f>
        <v>0</v>
      </c>
      <c r="G674" s="403">
        <f>IFERROR(E674*'01 Prod Physique Boites'!L668,"-")</f>
        <v>0</v>
      </c>
      <c r="H674" s="385"/>
      <c r="I674" s="421">
        <f>IFERROR(H674*(F674/E674),"-")</f>
        <v>0</v>
      </c>
      <c r="J674" s="422">
        <f t="shared" si="378"/>
        <v>0</v>
      </c>
    </row>
    <row r="675" spans="1:10" ht="24.75" thickBot="1" x14ac:dyDescent="0.3">
      <c r="A675" s="274" t="s">
        <v>102</v>
      </c>
      <c r="B675" s="950"/>
      <c r="C675" s="313" t="s">
        <v>36</v>
      </c>
      <c r="D675" s="313"/>
      <c r="E675" s="500">
        <v>229.99359999999999</v>
      </c>
      <c r="F675" s="402">
        <f>IFERROR(E675*'01 Prod Physique Boites'!H669,"-")</f>
        <v>0</v>
      </c>
      <c r="G675" s="403">
        <f>IFERROR(E675*'01 Prod Physique Boites'!L669,"-")</f>
        <v>0</v>
      </c>
      <c r="H675" s="387"/>
      <c r="I675" s="423">
        <f>IFERROR(H675*(F675/E675),"-")</f>
        <v>0</v>
      </c>
      <c r="J675" s="424">
        <f t="shared" si="378"/>
        <v>0</v>
      </c>
    </row>
    <row r="676" spans="1:10" ht="23.25" thickBot="1" x14ac:dyDescent="0.3">
      <c r="A676" s="274" t="s">
        <v>102</v>
      </c>
      <c r="B676" s="946" t="s">
        <v>37</v>
      </c>
      <c r="C676" s="947"/>
      <c r="D676" s="948"/>
      <c r="E676" s="390"/>
      <c r="F676" s="406">
        <f t="shared" ref="F676:G676" si="379">SUM(F672:F675)</f>
        <v>0</v>
      </c>
      <c r="G676" s="407">
        <f t="shared" si="379"/>
        <v>0</v>
      </c>
      <c r="H676" s="391"/>
      <c r="I676" s="406">
        <f>SUM(I672:I675)</f>
        <v>0</v>
      </c>
      <c r="J676" s="425">
        <f>SUM(J672:J675)</f>
        <v>0</v>
      </c>
    </row>
    <row r="677" spans="1:10" ht="24" x14ac:dyDescent="0.25">
      <c r="A677" s="274" t="s">
        <v>102</v>
      </c>
      <c r="B677" s="949" t="s">
        <v>402</v>
      </c>
      <c r="C677" s="314" t="s">
        <v>116</v>
      </c>
      <c r="D677" s="314"/>
      <c r="E677" s="502">
        <v>195.2808</v>
      </c>
      <c r="F677" s="402">
        <f>IFERROR(E677*'01 Prod Physique Boites'!H671,"-")</f>
        <v>0</v>
      </c>
      <c r="G677" s="403">
        <f>IFERROR(E677*'01 Prod Physique Boites'!L671,"-")</f>
        <v>0</v>
      </c>
      <c r="H677" s="681">
        <v>256.7</v>
      </c>
      <c r="I677" s="419">
        <f>IFERROR(H677*(F677/E677),"-")</f>
        <v>0</v>
      </c>
      <c r="J677" s="420">
        <f t="shared" ref="J677:J678" si="380">IFERROR(H677*(G677/E677),"-")</f>
        <v>0</v>
      </c>
    </row>
    <row r="678" spans="1:10" ht="24.75" thickBot="1" x14ac:dyDescent="0.3">
      <c r="A678" s="274" t="s">
        <v>102</v>
      </c>
      <c r="B678" s="950"/>
      <c r="C678" s="286" t="s">
        <v>132</v>
      </c>
      <c r="D678" s="286"/>
      <c r="E678" s="500">
        <v>189.91890000000001</v>
      </c>
      <c r="F678" s="402">
        <f>IFERROR(E678*'01 Prod Physique Boites'!H672,"-")</f>
        <v>151935.12</v>
      </c>
      <c r="G678" s="403">
        <f>IFERROR(E678*'01 Prod Physique Boites'!L672,"-")</f>
        <v>1612411.4610000001</v>
      </c>
      <c r="H678" s="387">
        <v>320.35000000000002</v>
      </c>
      <c r="I678" s="423">
        <f>IFERROR(H678*(F678/E678),"-")</f>
        <v>256279.99999999997</v>
      </c>
      <c r="J678" s="424">
        <f t="shared" si="380"/>
        <v>2719771.5</v>
      </c>
    </row>
    <row r="679" spans="1:10" ht="23.25" thickBot="1" x14ac:dyDescent="0.3">
      <c r="A679" s="802" t="s">
        <v>102</v>
      </c>
      <c r="B679" s="946" t="s">
        <v>38</v>
      </c>
      <c r="C679" s="947"/>
      <c r="D679" s="948"/>
      <c r="E679" s="390"/>
      <c r="F679" s="406">
        <f>SUM(F677:F678)</f>
        <v>151935.12</v>
      </c>
      <c r="G679" s="407">
        <f t="shared" ref="G679" si="381">SUM(G677:G678)</f>
        <v>1612411.4610000001</v>
      </c>
      <c r="H679" s="391"/>
      <c r="I679" s="406">
        <f t="shared" ref="I679:J679" si="382">SUM(I677:I678)</f>
        <v>256279.99999999997</v>
      </c>
      <c r="J679" s="425">
        <f t="shared" si="382"/>
        <v>2719771.5</v>
      </c>
    </row>
    <row r="680" spans="1:10" ht="24" x14ac:dyDescent="0.25">
      <c r="A680" s="274" t="s">
        <v>102</v>
      </c>
      <c r="B680" s="949" t="s">
        <v>403</v>
      </c>
      <c r="C680" s="269" t="s">
        <v>306</v>
      </c>
      <c r="D680" s="269" t="s">
        <v>238</v>
      </c>
      <c r="E680" s="504">
        <v>37.248699999999999</v>
      </c>
      <c r="F680" s="402">
        <f>IFERROR(E680*'01 Prod Physique Boites'!H674,"-")</f>
        <v>813511.60800000001</v>
      </c>
      <c r="G680" s="403">
        <f>IFERROR(E680*'01 Prod Physique Boites'!L674,"-")</f>
        <v>3724721.0052</v>
      </c>
      <c r="H680" s="381">
        <v>71.44</v>
      </c>
      <c r="I680" s="419">
        <f>IFERROR(H680*(F680/E680),"-")</f>
        <v>1560249.5999999999</v>
      </c>
      <c r="J680" s="420">
        <f>IFERROR(H680*(G680/E680),"-")</f>
        <v>7143714.2400000002</v>
      </c>
    </row>
    <row r="681" spans="1:10" ht="24" x14ac:dyDescent="0.25">
      <c r="A681" s="274" t="s">
        <v>102</v>
      </c>
      <c r="B681" s="951"/>
      <c r="C681" s="269" t="s">
        <v>156</v>
      </c>
      <c r="D681" s="275"/>
      <c r="E681" s="504">
        <v>37.248699999999999</v>
      </c>
      <c r="F681" s="402">
        <f>IFERROR(E681*'01 Prod Physique Boites'!H675,"-")</f>
        <v>0</v>
      </c>
      <c r="G681" s="403">
        <f>IFERROR(E681*'01 Prod Physique Boites'!L675,"-")</f>
        <v>0</v>
      </c>
      <c r="H681" s="385"/>
      <c r="I681" s="421">
        <f>IFERROR(H681*(F681/E681),"-")</f>
        <v>0</v>
      </c>
      <c r="J681" s="422">
        <f t="shared" ref="J681:J683" si="383">IFERROR(H681*(G681/E681),"-")</f>
        <v>0</v>
      </c>
    </row>
    <row r="682" spans="1:10" ht="24" x14ac:dyDescent="0.25">
      <c r="A682" s="274" t="s">
        <v>102</v>
      </c>
      <c r="B682" s="951"/>
      <c r="C682" s="275" t="s">
        <v>345</v>
      </c>
      <c r="D682" s="269" t="s">
        <v>238</v>
      </c>
      <c r="E682" s="504">
        <v>37.248699999999999</v>
      </c>
      <c r="F682" s="402">
        <f>IFERROR(E682*'01 Prod Physique Boites'!H676,"-")</f>
        <v>136330.242</v>
      </c>
      <c r="G682" s="403">
        <f>IFERROR(E682*'01 Prod Physique Boites'!L676,"-")</f>
        <v>1209092.8019999999</v>
      </c>
      <c r="H682" s="385">
        <v>71.44</v>
      </c>
      <c r="I682" s="421">
        <f>IFERROR(H682*(F682/E682),"-")</f>
        <v>261470.4</v>
      </c>
      <c r="J682" s="422">
        <f t="shared" si="383"/>
        <v>2318942.3999999994</v>
      </c>
    </row>
    <row r="683" spans="1:10" ht="24.75" thickBot="1" x14ac:dyDescent="0.3">
      <c r="A683" s="274" t="s">
        <v>102</v>
      </c>
      <c r="B683" s="951"/>
      <c r="C683" s="275" t="s">
        <v>157</v>
      </c>
      <c r="D683" s="275"/>
      <c r="E683" s="505">
        <v>38.466099999999997</v>
      </c>
      <c r="F683" s="402">
        <f>IFERROR(E683*'01 Prod Physique Boites'!H677,"-")</f>
        <v>0</v>
      </c>
      <c r="G683" s="403">
        <f>IFERROR(E683*'01 Prod Physique Boites'!L677,"-")</f>
        <v>0</v>
      </c>
      <c r="H683" s="385"/>
      <c r="I683" s="421">
        <f>IFERROR(H683*(F683/E683),"-")</f>
        <v>0</v>
      </c>
      <c r="J683" s="422">
        <f t="shared" si="383"/>
        <v>0</v>
      </c>
    </row>
    <row r="684" spans="1:10" ht="23.25" thickBot="1" x14ac:dyDescent="0.3">
      <c r="A684" s="274" t="s">
        <v>102</v>
      </c>
      <c r="B684" s="946" t="s">
        <v>39</v>
      </c>
      <c r="C684" s="947"/>
      <c r="D684" s="948"/>
      <c r="E684" s="390"/>
      <c r="F684" s="406">
        <f>SUM(F680:F683)</f>
        <v>949841.85</v>
      </c>
      <c r="G684" s="407">
        <f>SUM(G680:G683)</f>
        <v>4933813.8071999997</v>
      </c>
      <c r="H684" s="391"/>
      <c r="I684" s="406">
        <f>SUM(I680:I683)</f>
        <v>1821719.9999999998</v>
      </c>
      <c r="J684" s="406">
        <f>SUM(J680:J683)</f>
        <v>9462656.6400000006</v>
      </c>
    </row>
    <row r="685" spans="1:10" ht="24" x14ac:dyDescent="0.25">
      <c r="A685" s="274" t="s">
        <v>102</v>
      </c>
      <c r="B685" s="949" t="s">
        <v>40</v>
      </c>
      <c r="C685" s="269" t="s">
        <v>186</v>
      </c>
      <c r="D685" s="269" t="s">
        <v>183</v>
      </c>
      <c r="E685" s="504">
        <v>30.7499</v>
      </c>
      <c r="F685" s="402">
        <f>IFERROR(E685*'01 Prod Physique Boites'!H680,"-")</f>
        <v>0</v>
      </c>
      <c r="G685" s="402">
        <f>IFERROR(E685*'01 Prod Physique Boites'!L680,"-")</f>
        <v>0</v>
      </c>
      <c r="H685" s="381"/>
      <c r="I685" s="419">
        <f>IFERROR(H685*(F685/E685),"-")</f>
        <v>0</v>
      </c>
      <c r="J685" s="420">
        <f>IFERROR(H685*(G685/E685),"-")</f>
        <v>0</v>
      </c>
    </row>
    <row r="686" spans="1:10" ht="24" x14ac:dyDescent="0.25">
      <c r="A686" s="274" t="s">
        <v>102</v>
      </c>
      <c r="B686" s="951"/>
      <c r="C686" s="275" t="s">
        <v>159</v>
      </c>
      <c r="D686" s="275"/>
      <c r="E686" s="684">
        <v>30.073599999999999</v>
      </c>
      <c r="F686" s="402">
        <f>IFERROR(E686*'01 Prod Physique Boites'!H681,"-")</f>
        <v>0</v>
      </c>
      <c r="G686" s="403">
        <f>IFERROR(E686*'01 Prod Physique Boites'!L681,"-")</f>
        <v>342839.03999999998</v>
      </c>
      <c r="H686" s="385">
        <v>59.96</v>
      </c>
      <c r="I686" s="421">
        <f>IFERROR(H686*(F686/E686),"-")</f>
        <v>0</v>
      </c>
      <c r="J686" s="422">
        <f t="shared" ref="J686:J687" si="384">IFERROR(H686*(G686/E686),"-")</f>
        <v>683544</v>
      </c>
    </row>
    <row r="687" spans="1:10" ht="24.75" thickBot="1" x14ac:dyDescent="0.3">
      <c r="A687" s="274" t="s">
        <v>102</v>
      </c>
      <c r="B687" s="950"/>
      <c r="C687" s="279" t="s">
        <v>186</v>
      </c>
      <c r="D687" s="279" t="s">
        <v>185</v>
      </c>
      <c r="E687" s="501">
        <v>30.073599999999999</v>
      </c>
      <c r="F687" s="402">
        <f>IFERROR(E687*'01 Prod Physique Boites'!H682,"-")</f>
        <v>0</v>
      </c>
      <c r="G687" s="403">
        <f>IFERROR(E687*'01 Prod Physique Boites'!L682,"-")</f>
        <v>0</v>
      </c>
      <c r="H687" s="387"/>
      <c r="I687" s="423">
        <f>IFERROR(H687*(F687/E687),"-")</f>
        <v>0</v>
      </c>
      <c r="J687" s="424">
        <f t="shared" si="384"/>
        <v>0</v>
      </c>
    </row>
    <row r="688" spans="1:10" ht="23.25" thickBot="1" x14ac:dyDescent="0.3">
      <c r="A688" s="274" t="s">
        <v>102</v>
      </c>
      <c r="B688" s="952" t="s">
        <v>41</v>
      </c>
      <c r="C688" s="953"/>
      <c r="D688" s="954"/>
      <c r="E688" s="390"/>
      <c r="F688" s="406">
        <f t="shared" ref="F688:G688" si="385">SUM(F685:F687)</f>
        <v>0</v>
      </c>
      <c r="G688" s="407">
        <f t="shared" si="385"/>
        <v>342839.03999999998</v>
      </c>
      <c r="H688" s="391"/>
      <c r="I688" s="406">
        <f t="shared" ref="I688:J688" si="386">SUM(I685:I687)</f>
        <v>0</v>
      </c>
      <c r="J688" s="425">
        <f t="shared" si="386"/>
        <v>683544</v>
      </c>
    </row>
    <row r="689" spans="1:15" ht="24" x14ac:dyDescent="0.25">
      <c r="A689" s="274" t="s">
        <v>102</v>
      </c>
      <c r="B689" s="949" t="s">
        <v>42</v>
      </c>
      <c r="C689" s="269" t="s">
        <v>160</v>
      </c>
      <c r="D689" s="269"/>
      <c r="E689" s="504">
        <v>36.684899999999999</v>
      </c>
      <c r="F689" s="402">
        <f>IFERROR(E689*'01 Prod Physique Boites'!H684,"-")</f>
        <v>0</v>
      </c>
      <c r="G689" s="402">
        <f>IFERROR(E689*'01 Prod Physique Boites'!L684,"-")</f>
        <v>0</v>
      </c>
      <c r="H689" s="381"/>
      <c r="I689" s="382" t="s">
        <v>190</v>
      </c>
      <c r="J689" s="383" t="s">
        <v>190</v>
      </c>
    </row>
    <row r="690" spans="1:15" ht="24.75" thickBot="1" x14ac:dyDescent="0.3">
      <c r="A690" s="274" t="s">
        <v>102</v>
      </c>
      <c r="B690" s="950"/>
      <c r="C690" s="279" t="s">
        <v>161</v>
      </c>
      <c r="D690" s="279"/>
      <c r="E690" s="501">
        <v>37.002800000000001</v>
      </c>
      <c r="F690" s="402">
        <f>IFERROR(E690*'01 Prod Physique Boites'!H685,"-")</f>
        <v>0</v>
      </c>
      <c r="G690" s="402">
        <f>IFERROR(E690*'01 Prod Physique Boites'!L685,"-")</f>
        <v>0</v>
      </c>
      <c r="H690" s="387"/>
      <c r="I690" s="388" t="s">
        <v>190</v>
      </c>
      <c r="J690" s="389" t="s">
        <v>190</v>
      </c>
    </row>
    <row r="691" spans="1:15" ht="23.25" thickBot="1" x14ac:dyDescent="0.3">
      <c r="A691" s="274" t="s">
        <v>102</v>
      </c>
      <c r="B691" s="952" t="s">
        <v>43</v>
      </c>
      <c r="C691" s="953"/>
      <c r="D691" s="954"/>
      <c r="E691" s="390"/>
      <c r="F691" s="402">
        <f>IFERROR(E691*'01 Prod Physique Boites'!H685,"-")</f>
        <v>0</v>
      </c>
      <c r="G691" s="407">
        <f>IFERROR(E691*'01 Prod Physique Boites'!L685,"-")</f>
        <v>0</v>
      </c>
      <c r="H691" s="391"/>
      <c r="I691" s="406">
        <f t="shared" ref="I691:J691" si="387">SUM(I689:I690)</f>
        <v>0</v>
      </c>
      <c r="J691" s="425">
        <f t="shared" si="387"/>
        <v>0</v>
      </c>
    </row>
    <row r="692" spans="1:15" ht="23.25" thickBot="1" x14ac:dyDescent="0.3">
      <c r="A692" s="274" t="s">
        <v>102</v>
      </c>
      <c r="B692" s="938" t="s">
        <v>25</v>
      </c>
      <c r="C692" s="939"/>
      <c r="D692" s="940"/>
      <c r="E692" s="393"/>
      <c r="F692" s="410">
        <f>+F671+F676+F679+F684+F688+F691</f>
        <v>1570153.38</v>
      </c>
      <c r="G692" s="411">
        <f>+G671+G676+G679+G684+G688+G691</f>
        <v>8787221.3381999992</v>
      </c>
      <c r="H692" s="394"/>
      <c r="I692" s="410">
        <f>+I671+I676+I679+I684+I688+I691</f>
        <v>2895038</v>
      </c>
      <c r="J692" s="428">
        <f>+J671+J676+J679+J684+J688+J691</f>
        <v>16177126.140000001</v>
      </c>
    </row>
    <row r="693" spans="1:15" ht="23.25" thickBot="1" x14ac:dyDescent="0.3">
      <c r="A693" s="318" t="s">
        <v>102</v>
      </c>
      <c r="B693" s="941" t="s">
        <v>173</v>
      </c>
      <c r="C693" s="941"/>
      <c r="D693" s="942"/>
      <c r="E693" s="395"/>
      <c r="F693" s="412">
        <f t="shared" ref="F693:G693" si="388">+F692</f>
        <v>1570153.38</v>
      </c>
      <c r="G693" s="413">
        <f t="shared" si="388"/>
        <v>8787221.3381999992</v>
      </c>
      <c r="H693" s="396"/>
      <c r="I693" s="412">
        <f t="shared" ref="I693" si="389">+I692</f>
        <v>2895038</v>
      </c>
      <c r="J693" s="429">
        <f>+J692</f>
        <v>16177126.140000001</v>
      </c>
    </row>
    <row r="694" spans="1:15" ht="26.25" thickBot="1" x14ac:dyDescent="0.3">
      <c r="A694" s="319"/>
      <c r="B694" s="943" t="s">
        <v>174</v>
      </c>
      <c r="C694" s="944"/>
      <c r="D694" s="945"/>
      <c r="E694" s="401"/>
      <c r="F694" s="418">
        <f>+F632+F667+F693</f>
        <v>6698633.2347999988</v>
      </c>
      <c r="G694" s="418">
        <f>+G632+G667+G693</f>
        <v>37876643.030199997</v>
      </c>
      <c r="H694" s="401"/>
      <c r="I694" s="418">
        <f>+I632+I667+I693</f>
        <v>9613953.2599999998</v>
      </c>
      <c r="J694" s="432">
        <f>+J632+J667+J693</f>
        <v>55079739.840000004</v>
      </c>
    </row>
    <row r="695" spans="1:15" ht="22.5" x14ac:dyDescent="0.25">
      <c r="A695" s="978" t="s">
        <v>1</v>
      </c>
      <c r="B695" s="981" t="s">
        <v>2</v>
      </c>
      <c r="C695" s="984" t="s">
        <v>396</v>
      </c>
      <c r="D695" s="984" t="s">
        <v>397</v>
      </c>
      <c r="E695" s="1011" t="s">
        <v>405</v>
      </c>
      <c r="F695" s="1012"/>
      <c r="G695" s="1012"/>
      <c r="H695" s="442"/>
      <c r="I695" s="442"/>
      <c r="J695" s="443"/>
    </row>
    <row r="696" spans="1:15" ht="22.5" x14ac:dyDescent="0.25">
      <c r="A696" s="979"/>
      <c r="B696" s="982"/>
      <c r="C696" s="985"/>
      <c r="D696" s="985"/>
      <c r="E696" s="1013" t="s">
        <v>408</v>
      </c>
      <c r="F696" s="1014"/>
      <c r="G696" s="1015"/>
      <c r="H696" s="1013" t="s">
        <v>168</v>
      </c>
      <c r="I696" s="1014"/>
      <c r="J696" s="1015"/>
    </row>
    <row r="697" spans="1:15" ht="45" x14ac:dyDescent="0.25">
      <c r="A697" s="980"/>
      <c r="B697" s="1009"/>
      <c r="C697" s="1010"/>
      <c r="D697" s="1010"/>
      <c r="E697" s="379" t="s">
        <v>170</v>
      </c>
      <c r="F697" s="810" t="s">
        <v>407</v>
      </c>
      <c r="G697" s="811" t="s">
        <v>406</v>
      </c>
      <c r="H697" s="1016" t="s">
        <v>170</v>
      </c>
      <c r="I697" s="1018" t="s">
        <v>137</v>
      </c>
      <c r="J697" s="1020" t="s">
        <v>406</v>
      </c>
    </row>
    <row r="698" spans="1:15" ht="23.25" thickBot="1" x14ac:dyDescent="0.3">
      <c r="A698" s="980"/>
      <c r="B698" s="983"/>
      <c r="C698" s="986"/>
      <c r="D698" s="986"/>
      <c r="E698" s="1022" t="s">
        <v>515</v>
      </c>
      <c r="F698" s="1023"/>
      <c r="G698" s="1024"/>
      <c r="H698" s="1017"/>
      <c r="I698" s="1019"/>
      <c r="J698" s="1021"/>
    </row>
    <row r="699" spans="1:15" ht="24" x14ac:dyDescent="0.25">
      <c r="A699" s="268" t="s">
        <v>103</v>
      </c>
      <c r="B699" s="965" t="s">
        <v>16</v>
      </c>
      <c r="C699" s="269" t="s">
        <v>368</v>
      </c>
      <c r="D699" s="269" t="s">
        <v>369</v>
      </c>
      <c r="E699" s="705">
        <v>81.360699999999994</v>
      </c>
      <c r="F699" s="402">
        <f>IFERROR(E699*'01 Prod Physique Boites'!H693,"-")</f>
        <v>0</v>
      </c>
      <c r="G699" s="402">
        <f>IFERROR(E699*'01 Prod Physique Boites'!L693,"-")</f>
        <v>0</v>
      </c>
      <c r="H699" s="706">
        <v>143.28</v>
      </c>
      <c r="I699" s="419">
        <f>IFERROR(H699*(F699/E699),"-")</f>
        <v>0</v>
      </c>
      <c r="J699" s="420">
        <f t="shared" ref="J699:J701" si="390">IFERROR(H699*(G699/E699),"-")</f>
        <v>0</v>
      </c>
    </row>
    <row r="700" spans="1:15" ht="24" x14ac:dyDescent="0.25">
      <c r="A700" s="713"/>
      <c r="B700" s="966"/>
      <c r="C700" s="275" t="s">
        <v>470</v>
      </c>
      <c r="D700" s="275" t="s">
        <v>375</v>
      </c>
      <c r="E700" s="505">
        <v>81.360699999999994</v>
      </c>
      <c r="F700" s="402">
        <f>IFERROR(E700*'01 Prod Physique Boites'!H694,"-")</f>
        <v>0</v>
      </c>
      <c r="G700" s="402">
        <f>IFERROR(E700*'01 Prod Physique Boites'!L694,"-")</f>
        <v>0</v>
      </c>
      <c r="H700" s="708">
        <v>143.28</v>
      </c>
      <c r="I700" s="419">
        <f>IFERROR(H700*(F700/E700),"-")</f>
        <v>0</v>
      </c>
      <c r="J700" s="420">
        <f t="shared" si="390"/>
        <v>0</v>
      </c>
    </row>
    <row r="701" spans="1:15" ht="24" x14ac:dyDescent="0.25">
      <c r="A701" s="274" t="s">
        <v>103</v>
      </c>
      <c r="B701" s="966"/>
      <c r="C701" s="275" t="s">
        <v>430</v>
      </c>
      <c r="D701" s="275" t="s">
        <v>384</v>
      </c>
      <c r="E701" s="684">
        <v>77.170400000000001</v>
      </c>
      <c r="F701" s="402">
        <f>IFERROR(E701*'01 Prod Physique Boites'!H695,"-")</f>
        <v>172861.696</v>
      </c>
      <c r="G701" s="402">
        <f>IFERROR(E701*'01 Prod Physique Boites'!L695,"-")</f>
        <v>617363.19999999995</v>
      </c>
      <c r="H701" s="385">
        <v>0</v>
      </c>
      <c r="I701" s="419">
        <f>IFERROR(H701*(F701/E701),"-")</f>
        <v>0</v>
      </c>
      <c r="J701" s="420">
        <f t="shared" si="390"/>
        <v>0</v>
      </c>
    </row>
    <row r="702" spans="1:15" ht="24.75" thickBot="1" x14ac:dyDescent="0.3">
      <c r="A702" s="274" t="s">
        <v>103</v>
      </c>
      <c r="B702" s="967"/>
      <c r="C702" s="279" t="s">
        <v>262</v>
      </c>
      <c r="D702" s="279" t="s">
        <v>231</v>
      </c>
      <c r="E702" s="501">
        <v>60.703499999999998</v>
      </c>
      <c r="F702" s="402">
        <f>IFERROR(E702*'01 Prod Physique Boites'!H696,"-")</f>
        <v>0</v>
      </c>
      <c r="G702" s="402">
        <f>IFERROR(E702*'01 Prod Physique Boites'!L696,"-")</f>
        <v>0</v>
      </c>
      <c r="H702" s="387">
        <v>111.09</v>
      </c>
      <c r="I702" s="419">
        <f>IFERROR(H702*(F702/E702),"-")</f>
        <v>0</v>
      </c>
      <c r="J702" s="420">
        <f>IFERROR(H702*(G702/E702),"-")</f>
        <v>0</v>
      </c>
    </row>
    <row r="703" spans="1:15" ht="23.25" thickBot="1" x14ac:dyDescent="0.3">
      <c r="A703" s="274" t="s">
        <v>103</v>
      </c>
      <c r="B703" s="946" t="s">
        <v>44</v>
      </c>
      <c r="C703" s="947"/>
      <c r="D703" s="948"/>
      <c r="E703" s="390"/>
      <c r="F703" s="406">
        <f t="shared" ref="F703" si="391">SUM(F699:F702)</f>
        <v>172861.696</v>
      </c>
      <c r="G703" s="407">
        <f>SUM(G699:G702)</f>
        <v>617363.19999999995</v>
      </c>
      <c r="H703" s="391"/>
      <c r="I703" s="406">
        <f t="shared" ref="I703:J703" si="392">SUM(I699:I702)</f>
        <v>0</v>
      </c>
      <c r="J703" s="425">
        <f t="shared" si="392"/>
        <v>0</v>
      </c>
      <c r="K703" s="704"/>
      <c r="L703" s="704"/>
      <c r="M703" s="704"/>
      <c r="N703" s="704"/>
      <c r="O703" s="704"/>
    </row>
    <row r="704" spans="1:15" ht="24" x14ac:dyDescent="0.25">
      <c r="A704" s="274" t="s">
        <v>103</v>
      </c>
      <c r="B704" s="965" t="s">
        <v>17</v>
      </c>
      <c r="C704" s="269" t="s">
        <v>294</v>
      </c>
      <c r="D704" s="269"/>
      <c r="E704" s="504">
        <v>12.5275</v>
      </c>
      <c r="F704" s="402">
        <f>IFERROR(E704*'01 Prod Physique Boites'!H698,"-")</f>
        <v>0</v>
      </c>
      <c r="G704" s="402">
        <f>IFERROR(E704*'01 Prod Physique Boites'!L698,"-")</f>
        <v>0</v>
      </c>
      <c r="H704" s="681">
        <v>18.836400000000001</v>
      </c>
      <c r="I704" s="419">
        <f t="shared" ref="I704:I710" si="393">IFERROR(H704*(F704/E704),"-")</f>
        <v>0</v>
      </c>
      <c r="J704" s="420">
        <f t="shared" ref="J704:J709" si="394">IFERROR(H704*(G704/E704),"-")</f>
        <v>0</v>
      </c>
    </row>
    <row r="705" spans="1:15" ht="24" x14ac:dyDescent="0.25">
      <c r="A705" s="274" t="s">
        <v>103</v>
      </c>
      <c r="B705" s="966"/>
      <c r="C705" s="275" t="s">
        <v>344</v>
      </c>
      <c r="D705" s="275" t="s">
        <v>232</v>
      </c>
      <c r="E705" s="677">
        <v>13.002700000000001</v>
      </c>
      <c r="F705" s="402">
        <f>IFERROR(E705*'01 Prod Physique Boites'!H699,"-")</f>
        <v>0</v>
      </c>
      <c r="G705" s="402">
        <f>IFERROR(E705*'01 Prod Physique Boites'!L699,"-")</f>
        <v>77756.146000000008</v>
      </c>
      <c r="H705" s="385">
        <v>21.18</v>
      </c>
      <c r="I705" s="421">
        <f t="shared" si="393"/>
        <v>0</v>
      </c>
      <c r="J705" s="422">
        <f t="shared" si="394"/>
        <v>126656.4</v>
      </c>
    </row>
    <row r="706" spans="1:15" ht="24" x14ac:dyDescent="0.25">
      <c r="A706" s="274" t="s">
        <v>103</v>
      </c>
      <c r="B706" s="966"/>
      <c r="C706" s="275" t="s">
        <v>351</v>
      </c>
      <c r="D706" s="275" t="s">
        <v>187</v>
      </c>
      <c r="E706" s="677">
        <v>12.9049</v>
      </c>
      <c r="F706" s="402">
        <f>IFERROR(E706*'01 Prod Physique Boites'!H700,"-")</f>
        <v>1184669.82</v>
      </c>
      <c r="G706" s="402">
        <f>IFERROR(E706*'01 Prod Physique Boites'!L700,"-")</f>
        <v>6950062.9440000001</v>
      </c>
      <c r="H706" s="385">
        <v>20.5</v>
      </c>
      <c r="I706" s="421">
        <f t="shared" si="393"/>
        <v>1881900.0000000002</v>
      </c>
      <c r="J706" s="422">
        <f t="shared" si="394"/>
        <v>11040480</v>
      </c>
    </row>
    <row r="707" spans="1:15" ht="24" x14ac:dyDescent="0.25">
      <c r="A707" s="274" t="s">
        <v>103</v>
      </c>
      <c r="B707" s="966"/>
      <c r="C707" s="275" t="s">
        <v>293</v>
      </c>
      <c r="D707" s="275" t="s">
        <v>188</v>
      </c>
      <c r="E707" s="505">
        <v>13.078200000000001</v>
      </c>
      <c r="F707" s="402">
        <f>IFERROR(E707*'01 Prod Physique Boites'!H701,"-")</f>
        <v>0</v>
      </c>
      <c r="G707" s="402">
        <f>IFERROR(E707*'01 Prod Physique Boites'!L701,"-")</f>
        <v>0</v>
      </c>
      <c r="H707" s="385">
        <v>20.6</v>
      </c>
      <c r="I707" s="421">
        <f t="shared" si="393"/>
        <v>0</v>
      </c>
      <c r="J707" s="422">
        <f t="shared" si="394"/>
        <v>0</v>
      </c>
    </row>
    <row r="708" spans="1:15" ht="24" x14ac:dyDescent="0.25">
      <c r="A708" s="274" t="s">
        <v>103</v>
      </c>
      <c r="B708" s="966"/>
      <c r="C708" s="275" t="s">
        <v>323</v>
      </c>
      <c r="D708" s="275" t="s">
        <v>318</v>
      </c>
      <c r="E708" s="505">
        <v>13.1958</v>
      </c>
      <c r="F708" s="402">
        <f>IFERROR(E708*'01 Prod Physique Boites'!H702,"-")</f>
        <v>0</v>
      </c>
      <c r="G708" s="402">
        <f>IFERROR(E708*'01 Prod Physique Boites'!L702,"-")</f>
        <v>0</v>
      </c>
      <c r="H708" s="385">
        <v>21.28</v>
      </c>
      <c r="I708" s="421">
        <f t="shared" si="393"/>
        <v>0</v>
      </c>
      <c r="J708" s="422">
        <f t="shared" si="394"/>
        <v>0</v>
      </c>
    </row>
    <row r="709" spans="1:15" ht="24" x14ac:dyDescent="0.25">
      <c r="A709" s="274">
        <v>1</v>
      </c>
      <c r="B709" s="966"/>
      <c r="C709" s="275" t="s">
        <v>352</v>
      </c>
      <c r="D709" s="275" t="s">
        <v>189</v>
      </c>
      <c r="E709" s="677">
        <v>12.9049</v>
      </c>
      <c r="F709" s="402">
        <f>IFERROR(E709*'01 Prod Physique Boites'!H703,"-")</f>
        <v>0</v>
      </c>
      <c r="G709" s="402">
        <f>IFERROR(E709*'01 Prod Physique Boites'!L703,"-")</f>
        <v>0</v>
      </c>
      <c r="H709" s="664">
        <v>20.5</v>
      </c>
      <c r="I709" s="421">
        <f t="shared" si="393"/>
        <v>0</v>
      </c>
      <c r="J709" s="422">
        <f t="shared" si="394"/>
        <v>0</v>
      </c>
    </row>
    <row r="710" spans="1:15" ht="24.75" thickBot="1" x14ac:dyDescent="0.3">
      <c r="A710" s="274" t="s">
        <v>103</v>
      </c>
      <c r="B710" s="967"/>
      <c r="C710" s="279" t="s">
        <v>341</v>
      </c>
      <c r="D710" s="279" t="s">
        <v>175</v>
      </c>
      <c r="E710" s="501">
        <v>13.6509</v>
      </c>
      <c r="F710" s="402">
        <f>IFERROR(E710*'01 Prod Physique Boites'!H704,"-")</f>
        <v>0</v>
      </c>
      <c r="G710" s="402">
        <f>IFERROR(E710*'01 Prod Physique Boites'!L704,"-")</f>
        <v>0</v>
      </c>
      <c r="H710" s="387">
        <v>21.18</v>
      </c>
      <c r="I710" s="423">
        <f t="shared" si="393"/>
        <v>0</v>
      </c>
      <c r="J710" s="424">
        <f>IFERROR(H710*(G710/E710),"-")</f>
        <v>0</v>
      </c>
    </row>
    <row r="711" spans="1:15" ht="23.25" thickBot="1" x14ac:dyDescent="0.3">
      <c r="A711" s="274" t="s">
        <v>103</v>
      </c>
      <c r="B711" s="946" t="s">
        <v>45</v>
      </c>
      <c r="C711" s="947"/>
      <c r="D711" s="948"/>
      <c r="E711" s="390"/>
      <c r="F711" s="406">
        <f t="shared" ref="F711" si="395">SUM(F704:F710)</f>
        <v>1184669.82</v>
      </c>
      <c r="G711" s="407">
        <f>SUM(G704:G710)</f>
        <v>7027819.0899999999</v>
      </c>
      <c r="H711" s="391"/>
      <c r="I711" s="406">
        <f t="shared" ref="I711" si="396">SUM(I704:I710)</f>
        <v>1881900.0000000002</v>
      </c>
      <c r="J711" s="425">
        <f>SUM(J704:J710)</f>
        <v>11167136.4</v>
      </c>
      <c r="K711" s="704"/>
      <c r="L711" s="704"/>
      <c r="M711" s="704"/>
      <c r="N711" s="704"/>
      <c r="O711" s="704"/>
    </row>
    <row r="712" spans="1:15" ht="24" x14ac:dyDescent="0.25">
      <c r="A712" s="274" t="s">
        <v>103</v>
      </c>
      <c r="B712" s="965" t="s">
        <v>18</v>
      </c>
      <c r="C712" s="269" t="s">
        <v>312</v>
      </c>
      <c r="D712" s="269" t="s">
        <v>92</v>
      </c>
      <c r="E712" s="504">
        <v>17.8202</v>
      </c>
      <c r="F712" s="402">
        <f>IFERROR(E712*'01 Prod Physique Boites'!H706,"-")</f>
        <v>0</v>
      </c>
      <c r="G712" s="403">
        <f>IFERROR(E712*'01 Prod Physique Boites'!L706,"-")</f>
        <v>0</v>
      </c>
      <c r="H712" s="381">
        <v>24.93</v>
      </c>
      <c r="I712" s="419">
        <f t="shared" ref="I712:I718" si="397">IFERROR(H712*(F712/E712),"-")</f>
        <v>0</v>
      </c>
      <c r="J712" s="420">
        <f t="shared" ref="J712:J714" si="398">IFERROR(H712*(G712/E712),"-")</f>
        <v>0</v>
      </c>
    </row>
    <row r="713" spans="1:15" ht="24" x14ac:dyDescent="0.25">
      <c r="A713" s="274" t="s">
        <v>103</v>
      </c>
      <c r="B713" s="966"/>
      <c r="C713" s="275" t="s">
        <v>130</v>
      </c>
      <c r="D713" s="275"/>
      <c r="E713" s="505">
        <v>17.8202</v>
      </c>
      <c r="F713" s="402">
        <f>IFERROR(E713*'01 Prod Physique Boites'!H707,"-")</f>
        <v>0</v>
      </c>
      <c r="G713" s="403">
        <f>IFERROR(E713*'01 Prod Physique Boites'!L707,"-")</f>
        <v>0</v>
      </c>
      <c r="H713" s="385">
        <v>0</v>
      </c>
      <c r="I713" s="421">
        <f t="shared" si="397"/>
        <v>0</v>
      </c>
      <c r="J713" s="422">
        <f t="shared" si="398"/>
        <v>0</v>
      </c>
    </row>
    <row r="714" spans="1:15" ht="24" x14ac:dyDescent="0.25">
      <c r="A714" s="274" t="s">
        <v>103</v>
      </c>
      <c r="B714" s="966"/>
      <c r="C714" s="275" t="s">
        <v>115</v>
      </c>
      <c r="D714" s="275"/>
      <c r="E714" s="505">
        <v>16.4071</v>
      </c>
      <c r="F714" s="402">
        <f>IFERROR(E714*'01 Prod Physique Boites'!H708,"-")</f>
        <v>0</v>
      </c>
      <c r="G714" s="403">
        <f>IFERROR(E714*'01 Prod Physique Boites'!L708,"-")</f>
        <v>0</v>
      </c>
      <c r="H714" s="385">
        <v>0</v>
      </c>
      <c r="I714" s="421">
        <f t="shared" si="397"/>
        <v>0</v>
      </c>
      <c r="J714" s="422">
        <f t="shared" si="398"/>
        <v>0</v>
      </c>
    </row>
    <row r="715" spans="1:15" ht="24" x14ac:dyDescent="0.25">
      <c r="A715" s="274" t="s">
        <v>103</v>
      </c>
      <c r="B715" s="966"/>
      <c r="C715" s="275" t="s">
        <v>122</v>
      </c>
      <c r="D715" s="275"/>
      <c r="E715" s="505">
        <v>17.8202</v>
      </c>
      <c r="F715" s="402">
        <f>IFERROR(E715*'01 Prod Physique Boites'!H709,"-")</f>
        <v>0</v>
      </c>
      <c r="G715" s="403">
        <f>IFERROR(E715*'01 Prod Physique Boites'!L709,"-")</f>
        <v>0</v>
      </c>
      <c r="H715" s="385">
        <v>0</v>
      </c>
      <c r="I715" s="421">
        <f t="shared" si="397"/>
        <v>0</v>
      </c>
      <c r="J715" s="422">
        <f>IFERROR(H715*(G715/E715),"-")</f>
        <v>0</v>
      </c>
    </row>
    <row r="716" spans="1:15" ht="24" x14ac:dyDescent="0.25">
      <c r="A716" s="274" t="s">
        <v>103</v>
      </c>
      <c r="B716" s="966"/>
      <c r="C716" s="275" t="s">
        <v>176</v>
      </c>
      <c r="D716" s="275" t="s">
        <v>177</v>
      </c>
      <c r="E716" s="505">
        <v>17.8202</v>
      </c>
      <c r="F716" s="402">
        <f>IFERROR(E716*'01 Prod Physique Boites'!H710,"-")</f>
        <v>0</v>
      </c>
      <c r="G716" s="403">
        <f>IFERROR(E716*'01 Prod Physique Boites'!L710,"-")</f>
        <v>0</v>
      </c>
      <c r="H716" s="385">
        <v>0</v>
      </c>
      <c r="I716" s="421">
        <f t="shared" si="397"/>
        <v>0</v>
      </c>
      <c r="J716" s="422">
        <f t="shared" ref="J716:J718" si="399">IFERROR(H716*(G716/E716),"-")</f>
        <v>0</v>
      </c>
    </row>
    <row r="717" spans="1:15" ht="24" x14ac:dyDescent="0.25">
      <c r="A717" s="274" t="s">
        <v>103</v>
      </c>
      <c r="B717" s="966"/>
      <c r="C717" s="275" t="s">
        <v>179</v>
      </c>
      <c r="D717" s="275" t="s">
        <v>178</v>
      </c>
      <c r="E717" s="505">
        <v>16.7288</v>
      </c>
      <c r="F717" s="402">
        <f>IFERROR(E717*'01 Prod Physique Boites'!H711,"-")</f>
        <v>0</v>
      </c>
      <c r="G717" s="403">
        <f>IFERROR(E717*'01 Prod Physique Boites'!L711,"-")</f>
        <v>0</v>
      </c>
      <c r="H717" s="385">
        <v>0</v>
      </c>
      <c r="I717" s="421">
        <f t="shared" si="397"/>
        <v>0</v>
      </c>
      <c r="J717" s="422">
        <f t="shared" si="399"/>
        <v>0</v>
      </c>
    </row>
    <row r="718" spans="1:15" ht="24.75" thickBot="1" x14ac:dyDescent="0.3">
      <c r="A718" s="274" t="s">
        <v>103</v>
      </c>
      <c r="B718" s="967"/>
      <c r="C718" s="286" t="s">
        <v>180</v>
      </c>
      <c r="D718" s="286" t="s">
        <v>107</v>
      </c>
      <c r="E718" s="501">
        <v>17.8202</v>
      </c>
      <c r="F718" s="402">
        <f>IFERROR(E718*'01 Prod Physique Boites'!H712,"-")</f>
        <v>0</v>
      </c>
      <c r="G718" s="403">
        <f>IFERROR(E718*'01 Prod Physique Boites'!L712,"-")</f>
        <v>0</v>
      </c>
      <c r="H718" s="385">
        <v>0</v>
      </c>
      <c r="I718" s="423">
        <f t="shared" si="397"/>
        <v>0</v>
      </c>
      <c r="J718" s="424">
        <f t="shared" si="399"/>
        <v>0</v>
      </c>
    </row>
    <row r="719" spans="1:15" ht="23.25" thickBot="1" x14ac:dyDescent="0.3">
      <c r="A719" s="274" t="s">
        <v>103</v>
      </c>
      <c r="B719" s="946" t="s">
        <v>29</v>
      </c>
      <c r="C719" s="947"/>
      <c r="D719" s="948"/>
      <c r="E719" s="648"/>
      <c r="F719" s="649">
        <f t="shared" ref="F719:G719" si="400">SUM(F712:F718)</f>
        <v>0</v>
      </c>
      <c r="G719" s="407">
        <f t="shared" si="400"/>
        <v>0</v>
      </c>
      <c r="H719" s="391"/>
      <c r="I719" s="406">
        <f t="shared" ref="I719:J719" si="401">SUM(I712:I718)</f>
        <v>0</v>
      </c>
      <c r="J719" s="425">
        <f t="shared" si="401"/>
        <v>0</v>
      </c>
    </row>
    <row r="720" spans="1:15" ht="24.75" thickBot="1" x14ac:dyDescent="0.3">
      <c r="A720" s="274"/>
      <c r="B720" s="1004" t="s">
        <v>19</v>
      </c>
      <c r="C720" s="650" t="s">
        <v>235</v>
      </c>
      <c r="D720" s="656" t="s">
        <v>177</v>
      </c>
      <c r="E720" s="657">
        <v>12.2659</v>
      </c>
      <c r="F720" s="658">
        <f>IFERROR(E720*'01 Prod Physique Boites'!H714,"-")</f>
        <v>0</v>
      </c>
      <c r="G720" s="659">
        <f>IFERROR(E720*'01 Prod Physique Boites'!L714,"-")</f>
        <v>0</v>
      </c>
      <c r="H720" s="653">
        <v>14.79</v>
      </c>
      <c r="I720" s="638">
        <f t="shared" ref="I720:I724" si="402">IFERROR(H720*(F720/E720),"-")</f>
        <v>0</v>
      </c>
      <c r="J720" s="638">
        <f>IFERROR(H720*(G720/E720),"-")</f>
        <v>0</v>
      </c>
    </row>
    <row r="721" spans="1:10" ht="24.75" thickBot="1" x14ac:dyDescent="0.3">
      <c r="A721" s="274"/>
      <c r="B721" s="1005"/>
      <c r="C721" s="651" t="s">
        <v>359</v>
      </c>
      <c r="D721" s="660" t="s">
        <v>423</v>
      </c>
      <c r="E721" s="642">
        <v>12.2659</v>
      </c>
      <c r="F721" s="658">
        <f>IFERROR(E721*'01 Prod Physique Boites'!H715,"-")</f>
        <v>0</v>
      </c>
      <c r="G721" s="659">
        <f>IFERROR(E721*'01 Prod Physique Boites'!L715,"-")</f>
        <v>7046317.9775999999</v>
      </c>
      <c r="H721" s="654">
        <v>14.55</v>
      </c>
      <c r="I721" s="643">
        <f t="shared" si="402"/>
        <v>0</v>
      </c>
      <c r="J721" s="643">
        <f>IFERROR(H721*(G721/E721),"-")</f>
        <v>8358451.2000000002</v>
      </c>
    </row>
    <row r="722" spans="1:10" ht="24.75" thickBot="1" x14ac:dyDescent="0.3">
      <c r="A722" s="274"/>
      <c r="B722" s="1005"/>
      <c r="C722" s="669" t="s">
        <v>235</v>
      </c>
      <c r="D722" s="840" t="s">
        <v>522</v>
      </c>
      <c r="E722" s="851">
        <v>12.2659</v>
      </c>
      <c r="F722" s="658">
        <f>IFERROR(E722*'01 Prod Physique Boites'!H716,"-")</f>
        <v>0</v>
      </c>
      <c r="G722" s="659">
        <f>IFERROR(E722*'01 Prod Physique Boites'!L716,"-")</f>
        <v>2143686.8111999999</v>
      </c>
      <c r="H722" s="860">
        <v>0</v>
      </c>
      <c r="I722" s="643">
        <f t="shared" si="402"/>
        <v>0</v>
      </c>
      <c r="J722" s="643">
        <f t="shared" ref="J722:J723" si="403">IFERROR(H722*(G722/E722),"-")</f>
        <v>0</v>
      </c>
    </row>
    <row r="723" spans="1:10" ht="24.75" thickBot="1" x14ac:dyDescent="0.3">
      <c r="A723" s="274"/>
      <c r="B723" s="1005"/>
      <c r="C723" s="840" t="s">
        <v>377</v>
      </c>
      <c r="D723" s="840" t="s">
        <v>522</v>
      </c>
      <c r="E723" s="851">
        <v>12.2659</v>
      </c>
      <c r="F723" s="658">
        <f>IFERROR(E723*'01 Prod Physique Boites'!H717,"-")</f>
        <v>932600.90879999998</v>
      </c>
      <c r="G723" s="659">
        <f>IFERROR(E723*'01 Prod Physique Boites'!L717,"-")</f>
        <v>1243467.8784</v>
      </c>
      <c r="H723" s="860">
        <v>0</v>
      </c>
      <c r="I723" s="643">
        <f t="shared" si="402"/>
        <v>0</v>
      </c>
      <c r="J723" s="643">
        <f t="shared" si="403"/>
        <v>0</v>
      </c>
    </row>
    <row r="724" spans="1:10" ht="24.75" thickBot="1" x14ac:dyDescent="0.3">
      <c r="A724" s="812" t="s">
        <v>103</v>
      </c>
      <c r="B724" s="1006"/>
      <c r="C724" s="652" t="s">
        <v>342</v>
      </c>
      <c r="D724" s="661"/>
      <c r="E724" s="662">
        <v>0</v>
      </c>
      <c r="F724" s="658">
        <f>IFERROR(E724*'01 Prod Physique Boites'!H718,"-")</f>
        <v>0</v>
      </c>
      <c r="G724" s="659">
        <f>IFERROR(E724*'01 Prod Physique Boites'!L718,"-")</f>
        <v>0</v>
      </c>
      <c r="H724" s="655">
        <v>0</v>
      </c>
      <c r="I724" s="643" t="str">
        <f t="shared" si="402"/>
        <v>-</v>
      </c>
      <c r="J724" s="427" t="str">
        <f t="shared" ref="J724" si="404">IFERROR(I724*(G724/F724),"-")</f>
        <v>-</v>
      </c>
    </row>
    <row r="725" spans="1:10" ht="23.25" thickBot="1" x14ac:dyDescent="0.3">
      <c r="A725" s="274" t="s">
        <v>103</v>
      </c>
      <c r="B725" s="946" t="s">
        <v>46</v>
      </c>
      <c r="C725" s="947"/>
      <c r="D725" s="948"/>
      <c r="E725" s="390"/>
      <c r="F725" s="406">
        <f>SUM(F720:F724)</f>
        <v>932600.90879999998</v>
      </c>
      <c r="G725" s="406">
        <f>SUM(G720:G724)</f>
        <v>10433472.667199999</v>
      </c>
      <c r="H725" s="391"/>
      <c r="I725" s="406">
        <f>SUM(I720:I724)</f>
        <v>0</v>
      </c>
      <c r="J725" s="425">
        <f>SUM(J720:J724)</f>
        <v>8358451.2000000002</v>
      </c>
    </row>
    <row r="726" spans="1:10" ht="24" x14ac:dyDescent="0.25">
      <c r="A726" s="274" t="s">
        <v>103</v>
      </c>
      <c r="B726" s="965" t="s">
        <v>20</v>
      </c>
      <c r="C726" s="291" t="s">
        <v>317</v>
      </c>
      <c r="D726" s="291" t="s">
        <v>289</v>
      </c>
      <c r="E726" s="504">
        <v>26.032900000000001</v>
      </c>
      <c r="F726" s="402">
        <f>IFERROR(E726*'01 Prod Physique Boites'!H720,"-")</f>
        <v>0</v>
      </c>
      <c r="G726" s="403">
        <f>IFERROR(E726*'01 Prod Physique Boites'!L720,"-")</f>
        <v>0</v>
      </c>
      <c r="H726" s="381">
        <v>36.44</v>
      </c>
      <c r="I726" s="419">
        <f>IFERROR(H726*(F726/E726),"-")</f>
        <v>0</v>
      </c>
      <c r="J726" s="420">
        <f t="shared" ref="J726:J728" si="405">IFERROR(H726*(G726/E726),"-")</f>
        <v>0</v>
      </c>
    </row>
    <row r="727" spans="1:10" ht="24" x14ac:dyDescent="0.25">
      <c r="A727" s="274" t="s">
        <v>103</v>
      </c>
      <c r="B727" s="966"/>
      <c r="C727" s="292" t="s">
        <v>114</v>
      </c>
      <c r="D727" s="292"/>
      <c r="E727" s="384">
        <v>24.2607</v>
      </c>
      <c r="F727" s="402">
        <f>IFERROR(E727*'01 Prod Physique Boites'!H721,"-")</f>
        <v>0</v>
      </c>
      <c r="G727" s="403">
        <f>IFERROR(E727*'01 Prod Physique Boites'!L721,"-")</f>
        <v>0</v>
      </c>
      <c r="H727" s="385">
        <v>37.369999999999997</v>
      </c>
      <c r="I727" s="421">
        <f>IFERROR(H727*(F727/E727),"-")</f>
        <v>0</v>
      </c>
      <c r="J727" s="422">
        <f t="shared" si="405"/>
        <v>0</v>
      </c>
    </row>
    <row r="728" spans="1:10" ht="24.75" thickBot="1" x14ac:dyDescent="0.3">
      <c r="A728" s="274" t="s">
        <v>103</v>
      </c>
      <c r="B728" s="967"/>
      <c r="C728" s="293" t="s">
        <v>120</v>
      </c>
      <c r="D728" s="293"/>
      <c r="E728" s="386">
        <v>26.035799999999998</v>
      </c>
      <c r="F728" s="402">
        <f>IFERROR(E728*'01 Prod Physique Boites'!H722,"-")</f>
        <v>0</v>
      </c>
      <c r="G728" s="403">
        <f>IFERROR(E728*'01 Prod Physique Boites'!L722,"-")</f>
        <v>0</v>
      </c>
      <c r="H728" s="387">
        <v>37.11</v>
      </c>
      <c r="I728" s="423">
        <f>IFERROR(H728*(F728/E728),"-")</f>
        <v>0</v>
      </c>
      <c r="J728" s="424">
        <f t="shared" si="405"/>
        <v>0</v>
      </c>
    </row>
    <row r="729" spans="1:10" ht="23.25" thickBot="1" x14ac:dyDescent="0.3">
      <c r="A729" s="274" t="s">
        <v>103</v>
      </c>
      <c r="B729" s="947" t="s">
        <v>47</v>
      </c>
      <c r="C729" s="947"/>
      <c r="D729" s="964"/>
      <c r="E729" s="390"/>
      <c r="F729" s="406">
        <f t="shared" ref="F729:G729" si="406">SUM(F726:F728)</f>
        <v>0</v>
      </c>
      <c r="G729" s="407">
        <f t="shared" si="406"/>
        <v>0</v>
      </c>
      <c r="H729" s="391"/>
      <c r="I729" s="406">
        <f t="shared" ref="I729:J729" si="407">SUM(I726:I728)</f>
        <v>0</v>
      </c>
      <c r="J729" s="425">
        <f t="shared" si="407"/>
        <v>0</v>
      </c>
    </row>
    <row r="730" spans="1:10" ht="23.25" thickBot="1" x14ac:dyDescent="0.3">
      <c r="A730" s="274" t="s">
        <v>103</v>
      </c>
      <c r="B730" s="960" t="s">
        <v>21</v>
      </c>
      <c r="C730" s="961"/>
      <c r="D730" s="962"/>
      <c r="E730" s="393"/>
      <c r="F730" s="410">
        <f>+F703+F711+F719+F725+F729</f>
        <v>2290132.4248000002</v>
      </c>
      <c r="G730" s="411">
        <f>+G703+G711+G719+G725+G729</f>
        <v>18078654.957199998</v>
      </c>
      <c r="H730" s="394"/>
      <c r="I730" s="410">
        <f>+I703+I711+I719+I725+I729</f>
        <v>1881900.0000000002</v>
      </c>
      <c r="J730" s="428">
        <f>+J703+J711+J719+J725+J729</f>
        <v>19525587.600000001</v>
      </c>
    </row>
    <row r="731" spans="1:10" ht="24" x14ac:dyDescent="0.25">
      <c r="A731" s="274" t="s">
        <v>103</v>
      </c>
      <c r="B731" s="965" t="s">
        <v>400</v>
      </c>
      <c r="C731" s="269" t="s">
        <v>125</v>
      </c>
      <c r="D731" s="269"/>
      <c r="E731" s="380">
        <v>22.820599999999999</v>
      </c>
      <c r="F731" s="402">
        <f>IFERROR(E731*'01 Prod Physique Boites'!H725,"-")</f>
        <v>0</v>
      </c>
      <c r="G731" s="403">
        <f>IFERROR(E731*'01 Prod Physique Boites'!L725,"-")</f>
        <v>0</v>
      </c>
      <c r="H731" s="381">
        <v>27.5</v>
      </c>
      <c r="I731" s="419">
        <f>IFERROR(H731*(F731/E731),"-")</f>
        <v>0</v>
      </c>
      <c r="J731" s="420">
        <f t="shared" ref="J731:J734" si="408">IFERROR(H731*(G731/E731),"-")</f>
        <v>0</v>
      </c>
    </row>
    <row r="732" spans="1:10" ht="24" x14ac:dyDescent="0.25">
      <c r="A732" s="274" t="s">
        <v>103</v>
      </c>
      <c r="B732" s="966"/>
      <c r="C732" s="295" t="s">
        <v>263</v>
      </c>
      <c r="D732" s="295" t="s">
        <v>181</v>
      </c>
      <c r="E732" s="384">
        <v>23.570699999999999</v>
      </c>
      <c r="F732" s="402">
        <f>IFERROR(E732*'01 Prod Physique Boites'!H726,"-")</f>
        <v>0</v>
      </c>
      <c r="G732" s="403">
        <f>IFERROR(E732*'01 Prod Physique Boites'!L726,"-")</f>
        <v>0</v>
      </c>
      <c r="H732" s="385">
        <v>27.5</v>
      </c>
      <c r="I732" s="421">
        <f>IFERROR(H732*(F732/E732),"-")</f>
        <v>0</v>
      </c>
      <c r="J732" s="422">
        <f t="shared" si="408"/>
        <v>0</v>
      </c>
    </row>
    <row r="733" spans="1:10" ht="24" x14ac:dyDescent="0.25">
      <c r="A733" s="274" t="s">
        <v>103</v>
      </c>
      <c r="B733" s="966"/>
      <c r="C733" s="295" t="s">
        <v>362</v>
      </c>
      <c r="D733" s="295" t="s">
        <v>181</v>
      </c>
      <c r="E733" s="384">
        <v>22.820599999999999</v>
      </c>
      <c r="F733" s="402">
        <f>IFERROR(E733*'01 Prod Physique Boites'!H727,"-")</f>
        <v>0</v>
      </c>
      <c r="G733" s="403">
        <f>IFERROR(E733*'01 Prod Physique Boites'!L727,"-")</f>
        <v>0</v>
      </c>
      <c r="H733" s="385">
        <v>27.5</v>
      </c>
      <c r="I733" s="421">
        <f>IFERROR(H733*(F733/E733),"-")</f>
        <v>0</v>
      </c>
      <c r="J733" s="422">
        <f t="shared" si="408"/>
        <v>0</v>
      </c>
    </row>
    <row r="734" spans="1:10" ht="24.75" thickBot="1" x14ac:dyDescent="0.3">
      <c r="A734" s="274" t="s">
        <v>103</v>
      </c>
      <c r="B734" s="967"/>
      <c r="C734" s="279" t="s">
        <v>182</v>
      </c>
      <c r="D734" s="279" t="s">
        <v>93</v>
      </c>
      <c r="E734" s="386">
        <v>23.5685</v>
      </c>
      <c r="F734" s="402">
        <f>IFERROR(E734*'01 Prod Physique Boites'!H728,"-")</f>
        <v>0</v>
      </c>
      <c r="G734" s="403">
        <f>IFERROR(E734*'01 Prod Physique Boites'!L728,"-")</f>
        <v>0</v>
      </c>
      <c r="H734" s="387">
        <v>24</v>
      </c>
      <c r="I734" s="423">
        <f>IFERROR(H734*(F734/E734),"-")</f>
        <v>0</v>
      </c>
      <c r="J734" s="424">
        <f t="shared" si="408"/>
        <v>0</v>
      </c>
    </row>
    <row r="735" spans="1:10" ht="23.25" thickBot="1" x14ac:dyDescent="0.3">
      <c r="A735" s="274" t="s">
        <v>103</v>
      </c>
      <c r="B735" s="946" t="s">
        <v>48</v>
      </c>
      <c r="C735" s="947"/>
      <c r="D735" s="948"/>
      <c r="E735" s="390"/>
      <c r="F735" s="406">
        <f t="shared" ref="F735:G735" si="409">SUM(F731:F734)</f>
        <v>0</v>
      </c>
      <c r="G735" s="407">
        <f t="shared" si="409"/>
        <v>0</v>
      </c>
      <c r="H735" s="391"/>
      <c r="I735" s="406">
        <f t="shared" ref="I735:J735" si="410">SUM(I731:I734)</f>
        <v>0</v>
      </c>
      <c r="J735" s="425">
        <f t="shared" si="410"/>
        <v>0</v>
      </c>
    </row>
    <row r="736" spans="1:10" ht="24" x14ac:dyDescent="0.25">
      <c r="A736" s="274" t="s">
        <v>103</v>
      </c>
      <c r="B736" s="965" t="s">
        <v>23</v>
      </c>
      <c r="C736" s="296" t="s">
        <v>308</v>
      </c>
      <c r="D736" s="296" t="s">
        <v>238</v>
      </c>
      <c r="E736" s="380">
        <v>101.4935</v>
      </c>
      <c r="F736" s="402">
        <f>IFERROR(E736*'01 Prod Physique Boites'!H730,"-")</f>
        <v>0</v>
      </c>
      <c r="G736" s="403">
        <f>IFERROR(E736*'01 Prod Physique Boites'!L730,"-")</f>
        <v>0</v>
      </c>
      <c r="H736" s="385">
        <v>160.44999999999999</v>
      </c>
      <c r="I736" s="419">
        <f t="shared" ref="I736:I744" si="411">IFERROR(H736*(F736/E736),"-")</f>
        <v>0</v>
      </c>
      <c r="J736" s="420">
        <f t="shared" ref="J736:J744" si="412">IFERROR(H736*(G736/E736),"-")</f>
        <v>0</v>
      </c>
    </row>
    <row r="737" spans="1:10" ht="24" x14ac:dyDescent="0.25">
      <c r="A737" s="274" t="s">
        <v>103</v>
      </c>
      <c r="B737" s="966"/>
      <c r="C737" s="275" t="s">
        <v>24</v>
      </c>
      <c r="D737" s="275" t="s">
        <v>238</v>
      </c>
      <c r="E737" s="384">
        <v>101.4935</v>
      </c>
      <c r="F737" s="402">
        <f>IFERROR(E737*'01 Prod Physique Boites'!H731,"-")</f>
        <v>0</v>
      </c>
      <c r="G737" s="403">
        <f>IFERROR(E737*'01 Prod Physique Boites'!L731,"-")</f>
        <v>0</v>
      </c>
      <c r="H737" s="385">
        <v>160.44999999999999</v>
      </c>
      <c r="I737" s="421">
        <f t="shared" si="411"/>
        <v>0</v>
      </c>
      <c r="J737" s="422">
        <f t="shared" si="412"/>
        <v>0</v>
      </c>
    </row>
    <row r="738" spans="1:10" ht="24" x14ac:dyDescent="0.25">
      <c r="A738" s="274" t="s">
        <v>103</v>
      </c>
      <c r="B738" s="966"/>
      <c r="C738" s="275" t="s">
        <v>236</v>
      </c>
      <c r="D738" s="275" t="s">
        <v>238</v>
      </c>
      <c r="E738" s="384">
        <v>101.4935</v>
      </c>
      <c r="F738" s="402">
        <f>IFERROR(E738*'01 Prod Physique Boites'!H732,"-")</f>
        <v>0</v>
      </c>
      <c r="G738" s="403">
        <f>IFERROR(E738*'01 Prod Physique Boites'!L732,"-")</f>
        <v>0</v>
      </c>
      <c r="H738" s="385">
        <v>160.44999999999999</v>
      </c>
      <c r="I738" s="421">
        <f t="shared" si="411"/>
        <v>0</v>
      </c>
      <c r="J738" s="422">
        <f t="shared" si="412"/>
        <v>0</v>
      </c>
    </row>
    <row r="739" spans="1:10" ht="24" x14ac:dyDescent="0.25">
      <c r="A739" s="274" t="s">
        <v>103</v>
      </c>
      <c r="B739" s="966"/>
      <c r="C739" s="275" t="s">
        <v>237</v>
      </c>
      <c r="D739" s="275" t="s">
        <v>238</v>
      </c>
      <c r="E739" s="384">
        <v>101.4935</v>
      </c>
      <c r="F739" s="402">
        <f>IFERROR(E739*'01 Prod Physique Boites'!H733,"-")</f>
        <v>0</v>
      </c>
      <c r="G739" s="403">
        <f>IFERROR(E739*'01 Prod Physique Boites'!L733,"-")</f>
        <v>0</v>
      </c>
      <c r="H739" s="385">
        <v>160.44999999999999</v>
      </c>
      <c r="I739" s="421">
        <f t="shared" si="411"/>
        <v>0</v>
      </c>
      <c r="J739" s="422">
        <f t="shared" si="412"/>
        <v>0</v>
      </c>
    </row>
    <row r="740" spans="1:10" ht="24" x14ac:dyDescent="0.25">
      <c r="A740" s="274" t="s">
        <v>103</v>
      </c>
      <c r="B740" s="966"/>
      <c r="C740" s="295" t="s">
        <v>239</v>
      </c>
      <c r="D740" s="275" t="s">
        <v>238</v>
      </c>
      <c r="E740" s="384">
        <v>101.4935</v>
      </c>
      <c r="F740" s="402">
        <f>IFERROR(E740*'01 Prod Physique Boites'!H734,"-")</f>
        <v>0</v>
      </c>
      <c r="G740" s="403">
        <f>IFERROR(E740*'01 Prod Physique Boites'!L734,"-")</f>
        <v>0</v>
      </c>
      <c r="H740" s="385">
        <v>160.44999999999999</v>
      </c>
      <c r="I740" s="421">
        <f t="shared" si="411"/>
        <v>0</v>
      </c>
      <c r="J740" s="422">
        <f t="shared" si="412"/>
        <v>0</v>
      </c>
    </row>
    <row r="741" spans="1:10" ht="24" x14ac:dyDescent="0.25">
      <c r="A741" s="274" t="s">
        <v>103</v>
      </c>
      <c r="B741" s="966"/>
      <c r="C741" s="295" t="s">
        <v>240</v>
      </c>
      <c r="D741" s="275" t="s">
        <v>238</v>
      </c>
      <c r="E741" s="384">
        <v>101.4935</v>
      </c>
      <c r="F741" s="402">
        <f>IFERROR(E741*'01 Prod Physique Boites'!H735,"-")</f>
        <v>0</v>
      </c>
      <c r="G741" s="403">
        <f>IFERROR(E741*'01 Prod Physique Boites'!L735,"-")</f>
        <v>0</v>
      </c>
      <c r="H741" s="385">
        <v>160.44999999999999</v>
      </c>
      <c r="I741" s="421">
        <f t="shared" si="411"/>
        <v>0</v>
      </c>
      <c r="J741" s="422">
        <f t="shared" si="412"/>
        <v>0</v>
      </c>
    </row>
    <row r="742" spans="1:10" ht="24" x14ac:dyDescent="0.25">
      <c r="A742" s="274" t="s">
        <v>103</v>
      </c>
      <c r="B742" s="966"/>
      <c r="C742" s="295" t="s">
        <v>241</v>
      </c>
      <c r="D742" s="275" t="s">
        <v>243</v>
      </c>
      <c r="E742" s="384">
        <v>101.4935</v>
      </c>
      <c r="F742" s="402">
        <f>IFERROR(E742*'01 Prod Physique Boites'!H736,"-")</f>
        <v>0</v>
      </c>
      <c r="G742" s="403">
        <f>IFERROR(E742*'01 Prod Physique Boites'!L736,"-")</f>
        <v>0</v>
      </c>
      <c r="H742" s="385">
        <v>160.44999999999999</v>
      </c>
      <c r="I742" s="421">
        <f t="shared" si="411"/>
        <v>0</v>
      </c>
      <c r="J742" s="422">
        <f t="shared" si="412"/>
        <v>0</v>
      </c>
    </row>
    <row r="743" spans="1:10" ht="24" x14ac:dyDescent="0.25">
      <c r="A743" s="274"/>
      <c r="B743" s="967"/>
      <c r="C743" s="295" t="s">
        <v>457</v>
      </c>
      <c r="D743" s="275" t="s">
        <v>238</v>
      </c>
      <c r="E743" s="386">
        <v>101.49</v>
      </c>
      <c r="F743" s="402">
        <f>IFERROR(E743*'01 Prod Physique Boites'!H737,"-")</f>
        <v>0</v>
      </c>
      <c r="G743" s="403">
        <f>IFERROR(E743*'01 Prod Physique Boites'!L737,"-")</f>
        <v>0</v>
      </c>
      <c r="H743" s="385">
        <v>160.44999999999999</v>
      </c>
      <c r="I743" s="421">
        <f t="shared" si="411"/>
        <v>0</v>
      </c>
      <c r="J743" s="422">
        <f t="shared" si="412"/>
        <v>0</v>
      </c>
    </row>
    <row r="744" spans="1:10" ht="24.75" thickBot="1" x14ac:dyDescent="0.3">
      <c r="A744" s="274" t="s">
        <v>103</v>
      </c>
      <c r="B744" s="967"/>
      <c r="C744" s="295" t="s">
        <v>242</v>
      </c>
      <c r="D744" s="275" t="s">
        <v>238</v>
      </c>
      <c r="E744" s="386">
        <v>101.4935</v>
      </c>
      <c r="F744" s="402">
        <f>IFERROR(E744*'01 Prod Physique Boites'!H738,"-")</f>
        <v>0</v>
      </c>
      <c r="G744" s="403">
        <f>IFERROR(E744*'01 Prod Physique Boites'!L738,"-")</f>
        <v>0</v>
      </c>
      <c r="H744" s="385">
        <v>160.44999999999999</v>
      </c>
      <c r="I744" s="421">
        <f t="shared" si="411"/>
        <v>0</v>
      </c>
      <c r="J744" s="424">
        <f t="shared" si="412"/>
        <v>0</v>
      </c>
    </row>
    <row r="745" spans="1:10" ht="23.25" thickBot="1" x14ac:dyDescent="0.3">
      <c r="A745" s="274" t="s">
        <v>103</v>
      </c>
      <c r="B745" s="946" t="s">
        <v>49</v>
      </c>
      <c r="C745" s="947"/>
      <c r="D745" s="948"/>
      <c r="E745" s="390"/>
      <c r="F745" s="406">
        <f t="shared" ref="F745" si="413">SUM(F736:F744)</f>
        <v>0</v>
      </c>
      <c r="G745" s="407">
        <f>SUM(G736:G744)</f>
        <v>0</v>
      </c>
      <c r="H745" s="391"/>
      <c r="I745" s="406">
        <f t="shared" ref="I745" si="414">SUM(I736:I744)</f>
        <v>0</v>
      </c>
      <c r="J745" s="425">
        <f>SUM(J736:J744)</f>
        <v>0</v>
      </c>
    </row>
    <row r="746" spans="1:10" ht="23.25" thickBot="1" x14ac:dyDescent="0.3">
      <c r="A746" s="274" t="s">
        <v>103</v>
      </c>
      <c r="B746" s="960" t="s">
        <v>25</v>
      </c>
      <c r="C746" s="961"/>
      <c r="D746" s="962"/>
      <c r="E746" s="393"/>
      <c r="F746" s="410">
        <f t="shared" ref="F746" si="415">+F735+F745</f>
        <v>0</v>
      </c>
      <c r="G746" s="411">
        <f>+G735+G745</f>
        <v>0</v>
      </c>
      <c r="H746" s="394"/>
      <c r="I746" s="410">
        <f t="shared" ref="I746:J746" si="416">+I735+I745</f>
        <v>0</v>
      </c>
      <c r="J746" s="428">
        <f t="shared" si="416"/>
        <v>0</v>
      </c>
    </row>
    <row r="747" spans="1:10" ht="23.25" thickBot="1" x14ac:dyDescent="0.3">
      <c r="A747" s="274" t="s">
        <v>103</v>
      </c>
      <c r="B747" s="963" t="s">
        <v>172</v>
      </c>
      <c r="C747" s="941"/>
      <c r="D747" s="942"/>
      <c r="E747" s="395"/>
      <c r="F747" s="412">
        <f t="shared" ref="F747" si="417">+F730+F746</f>
        <v>2290132.4248000002</v>
      </c>
      <c r="G747" s="413">
        <f>+G730+G746</f>
        <v>18078654.957199998</v>
      </c>
      <c r="H747" s="396"/>
      <c r="I747" s="412">
        <f t="shared" ref="I747:J747" si="418">+I730+I746</f>
        <v>1881900.0000000002</v>
      </c>
      <c r="J747" s="429">
        <f t="shared" si="418"/>
        <v>19525587.600000001</v>
      </c>
    </row>
    <row r="748" spans="1:10" ht="24" x14ac:dyDescent="0.25">
      <c r="A748" s="268" t="s">
        <v>101</v>
      </c>
      <c r="B748" s="956" t="s">
        <v>26</v>
      </c>
      <c r="C748" s="297" t="s">
        <v>297</v>
      </c>
      <c r="D748" s="299" t="s">
        <v>177</v>
      </c>
      <c r="E748" s="504">
        <v>13.1272</v>
      </c>
      <c r="F748" s="402">
        <f>IFERROR(E748*'01 Prod Physique Boites'!H742,"-")</f>
        <v>0</v>
      </c>
      <c r="G748" s="403">
        <f>IFERROR(E748*'01 Prod Physique Boites'!L742,"-")</f>
        <v>0</v>
      </c>
      <c r="H748" s="381">
        <v>20.76</v>
      </c>
      <c r="I748" s="419">
        <f t="shared" ref="I748:I757" si="419">IFERROR(H748*(F748/E748),"-")</f>
        <v>0</v>
      </c>
      <c r="J748" s="632">
        <f t="shared" ref="J748:J757" si="420">IFERROR(H748*(G748/E748),"-")</f>
        <v>0</v>
      </c>
    </row>
    <row r="749" spans="1:10" ht="24" x14ac:dyDescent="0.25">
      <c r="A749" s="274" t="s">
        <v>101</v>
      </c>
      <c r="B749" s="956"/>
      <c r="C749" s="298" t="s">
        <v>424</v>
      </c>
      <c r="D749" s="298" t="s">
        <v>423</v>
      </c>
      <c r="E749" s="505">
        <v>16.7288</v>
      </c>
      <c r="F749" s="402">
        <f>IFERROR(E749*'01 Prod Physique Boites'!H743,"-")</f>
        <v>0</v>
      </c>
      <c r="G749" s="403">
        <f>IFERROR(E749*'01 Prod Physique Boites'!L743,"-")</f>
        <v>4392112.9824000001</v>
      </c>
      <c r="H749" s="385">
        <v>20.76</v>
      </c>
      <c r="I749" s="421">
        <f t="shared" si="419"/>
        <v>0</v>
      </c>
      <c r="J749" s="633">
        <f t="shared" si="420"/>
        <v>5450496.4800000004</v>
      </c>
    </row>
    <row r="750" spans="1:10" ht="24" x14ac:dyDescent="0.25">
      <c r="A750" s="274" t="s">
        <v>101</v>
      </c>
      <c r="B750" s="956"/>
      <c r="C750" s="813" t="s">
        <v>460</v>
      </c>
      <c r="D750" s="814" t="s">
        <v>334</v>
      </c>
      <c r="E750" s="501">
        <v>14.608000000000001</v>
      </c>
      <c r="F750" s="402">
        <f>IFERROR(E750*'01 Prod Physique Boites'!H744,"-")</f>
        <v>290553.12</v>
      </c>
      <c r="G750" s="403">
        <f>IFERROR(E750*'01 Prod Physique Boites'!L744,"-")</f>
        <v>406774.36800000002</v>
      </c>
      <c r="H750" s="385">
        <v>21.22</v>
      </c>
      <c r="I750" s="643">
        <f t="shared" si="419"/>
        <v>422065.8</v>
      </c>
      <c r="J750" s="633">
        <f t="shared" si="420"/>
        <v>590892.12</v>
      </c>
    </row>
    <row r="751" spans="1:10" ht="24" x14ac:dyDescent="0.25">
      <c r="A751" s="274" t="s">
        <v>101</v>
      </c>
      <c r="B751" s="956"/>
      <c r="C751" s="299" t="s">
        <v>27</v>
      </c>
      <c r="D751" s="297" t="s">
        <v>492</v>
      </c>
      <c r="E751" s="501">
        <v>17.8202</v>
      </c>
      <c r="F751" s="402">
        <f>IFERROR(E751*'01 Prod Physique Boites'!H745,"-")</f>
        <v>70888.755600000004</v>
      </c>
      <c r="G751" s="403">
        <f>IFERROR(E751*'01 Prod Physique Boites'!L745,"-")</f>
        <v>4820435.3808000004</v>
      </c>
      <c r="H751" s="385">
        <v>26.75</v>
      </c>
      <c r="I751" s="643">
        <f t="shared" si="419"/>
        <v>106411.50000000001</v>
      </c>
      <c r="J751" s="633">
        <f t="shared" si="420"/>
        <v>7235982</v>
      </c>
    </row>
    <row r="752" spans="1:10" ht="24" x14ac:dyDescent="0.25">
      <c r="A752" s="274" t="s">
        <v>101</v>
      </c>
      <c r="B752" s="956"/>
      <c r="C752" s="297" t="s">
        <v>521</v>
      </c>
      <c r="D752" s="299" t="s">
        <v>234</v>
      </c>
      <c r="E752" s="501">
        <v>14.608000000000001</v>
      </c>
      <c r="F752" s="402">
        <f>IFERROR(E752*'01 Prod Physique Boites'!H746,"-")</f>
        <v>290553.12</v>
      </c>
      <c r="G752" s="403">
        <f>IFERROR(E752*'01 Prod Physique Boites'!L746,"-")</f>
        <v>290553.12</v>
      </c>
      <c r="H752" s="385">
        <v>24.93</v>
      </c>
      <c r="I752" s="643">
        <f t="shared" si="419"/>
        <v>495857.7</v>
      </c>
      <c r="J752" s="633">
        <f t="shared" si="420"/>
        <v>495857.7</v>
      </c>
    </row>
    <row r="753" spans="1:10" ht="24" x14ac:dyDescent="0.25">
      <c r="A753" s="274"/>
      <c r="B753" s="956"/>
      <c r="C753" s="299" t="s">
        <v>437</v>
      </c>
      <c r="D753" s="299" t="s">
        <v>178</v>
      </c>
      <c r="E753" s="501">
        <v>14.608000000000001</v>
      </c>
      <c r="F753" s="402">
        <f>IFERROR(E753*'01 Prod Physique Boites'!H747,"-")</f>
        <v>0</v>
      </c>
      <c r="G753" s="403">
        <f>IFERROR(E753*'01 Prod Physique Boites'!L747,"-")</f>
        <v>0</v>
      </c>
      <c r="H753" s="387">
        <v>24.93</v>
      </c>
      <c r="I753" s="643">
        <f t="shared" si="419"/>
        <v>0</v>
      </c>
      <c r="J753" s="634">
        <f t="shared" si="420"/>
        <v>0</v>
      </c>
    </row>
    <row r="754" spans="1:10" ht="24" x14ac:dyDescent="0.25">
      <c r="A754" s="274"/>
      <c r="B754" s="956"/>
      <c r="C754" s="299" t="s">
        <v>436</v>
      </c>
      <c r="D754" s="299" t="s">
        <v>94</v>
      </c>
      <c r="E754" s="501">
        <v>17.8202</v>
      </c>
      <c r="F754" s="724">
        <f>IFERROR(E754*'01 Prod Physique Boites'!H748,"-")</f>
        <v>0</v>
      </c>
      <c r="G754" s="403">
        <f>IFERROR(E754*'01 Prod Physique Boites'!L748,"-")</f>
        <v>0</v>
      </c>
      <c r="H754" s="387">
        <v>24.93</v>
      </c>
      <c r="I754" s="730">
        <f t="shared" si="419"/>
        <v>0</v>
      </c>
      <c r="J754" s="634">
        <f t="shared" si="420"/>
        <v>0</v>
      </c>
    </row>
    <row r="755" spans="1:10" s="731" customFormat="1" ht="24" x14ac:dyDescent="0.25">
      <c r="A755" s="725"/>
      <c r="B755" s="956"/>
      <c r="C755" s="726" t="s">
        <v>383</v>
      </c>
      <c r="D755" s="726" t="s">
        <v>384</v>
      </c>
      <c r="E755" s="727">
        <v>16.345199999999998</v>
      </c>
      <c r="F755" s="724">
        <f>IFERROR(E755*'01 Prod Physique Boites'!H749,"-")</f>
        <v>0</v>
      </c>
      <c r="G755" s="728">
        <f>IFERROR(E755*'01 Prod Physique Boites'!L749,"-")</f>
        <v>0</v>
      </c>
      <c r="H755" s="729">
        <v>23.78</v>
      </c>
      <c r="I755" s="730">
        <f t="shared" si="419"/>
        <v>0</v>
      </c>
      <c r="J755" s="634">
        <f t="shared" si="420"/>
        <v>0</v>
      </c>
    </row>
    <row r="756" spans="1:10" s="731" customFormat="1" ht="24" x14ac:dyDescent="0.25">
      <c r="A756" s="725"/>
      <c r="B756" s="956"/>
      <c r="C756" s="299" t="s">
        <v>433</v>
      </c>
      <c r="D756" s="299" t="s">
        <v>178</v>
      </c>
      <c r="E756" s="727">
        <v>16.7288</v>
      </c>
      <c r="F756" s="724">
        <f>IFERROR(E756*'01 Prod Physique Boites'!H750,"-")</f>
        <v>0</v>
      </c>
      <c r="G756" s="728">
        <f>IFERROR(E756*'01 Prod Physique Boites'!L750,"-")</f>
        <v>0</v>
      </c>
      <c r="H756" s="729">
        <v>25.49</v>
      </c>
      <c r="I756" s="730">
        <f t="shared" si="419"/>
        <v>0</v>
      </c>
      <c r="J756" s="634">
        <f t="shared" si="420"/>
        <v>0</v>
      </c>
    </row>
    <row r="757" spans="1:10" ht="24.75" thickBot="1" x14ac:dyDescent="0.3">
      <c r="A757" s="274" t="s">
        <v>101</v>
      </c>
      <c r="B757" s="956"/>
      <c r="C757" s="300" t="s">
        <v>290</v>
      </c>
      <c r="D757" s="299" t="s">
        <v>289</v>
      </c>
      <c r="E757" s="501">
        <v>12.6997</v>
      </c>
      <c r="F757" s="402">
        <f>IFERROR(E757*'01 Prod Physique Boites'!H751,"-")</f>
        <v>0</v>
      </c>
      <c r="G757" s="728">
        <f>IFERROR(E757*'01 Prod Physique Boites'!L751,"-")</f>
        <v>0</v>
      </c>
      <c r="H757" s="387">
        <v>13.25</v>
      </c>
      <c r="I757" s="730">
        <f t="shared" si="419"/>
        <v>0</v>
      </c>
      <c r="J757" s="634">
        <f t="shared" si="420"/>
        <v>0</v>
      </c>
    </row>
    <row r="758" spans="1:10" ht="23.25" thickBot="1" x14ac:dyDescent="0.3">
      <c r="A758" s="274" t="s">
        <v>101</v>
      </c>
      <c r="B758" s="969"/>
      <c r="C758" s="301"/>
      <c r="D758" s="302" t="s">
        <v>52</v>
      </c>
      <c r="E758" s="390"/>
      <c r="F758" s="406">
        <f>SUM(F748:F757)</f>
        <v>651994.99560000002</v>
      </c>
      <c r="G758" s="407">
        <f>SUM(G748:G757)</f>
        <v>9909875.8511999995</v>
      </c>
      <c r="H758" s="391"/>
      <c r="I758" s="406">
        <f>SUM(I748:I757)</f>
        <v>1024335</v>
      </c>
      <c r="J758" s="425">
        <f>SUM(J748:J757)</f>
        <v>13773228.300000001</v>
      </c>
    </row>
    <row r="759" spans="1:10" ht="24" x14ac:dyDescent="0.25">
      <c r="A759" s="274" t="s">
        <v>101</v>
      </c>
      <c r="B759" s="955" t="s">
        <v>28</v>
      </c>
      <c r="C759" s="299" t="s">
        <v>27</v>
      </c>
      <c r="D759" s="297" t="s">
        <v>492</v>
      </c>
      <c r="E759" s="504">
        <v>17.8202</v>
      </c>
      <c r="F759" s="402">
        <f>IFERROR(E759*'01 Prod Physique Boites'!H753,"-")</f>
        <v>567110.04480000003</v>
      </c>
      <c r="G759" s="403">
        <f>IFERROR(E759*'01 Prod Physique Boites'!L753,"-")</f>
        <v>2835550.2239999999</v>
      </c>
      <c r="H759" s="381">
        <v>26.75</v>
      </c>
      <c r="I759" s="419">
        <f t="shared" ref="I759:I765" si="421">IFERROR(H759*(F759/E759),"-")</f>
        <v>851292.00000000012</v>
      </c>
      <c r="J759" s="632">
        <f t="shared" ref="J759:J760" si="422">IFERROR(H759*(G759/E759),"-")</f>
        <v>4256460</v>
      </c>
    </row>
    <row r="760" spans="1:10" ht="24" x14ac:dyDescent="0.25">
      <c r="A760" s="274" t="s">
        <v>101</v>
      </c>
      <c r="B760" s="956"/>
      <c r="C760" s="299" t="s">
        <v>386</v>
      </c>
      <c r="D760" s="299" t="s">
        <v>334</v>
      </c>
      <c r="E760" s="711">
        <v>16.7288</v>
      </c>
      <c r="F760" s="402">
        <f>IFERROR(E760*'01 Prod Physique Boites'!H754,"-")</f>
        <v>0</v>
      </c>
      <c r="G760" s="728">
        <f>IFERROR(E760*'01 Prod Physique Boites'!L754,"-")</f>
        <v>1597131.9935999999</v>
      </c>
      <c r="H760" s="708">
        <v>20.76</v>
      </c>
      <c r="I760" s="421">
        <f t="shared" si="421"/>
        <v>0</v>
      </c>
      <c r="J760" s="633">
        <f t="shared" si="422"/>
        <v>1981998.7200000002</v>
      </c>
    </row>
    <row r="761" spans="1:10" ht="24" x14ac:dyDescent="0.25">
      <c r="A761" s="274" t="s">
        <v>101</v>
      </c>
      <c r="B761" s="956"/>
      <c r="C761" s="299" t="s">
        <v>385</v>
      </c>
      <c r="D761" s="299" t="s">
        <v>334</v>
      </c>
      <c r="E761" s="501">
        <v>17.8202</v>
      </c>
      <c r="F761" s="402">
        <f>IFERROR(E761*'01 Prod Physique Boites'!H755,"-")</f>
        <v>0</v>
      </c>
      <c r="G761" s="403">
        <f>IFERROR(E761*'01 Prod Physique Boites'!L755,"-")</f>
        <v>0</v>
      </c>
      <c r="H761" s="385">
        <v>21.22</v>
      </c>
      <c r="I761" s="421">
        <f t="shared" si="421"/>
        <v>0</v>
      </c>
      <c r="J761" s="633">
        <f>IFERROR(H761*(G761/E761),"-")</f>
        <v>0</v>
      </c>
    </row>
    <row r="762" spans="1:10" ht="24" x14ac:dyDescent="0.25">
      <c r="A762" s="274"/>
      <c r="B762" s="956"/>
      <c r="C762" s="299" t="s">
        <v>460</v>
      </c>
      <c r="D762" s="299" t="s">
        <v>334</v>
      </c>
      <c r="E762" s="501">
        <v>14.608000000000001</v>
      </c>
      <c r="F762" s="402">
        <f>IFERROR(E762*'01 Prod Physique Boites'!H756,"-")</f>
        <v>0</v>
      </c>
      <c r="G762" s="403">
        <f>IFERROR(E762*'01 Prod Physique Boites'!L756,"-")</f>
        <v>0</v>
      </c>
      <c r="H762" s="385">
        <v>21.22</v>
      </c>
      <c r="I762" s="421">
        <f t="shared" si="421"/>
        <v>0</v>
      </c>
      <c r="J762" s="633">
        <f>IFERROR(H762*(G762/E762),"-")</f>
        <v>0</v>
      </c>
    </row>
    <row r="763" spans="1:10" ht="24" x14ac:dyDescent="0.25">
      <c r="A763" s="274"/>
      <c r="B763" s="956"/>
      <c r="C763" s="299" t="s">
        <v>383</v>
      </c>
      <c r="D763" s="299" t="s">
        <v>384</v>
      </c>
      <c r="E763" s="711">
        <v>16.345199999999998</v>
      </c>
      <c r="F763" s="402">
        <f>IFERROR(E763*'01 Prod Physique Boites'!H757,"-")</f>
        <v>0</v>
      </c>
      <c r="G763" s="403">
        <f>IFERROR(E763*'01 Prod Physique Boites'!L757,"-")</f>
        <v>0</v>
      </c>
      <c r="H763" s="385">
        <v>23.78</v>
      </c>
      <c r="I763" s="423">
        <f t="shared" si="421"/>
        <v>0</v>
      </c>
      <c r="J763" s="634">
        <f t="shared" ref="J763:J765" si="423">IFERROR(H763*(G763/E763),"-")</f>
        <v>0</v>
      </c>
    </row>
    <row r="764" spans="1:10" ht="24" x14ac:dyDescent="0.25">
      <c r="A764" s="274"/>
      <c r="B764" s="956"/>
      <c r="C764" s="299" t="s">
        <v>458</v>
      </c>
      <c r="D764" s="300" t="s">
        <v>280</v>
      </c>
      <c r="E764" s="711">
        <v>17.8202</v>
      </c>
      <c r="F764" s="402">
        <f>IFERROR(E764*'01 Prod Physique Boites'!H758,"-")</f>
        <v>0</v>
      </c>
      <c r="G764" s="403">
        <f>IFERROR(E764*'01 Prod Physique Boites'!L758,"-")</f>
        <v>0</v>
      </c>
      <c r="H764" s="385">
        <v>24.93</v>
      </c>
      <c r="I764" s="730">
        <f t="shared" si="421"/>
        <v>0</v>
      </c>
      <c r="J764" s="634">
        <f t="shared" si="423"/>
        <v>0</v>
      </c>
    </row>
    <row r="765" spans="1:10" ht="24.75" thickBot="1" x14ac:dyDescent="0.3">
      <c r="A765" s="274" t="s">
        <v>101</v>
      </c>
      <c r="B765" s="956"/>
      <c r="C765" s="299" t="s">
        <v>27</v>
      </c>
      <c r="D765" s="300" t="s">
        <v>234</v>
      </c>
      <c r="E765" s="501">
        <v>17.8202</v>
      </c>
      <c r="F765" s="402">
        <f>IFERROR(E765*'01 Prod Physique Boites'!H759,"-")</f>
        <v>0</v>
      </c>
      <c r="G765" s="403">
        <f>IFERROR(E765*'01 Prod Physique Boites'!L759,"-")</f>
        <v>0</v>
      </c>
      <c r="H765" s="385">
        <v>24.93</v>
      </c>
      <c r="I765" s="423">
        <f t="shared" si="421"/>
        <v>0</v>
      </c>
      <c r="J765" s="634">
        <f t="shared" si="423"/>
        <v>0</v>
      </c>
    </row>
    <row r="766" spans="1:10" ht="23.25" thickBot="1" x14ac:dyDescent="0.3">
      <c r="A766" s="274" t="s">
        <v>101</v>
      </c>
      <c r="B766" s="956"/>
      <c r="C766" s="304"/>
      <c r="D766" s="305" t="s">
        <v>52</v>
      </c>
      <c r="E766" s="397"/>
      <c r="F766" s="414">
        <f t="shared" ref="F766:G766" si="424">SUM(F759:F765)</f>
        <v>567110.04480000003</v>
      </c>
      <c r="G766" s="415">
        <f t="shared" si="424"/>
        <v>4432682.2176000001</v>
      </c>
      <c r="H766" s="398"/>
      <c r="I766" s="414">
        <f t="shared" ref="I766:J766" si="425">SUM(I759:I765)</f>
        <v>851292.00000000012</v>
      </c>
      <c r="J766" s="430">
        <f t="shared" si="425"/>
        <v>6238458.7200000007</v>
      </c>
    </row>
    <row r="767" spans="1:10" ht="23.25" thickBot="1" x14ac:dyDescent="0.3">
      <c r="A767" s="812" t="s">
        <v>101</v>
      </c>
      <c r="B767" s="957" t="s">
        <v>162</v>
      </c>
      <c r="C767" s="958"/>
      <c r="D767" s="959"/>
      <c r="E767" s="399"/>
      <c r="F767" s="416">
        <f t="shared" ref="F767:G767" si="426">+F758+F766</f>
        <v>1219105.0404000001</v>
      </c>
      <c r="G767" s="417">
        <f t="shared" si="426"/>
        <v>14342558.068799999</v>
      </c>
      <c r="H767" s="400"/>
      <c r="I767" s="416">
        <f t="shared" ref="I767:J767" si="427">+I758+I766</f>
        <v>1875627</v>
      </c>
      <c r="J767" s="431">
        <f t="shared" si="427"/>
        <v>20011687.020000003</v>
      </c>
    </row>
    <row r="768" spans="1:10" ht="24" x14ac:dyDescent="0.25">
      <c r="A768" s="274" t="s">
        <v>101</v>
      </c>
      <c r="B768" s="956" t="s">
        <v>30</v>
      </c>
      <c r="C768" s="303" t="s">
        <v>450</v>
      </c>
      <c r="D768" s="299" t="s">
        <v>334</v>
      </c>
      <c r="E768" s="736">
        <v>27.917000000000002</v>
      </c>
      <c r="F768" s="402">
        <f>IFERROR(E768*'01 Prod Physique Boites'!H762,"-")</f>
        <v>0</v>
      </c>
      <c r="G768" s="728">
        <f>IFERROR(E768*'01 Prod Physique Boites'!L762,"-")</f>
        <v>0</v>
      </c>
      <c r="H768" s="734">
        <v>33.299999999999997</v>
      </c>
      <c r="I768" s="419">
        <f>IFERROR(H768*(F768/E768),"-")</f>
        <v>0</v>
      </c>
      <c r="J768" s="420">
        <f t="shared" ref="J768:J770" si="428">IFERROR(H768*(G768/E768),"-")</f>
        <v>0</v>
      </c>
    </row>
    <row r="769" spans="1:10" ht="24" x14ac:dyDescent="0.25">
      <c r="A769" s="274" t="s">
        <v>101</v>
      </c>
      <c r="B769" s="956"/>
      <c r="C769" s="300" t="s">
        <v>448</v>
      </c>
      <c r="D769" s="303" t="s">
        <v>384</v>
      </c>
      <c r="E769" s="733">
        <v>28.526700000000002</v>
      </c>
      <c r="F769" s="402">
        <f>IFERROR(E769*'01 Prod Physique Boites'!H763,"-")</f>
        <v>0</v>
      </c>
      <c r="G769" s="728">
        <f>IFERROR(E769*'01 Prod Physique Boites'!L763,"-")</f>
        <v>0</v>
      </c>
      <c r="H769" s="735">
        <v>37.89</v>
      </c>
      <c r="I769" s="421">
        <f>IFERROR(H769*(F769/E769),"-")</f>
        <v>0</v>
      </c>
      <c r="J769" s="422">
        <f t="shared" si="428"/>
        <v>0</v>
      </c>
    </row>
    <row r="770" spans="1:10" ht="24.75" thickBot="1" x14ac:dyDescent="0.3">
      <c r="A770" s="274" t="s">
        <v>101</v>
      </c>
      <c r="B770" s="956"/>
      <c r="C770" s="300" t="s">
        <v>291</v>
      </c>
      <c r="D770" s="300" t="s">
        <v>384</v>
      </c>
      <c r="E770" s="501">
        <v>25.751300000000001</v>
      </c>
      <c r="F770" s="724">
        <f>IFERROR(E770*'01 Prod Physique Boites'!H764,"-")</f>
        <v>0</v>
      </c>
      <c r="G770" s="728">
        <f>IFERROR(E770*'01 Prod Physique Boites'!L764,"-")</f>
        <v>0</v>
      </c>
      <c r="H770" s="387">
        <v>37.89</v>
      </c>
      <c r="I770" s="423">
        <f>IFERROR(H770*(F770/E770),"-")</f>
        <v>0</v>
      </c>
      <c r="J770" s="424">
        <f t="shared" si="428"/>
        <v>0</v>
      </c>
    </row>
    <row r="771" spans="1:10" ht="23.25" thickBot="1" x14ac:dyDescent="0.3">
      <c r="A771" s="274" t="s">
        <v>101</v>
      </c>
      <c r="B771" s="956"/>
      <c r="C771" s="301"/>
      <c r="D771" s="302" t="s">
        <v>50</v>
      </c>
      <c r="E771" s="390"/>
      <c r="F771" s="406">
        <f t="shared" ref="F771:G771" si="429">SUM(F768:F770)</f>
        <v>0</v>
      </c>
      <c r="G771" s="407">
        <f t="shared" si="429"/>
        <v>0</v>
      </c>
      <c r="H771" s="391"/>
      <c r="I771" s="406">
        <f t="shared" ref="I771" si="430">SUM(I768:I770)</f>
        <v>0</v>
      </c>
      <c r="J771" s="425">
        <f>SUM(J768:J770)</f>
        <v>0</v>
      </c>
    </row>
    <row r="772" spans="1:10" ht="24" x14ac:dyDescent="0.25">
      <c r="A772" s="274" t="s">
        <v>101</v>
      </c>
      <c r="B772" s="956"/>
      <c r="C772" s="297" t="s">
        <v>439</v>
      </c>
      <c r="D772" s="297" t="s">
        <v>92</v>
      </c>
      <c r="E772" s="504">
        <v>24.2607</v>
      </c>
      <c r="F772" s="402">
        <f>IFERROR(E772*'01 Prod Physique Boites'!H766,"-")</f>
        <v>0</v>
      </c>
      <c r="G772" s="728">
        <f>IFERROR(E772*'01 Prod Physique Boites'!L766,"-")</f>
        <v>0</v>
      </c>
      <c r="H772" s="381">
        <v>28.31</v>
      </c>
      <c r="I772" s="638">
        <f>IFERROR(H772*(F772/E772),"-")</f>
        <v>0</v>
      </c>
      <c r="J772" s="420">
        <f t="shared" ref="J772:J777" si="431">IFERROR(H772*(G772/E772),"-")</f>
        <v>0</v>
      </c>
    </row>
    <row r="773" spans="1:10" ht="24" x14ac:dyDescent="0.25">
      <c r="A773" s="274"/>
      <c r="B773" s="956"/>
      <c r="C773" s="303" t="s">
        <v>449</v>
      </c>
      <c r="D773" s="299" t="s">
        <v>334</v>
      </c>
      <c r="E773" s="504">
        <v>24.2607</v>
      </c>
      <c r="F773" s="402">
        <f>IFERROR(E773*'01 Prod Physique Boites'!H767,"-")</f>
        <v>0</v>
      </c>
      <c r="G773" s="728">
        <f>IFERROR(E773*'01 Prod Physique Boites'!L767,"-")</f>
        <v>0</v>
      </c>
      <c r="H773" s="381">
        <v>28.88</v>
      </c>
      <c r="I773" s="638">
        <f t="shared" ref="I773:I777" si="432">IFERROR(H773*(F773/E773),"-")</f>
        <v>0</v>
      </c>
      <c r="J773" s="420">
        <f t="shared" si="431"/>
        <v>0</v>
      </c>
    </row>
    <row r="774" spans="1:10" ht="24" x14ac:dyDescent="0.25">
      <c r="A774" s="274"/>
      <c r="B774" s="956"/>
      <c r="C774" s="303" t="s">
        <v>452</v>
      </c>
      <c r="D774" s="299" t="s">
        <v>334</v>
      </c>
      <c r="E774" s="504">
        <v>25.4041</v>
      </c>
      <c r="F774" s="402">
        <f>IFERROR(E774*'01 Prod Physique Boites'!H768,"-")</f>
        <v>0</v>
      </c>
      <c r="G774" s="728">
        <f>IFERROR(E774*'01 Prod Physique Boites'!L768,"-")</f>
        <v>0</v>
      </c>
      <c r="H774" s="381">
        <v>28.21</v>
      </c>
      <c r="I774" s="638">
        <f t="shared" si="432"/>
        <v>0</v>
      </c>
      <c r="J774" s="420">
        <f t="shared" si="431"/>
        <v>0</v>
      </c>
    </row>
    <row r="775" spans="1:10" ht="24" x14ac:dyDescent="0.25">
      <c r="A775" s="274" t="s">
        <v>101</v>
      </c>
      <c r="B775" s="956"/>
      <c r="C775" s="303" t="s">
        <v>501</v>
      </c>
      <c r="D775" s="300" t="s">
        <v>423</v>
      </c>
      <c r="E775" s="505">
        <v>23.697399999999998</v>
      </c>
      <c r="F775" s="724">
        <f>IFERROR(E775*'01 Prod Physique Boites'!H769,"-")</f>
        <v>0</v>
      </c>
      <c r="G775" s="728">
        <f>IFERROR(E775*'01 Prod Physique Boites'!L769,"-")</f>
        <v>177446.13119999997</v>
      </c>
      <c r="H775" s="385">
        <v>28.21</v>
      </c>
      <c r="I775" s="638">
        <f t="shared" si="432"/>
        <v>0</v>
      </c>
      <c r="J775" s="420">
        <f t="shared" si="431"/>
        <v>211236.47999999998</v>
      </c>
    </row>
    <row r="776" spans="1:10" ht="24" x14ac:dyDescent="0.25">
      <c r="A776" s="274"/>
      <c r="B776" s="956"/>
      <c r="C776" s="300" t="s">
        <v>459</v>
      </c>
      <c r="D776" s="300" t="s">
        <v>366</v>
      </c>
      <c r="E776" s="501">
        <v>22.094999999999999</v>
      </c>
      <c r="F776" s="724">
        <f>IFERROR(E776*'01 Prod Physique Boites'!H770,"-")</f>
        <v>0</v>
      </c>
      <c r="G776" s="728">
        <f>IFERROR(E776*'01 Prod Physique Boites'!L770,"-")</f>
        <v>0</v>
      </c>
      <c r="H776" s="745">
        <v>37.11</v>
      </c>
      <c r="I776" s="638">
        <f t="shared" si="432"/>
        <v>0</v>
      </c>
      <c r="J776" s="420">
        <f t="shared" si="431"/>
        <v>0</v>
      </c>
    </row>
    <row r="777" spans="1:10" ht="24.75" thickBot="1" x14ac:dyDescent="0.3">
      <c r="A777" s="274" t="s">
        <v>101</v>
      </c>
      <c r="B777" s="956"/>
      <c r="C777" s="300" t="s">
        <v>438</v>
      </c>
      <c r="D777" s="300" t="s">
        <v>423</v>
      </c>
      <c r="E777" s="501">
        <v>23.697399999999998</v>
      </c>
      <c r="F777" s="402">
        <f>IFERROR(E777*'01 Prod Physique Boites'!H771,"-")</f>
        <v>0</v>
      </c>
      <c r="G777" s="403">
        <f>IFERROR(E777*'01 Prod Physique Boites'!L771,"-")</f>
        <v>0</v>
      </c>
      <c r="H777" s="387">
        <v>28.21</v>
      </c>
      <c r="I777" s="638">
        <f t="shared" si="432"/>
        <v>0</v>
      </c>
      <c r="J777" s="420">
        <f t="shared" si="431"/>
        <v>0</v>
      </c>
    </row>
    <row r="778" spans="1:10" ht="23.25" thickBot="1" x14ac:dyDescent="0.3">
      <c r="A778" s="274" t="s">
        <v>101</v>
      </c>
      <c r="B778" s="956"/>
      <c r="C778" s="304"/>
      <c r="D778" s="305" t="s">
        <v>51</v>
      </c>
      <c r="E778" s="397"/>
      <c r="F778" s="414">
        <f t="shared" ref="F778:G778" si="433">SUM(F772:F777)</f>
        <v>0</v>
      </c>
      <c r="G778" s="415">
        <f t="shared" si="433"/>
        <v>177446.13119999997</v>
      </c>
      <c r="H778" s="398"/>
      <c r="I778" s="414">
        <f t="shared" ref="I778" si="434">SUM(I772:I777)</f>
        <v>0</v>
      </c>
      <c r="J778" s="430">
        <f>SUM(J772:J777)</f>
        <v>211236.47999999998</v>
      </c>
    </row>
    <row r="779" spans="1:10" ht="23.25" thickBot="1" x14ac:dyDescent="0.3">
      <c r="A779" s="274" t="s">
        <v>101</v>
      </c>
      <c r="B779" s="957" t="s">
        <v>163</v>
      </c>
      <c r="C779" s="958"/>
      <c r="D779" s="959"/>
      <c r="E779" s="399"/>
      <c r="F779" s="416">
        <f t="shared" ref="F779:G779" si="435">+F771+F778</f>
        <v>0</v>
      </c>
      <c r="G779" s="417">
        <f t="shared" si="435"/>
        <v>177446.13119999997</v>
      </c>
      <c r="H779" s="400"/>
      <c r="I779" s="416">
        <f t="shared" ref="I779:J779" si="436">+I771+I778</f>
        <v>0</v>
      </c>
      <c r="J779" s="431">
        <f t="shared" si="436"/>
        <v>211236.47999999998</v>
      </c>
    </row>
    <row r="780" spans="1:10" ht="24.75" thickBot="1" x14ac:dyDescent="0.3">
      <c r="A780" s="274" t="s">
        <v>101</v>
      </c>
      <c r="B780" s="599" t="s">
        <v>32</v>
      </c>
      <c r="C780" s="808"/>
      <c r="D780" s="310"/>
      <c r="E780" s="506">
        <v>12.2659</v>
      </c>
      <c r="F780" s="408">
        <f>IFERROR(E780*'01 Prod Physique Boites'!H774,"-")</f>
        <v>0</v>
      </c>
      <c r="G780" s="409">
        <f>IFERROR(E780*'01 Prod Physique Boites'!L774,"-")</f>
        <v>0</v>
      </c>
      <c r="H780" s="392"/>
      <c r="I780" s="426">
        <f>IFERROR(H780*(F780/E780),"-")</f>
        <v>0</v>
      </c>
      <c r="J780" s="427">
        <f>IFERROR(H780*(G780/E780),"-")</f>
        <v>0</v>
      </c>
    </row>
    <row r="781" spans="1:10" ht="23.25" thickBot="1" x14ac:dyDescent="0.3">
      <c r="A781" s="274" t="s">
        <v>101</v>
      </c>
      <c r="B781" s="960" t="s">
        <v>21</v>
      </c>
      <c r="C781" s="961"/>
      <c r="D781" s="962"/>
      <c r="E781" s="393"/>
      <c r="F781" s="410">
        <f t="shared" ref="F781" si="437">+F767+F779+F780</f>
        <v>1219105.0404000001</v>
      </c>
      <c r="G781" s="411">
        <f>+G767+G779+G780</f>
        <v>14520004.199999999</v>
      </c>
      <c r="H781" s="394"/>
      <c r="I781" s="410">
        <f t="shared" ref="I781:J781" si="438">+I767+I779+I780</f>
        <v>1875627</v>
      </c>
      <c r="J781" s="428">
        <f t="shared" si="438"/>
        <v>20222923.500000004</v>
      </c>
    </row>
    <row r="782" spans="1:10" ht="23.25" thickBot="1" x14ac:dyDescent="0.3">
      <c r="A782" s="274" t="s">
        <v>101</v>
      </c>
      <c r="B782" s="963" t="s">
        <v>171</v>
      </c>
      <c r="C782" s="941"/>
      <c r="D782" s="942"/>
      <c r="E782" s="395"/>
      <c r="F782" s="412">
        <f t="shared" ref="F782:G782" si="439">+F781</f>
        <v>1219105.0404000001</v>
      </c>
      <c r="G782" s="413">
        <f t="shared" si="439"/>
        <v>14520004.199999999</v>
      </c>
      <c r="H782" s="396"/>
      <c r="I782" s="412">
        <f t="shared" ref="I782:J782" si="440">+I781</f>
        <v>1875627</v>
      </c>
      <c r="J782" s="429">
        <f t="shared" si="440"/>
        <v>20222923.500000004</v>
      </c>
    </row>
    <row r="783" spans="1:10" ht="24" x14ac:dyDescent="0.25">
      <c r="A783" s="268" t="s">
        <v>102</v>
      </c>
      <c r="B783" s="949" t="s">
        <v>401</v>
      </c>
      <c r="C783" s="311" t="s">
        <v>113</v>
      </c>
      <c r="D783" s="311"/>
      <c r="E783" s="709">
        <v>254.89750000000001</v>
      </c>
      <c r="F783" s="402">
        <f>IFERROR(E783*'01 Prod Physique Boites'!H777,"-")</f>
        <v>0</v>
      </c>
      <c r="G783" s="403">
        <f>IFERROR(E783*'01 Prod Physique Boites'!L777,"-")</f>
        <v>0</v>
      </c>
      <c r="H783" s="381">
        <v>445.38</v>
      </c>
      <c r="I783" s="419">
        <f>IFERROR(H783*(F783/E783),"-")</f>
        <v>0</v>
      </c>
      <c r="J783" s="420">
        <f t="shared" ref="J783:J785" si="441">IFERROR(H783*(G783/E783),"-")</f>
        <v>0</v>
      </c>
    </row>
    <row r="784" spans="1:10" ht="24" x14ac:dyDescent="0.25">
      <c r="A784" s="274" t="s">
        <v>102</v>
      </c>
      <c r="B784" s="951"/>
      <c r="C784" s="312" t="s">
        <v>247</v>
      </c>
      <c r="D784" s="312"/>
      <c r="E784" s="503">
        <v>246.51390000000001</v>
      </c>
      <c r="F784" s="402">
        <f>IFERROR(E784*'01 Prod Physique Boites'!H778,"-")</f>
        <v>271165.28999999998</v>
      </c>
      <c r="G784" s="403">
        <f>IFERROR(E784*'01 Prod Physique Boites'!L778,"-")</f>
        <v>2169322.3199999998</v>
      </c>
      <c r="H784" s="385">
        <v>430.02</v>
      </c>
      <c r="I784" s="421">
        <f>IFERROR(H784*(F784/E784),"-")</f>
        <v>473021.99999999988</v>
      </c>
      <c r="J784" s="422">
        <f t="shared" si="441"/>
        <v>3784175.9999999991</v>
      </c>
    </row>
    <row r="785" spans="1:10" ht="24.75" thickBot="1" x14ac:dyDescent="0.3">
      <c r="A785" s="274" t="s">
        <v>102</v>
      </c>
      <c r="B785" s="950"/>
      <c r="C785" s="313" t="s">
        <v>33</v>
      </c>
      <c r="D785" s="313"/>
      <c r="E785" s="500">
        <v>225.7713</v>
      </c>
      <c r="F785" s="402">
        <f>IFERROR(E785*'01 Prod Physique Boites'!H779,"-")</f>
        <v>0</v>
      </c>
      <c r="G785" s="403">
        <f>IFERROR(E785*'01 Prod Physique Boites'!L779,"-")</f>
        <v>0</v>
      </c>
      <c r="H785" s="387"/>
      <c r="I785" s="423">
        <f>IFERROR(H785*(F785/E785),"-")</f>
        <v>0</v>
      </c>
      <c r="J785" s="424">
        <f t="shared" si="441"/>
        <v>0</v>
      </c>
    </row>
    <row r="786" spans="1:10" ht="23.25" thickBot="1" x14ac:dyDescent="0.3">
      <c r="A786" s="274" t="s">
        <v>102</v>
      </c>
      <c r="B786" s="946" t="s">
        <v>34</v>
      </c>
      <c r="C786" s="947"/>
      <c r="D786" s="948"/>
      <c r="E786" s="390"/>
      <c r="F786" s="406">
        <f t="shared" ref="F786:G786" si="442">SUM(F783:F785)</f>
        <v>271165.28999999998</v>
      </c>
      <c r="G786" s="407">
        <f t="shared" si="442"/>
        <v>2169322.3199999998</v>
      </c>
      <c r="H786" s="391"/>
      <c r="I786" s="406">
        <f t="shared" ref="I786:J786" si="443">SUM(I783:I785)</f>
        <v>473021.99999999988</v>
      </c>
      <c r="J786" s="425">
        <f t="shared" si="443"/>
        <v>3784175.9999999991</v>
      </c>
    </row>
    <row r="787" spans="1:10" ht="24" x14ac:dyDescent="0.25">
      <c r="A787" s="274" t="s">
        <v>102</v>
      </c>
      <c r="B787" s="949" t="s">
        <v>35</v>
      </c>
      <c r="C787" s="311" t="s">
        <v>113</v>
      </c>
      <c r="D787" s="311"/>
      <c r="E787" s="502">
        <v>254.89750000000001</v>
      </c>
      <c r="F787" s="402">
        <f>IFERROR(E787*'01 Prod Physique Boites'!H781,"-")</f>
        <v>0</v>
      </c>
      <c r="G787" s="403">
        <f>IFERROR(E787*'01 Prod Physique Boites'!L781,"-")</f>
        <v>0</v>
      </c>
      <c r="H787" s="381">
        <v>445.38</v>
      </c>
      <c r="I787" s="419">
        <f>IFERROR(H787*(F787/E787),"-")</f>
        <v>0</v>
      </c>
      <c r="J787" s="420">
        <f t="shared" ref="J787:J790" si="444">IFERROR(H787*(G787/E787),"-")</f>
        <v>0</v>
      </c>
    </row>
    <row r="788" spans="1:10" ht="24" x14ac:dyDescent="0.25">
      <c r="A788" s="274" t="s">
        <v>102</v>
      </c>
      <c r="B788" s="951"/>
      <c r="C788" s="312" t="s">
        <v>247</v>
      </c>
      <c r="D788" s="312"/>
      <c r="E788" s="503">
        <v>246.51390000000001</v>
      </c>
      <c r="F788" s="402">
        <f>IFERROR(E788*'01 Prod Physique Boites'!H782,"-")</f>
        <v>0</v>
      </c>
      <c r="G788" s="403">
        <f>IFERROR(E788*'01 Prod Physique Boites'!L782,"-")</f>
        <v>0</v>
      </c>
      <c r="H788" s="385">
        <v>430.02</v>
      </c>
      <c r="I788" s="421">
        <f>IFERROR(H788*(F788/E788),"-")</f>
        <v>0</v>
      </c>
      <c r="J788" s="422">
        <f t="shared" si="444"/>
        <v>0</v>
      </c>
    </row>
    <row r="789" spans="1:10" ht="24" x14ac:dyDescent="0.25">
      <c r="A789" s="274" t="s">
        <v>102</v>
      </c>
      <c r="B789" s="951"/>
      <c r="C789" s="312" t="s">
        <v>184</v>
      </c>
      <c r="D789" s="312" t="s">
        <v>183</v>
      </c>
      <c r="E789" s="503">
        <v>254.89750000000001</v>
      </c>
      <c r="F789" s="402">
        <f>IFERROR(E789*'01 Prod Physique Boites'!H783,"-")</f>
        <v>0</v>
      </c>
      <c r="G789" s="403">
        <f>IFERROR(E789*'01 Prod Physique Boites'!L783,"-")</f>
        <v>0</v>
      </c>
      <c r="H789" s="385"/>
      <c r="I789" s="421">
        <f>IFERROR(H789*(F789/E789),"-")</f>
        <v>0</v>
      </c>
      <c r="J789" s="422">
        <f t="shared" si="444"/>
        <v>0</v>
      </c>
    </row>
    <row r="790" spans="1:10" ht="24.75" thickBot="1" x14ac:dyDescent="0.3">
      <c r="A790" s="274" t="s">
        <v>102</v>
      </c>
      <c r="B790" s="950"/>
      <c r="C790" s="313" t="s">
        <v>36</v>
      </c>
      <c r="D790" s="313"/>
      <c r="E790" s="500">
        <v>229.99359999999999</v>
      </c>
      <c r="F790" s="402">
        <f>IFERROR(E790*'01 Prod Physique Boites'!H784,"-")</f>
        <v>0</v>
      </c>
      <c r="G790" s="403">
        <f>IFERROR(E790*'01 Prod Physique Boites'!L784,"-")</f>
        <v>0</v>
      </c>
      <c r="H790" s="387"/>
      <c r="I790" s="423">
        <f>IFERROR(H790*(F790/E790),"-")</f>
        <v>0</v>
      </c>
      <c r="J790" s="424">
        <f t="shared" si="444"/>
        <v>0</v>
      </c>
    </row>
    <row r="791" spans="1:10" ht="23.25" thickBot="1" x14ac:dyDescent="0.3">
      <c r="A791" s="274" t="s">
        <v>102</v>
      </c>
      <c r="B791" s="946" t="s">
        <v>37</v>
      </c>
      <c r="C791" s="947"/>
      <c r="D791" s="948"/>
      <c r="E791" s="390"/>
      <c r="F791" s="406">
        <f t="shared" ref="F791:G791" si="445">SUM(F787:F790)</f>
        <v>0</v>
      </c>
      <c r="G791" s="407">
        <f t="shared" si="445"/>
        <v>0</v>
      </c>
      <c r="H791" s="391"/>
      <c r="I791" s="406">
        <f>SUM(I787:I790)</f>
        <v>0</v>
      </c>
      <c r="J791" s="425">
        <f>SUM(J787:J790)</f>
        <v>0</v>
      </c>
    </row>
    <row r="792" spans="1:10" ht="24" x14ac:dyDescent="0.25">
      <c r="A792" s="274" t="s">
        <v>102</v>
      </c>
      <c r="B792" s="949" t="s">
        <v>402</v>
      </c>
      <c r="C792" s="314" t="s">
        <v>116</v>
      </c>
      <c r="D792" s="314"/>
      <c r="E792" s="502">
        <v>195.2808</v>
      </c>
      <c r="F792" s="402">
        <f>IFERROR(E792*'01 Prod Physique Boites'!H786,"-")</f>
        <v>0</v>
      </c>
      <c r="G792" s="403">
        <f>IFERROR(E792*'01 Prod Physique Boites'!L786,"-")</f>
        <v>0</v>
      </c>
      <c r="H792" s="681">
        <v>256.7</v>
      </c>
      <c r="I792" s="419">
        <f>IFERROR(H792*(F792/E792),"-")</f>
        <v>0</v>
      </c>
      <c r="J792" s="420">
        <f t="shared" ref="J792:J793" si="446">IFERROR(H792*(G792/E792),"-")</f>
        <v>0</v>
      </c>
    </row>
    <row r="793" spans="1:10" ht="24.75" thickBot="1" x14ac:dyDescent="0.3">
      <c r="A793" s="274" t="s">
        <v>102</v>
      </c>
      <c r="B793" s="950"/>
      <c r="C793" s="286" t="s">
        <v>132</v>
      </c>
      <c r="D793" s="286"/>
      <c r="E793" s="500">
        <v>189.91890000000001</v>
      </c>
      <c r="F793" s="402">
        <f>IFERROR(E793*'01 Prod Physique Boites'!H787,"-")</f>
        <v>607740.48</v>
      </c>
      <c r="G793" s="403">
        <f>IFERROR(E793*'01 Prod Physique Boites'!L787,"-")</f>
        <v>2220151.9410000001</v>
      </c>
      <c r="H793" s="387">
        <v>320.35000000000002</v>
      </c>
      <c r="I793" s="423">
        <f>IFERROR(H793*(F793/E793),"-")</f>
        <v>1025119.9999999999</v>
      </c>
      <c r="J793" s="424">
        <f t="shared" si="446"/>
        <v>3744891.5000000005</v>
      </c>
    </row>
    <row r="794" spans="1:10" ht="23.25" thickBot="1" x14ac:dyDescent="0.3">
      <c r="A794" s="812" t="s">
        <v>102</v>
      </c>
      <c r="B794" s="946" t="s">
        <v>38</v>
      </c>
      <c r="C794" s="947"/>
      <c r="D794" s="948"/>
      <c r="E794" s="390"/>
      <c r="F794" s="406">
        <f>SUM(F792:F793)</f>
        <v>607740.48</v>
      </c>
      <c r="G794" s="407">
        <f t="shared" ref="G794" si="447">SUM(G792:G793)</f>
        <v>2220151.9410000001</v>
      </c>
      <c r="H794" s="391"/>
      <c r="I794" s="406">
        <f t="shared" ref="I794:J794" si="448">SUM(I792:I793)</f>
        <v>1025119.9999999999</v>
      </c>
      <c r="J794" s="425">
        <f t="shared" si="448"/>
        <v>3744891.5000000005</v>
      </c>
    </row>
    <row r="795" spans="1:10" ht="24" x14ac:dyDescent="0.25">
      <c r="A795" s="274" t="s">
        <v>102</v>
      </c>
      <c r="B795" s="949" t="s">
        <v>403</v>
      </c>
      <c r="C795" s="269" t="s">
        <v>306</v>
      </c>
      <c r="D795" s="269" t="s">
        <v>238</v>
      </c>
      <c r="E795" s="504">
        <v>37.248699999999999</v>
      </c>
      <c r="F795" s="402">
        <f>IFERROR(E795*'01 Prod Physique Boites'!H789,"-")</f>
        <v>1038791.7456</v>
      </c>
      <c r="G795" s="403">
        <f>IFERROR(E795*'01 Prod Physique Boites'!L789,"-")</f>
        <v>4763512.7507999996</v>
      </c>
      <c r="H795" s="381">
        <v>71.44</v>
      </c>
      <c r="I795" s="419">
        <f>IFERROR(H795*(F795/E795),"-")</f>
        <v>1992318.72</v>
      </c>
      <c r="J795" s="420">
        <f>IFERROR(H795*(G795/E795),"-")</f>
        <v>9136032.959999999</v>
      </c>
    </row>
    <row r="796" spans="1:10" ht="24" x14ac:dyDescent="0.25">
      <c r="A796" s="274" t="s">
        <v>102</v>
      </c>
      <c r="B796" s="951"/>
      <c r="C796" s="269" t="s">
        <v>156</v>
      </c>
      <c r="D796" s="275"/>
      <c r="E796" s="504">
        <v>37.248699999999999</v>
      </c>
      <c r="F796" s="402">
        <f>IFERROR(E796*'01 Prod Physique Boites'!H790,"-")</f>
        <v>0</v>
      </c>
      <c r="G796" s="403">
        <f>IFERROR(E796*'01 Prod Physique Boites'!L790,"-")</f>
        <v>0</v>
      </c>
      <c r="H796" s="385"/>
      <c r="I796" s="421">
        <f>IFERROR(H796*(F796/E796),"-")</f>
        <v>0</v>
      </c>
      <c r="J796" s="422">
        <f t="shared" ref="J796:J798" si="449">IFERROR(H796*(G796/E796),"-")</f>
        <v>0</v>
      </c>
    </row>
    <row r="797" spans="1:10" ht="24" x14ac:dyDescent="0.25">
      <c r="A797" s="274" t="s">
        <v>102</v>
      </c>
      <c r="B797" s="951"/>
      <c r="C797" s="275" t="s">
        <v>345</v>
      </c>
      <c r="D797" s="269" t="s">
        <v>238</v>
      </c>
      <c r="E797" s="504">
        <v>37.248699999999999</v>
      </c>
      <c r="F797" s="402">
        <f>IFERROR(E797*'01 Prod Physique Boites'!H791,"-")</f>
        <v>375466.89600000001</v>
      </c>
      <c r="G797" s="403">
        <f>IFERROR(E797*'01 Prod Physique Boites'!L791,"-")</f>
        <v>1584559.6980000001</v>
      </c>
      <c r="H797" s="385">
        <v>71.44</v>
      </c>
      <c r="I797" s="421">
        <f>IFERROR(H797*(F797/E797),"-")</f>
        <v>720115.19999999995</v>
      </c>
      <c r="J797" s="422">
        <f t="shared" si="449"/>
        <v>3039057.6</v>
      </c>
    </row>
    <row r="798" spans="1:10" ht="24.75" thickBot="1" x14ac:dyDescent="0.3">
      <c r="A798" s="274" t="s">
        <v>102</v>
      </c>
      <c r="B798" s="951"/>
      <c r="C798" s="275" t="s">
        <v>157</v>
      </c>
      <c r="D798" s="275"/>
      <c r="E798" s="505">
        <v>38.466099999999997</v>
      </c>
      <c r="F798" s="402">
        <f>IFERROR(E798*'01 Prod Physique Boites'!H792,"-")</f>
        <v>0</v>
      </c>
      <c r="G798" s="403">
        <f>IFERROR(E798*'01 Prod Physique Boites'!L792,"-")</f>
        <v>0</v>
      </c>
      <c r="H798" s="385"/>
      <c r="I798" s="421">
        <f>IFERROR(H798*(F798/E798),"-")</f>
        <v>0</v>
      </c>
      <c r="J798" s="422">
        <f t="shared" si="449"/>
        <v>0</v>
      </c>
    </row>
    <row r="799" spans="1:10" ht="23.25" thickBot="1" x14ac:dyDescent="0.3">
      <c r="A799" s="274" t="s">
        <v>102</v>
      </c>
      <c r="B799" s="946" t="s">
        <v>39</v>
      </c>
      <c r="C799" s="947"/>
      <c r="D799" s="948"/>
      <c r="E799" s="390"/>
      <c r="F799" s="406">
        <f>SUM(F795:F798)</f>
        <v>1414258.6416</v>
      </c>
      <c r="G799" s="407">
        <f>SUM(G795:G798)</f>
        <v>6348072.4487999994</v>
      </c>
      <c r="H799" s="391"/>
      <c r="I799" s="406">
        <f>SUM(I795:I798)</f>
        <v>2712433.92</v>
      </c>
      <c r="J799" s="406">
        <f>SUM(J795:J798)</f>
        <v>12175090.559999999</v>
      </c>
    </row>
    <row r="800" spans="1:10" ht="24" x14ac:dyDescent="0.25">
      <c r="A800" s="274" t="s">
        <v>102</v>
      </c>
      <c r="B800" s="949" t="s">
        <v>40</v>
      </c>
      <c r="C800" s="269" t="s">
        <v>186</v>
      </c>
      <c r="D800" s="269" t="s">
        <v>183</v>
      </c>
      <c r="E800" s="504">
        <v>30.7499</v>
      </c>
      <c r="F800" s="402">
        <f>IFERROR(E800*'01 Prod Physique Boites'!H795,"-")</f>
        <v>0</v>
      </c>
      <c r="G800" s="402">
        <f>IFERROR(E800*'01 Prod Physique Boites'!L795,"-")</f>
        <v>0</v>
      </c>
      <c r="H800" s="381"/>
      <c r="I800" s="419">
        <f>IFERROR(H800*(F800/E800),"-")</f>
        <v>0</v>
      </c>
      <c r="J800" s="420">
        <f>IFERROR(H800*(G800/E800),"-")</f>
        <v>0</v>
      </c>
    </row>
    <row r="801" spans="1:10" ht="24" x14ac:dyDescent="0.25">
      <c r="A801" s="274" t="s">
        <v>102</v>
      </c>
      <c r="B801" s="951"/>
      <c r="C801" s="275" t="s">
        <v>159</v>
      </c>
      <c r="D801" s="275"/>
      <c r="E801" s="684">
        <v>30.073599999999999</v>
      </c>
      <c r="F801" s="402">
        <f>IFERROR(E801*'01 Prod Physique Boites'!H796,"-")</f>
        <v>0</v>
      </c>
      <c r="G801" s="403">
        <f>IFERROR(E801*'01 Prod Physique Boites'!L796,"-")</f>
        <v>342839.03999999998</v>
      </c>
      <c r="H801" s="385">
        <v>59.96</v>
      </c>
      <c r="I801" s="421">
        <f>IFERROR(H801*(F801/E801),"-")</f>
        <v>0</v>
      </c>
      <c r="J801" s="422">
        <f t="shared" ref="J801:J802" si="450">IFERROR(H801*(G801/E801),"-")</f>
        <v>683544</v>
      </c>
    </row>
    <row r="802" spans="1:10" ht="24.75" thickBot="1" x14ac:dyDescent="0.3">
      <c r="A802" s="274" t="s">
        <v>102</v>
      </c>
      <c r="B802" s="950"/>
      <c r="C802" s="279" t="s">
        <v>186</v>
      </c>
      <c r="D802" s="279" t="s">
        <v>185</v>
      </c>
      <c r="E802" s="501">
        <v>30.073599999999999</v>
      </c>
      <c r="F802" s="402">
        <f>IFERROR(E802*'01 Prod Physique Boites'!H797,"-")</f>
        <v>0</v>
      </c>
      <c r="G802" s="403">
        <f>IFERROR(E802*'01 Prod Physique Boites'!L797,"-")</f>
        <v>0</v>
      </c>
      <c r="H802" s="387"/>
      <c r="I802" s="423">
        <f>IFERROR(H802*(F802/E802),"-")</f>
        <v>0</v>
      </c>
      <c r="J802" s="424">
        <f t="shared" si="450"/>
        <v>0</v>
      </c>
    </row>
    <row r="803" spans="1:10" ht="23.25" thickBot="1" x14ac:dyDescent="0.3">
      <c r="A803" s="274" t="s">
        <v>102</v>
      </c>
      <c r="B803" s="952" t="s">
        <v>41</v>
      </c>
      <c r="C803" s="953"/>
      <c r="D803" s="954"/>
      <c r="E803" s="390"/>
      <c r="F803" s="406">
        <f t="shared" ref="F803:G803" si="451">SUM(F800:F802)</f>
        <v>0</v>
      </c>
      <c r="G803" s="407">
        <f t="shared" si="451"/>
        <v>342839.03999999998</v>
      </c>
      <c r="H803" s="391"/>
      <c r="I803" s="406">
        <f t="shared" ref="I803:J803" si="452">SUM(I800:I802)</f>
        <v>0</v>
      </c>
      <c r="J803" s="425">
        <f t="shared" si="452"/>
        <v>683544</v>
      </c>
    </row>
    <row r="804" spans="1:10" ht="24" x14ac:dyDescent="0.25">
      <c r="A804" s="274" t="s">
        <v>102</v>
      </c>
      <c r="B804" s="949" t="s">
        <v>42</v>
      </c>
      <c r="C804" s="269" t="s">
        <v>160</v>
      </c>
      <c r="D804" s="269"/>
      <c r="E804" s="504">
        <v>36.684899999999999</v>
      </c>
      <c r="F804" s="402">
        <f>IFERROR(E804*'01 Prod Physique Boites'!H799,"-")</f>
        <v>0</v>
      </c>
      <c r="G804" s="402">
        <f>IFERROR(E804*'01 Prod Physique Boites'!L799,"-")</f>
        <v>0</v>
      </c>
      <c r="H804" s="381"/>
      <c r="I804" s="382" t="s">
        <v>190</v>
      </c>
      <c r="J804" s="383" t="s">
        <v>190</v>
      </c>
    </row>
    <row r="805" spans="1:10" ht="24.75" thickBot="1" x14ac:dyDescent="0.3">
      <c r="A805" s="274" t="s">
        <v>102</v>
      </c>
      <c r="B805" s="950"/>
      <c r="C805" s="279" t="s">
        <v>161</v>
      </c>
      <c r="D805" s="279"/>
      <c r="E805" s="501">
        <v>37.002800000000001</v>
      </c>
      <c r="F805" s="402">
        <f>IFERROR(E805*'01 Prod Physique Boites'!H800,"-")</f>
        <v>0</v>
      </c>
      <c r="G805" s="402">
        <f>IFERROR(E805*'01 Prod Physique Boites'!L800,"-")</f>
        <v>0</v>
      </c>
      <c r="H805" s="387"/>
      <c r="I805" s="388" t="s">
        <v>190</v>
      </c>
      <c r="J805" s="389" t="s">
        <v>190</v>
      </c>
    </row>
    <row r="806" spans="1:10" ht="23.25" thickBot="1" x14ac:dyDescent="0.3">
      <c r="A806" s="274" t="s">
        <v>102</v>
      </c>
      <c r="B806" s="952" t="s">
        <v>43</v>
      </c>
      <c r="C806" s="953"/>
      <c r="D806" s="954"/>
      <c r="E806" s="390"/>
      <c r="F806" s="402">
        <f>IFERROR(E806*'01 Prod Physique Boites'!H800,"-")</f>
        <v>0</v>
      </c>
      <c r="G806" s="407">
        <f>IFERROR(E806*'01 Prod Physique Boites'!L800,"-")</f>
        <v>0</v>
      </c>
      <c r="H806" s="391"/>
      <c r="I806" s="406">
        <f t="shared" ref="I806:J806" si="453">SUM(I804:I805)</f>
        <v>0</v>
      </c>
      <c r="J806" s="425">
        <f t="shared" si="453"/>
        <v>0</v>
      </c>
    </row>
    <row r="807" spans="1:10" ht="23.25" thickBot="1" x14ac:dyDescent="0.3">
      <c r="A807" s="274" t="s">
        <v>102</v>
      </c>
      <c r="B807" s="938" t="s">
        <v>25</v>
      </c>
      <c r="C807" s="939"/>
      <c r="D807" s="940"/>
      <c r="E807" s="393"/>
      <c r="F807" s="410">
        <f>+F786+F791+F794+F799+F803+F806</f>
        <v>2293164.4116000002</v>
      </c>
      <c r="G807" s="411">
        <f>+G786+G791+G794+G799+G803+G806</f>
        <v>11080385.749799998</v>
      </c>
      <c r="H807" s="394"/>
      <c r="I807" s="410">
        <f>+I786+I791+I794+I799+I803+I806</f>
        <v>4210575.92</v>
      </c>
      <c r="J807" s="428">
        <f>+J786+J791+J794+J799+J803+J806</f>
        <v>20387702.059999999</v>
      </c>
    </row>
    <row r="808" spans="1:10" ht="23.25" thickBot="1" x14ac:dyDescent="0.3">
      <c r="A808" s="318" t="s">
        <v>102</v>
      </c>
      <c r="B808" s="941" t="s">
        <v>173</v>
      </c>
      <c r="C808" s="941"/>
      <c r="D808" s="942"/>
      <c r="E808" s="395"/>
      <c r="F808" s="412">
        <f t="shared" ref="F808:G808" si="454">+F807</f>
        <v>2293164.4116000002</v>
      </c>
      <c r="G808" s="413">
        <f t="shared" si="454"/>
        <v>11080385.749799998</v>
      </c>
      <c r="H808" s="396"/>
      <c r="I808" s="412">
        <f t="shared" ref="I808" si="455">+I807</f>
        <v>4210575.92</v>
      </c>
      <c r="J808" s="429">
        <f>+J807</f>
        <v>20387702.059999999</v>
      </c>
    </row>
    <row r="809" spans="1:10" ht="26.25" thickBot="1" x14ac:dyDescent="0.3">
      <c r="A809" s="319"/>
      <c r="B809" s="943" t="s">
        <v>174</v>
      </c>
      <c r="C809" s="944"/>
      <c r="D809" s="945"/>
      <c r="E809" s="401"/>
      <c r="F809" s="418">
        <f>+F747+F782+F808</f>
        <v>5802401.8768000007</v>
      </c>
      <c r="G809" s="418">
        <f>+G747+G782+G808</f>
        <v>43679044.906999998</v>
      </c>
      <c r="H809" s="401"/>
      <c r="I809" s="418">
        <f>+I747+I782+I808</f>
        <v>7968102.9199999999</v>
      </c>
      <c r="J809" s="432">
        <f>+J747+J782+J808</f>
        <v>60136213.160000011</v>
      </c>
    </row>
    <row r="810" spans="1:10" ht="22.5" x14ac:dyDescent="0.25">
      <c r="A810" s="978" t="s">
        <v>1</v>
      </c>
      <c r="B810" s="981" t="s">
        <v>2</v>
      </c>
      <c r="C810" s="984" t="s">
        <v>396</v>
      </c>
      <c r="D810" s="984" t="s">
        <v>397</v>
      </c>
      <c r="E810" s="1011" t="s">
        <v>405</v>
      </c>
      <c r="F810" s="1012"/>
      <c r="G810" s="1012"/>
      <c r="H810" s="442"/>
      <c r="I810" s="442"/>
      <c r="J810" s="443"/>
    </row>
    <row r="811" spans="1:10" ht="22.5" x14ac:dyDescent="0.25">
      <c r="A811" s="979"/>
      <c r="B811" s="982"/>
      <c r="C811" s="985"/>
      <c r="D811" s="985"/>
      <c r="E811" s="1013" t="s">
        <v>408</v>
      </c>
      <c r="F811" s="1014"/>
      <c r="G811" s="1015"/>
      <c r="H811" s="1013" t="s">
        <v>168</v>
      </c>
      <c r="I811" s="1014"/>
      <c r="J811" s="1015"/>
    </row>
    <row r="812" spans="1:10" ht="45" x14ac:dyDescent="0.25">
      <c r="A812" s="980"/>
      <c r="B812" s="1009"/>
      <c r="C812" s="1010"/>
      <c r="D812" s="1010"/>
      <c r="E812" s="379" t="s">
        <v>170</v>
      </c>
      <c r="F812" s="821" t="s">
        <v>407</v>
      </c>
      <c r="G812" s="822" t="s">
        <v>406</v>
      </c>
      <c r="H812" s="1016" t="s">
        <v>170</v>
      </c>
      <c r="I812" s="1018" t="s">
        <v>137</v>
      </c>
      <c r="J812" s="1020" t="s">
        <v>406</v>
      </c>
    </row>
    <row r="813" spans="1:10" ht="23.25" thickBot="1" x14ac:dyDescent="0.3">
      <c r="A813" s="980"/>
      <c r="B813" s="983"/>
      <c r="C813" s="986"/>
      <c r="D813" s="986"/>
      <c r="E813" s="1022" t="s">
        <v>525</v>
      </c>
      <c r="F813" s="1023"/>
      <c r="G813" s="1024"/>
      <c r="H813" s="1017"/>
      <c r="I813" s="1019"/>
      <c r="J813" s="1021"/>
    </row>
    <row r="814" spans="1:10" ht="24" x14ac:dyDescent="0.25">
      <c r="A814" s="268" t="s">
        <v>103</v>
      </c>
      <c r="B814" s="965" t="s">
        <v>16</v>
      </c>
      <c r="C814" s="269" t="s">
        <v>368</v>
      </c>
      <c r="D814" s="269" t="s">
        <v>369</v>
      </c>
      <c r="E814" s="705">
        <v>81.360699999999994</v>
      </c>
      <c r="F814" s="402">
        <f>IFERROR(E814*'01 Prod Physique Boites'!H808,"-")</f>
        <v>0</v>
      </c>
      <c r="G814" s="402">
        <f>IFERROR(E814*'01 Prod Physique Boites'!L808,"-")</f>
        <v>0</v>
      </c>
      <c r="H814" s="706">
        <v>143.28</v>
      </c>
      <c r="I814" s="419">
        <f>IFERROR(H814*(F814/E814),"-")</f>
        <v>0</v>
      </c>
      <c r="J814" s="420">
        <f t="shared" ref="J814:J816" si="456">IFERROR(H814*(G814/E814),"-")</f>
        <v>0</v>
      </c>
    </row>
    <row r="815" spans="1:10" ht="24" x14ac:dyDescent="0.25">
      <c r="A815" s="713"/>
      <c r="B815" s="966"/>
      <c r="C815" s="275" t="s">
        <v>470</v>
      </c>
      <c r="D815" s="275" t="s">
        <v>375</v>
      </c>
      <c r="E815" s="505">
        <v>81.360699999999994</v>
      </c>
      <c r="F815" s="402">
        <f>IFERROR(E815*'01 Prod Physique Boites'!H809,"-")</f>
        <v>0</v>
      </c>
      <c r="G815" s="402">
        <f>IFERROR(E815*'01 Prod Physique Boites'!L809,"-")</f>
        <v>0</v>
      </c>
      <c r="H815" s="708">
        <v>143.28</v>
      </c>
      <c r="I815" s="419">
        <f>IFERROR(H815*(F815/E815),"-")</f>
        <v>0</v>
      </c>
      <c r="J815" s="420">
        <f t="shared" si="456"/>
        <v>0</v>
      </c>
    </row>
    <row r="816" spans="1:10" ht="24" x14ac:dyDescent="0.25">
      <c r="A816" s="274" t="s">
        <v>103</v>
      </c>
      <c r="B816" s="966"/>
      <c r="C816" s="275" t="s">
        <v>430</v>
      </c>
      <c r="D816" s="275" t="s">
        <v>384</v>
      </c>
      <c r="E816" s="684">
        <v>77.170400000000001</v>
      </c>
      <c r="F816" s="402">
        <f>IFERROR(E816*'01 Prod Physique Boites'!H810,"-")</f>
        <v>0</v>
      </c>
      <c r="G816" s="402">
        <f>IFERROR(E816*'01 Prod Physique Boites'!L810,"-")</f>
        <v>617363.19999999995</v>
      </c>
      <c r="H816" s="385">
        <v>0</v>
      </c>
      <c r="I816" s="419">
        <f>IFERROR(H816*(F816/E816),"-")</f>
        <v>0</v>
      </c>
      <c r="J816" s="420">
        <f t="shared" si="456"/>
        <v>0</v>
      </c>
    </row>
    <row r="817" spans="1:15" ht="24.75" thickBot="1" x14ac:dyDescent="0.3">
      <c r="A817" s="274" t="s">
        <v>103</v>
      </c>
      <c r="B817" s="967"/>
      <c r="C817" s="279" t="s">
        <v>262</v>
      </c>
      <c r="D817" s="279" t="s">
        <v>231</v>
      </c>
      <c r="E817" s="501">
        <v>60.703499999999998</v>
      </c>
      <c r="F817" s="402">
        <f>IFERROR(E817*'01 Prod Physique Boites'!H811,"-")</f>
        <v>0</v>
      </c>
      <c r="G817" s="402">
        <f>IFERROR(E817*'01 Prod Physique Boites'!L811,"-")</f>
        <v>0</v>
      </c>
      <c r="H817" s="387">
        <v>111.09</v>
      </c>
      <c r="I817" s="419">
        <f>IFERROR(H817*(F817/E817),"-")</f>
        <v>0</v>
      </c>
      <c r="J817" s="420">
        <f>IFERROR(H817*(G817/E817),"-")</f>
        <v>0</v>
      </c>
    </row>
    <row r="818" spans="1:15" ht="23.25" thickBot="1" x14ac:dyDescent="0.3">
      <c r="A818" s="274" t="s">
        <v>103</v>
      </c>
      <c r="B818" s="946" t="s">
        <v>44</v>
      </c>
      <c r="C818" s="947"/>
      <c r="D818" s="948"/>
      <c r="E818" s="390"/>
      <c r="F818" s="406">
        <f t="shared" ref="F818" si="457">SUM(F814:F817)</f>
        <v>0</v>
      </c>
      <c r="G818" s="407">
        <f>SUM(G814:G817)</f>
        <v>617363.19999999995</v>
      </c>
      <c r="H818" s="391"/>
      <c r="I818" s="406">
        <f t="shared" ref="I818:J818" si="458">SUM(I814:I817)</f>
        <v>0</v>
      </c>
      <c r="J818" s="425">
        <f t="shared" si="458"/>
        <v>0</v>
      </c>
      <c r="K818" s="704"/>
      <c r="L818" s="704"/>
      <c r="M818" s="704"/>
      <c r="N818" s="704"/>
      <c r="O818" s="704"/>
    </row>
    <row r="819" spans="1:15" ht="24" x14ac:dyDescent="0.25">
      <c r="A819" s="274" t="s">
        <v>103</v>
      </c>
      <c r="B819" s="965" t="s">
        <v>17</v>
      </c>
      <c r="C819" s="269" t="s">
        <v>294</v>
      </c>
      <c r="D819" s="269"/>
      <c r="E819" s="504">
        <v>12.5275</v>
      </c>
      <c r="F819" s="402">
        <f>IFERROR(E819*'01 Prod Physique Boites'!H813,"-")</f>
        <v>0</v>
      </c>
      <c r="G819" s="402">
        <f>IFERROR(E819*'01 Prod Physique Boites'!L813,"-")</f>
        <v>0</v>
      </c>
      <c r="H819" s="681">
        <v>18.836400000000001</v>
      </c>
      <c r="I819" s="419">
        <f t="shared" ref="I819:I825" si="459">IFERROR(H819*(F819/E819),"-")</f>
        <v>0</v>
      </c>
      <c r="J819" s="420">
        <f t="shared" ref="J819:J824" si="460">IFERROR(H819*(G819/E819),"-")</f>
        <v>0</v>
      </c>
    </row>
    <row r="820" spans="1:15" ht="24" x14ac:dyDescent="0.25">
      <c r="A820" s="274" t="s">
        <v>103</v>
      </c>
      <c r="B820" s="966"/>
      <c r="C820" s="275" t="s">
        <v>344</v>
      </c>
      <c r="D820" s="275" t="s">
        <v>232</v>
      </c>
      <c r="E820" s="677">
        <v>13.002700000000001</v>
      </c>
      <c r="F820" s="402">
        <f>IFERROR(E820*'01 Prod Physique Boites'!H814,"-")</f>
        <v>0</v>
      </c>
      <c r="G820" s="402">
        <f>IFERROR(E820*'01 Prod Physique Boites'!L814,"-")</f>
        <v>77756.146000000008</v>
      </c>
      <c r="H820" s="385">
        <v>21.18</v>
      </c>
      <c r="I820" s="421">
        <f t="shared" si="459"/>
        <v>0</v>
      </c>
      <c r="J820" s="422">
        <f t="shared" si="460"/>
        <v>126656.4</v>
      </c>
    </row>
    <row r="821" spans="1:15" ht="24" x14ac:dyDescent="0.25">
      <c r="A821" s="274" t="s">
        <v>103</v>
      </c>
      <c r="B821" s="966"/>
      <c r="C821" s="275" t="s">
        <v>351</v>
      </c>
      <c r="D821" s="275" t="s">
        <v>187</v>
      </c>
      <c r="E821" s="677">
        <v>12.9049</v>
      </c>
      <c r="F821" s="402">
        <f>IFERROR(E821*'01 Prod Physique Boites'!H815,"-")</f>
        <v>157955.976</v>
      </c>
      <c r="G821" s="402">
        <f>IFERROR(E821*'01 Prod Physique Boites'!L815,"-")</f>
        <v>7108018.9199999999</v>
      </c>
      <c r="H821" s="385">
        <v>20.5</v>
      </c>
      <c r="I821" s="421">
        <f t="shared" si="459"/>
        <v>250920</v>
      </c>
      <c r="J821" s="422">
        <f t="shared" si="460"/>
        <v>11291400</v>
      </c>
    </row>
    <row r="822" spans="1:15" ht="24" x14ac:dyDescent="0.25">
      <c r="A822" s="274" t="s">
        <v>103</v>
      </c>
      <c r="B822" s="966"/>
      <c r="C822" s="275" t="s">
        <v>530</v>
      </c>
      <c r="D822" s="275" t="s">
        <v>529</v>
      </c>
      <c r="E822" s="505">
        <v>13.1958</v>
      </c>
      <c r="F822" s="402">
        <f>IFERROR(E822*'01 Prod Physique Boites'!H816,"-")</f>
        <v>545646.32999999996</v>
      </c>
      <c r="G822" s="402">
        <f>IFERROR(E822*'01 Prod Physique Boites'!L816,"-")</f>
        <v>545646.32999999996</v>
      </c>
      <c r="H822" s="708">
        <v>20.66</v>
      </c>
      <c r="I822" s="421">
        <f t="shared" si="459"/>
        <v>854290.99999999988</v>
      </c>
      <c r="J822" s="422">
        <f t="shared" si="460"/>
        <v>854290.99999999988</v>
      </c>
    </row>
    <row r="823" spans="1:15" ht="24" x14ac:dyDescent="0.25">
      <c r="A823" s="274" t="s">
        <v>103</v>
      </c>
      <c r="B823" s="966"/>
      <c r="C823" s="275" t="s">
        <v>323</v>
      </c>
      <c r="D823" s="275" t="s">
        <v>318</v>
      </c>
      <c r="E823" s="505">
        <v>13.1958</v>
      </c>
      <c r="F823" s="402">
        <f>IFERROR(E823*'01 Prod Physique Boites'!H817,"-")</f>
        <v>0</v>
      </c>
      <c r="G823" s="402">
        <f>IFERROR(E823*'01 Prod Physique Boites'!L817,"-")</f>
        <v>0</v>
      </c>
      <c r="H823" s="385">
        <v>21.28</v>
      </c>
      <c r="I823" s="421">
        <f t="shared" si="459"/>
        <v>0</v>
      </c>
      <c r="J823" s="422">
        <f t="shared" si="460"/>
        <v>0</v>
      </c>
    </row>
    <row r="824" spans="1:15" ht="24" x14ac:dyDescent="0.25">
      <c r="A824" s="274">
        <v>1</v>
      </c>
      <c r="B824" s="966"/>
      <c r="C824" s="275" t="s">
        <v>528</v>
      </c>
      <c r="D824" s="275" t="s">
        <v>189</v>
      </c>
      <c r="E824" s="677">
        <v>13.1958</v>
      </c>
      <c r="F824" s="402">
        <f>IFERROR(E824*'01 Prod Physique Boites'!H818,"-")</f>
        <v>375526.07640000002</v>
      </c>
      <c r="G824" s="402">
        <f>IFERROR(E824*'01 Prod Physique Boites'!L818,"-")</f>
        <v>375526.07640000002</v>
      </c>
      <c r="H824" s="664">
        <v>20.66</v>
      </c>
      <c r="I824" s="421">
        <f t="shared" si="459"/>
        <v>587942.28</v>
      </c>
      <c r="J824" s="422">
        <f t="shared" si="460"/>
        <v>587942.28</v>
      </c>
    </row>
    <row r="825" spans="1:15" ht="24.75" thickBot="1" x14ac:dyDescent="0.3">
      <c r="A825" s="274" t="s">
        <v>103</v>
      </c>
      <c r="B825" s="967"/>
      <c r="C825" s="279" t="s">
        <v>341</v>
      </c>
      <c r="D825" s="279" t="s">
        <v>175</v>
      </c>
      <c r="E825" s="501">
        <v>13.6509</v>
      </c>
      <c r="F825" s="402">
        <f>IFERROR(E825*'01 Prod Physique Boites'!H819,"-")</f>
        <v>0</v>
      </c>
      <c r="G825" s="402">
        <f>IFERROR(E825*'01 Prod Physique Boites'!L819,"-")</f>
        <v>0</v>
      </c>
      <c r="H825" s="387">
        <v>21.18</v>
      </c>
      <c r="I825" s="423">
        <f t="shared" si="459"/>
        <v>0</v>
      </c>
      <c r="J825" s="424">
        <f>IFERROR(H825*(G825/E825),"-")</f>
        <v>0</v>
      </c>
    </row>
    <row r="826" spans="1:15" ht="23.25" thickBot="1" x14ac:dyDescent="0.3">
      <c r="A826" s="274" t="s">
        <v>103</v>
      </c>
      <c r="B826" s="946" t="s">
        <v>45</v>
      </c>
      <c r="C826" s="947"/>
      <c r="D826" s="948"/>
      <c r="E826" s="390"/>
      <c r="F826" s="406">
        <f t="shared" ref="F826" si="461">SUM(F819:F825)</f>
        <v>1079128.3824</v>
      </c>
      <c r="G826" s="407">
        <f>SUM(G819:G825)</f>
        <v>8106947.4723999994</v>
      </c>
      <c r="H826" s="391"/>
      <c r="I826" s="406">
        <f t="shared" ref="I826" si="462">SUM(I819:I825)</f>
        <v>1693153.28</v>
      </c>
      <c r="J826" s="425">
        <f>SUM(J819:J825)</f>
        <v>12860289.68</v>
      </c>
      <c r="K826" s="704"/>
      <c r="L826" s="704"/>
      <c r="M826" s="704"/>
      <c r="N826" s="704"/>
      <c r="O826" s="704"/>
    </row>
    <row r="827" spans="1:15" ht="24" x14ac:dyDescent="0.25">
      <c r="A827" s="274" t="s">
        <v>103</v>
      </c>
      <c r="B827" s="965" t="s">
        <v>18</v>
      </c>
      <c r="C827" s="269" t="s">
        <v>312</v>
      </c>
      <c r="D827" s="269" t="s">
        <v>92</v>
      </c>
      <c r="E827" s="504">
        <v>17.8202</v>
      </c>
      <c r="F827" s="402">
        <f>IFERROR(E827*'01 Prod Physique Boites'!H821,"-")</f>
        <v>0</v>
      </c>
      <c r="G827" s="403">
        <f>IFERROR(E827*'01 Prod Physique Boites'!L821,"-")</f>
        <v>0</v>
      </c>
      <c r="H827" s="381">
        <v>24.93</v>
      </c>
      <c r="I827" s="419">
        <f t="shared" ref="I827:I833" si="463">IFERROR(H827*(F827/E827),"-")</f>
        <v>0</v>
      </c>
      <c r="J827" s="420">
        <f t="shared" ref="J827:J829" si="464">IFERROR(H827*(G827/E827),"-")</f>
        <v>0</v>
      </c>
    </row>
    <row r="828" spans="1:15" ht="24" x14ac:dyDescent="0.25">
      <c r="A828" s="274" t="s">
        <v>103</v>
      </c>
      <c r="B828" s="966"/>
      <c r="C828" s="275" t="s">
        <v>130</v>
      </c>
      <c r="D828" s="275"/>
      <c r="E828" s="505">
        <v>17.8202</v>
      </c>
      <c r="F828" s="402">
        <f>IFERROR(E828*'01 Prod Physique Boites'!H822,"-")</f>
        <v>0</v>
      </c>
      <c r="G828" s="403">
        <f>IFERROR(E828*'01 Prod Physique Boites'!L822,"-")</f>
        <v>0</v>
      </c>
      <c r="H828" s="385">
        <v>0</v>
      </c>
      <c r="I828" s="421">
        <f t="shared" si="463"/>
        <v>0</v>
      </c>
      <c r="J828" s="422">
        <f t="shared" si="464"/>
        <v>0</v>
      </c>
    </row>
    <row r="829" spans="1:15" ht="24" x14ac:dyDescent="0.25">
      <c r="A829" s="274" t="s">
        <v>103</v>
      </c>
      <c r="B829" s="966"/>
      <c r="C829" s="275" t="s">
        <v>115</v>
      </c>
      <c r="D829" s="275"/>
      <c r="E829" s="505">
        <v>16.4071</v>
      </c>
      <c r="F829" s="402">
        <f>IFERROR(E829*'01 Prod Physique Boites'!H823,"-")</f>
        <v>0</v>
      </c>
      <c r="G829" s="403">
        <f>IFERROR(E829*'01 Prod Physique Boites'!L823,"-")</f>
        <v>0</v>
      </c>
      <c r="H829" s="385">
        <v>0</v>
      </c>
      <c r="I829" s="421">
        <f t="shared" si="463"/>
        <v>0</v>
      </c>
      <c r="J829" s="422">
        <f t="shared" si="464"/>
        <v>0</v>
      </c>
    </row>
    <row r="830" spans="1:15" ht="24" x14ac:dyDescent="0.25">
      <c r="A830" s="274" t="s">
        <v>103</v>
      </c>
      <c r="B830" s="966"/>
      <c r="C830" s="275" t="s">
        <v>122</v>
      </c>
      <c r="D830" s="275"/>
      <c r="E830" s="505">
        <v>17.8202</v>
      </c>
      <c r="F830" s="402">
        <f>IFERROR(E830*'01 Prod Physique Boites'!H824,"-")</f>
        <v>0</v>
      </c>
      <c r="G830" s="403">
        <f>IFERROR(E830*'01 Prod Physique Boites'!L824,"-")</f>
        <v>0</v>
      </c>
      <c r="H830" s="385">
        <v>0</v>
      </c>
      <c r="I830" s="421">
        <f t="shared" si="463"/>
        <v>0</v>
      </c>
      <c r="J830" s="422">
        <f>IFERROR(H830*(G830/E830),"-")</f>
        <v>0</v>
      </c>
    </row>
    <row r="831" spans="1:15" ht="24" x14ac:dyDescent="0.25">
      <c r="A831" s="274" t="s">
        <v>103</v>
      </c>
      <c r="B831" s="966"/>
      <c r="C831" s="275" t="s">
        <v>176</v>
      </c>
      <c r="D831" s="275" t="s">
        <v>177</v>
      </c>
      <c r="E831" s="505">
        <v>17.8202</v>
      </c>
      <c r="F831" s="402">
        <f>IFERROR(E831*'01 Prod Physique Boites'!H825,"-")</f>
        <v>0</v>
      </c>
      <c r="G831" s="403">
        <f>IFERROR(E831*'01 Prod Physique Boites'!L825,"-")</f>
        <v>0</v>
      </c>
      <c r="H831" s="385">
        <v>0</v>
      </c>
      <c r="I831" s="421">
        <f t="shared" si="463"/>
        <v>0</v>
      </c>
      <c r="J831" s="422">
        <f t="shared" ref="J831:J833" si="465">IFERROR(H831*(G831/E831),"-")</f>
        <v>0</v>
      </c>
    </row>
    <row r="832" spans="1:15" ht="24" x14ac:dyDescent="0.25">
      <c r="A832" s="274" t="s">
        <v>103</v>
      </c>
      <c r="B832" s="966"/>
      <c r="C832" s="275" t="s">
        <v>179</v>
      </c>
      <c r="D832" s="275" t="s">
        <v>178</v>
      </c>
      <c r="E832" s="505">
        <v>16.7288</v>
      </c>
      <c r="F832" s="402">
        <f>IFERROR(E832*'01 Prod Physique Boites'!H826,"-")</f>
        <v>0</v>
      </c>
      <c r="G832" s="403">
        <f>IFERROR(E832*'01 Prod Physique Boites'!L826,"-")</f>
        <v>0</v>
      </c>
      <c r="H832" s="385">
        <v>0</v>
      </c>
      <c r="I832" s="421">
        <f t="shared" si="463"/>
        <v>0</v>
      </c>
      <c r="J832" s="422">
        <f t="shared" si="465"/>
        <v>0</v>
      </c>
    </row>
    <row r="833" spans="1:10" ht="24.75" thickBot="1" x14ac:dyDescent="0.3">
      <c r="A833" s="274" t="s">
        <v>103</v>
      </c>
      <c r="B833" s="967"/>
      <c r="C833" s="286" t="s">
        <v>180</v>
      </c>
      <c r="D833" s="286" t="s">
        <v>107</v>
      </c>
      <c r="E833" s="501">
        <v>17.8202</v>
      </c>
      <c r="F833" s="402">
        <f>IFERROR(E833*'01 Prod Physique Boites'!H827,"-")</f>
        <v>0</v>
      </c>
      <c r="G833" s="403">
        <f>IFERROR(E833*'01 Prod Physique Boites'!L827,"-")</f>
        <v>0</v>
      </c>
      <c r="H833" s="385">
        <v>0</v>
      </c>
      <c r="I833" s="423">
        <f t="shared" si="463"/>
        <v>0</v>
      </c>
      <c r="J833" s="424">
        <f t="shared" si="465"/>
        <v>0</v>
      </c>
    </row>
    <row r="834" spans="1:10" ht="23.25" thickBot="1" x14ac:dyDescent="0.3">
      <c r="A834" s="274" t="s">
        <v>103</v>
      </c>
      <c r="B834" s="946" t="s">
        <v>29</v>
      </c>
      <c r="C834" s="947"/>
      <c r="D834" s="948"/>
      <c r="E834" s="648"/>
      <c r="F834" s="649">
        <f t="shared" ref="F834:G834" si="466">SUM(F827:F833)</f>
        <v>0</v>
      </c>
      <c r="G834" s="407">
        <f t="shared" si="466"/>
        <v>0</v>
      </c>
      <c r="H834" s="391"/>
      <c r="I834" s="406">
        <f t="shared" ref="I834:J834" si="467">SUM(I827:I833)</f>
        <v>0</v>
      </c>
      <c r="J834" s="425">
        <f t="shared" si="467"/>
        <v>0</v>
      </c>
    </row>
    <row r="835" spans="1:10" ht="24.75" thickBot="1" x14ac:dyDescent="0.3">
      <c r="A835" s="274"/>
      <c r="B835" s="1004" t="s">
        <v>19</v>
      </c>
      <c r="C835" s="650" t="s">
        <v>235</v>
      </c>
      <c r="D835" s="656" t="s">
        <v>177</v>
      </c>
      <c r="E835" s="657">
        <v>12.2659</v>
      </c>
      <c r="F835" s="658">
        <f>IFERROR(E835*'01 Prod Physique Boites'!H829,"-")</f>
        <v>0</v>
      </c>
      <c r="G835" s="659">
        <f>IFERROR(E835*'01 Prod Physique Boites'!L829,"-")</f>
        <v>0</v>
      </c>
      <c r="H835" s="653">
        <v>14.79</v>
      </c>
      <c r="I835" s="638">
        <f t="shared" ref="I835:I839" si="468">IFERROR(H835*(F835/E835),"-")</f>
        <v>0</v>
      </c>
      <c r="J835" s="638">
        <f>IFERROR(H835*(G835/E835),"-")</f>
        <v>0</v>
      </c>
    </row>
    <row r="836" spans="1:10" ht="24.75" thickBot="1" x14ac:dyDescent="0.3">
      <c r="A836" s="274"/>
      <c r="B836" s="1005"/>
      <c r="C836" s="651" t="s">
        <v>359</v>
      </c>
      <c r="D836" s="660" t="s">
        <v>423</v>
      </c>
      <c r="E836" s="642">
        <v>12.2659</v>
      </c>
      <c r="F836" s="658">
        <f>IFERROR(E836*'01 Prod Physique Boites'!H830,"-")</f>
        <v>0</v>
      </c>
      <c r="G836" s="659">
        <f>IFERROR(E836*'01 Prod Physique Boites'!L830,"-")</f>
        <v>7046317.9775999999</v>
      </c>
      <c r="H836" s="654">
        <v>14.55</v>
      </c>
      <c r="I836" s="643">
        <f t="shared" si="468"/>
        <v>0</v>
      </c>
      <c r="J836" s="643">
        <f>IFERROR(H836*(G836/E836),"-")</f>
        <v>8358451.2000000002</v>
      </c>
    </row>
    <row r="837" spans="1:10" ht="24.75" thickBot="1" x14ac:dyDescent="0.3">
      <c r="A837" s="274"/>
      <c r="B837" s="1005"/>
      <c r="C837" s="669" t="s">
        <v>235</v>
      </c>
      <c r="D837" s="840" t="s">
        <v>522</v>
      </c>
      <c r="E837" s="851">
        <v>12.2659</v>
      </c>
      <c r="F837" s="658">
        <f>IFERROR(E837*'01 Prod Physique Boites'!H831,"-")</f>
        <v>0</v>
      </c>
      <c r="G837" s="659">
        <f>IFERROR(E837*'01 Prod Physique Boites'!L831,"-")</f>
        <v>2143686.8111999999</v>
      </c>
      <c r="H837" s="860">
        <v>0</v>
      </c>
      <c r="I837" s="643">
        <f t="shared" si="468"/>
        <v>0</v>
      </c>
      <c r="J837" s="643">
        <f t="shared" ref="J837:J838" si="469">IFERROR(H837*(G837/E837),"-")</f>
        <v>0</v>
      </c>
    </row>
    <row r="838" spans="1:10" ht="24.75" thickBot="1" x14ac:dyDescent="0.3">
      <c r="A838" s="274"/>
      <c r="B838" s="1005"/>
      <c r="C838" s="840" t="s">
        <v>377</v>
      </c>
      <c r="D838" s="840" t="s">
        <v>522</v>
      </c>
      <c r="E838" s="851">
        <v>12.2659</v>
      </c>
      <c r="F838" s="658">
        <f>IFERROR(E838*'01 Prod Physique Boites'!H832,"-")</f>
        <v>1865201.8176</v>
      </c>
      <c r="G838" s="659">
        <f>IFERROR(E838*'01 Prod Physique Boites'!L832,"-")</f>
        <v>3108669.696</v>
      </c>
      <c r="H838" s="860">
        <v>0</v>
      </c>
      <c r="I838" s="643">
        <f t="shared" si="468"/>
        <v>0</v>
      </c>
      <c r="J838" s="643">
        <f t="shared" si="469"/>
        <v>0</v>
      </c>
    </row>
    <row r="839" spans="1:10" ht="24.75" thickBot="1" x14ac:dyDescent="0.3">
      <c r="A839" s="823" t="s">
        <v>103</v>
      </c>
      <c r="B839" s="1006"/>
      <c r="C839" s="652" t="s">
        <v>342</v>
      </c>
      <c r="D839" s="661"/>
      <c r="E839" s="662">
        <v>0</v>
      </c>
      <c r="F839" s="658">
        <f>IFERROR(E839*'01 Prod Physique Boites'!H833,"-")</f>
        <v>0</v>
      </c>
      <c r="G839" s="659">
        <f>IFERROR(E839*'01 Prod Physique Boites'!L833,"-")</f>
        <v>0</v>
      </c>
      <c r="H839" s="655">
        <v>0</v>
      </c>
      <c r="I839" s="643" t="str">
        <f t="shared" si="468"/>
        <v>-</v>
      </c>
      <c r="J839" s="427" t="str">
        <f t="shared" ref="J839" si="470">IFERROR(I839*(G839/F839),"-")</f>
        <v>-</v>
      </c>
    </row>
    <row r="840" spans="1:10" ht="23.25" thickBot="1" x14ac:dyDescent="0.3">
      <c r="A840" s="274" t="s">
        <v>103</v>
      </c>
      <c r="B840" s="946" t="s">
        <v>46</v>
      </c>
      <c r="C840" s="947"/>
      <c r="D840" s="948"/>
      <c r="E840" s="390"/>
      <c r="F840" s="406">
        <f>SUM(F835:F839)</f>
        <v>1865201.8176</v>
      </c>
      <c r="G840" s="406">
        <f>SUM(G835:G839)</f>
        <v>12298674.4848</v>
      </c>
      <c r="H840" s="391"/>
      <c r="I840" s="406">
        <f>SUM(I835:I839)</f>
        <v>0</v>
      </c>
      <c r="J840" s="425">
        <f>SUM(J835:J839)</f>
        <v>8358451.2000000002</v>
      </c>
    </row>
    <row r="841" spans="1:10" ht="24" x14ac:dyDescent="0.25">
      <c r="A841" s="274" t="s">
        <v>103</v>
      </c>
      <c r="B841" s="965" t="s">
        <v>20</v>
      </c>
      <c r="C841" s="291" t="s">
        <v>317</v>
      </c>
      <c r="D841" s="291" t="s">
        <v>289</v>
      </c>
      <c r="E841" s="504">
        <v>26.032900000000001</v>
      </c>
      <c r="F841" s="402">
        <f>IFERROR(E841*'01 Prod Physique Boites'!H835,"-")</f>
        <v>0</v>
      </c>
      <c r="G841" s="403">
        <f>IFERROR(E841*'01 Prod Physique Boites'!L835,"-")</f>
        <v>0</v>
      </c>
      <c r="H841" s="381">
        <v>36.44</v>
      </c>
      <c r="I841" s="419">
        <f>IFERROR(H841*(F841/E841),"-")</f>
        <v>0</v>
      </c>
      <c r="J841" s="420">
        <f t="shared" ref="J841:J843" si="471">IFERROR(H841*(G841/E841),"-")</f>
        <v>0</v>
      </c>
    </row>
    <row r="842" spans="1:10" ht="24" x14ac:dyDescent="0.25">
      <c r="A842" s="274" t="s">
        <v>103</v>
      </c>
      <c r="B842" s="966"/>
      <c r="C842" s="292" t="s">
        <v>114</v>
      </c>
      <c r="D842" s="292"/>
      <c r="E842" s="384">
        <v>24.2607</v>
      </c>
      <c r="F842" s="402">
        <f>IFERROR(E842*'01 Prod Physique Boites'!H836,"-")</f>
        <v>0</v>
      </c>
      <c r="G842" s="403">
        <f>IFERROR(E842*'01 Prod Physique Boites'!L836,"-")</f>
        <v>0</v>
      </c>
      <c r="H842" s="385">
        <v>37.369999999999997</v>
      </c>
      <c r="I842" s="421">
        <f>IFERROR(H842*(F842/E842),"-")</f>
        <v>0</v>
      </c>
      <c r="J842" s="422">
        <f t="shared" si="471"/>
        <v>0</v>
      </c>
    </row>
    <row r="843" spans="1:10" ht="24.75" thickBot="1" x14ac:dyDescent="0.3">
      <c r="A843" s="274" t="s">
        <v>103</v>
      </c>
      <c r="B843" s="967"/>
      <c r="C843" s="293" t="s">
        <v>120</v>
      </c>
      <c r="D843" s="293"/>
      <c r="E843" s="386">
        <v>26.035799999999998</v>
      </c>
      <c r="F843" s="402">
        <f>IFERROR(E843*'01 Prod Physique Boites'!H837,"-")</f>
        <v>0</v>
      </c>
      <c r="G843" s="403">
        <f>IFERROR(E843*'01 Prod Physique Boites'!L837,"-")</f>
        <v>0</v>
      </c>
      <c r="H843" s="387">
        <v>37.11</v>
      </c>
      <c r="I843" s="423">
        <f>IFERROR(H843*(F843/E843),"-")</f>
        <v>0</v>
      </c>
      <c r="J843" s="424">
        <f t="shared" si="471"/>
        <v>0</v>
      </c>
    </row>
    <row r="844" spans="1:10" ht="23.25" thickBot="1" x14ac:dyDescent="0.3">
      <c r="A844" s="274" t="s">
        <v>103</v>
      </c>
      <c r="B844" s="947" t="s">
        <v>47</v>
      </c>
      <c r="C844" s="947"/>
      <c r="D844" s="964"/>
      <c r="E844" s="390"/>
      <c r="F844" s="406">
        <f t="shared" ref="F844:G844" si="472">SUM(F841:F843)</f>
        <v>0</v>
      </c>
      <c r="G844" s="407">
        <f t="shared" si="472"/>
        <v>0</v>
      </c>
      <c r="H844" s="391"/>
      <c r="I844" s="406">
        <f t="shared" ref="I844:J844" si="473">SUM(I841:I843)</f>
        <v>0</v>
      </c>
      <c r="J844" s="425">
        <f t="shared" si="473"/>
        <v>0</v>
      </c>
    </row>
    <row r="845" spans="1:10" ht="23.25" thickBot="1" x14ac:dyDescent="0.3">
      <c r="A845" s="274" t="s">
        <v>103</v>
      </c>
      <c r="B845" s="960" t="s">
        <v>21</v>
      </c>
      <c r="C845" s="961"/>
      <c r="D845" s="962"/>
      <c r="E845" s="393"/>
      <c r="F845" s="410">
        <f>+F818+F826+F834+F840+F844</f>
        <v>2944330.2</v>
      </c>
      <c r="G845" s="411">
        <f>+G818+G826+G834+G840+G844</f>
        <v>21022985.157200001</v>
      </c>
      <c r="H845" s="394"/>
      <c r="I845" s="410">
        <f>+I818+I826+I834+I840+I844</f>
        <v>1693153.28</v>
      </c>
      <c r="J845" s="428">
        <f>+J818+J826+J834+J840+J844</f>
        <v>21218740.879999999</v>
      </c>
    </row>
    <row r="846" spans="1:10" ht="24" x14ac:dyDescent="0.25">
      <c r="A846" s="274" t="s">
        <v>103</v>
      </c>
      <c r="B846" s="965" t="s">
        <v>400</v>
      </c>
      <c r="C846" s="269" t="s">
        <v>125</v>
      </c>
      <c r="D846" s="269"/>
      <c r="E846" s="380">
        <v>22.820599999999999</v>
      </c>
      <c r="F846" s="402">
        <f>IFERROR(E846*'01 Prod Physique Boites'!H840,"-")</f>
        <v>0</v>
      </c>
      <c r="G846" s="403">
        <f>IFERROR(E846*'01 Prod Physique Boites'!L840,"-")</f>
        <v>0</v>
      </c>
      <c r="H846" s="381">
        <v>27.5</v>
      </c>
      <c r="I846" s="419">
        <f>IFERROR(H846*(F846/E846),"-")</f>
        <v>0</v>
      </c>
      <c r="J846" s="420">
        <f t="shared" ref="J846:J849" si="474">IFERROR(H846*(G846/E846),"-")</f>
        <v>0</v>
      </c>
    </row>
    <row r="847" spans="1:10" ht="24" x14ac:dyDescent="0.25">
      <c r="A847" s="274" t="s">
        <v>103</v>
      </c>
      <c r="B847" s="966"/>
      <c r="C847" s="295" t="s">
        <v>263</v>
      </c>
      <c r="D847" s="295" t="s">
        <v>181</v>
      </c>
      <c r="E847" s="384">
        <v>23.570699999999999</v>
      </c>
      <c r="F847" s="402">
        <f>IFERROR(E847*'01 Prod Physique Boites'!H841,"-")</f>
        <v>0</v>
      </c>
      <c r="G847" s="403">
        <f>IFERROR(E847*'01 Prod Physique Boites'!L841,"-")</f>
        <v>0</v>
      </c>
      <c r="H847" s="385">
        <v>27.5</v>
      </c>
      <c r="I847" s="421">
        <f>IFERROR(H847*(F847/E847),"-")</f>
        <v>0</v>
      </c>
      <c r="J847" s="422">
        <f t="shared" si="474"/>
        <v>0</v>
      </c>
    </row>
    <row r="848" spans="1:10" ht="24" x14ac:dyDescent="0.25">
      <c r="A848" s="274" t="s">
        <v>103</v>
      </c>
      <c r="B848" s="966"/>
      <c r="C848" s="295" t="s">
        <v>362</v>
      </c>
      <c r="D848" s="295" t="s">
        <v>181</v>
      </c>
      <c r="E848" s="384">
        <v>22.820599999999999</v>
      </c>
      <c r="F848" s="402">
        <f>IFERROR(E848*'01 Prod Physique Boites'!H842,"-")</f>
        <v>0</v>
      </c>
      <c r="G848" s="403">
        <f>IFERROR(E848*'01 Prod Physique Boites'!L842,"-")</f>
        <v>0</v>
      </c>
      <c r="H848" s="385">
        <v>27.5</v>
      </c>
      <c r="I848" s="421">
        <f>IFERROR(H848*(F848/E848),"-")</f>
        <v>0</v>
      </c>
      <c r="J848" s="422">
        <f t="shared" si="474"/>
        <v>0</v>
      </c>
    </row>
    <row r="849" spans="1:10" ht="24.75" thickBot="1" x14ac:dyDescent="0.3">
      <c r="A849" s="274" t="s">
        <v>103</v>
      </c>
      <c r="B849" s="967"/>
      <c r="C849" s="279" t="s">
        <v>182</v>
      </c>
      <c r="D849" s="279" t="s">
        <v>93</v>
      </c>
      <c r="E849" s="386">
        <v>23.5685</v>
      </c>
      <c r="F849" s="402">
        <f>IFERROR(E849*'01 Prod Physique Boites'!H843,"-")</f>
        <v>0</v>
      </c>
      <c r="G849" s="403">
        <f>IFERROR(E849*'01 Prod Physique Boites'!L843,"-")</f>
        <v>0</v>
      </c>
      <c r="H849" s="387">
        <v>24</v>
      </c>
      <c r="I849" s="423">
        <f>IFERROR(H849*(F849/E849),"-")</f>
        <v>0</v>
      </c>
      <c r="J849" s="424">
        <f t="shared" si="474"/>
        <v>0</v>
      </c>
    </row>
    <row r="850" spans="1:10" ht="23.25" thickBot="1" x14ac:dyDescent="0.3">
      <c r="A850" s="274" t="s">
        <v>103</v>
      </c>
      <c r="B850" s="946" t="s">
        <v>48</v>
      </c>
      <c r="C850" s="947"/>
      <c r="D850" s="948"/>
      <c r="E850" s="390"/>
      <c r="F850" s="406">
        <f t="shared" ref="F850:G850" si="475">SUM(F846:F849)</f>
        <v>0</v>
      </c>
      <c r="G850" s="407">
        <f t="shared" si="475"/>
        <v>0</v>
      </c>
      <c r="H850" s="391"/>
      <c r="I850" s="406">
        <f t="shared" ref="I850:J850" si="476">SUM(I846:I849)</f>
        <v>0</v>
      </c>
      <c r="J850" s="425">
        <f t="shared" si="476"/>
        <v>0</v>
      </c>
    </row>
    <row r="851" spans="1:10" ht="24" x14ac:dyDescent="0.25">
      <c r="A851" s="274" t="s">
        <v>103</v>
      </c>
      <c r="B851" s="965" t="s">
        <v>23</v>
      </c>
      <c r="C851" s="296" t="s">
        <v>308</v>
      </c>
      <c r="D851" s="296" t="s">
        <v>238</v>
      </c>
      <c r="E851" s="380">
        <v>101.4935</v>
      </c>
      <c r="F851" s="402">
        <f>IFERROR(E851*'01 Prod Physique Boites'!H845,"-")</f>
        <v>0</v>
      </c>
      <c r="G851" s="403">
        <f>IFERROR(E851*'01 Prod Physique Boites'!L845,"-")</f>
        <v>0</v>
      </c>
      <c r="H851" s="385">
        <v>160.44999999999999</v>
      </c>
      <c r="I851" s="419">
        <f t="shared" ref="I851:I859" si="477">IFERROR(H851*(F851/E851),"-")</f>
        <v>0</v>
      </c>
      <c r="J851" s="420">
        <f t="shared" ref="J851:J859" si="478">IFERROR(H851*(G851/E851),"-")</f>
        <v>0</v>
      </c>
    </row>
    <row r="852" spans="1:10" ht="24" x14ac:dyDescent="0.25">
      <c r="A852" s="274" t="s">
        <v>103</v>
      </c>
      <c r="B852" s="966"/>
      <c r="C852" s="275" t="s">
        <v>24</v>
      </c>
      <c r="D852" s="275" t="s">
        <v>238</v>
      </c>
      <c r="E852" s="384">
        <v>101.4935</v>
      </c>
      <c r="F852" s="402">
        <f>IFERROR(E852*'01 Prod Physique Boites'!H846,"-")</f>
        <v>0</v>
      </c>
      <c r="G852" s="403">
        <f>IFERROR(E852*'01 Prod Physique Boites'!L846,"-")</f>
        <v>0</v>
      </c>
      <c r="H852" s="385">
        <v>160.44999999999999</v>
      </c>
      <c r="I852" s="421">
        <f t="shared" si="477"/>
        <v>0</v>
      </c>
      <c r="J852" s="422">
        <f t="shared" si="478"/>
        <v>0</v>
      </c>
    </row>
    <row r="853" spans="1:10" ht="24" x14ac:dyDescent="0.25">
      <c r="A853" s="274" t="s">
        <v>103</v>
      </c>
      <c r="B853" s="966"/>
      <c r="C853" s="275" t="s">
        <v>236</v>
      </c>
      <c r="D853" s="275" t="s">
        <v>238</v>
      </c>
      <c r="E853" s="384">
        <v>101.4935</v>
      </c>
      <c r="F853" s="402">
        <f>IFERROR(E853*'01 Prod Physique Boites'!H847,"-")</f>
        <v>0</v>
      </c>
      <c r="G853" s="403">
        <f>IFERROR(E853*'01 Prod Physique Boites'!L847,"-")</f>
        <v>0</v>
      </c>
      <c r="H853" s="385">
        <v>160.44999999999999</v>
      </c>
      <c r="I853" s="421">
        <f t="shared" si="477"/>
        <v>0</v>
      </c>
      <c r="J853" s="422">
        <f t="shared" si="478"/>
        <v>0</v>
      </c>
    </row>
    <row r="854" spans="1:10" ht="24" x14ac:dyDescent="0.25">
      <c r="A854" s="274" t="s">
        <v>103</v>
      </c>
      <c r="B854" s="966"/>
      <c r="C854" s="275" t="s">
        <v>237</v>
      </c>
      <c r="D854" s="275" t="s">
        <v>238</v>
      </c>
      <c r="E854" s="384">
        <v>101.4935</v>
      </c>
      <c r="F854" s="402">
        <f>IFERROR(E854*'01 Prod Physique Boites'!H848,"-")</f>
        <v>0</v>
      </c>
      <c r="G854" s="403">
        <f>IFERROR(E854*'01 Prod Physique Boites'!L848,"-")</f>
        <v>0</v>
      </c>
      <c r="H854" s="385">
        <v>160.44999999999999</v>
      </c>
      <c r="I854" s="421">
        <f t="shared" si="477"/>
        <v>0</v>
      </c>
      <c r="J854" s="422">
        <f t="shared" si="478"/>
        <v>0</v>
      </c>
    </row>
    <row r="855" spans="1:10" ht="24" x14ac:dyDescent="0.25">
      <c r="A855" s="274" t="s">
        <v>103</v>
      </c>
      <c r="B855" s="966"/>
      <c r="C855" s="295" t="s">
        <v>239</v>
      </c>
      <c r="D855" s="275" t="s">
        <v>238</v>
      </c>
      <c r="E855" s="384">
        <v>101.4935</v>
      </c>
      <c r="F855" s="402">
        <f>IFERROR(E855*'01 Prod Physique Boites'!H849,"-")</f>
        <v>0</v>
      </c>
      <c r="G855" s="403">
        <f>IFERROR(E855*'01 Prod Physique Boites'!L849,"-")</f>
        <v>0</v>
      </c>
      <c r="H855" s="385">
        <v>160.44999999999999</v>
      </c>
      <c r="I855" s="421">
        <f t="shared" si="477"/>
        <v>0</v>
      </c>
      <c r="J855" s="422">
        <f t="shared" si="478"/>
        <v>0</v>
      </c>
    </row>
    <row r="856" spans="1:10" ht="24" x14ac:dyDescent="0.25">
      <c r="A856" s="274" t="s">
        <v>103</v>
      </c>
      <c r="B856" s="966"/>
      <c r="C856" s="295" t="s">
        <v>240</v>
      </c>
      <c r="D856" s="275" t="s">
        <v>238</v>
      </c>
      <c r="E856" s="384">
        <v>101.4935</v>
      </c>
      <c r="F856" s="402">
        <f>IFERROR(E856*'01 Prod Physique Boites'!H850,"-")</f>
        <v>0</v>
      </c>
      <c r="G856" s="403">
        <f>IFERROR(E856*'01 Prod Physique Boites'!L850,"-")</f>
        <v>0</v>
      </c>
      <c r="H856" s="385">
        <v>160.44999999999999</v>
      </c>
      <c r="I856" s="421">
        <f t="shared" si="477"/>
        <v>0</v>
      </c>
      <c r="J856" s="422">
        <f t="shared" si="478"/>
        <v>0</v>
      </c>
    </row>
    <row r="857" spans="1:10" ht="24" x14ac:dyDescent="0.25">
      <c r="A857" s="274" t="s">
        <v>103</v>
      </c>
      <c r="B857" s="966"/>
      <c r="C857" s="295" t="s">
        <v>241</v>
      </c>
      <c r="D857" s="275" t="s">
        <v>243</v>
      </c>
      <c r="E857" s="384">
        <v>101.4935</v>
      </c>
      <c r="F857" s="402">
        <f>IFERROR(E857*'01 Prod Physique Boites'!H851,"-")</f>
        <v>0</v>
      </c>
      <c r="G857" s="403">
        <f>IFERROR(E857*'01 Prod Physique Boites'!L851,"-")</f>
        <v>0</v>
      </c>
      <c r="H857" s="385">
        <v>160.44999999999999</v>
      </c>
      <c r="I857" s="421">
        <f t="shared" si="477"/>
        <v>0</v>
      </c>
      <c r="J857" s="422">
        <f t="shared" si="478"/>
        <v>0</v>
      </c>
    </row>
    <row r="858" spans="1:10" ht="24" x14ac:dyDescent="0.25">
      <c r="A858" s="274"/>
      <c r="B858" s="967"/>
      <c r="C858" s="295" t="s">
        <v>457</v>
      </c>
      <c r="D858" s="275" t="s">
        <v>238</v>
      </c>
      <c r="E858" s="386">
        <v>101.49</v>
      </c>
      <c r="F858" s="402">
        <f>IFERROR(E858*'01 Prod Physique Boites'!H852,"-")</f>
        <v>0</v>
      </c>
      <c r="G858" s="403">
        <f>IFERROR(E858*'01 Prod Physique Boites'!L852,"-")</f>
        <v>0</v>
      </c>
      <c r="H858" s="385">
        <v>160.44999999999999</v>
      </c>
      <c r="I858" s="421">
        <f t="shared" si="477"/>
        <v>0</v>
      </c>
      <c r="J858" s="422">
        <f t="shared" si="478"/>
        <v>0</v>
      </c>
    </row>
    <row r="859" spans="1:10" ht="24.75" thickBot="1" x14ac:dyDescent="0.3">
      <c r="A859" s="274" t="s">
        <v>103</v>
      </c>
      <c r="B859" s="967"/>
      <c r="C859" s="295" t="s">
        <v>242</v>
      </c>
      <c r="D859" s="275" t="s">
        <v>238</v>
      </c>
      <c r="E859" s="386">
        <v>101.4935</v>
      </c>
      <c r="F859" s="402">
        <f>IFERROR(E859*'01 Prod Physique Boites'!H853,"-")</f>
        <v>0</v>
      </c>
      <c r="G859" s="403">
        <f>IFERROR(E859*'01 Prod Physique Boites'!L853,"-")</f>
        <v>0</v>
      </c>
      <c r="H859" s="385">
        <v>160.44999999999999</v>
      </c>
      <c r="I859" s="421">
        <f t="shared" si="477"/>
        <v>0</v>
      </c>
      <c r="J859" s="424">
        <f t="shared" si="478"/>
        <v>0</v>
      </c>
    </row>
    <row r="860" spans="1:10" ht="23.25" thickBot="1" x14ac:dyDescent="0.3">
      <c r="A860" s="274" t="s">
        <v>103</v>
      </c>
      <c r="B860" s="946" t="s">
        <v>49</v>
      </c>
      <c r="C860" s="947"/>
      <c r="D860" s="948"/>
      <c r="E860" s="390"/>
      <c r="F860" s="406">
        <f t="shared" ref="F860" si="479">SUM(F851:F859)</f>
        <v>0</v>
      </c>
      <c r="G860" s="407">
        <f>SUM(G851:G859)</f>
        <v>0</v>
      </c>
      <c r="H860" s="391"/>
      <c r="I860" s="406">
        <f t="shared" ref="I860" si="480">SUM(I851:I859)</f>
        <v>0</v>
      </c>
      <c r="J860" s="425">
        <f>SUM(J851:J859)</f>
        <v>0</v>
      </c>
    </row>
    <row r="861" spans="1:10" ht="23.25" thickBot="1" x14ac:dyDescent="0.3">
      <c r="A861" s="274" t="s">
        <v>103</v>
      </c>
      <c r="B861" s="960" t="s">
        <v>25</v>
      </c>
      <c r="C861" s="961"/>
      <c r="D861" s="962"/>
      <c r="E861" s="393"/>
      <c r="F861" s="410">
        <f t="shared" ref="F861" si="481">+F850+F860</f>
        <v>0</v>
      </c>
      <c r="G861" s="411">
        <f>+G850+G860</f>
        <v>0</v>
      </c>
      <c r="H861" s="394"/>
      <c r="I861" s="410">
        <f t="shared" ref="I861:J861" si="482">+I850+I860</f>
        <v>0</v>
      </c>
      <c r="J861" s="428">
        <f t="shared" si="482"/>
        <v>0</v>
      </c>
    </row>
    <row r="862" spans="1:10" ht="23.25" thickBot="1" x14ac:dyDescent="0.3">
      <c r="A862" s="274" t="s">
        <v>103</v>
      </c>
      <c r="B862" s="963" t="s">
        <v>172</v>
      </c>
      <c r="C862" s="941"/>
      <c r="D862" s="942"/>
      <c r="E862" s="395"/>
      <c r="F862" s="412">
        <f t="shared" ref="F862" si="483">+F845+F861</f>
        <v>2944330.2</v>
      </c>
      <c r="G862" s="413">
        <f>+G845+G861</f>
        <v>21022985.157200001</v>
      </c>
      <c r="H862" s="396"/>
      <c r="I862" s="412">
        <f t="shared" ref="I862:J862" si="484">+I845+I861</f>
        <v>1693153.28</v>
      </c>
      <c r="J862" s="429">
        <f t="shared" si="484"/>
        <v>21218740.879999999</v>
      </c>
    </row>
    <row r="863" spans="1:10" ht="24" x14ac:dyDescent="0.25">
      <c r="A863" s="268" t="s">
        <v>101</v>
      </c>
      <c r="B863" s="956" t="s">
        <v>26</v>
      </c>
      <c r="C863" s="297" t="s">
        <v>297</v>
      </c>
      <c r="D863" s="299" t="s">
        <v>177</v>
      </c>
      <c r="E863" s="504">
        <v>13.1272</v>
      </c>
      <c r="F863" s="402">
        <f>IFERROR(E863*'01 Prod Physique Boites'!H857,"-")</f>
        <v>0</v>
      </c>
      <c r="G863" s="403">
        <f>IFERROR(E863*'01 Prod Physique Boites'!L857,"-")</f>
        <v>0</v>
      </c>
      <c r="H863" s="381">
        <v>20.76</v>
      </c>
      <c r="I863" s="419">
        <f t="shared" ref="I863:I872" si="485">IFERROR(H863*(F863/E863),"-")</f>
        <v>0</v>
      </c>
      <c r="J863" s="632">
        <f t="shared" ref="J863:J872" si="486">IFERROR(H863*(G863/E863),"-")</f>
        <v>0</v>
      </c>
    </row>
    <row r="864" spans="1:10" ht="24" x14ac:dyDescent="0.25">
      <c r="A864" s="274" t="s">
        <v>101</v>
      </c>
      <c r="B864" s="956"/>
      <c r="C864" s="298" t="s">
        <v>424</v>
      </c>
      <c r="D864" s="298" t="s">
        <v>423</v>
      </c>
      <c r="E864" s="505">
        <v>16.7288</v>
      </c>
      <c r="F864" s="402">
        <f>IFERROR(E864*'01 Prod Physique Boites'!H858,"-")</f>
        <v>0</v>
      </c>
      <c r="G864" s="403">
        <f>IFERROR(E864*'01 Prod Physique Boites'!L858,"-")</f>
        <v>4392112.9824000001</v>
      </c>
      <c r="H864" s="385">
        <v>20.76</v>
      </c>
      <c r="I864" s="421">
        <f t="shared" si="485"/>
        <v>0</v>
      </c>
      <c r="J864" s="633">
        <f t="shared" si="486"/>
        <v>5450496.4800000004</v>
      </c>
    </row>
    <row r="865" spans="1:10" ht="24" x14ac:dyDescent="0.25">
      <c r="A865" s="274" t="s">
        <v>101</v>
      </c>
      <c r="B865" s="956"/>
      <c r="C865" s="813" t="s">
        <v>460</v>
      </c>
      <c r="D865" s="814" t="s">
        <v>334</v>
      </c>
      <c r="E865" s="501">
        <v>14.608000000000001</v>
      </c>
      <c r="F865" s="402">
        <f>IFERROR(E865*'01 Prod Physique Boites'!H859,"-")</f>
        <v>0</v>
      </c>
      <c r="G865" s="403">
        <f>IFERROR(E865*'01 Prod Physique Boites'!L859,"-")</f>
        <v>406774.36800000002</v>
      </c>
      <c r="H865" s="385">
        <v>21.22</v>
      </c>
      <c r="I865" s="643">
        <f t="shared" si="485"/>
        <v>0</v>
      </c>
      <c r="J865" s="633">
        <f t="shared" si="486"/>
        <v>590892.12</v>
      </c>
    </row>
    <row r="866" spans="1:10" ht="24" x14ac:dyDescent="0.25">
      <c r="A866" s="274" t="s">
        <v>101</v>
      </c>
      <c r="B866" s="956"/>
      <c r="C866" s="299" t="s">
        <v>27</v>
      </c>
      <c r="D866" s="297" t="s">
        <v>492</v>
      </c>
      <c r="E866" s="501">
        <v>17.8202</v>
      </c>
      <c r="F866" s="402">
        <f>IFERROR(E866*'01 Prod Physique Boites'!H860,"-")</f>
        <v>0</v>
      </c>
      <c r="G866" s="403">
        <f>IFERROR(E866*'01 Prod Physique Boites'!L860,"-")</f>
        <v>4820435.3808000004</v>
      </c>
      <c r="H866" s="385">
        <v>26.75</v>
      </c>
      <c r="I866" s="643">
        <f t="shared" si="485"/>
        <v>0</v>
      </c>
      <c r="J866" s="633">
        <f t="shared" si="486"/>
        <v>7235982</v>
      </c>
    </row>
    <row r="867" spans="1:10" ht="24" x14ac:dyDescent="0.25">
      <c r="A867" s="274" t="s">
        <v>101</v>
      </c>
      <c r="B867" s="956"/>
      <c r="C867" s="297" t="s">
        <v>521</v>
      </c>
      <c r="D867" s="299" t="s">
        <v>234</v>
      </c>
      <c r="E867" s="501">
        <v>14.608000000000001</v>
      </c>
      <c r="F867" s="402">
        <f>IFERROR(E867*'01 Prod Physique Boites'!H861,"-")</f>
        <v>522995.61600000004</v>
      </c>
      <c r="G867" s="403">
        <f>IFERROR(E867*'01 Prod Physique Boites'!L861,"-")</f>
        <v>813548.73600000003</v>
      </c>
      <c r="H867" s="385">
        <v>24.93</v>
      </c>
      <c r="I867" s="643">
        <f t="shared" si="485"/>
        <v>892543.86</v>
      </c>
      <c r="J867" s="633">
        <f t="shared" si="486"/>
        <v>1388401.56</v>
      </c>
    </row>
    <row r="868" spans="1:10" ht="24" x14ac:dyDescent="0.25">
      <c r="A868" s="274"/>
      <c r="B868" s="956"/>
      <c r="C868" s="299" t="s">
        <v>437</v>
      </c>
      <c r="D868" s="299" t="s">
        <v>178</v>
      </c>
      <c r="E868" s="501">
        <v>14.608000000000001</v>
      </c>
      <c r="F868" s="402">
        <f>IFERROR(E868*'01 Prod Physique Boites'!H862,"-")</f>
        <v>0</v>
      </c>
      <c r="G868" s="403">
        <f>IFERROR(E868*'01 Prod Physique Boites'!L862,"-")</f>
        <v>0</v>
      </c>
      <c r="H868" s="387">
        <v>24.93</v>
      </c>
      <c r="I868" s="643">
        <f t="shared" si="485"/>
        <v>0</v>
      </c>
      <c r="J868" s="634">
        <f t="shared" si="486"/>
        <v>0</v>
      </c>
    </row>
    <row r="869" spans="1:10" ht="24" x14ac:dyDescent="0.25">
      <c r="A869" s="274"/>
      <c r="B869" s="956"/>
      <c r="C869" s="299" t="s">
        <v>436</v>
      </c>
      <c r="D869" s="299" t="s">
        <v>94</v>
      </c>
      <c r="E869" s="501">
        <v>17.8202</v>
      </c>
      <c r="F869" s="724">
        <f>IFERROR(E869*'01 Prod Physique Boites'!H863,"-")</f>
        <v>0</v>
      </c>
      <c r="G869" s="403">
        <f>IFERROR(E869*'01 Prod Physique Boites'!L863,"-")</f>
        <v>0</v>
      </c>
      <c r="H869" s="387">
        <v>24.93</v>
      </c>
      <c r="I869" s="730">
        <f t="shared" si="485"/>
        <v>0</v>
      </c>
      <c r="J869" s="634">
        <f t="shared" si="486"/>
        <v>0</v>
      </c>
    </row>
    <row r="870" spans="1:10" s="731" customFormat="1" ht="24" x14ac:dyDescent="0.25">
      <c r="A870" s="725"/>
      <c r="B870" s="956"/>
      <c r="C870" s="726" t="s">
        <v>383</v>
      </c>
      <c r="D870" s="726" t="s">
        <v>384</v>
      </c>
      <c r="E870" s="727">
        <v>16.345199999999998</v>
      </c>
      <c r="F870" s="724">
        <f>IFERROR(E870*'01 Prod Physique Boites'!H864,"-")</f>
        <v>0</v>
      </c>
      <c r="G870" s="728">
        <f>IFERROR(E870*'01 Prod Physique Boites'!L864,"-")</f>
        <v>0</v>
      </c>
      <c r="H870" s="729">
        <v>23.78</v>
      </c>
      <c r="I870" s="730">
        <f t="shared" si="485"/>
        <v>0</v>
      </c>
      <c r="J870" s="634">
        <f t="shared" si="486"/>
        <v>0</v>
      </c>
    </row>
    <row r="871" spans="1:10" s="731" customFormat="1" ht="24" x14ac:dyDescent="0.25">
      <c r="A871" s="725"/>
      <c r="B871" s="956"/>
      <c r="C871" s="299" t="s">
        <v>433</v>
      </c>
      <c r="D871" s="299" t="s">
        <v>178</v>
      </c>
      <c r="E871" s="727">
        <v>16.7288</v>
      </c>
      <c r="F871" s="724">
        <f>IFERROR(E871*'01 Prod Physique Boites'!H865,"-")</f>
        <v>0</v>
      </c>
      <c r="G871" s="728">
        <f>IFERROR(E871*'01 Prod Physique Boites'!L865,"-")</f>
        <v>0</v>
      </c>
      <c r="H871" s="729">
        <v>25.49</v>
      </c>
      <c r="I871" s="730">
        <f t="shared" si="485"/>
        <v>0</v>
      </c>
      <c r="J871" s="634">
        <f t="shared" si="486"/>
        <v>0</v>
      </c>
    </row>
    <row r="872" spans="1:10" ht="24.75" thickBot="1" x14ac:dyDescent="0.3">
      <c r="A872" s="274" t="s">
        <v>101</v>
      </c>
      <c r="B872" s="956"/>
      <c r="C872" s="300" t="s">
        <v>290</v>
      </c>
      <c r="D872" s="299" t="s">
        <v>289</v>
      </c>
      <c r="E872" s="501">
        <v>12.6997</v>
      </c>
      <c r="F872" s="402">
        <f>IFERROR(E872*'01 Prod Physique Boites'!H866,"-")</f>
        <v>0</v>
      </c>
      <c r="G872" s="728">
        <f>IFERROR(E872*'01 Prod Physique Boites'!L866,"-")</f>
        <v>0</v>
      </c>
      <c r="H872" s="387">
        <v>13.25</v>
      </c>
      <c r="I872" s="730">
        <f t="shared" si="485"/>
        <v>0</v>
      </c>
      <c r="J872" s="634">
        <f t="shared" si="486"/>
        <v>0</v>
      </c>
    </row>
    <row r="873" spans="1:10" ht="23.25" thickBot="1" x14ac:dyDescent="0.3">
      <c r="A873" s="274" t="s">
        <v>101</v>
      </c>
      <c r="B873" s="969"/>
      <c r="C873" s="301"/>
      <c r="D873" s="302" t="s">
        <v>52</v>
      </c>
      <c r="E873" s="390"/>
      <c r="F873" s="406">
        <f>SUM(F863:F872)</f>
        <v>522995.61600000004</v>
      </c>
      <c r="G873" s="407">
        <f>SUM(G863:G872)</f>
        <v>10432871.4672</v>
      </c>
      <c r="H873" s="391"/>
      <c r="I873" s="406">
        <f>SUM(I863:I872)</f>
        <v>892543.86</v>
      </c>
      <c r="J873" s="425">
        <f>SUM(J863:J872)</f>
        <v>14665772.160000002</v>
      </c>
    </row>
    <row r="874" spans="1:10" ht="24" x14ac:dyDescent="0.25">
      <c r="A874" s="274" t="s">
        <v>101</v>
      </c>
      <c r="B874" s="955" t="s">
        <v>28</v>
      </c>
      <c r="C874" s="299" t="s">
        <v>27</v>
      </c>
      <c r="D874" s="297" t="s">
        <v>492</v>
      </c>
      <c r="E874" s="504">
        <v>17.8202</v>
      </c>
      <c r="F874" s="402">
        <f>IFERROR(E874*'01 Prod Physique Boites'!H868,"-")</f>
        <v>141777.51120000001</v>
      </c>
      <c r="G874" s="403">
        <f>IFERROR(E874*'01 Prod Physique Boites'!L868,"-")</f>
        <v>2977327.7352</v>
      </c>
      <c r="H874" s="381">
        <v>26.75</v>
      </c>
      <c r="I874" s="419">
        <f t="shared" ref="I874:I880" si="487">IFERROR(H874*(F874/E874),"-")</f>
        <v>212823.00000000003</v>
      </c>
      <c r="J874" s="632">
        <f t="shared" ref="J874:J875" si="488">IFERROR(H874*(G874/E874),"-")</f>
        <v>4469283</v>
      </c>
    </row>
    <row r="875" spans="1:10" ht="24" x14ac:dyDescent="0.25">
      <c r="A875" s="274" t="s">
        <v>101</v>
      </c>
      <c r="B875" s="956"/>
      <c r="C875" s="299" t="s">
        <v>386</v>
      </c>
      <c r="D875" s="299" t="s">
        <v>334</v>
      </c>
      <c r="E875" s="711">
        <v>16.7288</v>
      </c>
      <c r="F875" s="402">
        <f>IFERROR(E875*'01 Prod Physique Boites'!H869,"-")</f>
        <v>0</v>
      </c>
      <c r="G875" s="728">
        <f>IFERROR(E875*'01 Prod Physique Boites'!L869,"-")</f>
        <v>1597131.9935999999</v>
      </c>
      <c r="H875" s="708">
        <v>20.76</v>
      </c>
      <c r="I875" s="421">
        <f t="shared" si="487"/>
        <v>0</v>
      </c>
      <c r="J875" s="633">
        <f t="shared" si="488"/>
        <v>1981998.7200000002</v>
      </c>
    </row>
    <row r="876" spans="1:10" ht="24" x14ac:dyDescent="0.25">
      <c r="A876" s="274" t="s">
        <v>101</v>
      </c>
      <c r="B876" s="956"/>
      <c r="C876" s="299" t="s">
        <v>385</v>
      </c>
      <c r="D876" s="299" t="s">
        <v>334</v>
      </c>
      <c r="E876" s="501">
        <v>17.8202</v>
      </c>
      <c r="F876" s="402">
        <f>IFERROR(E876*'01 Prod Physique Boites'!H870,"-")</f>
        <v>0</v>
      </c>
      <c r="G876" s="403">
        <f>IFERROR(E876*'01 Prod Physique Boites'!L870,"-")</f>
        <v>0</v>
      </c>
      <c r="H876" s="385">
        <v>21.22</v>
      </c>
      <c r="I876" s="421">
        <f t="shared" si="487"/>
        <v>0</v>
      </c>
      <c r="J876" s="633">
        <f>IFERROR(H876*(G876/E876),"-")</f>
        <v>0</v>
      </c>
    </row>
    <row r="877" spans="1:10" ht="24" x14ac:dyDescent="0.25">
      <c r="A877" s="274"/>
      <c r="B877" s="956"/>
      <c r="C877" s="299" t="s">
        <v>460</v>
      </c>
      <c r="D877" s="299" t="s">
        <v>334</v>
      </c>
      <c r="E877" s="501">
        <v>14.608000000000001</v>
      </c>
      <c r="F877" s="402">
        <f>IFERROR(E877*'01 Prod Physique Boites'!H871,"-")</f>
        <v>58110.624000000003</v>
      </c>
      <c r="G877" s="403">
        <f>IFERROR(E877*'01 Prod Physique Boites'!L871,"-")</f>
        <v>58110.624000000003</v>
      </c>
      <c r="H877" s="385">
        <v>21.22</v>
      </c>
      <c r="I877" s="421">
        <f t="shared" si="487"/>
        <v>84413.159999999989</v>
      </c>
      <c r="J877" s="633">
        <f>IFERROR(H877*(G877/E877),"-")</f>
        <v>84413.159999999989</v>
      </c>
    </row>
    <row r="878" spans="1:10" ht="24" x14ac:dyDescent="0.25">
      <c r="A878" s="274"/>
      <c r="B878" s="956"/>
      <c r="C878" s="299" t="s">
        <v>383</v>
      </c>
      <c r="D878" s="299" t="s">
        <v>384</v>
      </c>
      <c r="E878" s="711">
        <v>16.345199999999998</v>
      </c>
      <c r="F878" s="402">
        <f>IFERROR(E878*'01 Prod Physique Boites'!H872,"-")</f>
        <v>0</v>
      </c>
      <c r="G878" s="403">
        <f>IFERROR(E878*'01 Prod Physique Boites'!L872,"-")</f>
        <v>0</v>
      </c>
      <c r="H878" s="385">
        <v>23.78</v>
      </c>
      <c r="I878" s="423">
        <f t="shared" si="487"/>
        <v>0</v>
      </c>
      <c r="J878" s="634">
        <f t="shared" ref="J878:J880" si="489">IFERROR(H878*(G878/E878),"-")</f>
        <v>0</v>
      </c>
    </row>
    <row r="879" spans="1:10" ht="24" x14ac:dyDescent="0.25">
      <c r="A879" s="274"/>
      <c r="B879" s="956"/>
      <c r="C879" s="299" t="s">
        <v>458</v>
      </c>
      <c r="D879" s="300" t="s">
        <v>280</v>
      </c>
      <c r="E879" s="711">
        <v>17.8202</v>
      </c>
      <c r="F879" s="402">
        <f>IFERROR(E879*'01 Prod Physique Boites'!H873,"-")</f>
        <v>0</v>
      </c>
      <c r="G879" s="403">
        <f>IFERROR(E879*'01 Prod Physique Boites'!L873,"-")</f>
        <v>0</v>
      </c>
      <c r="H879" s="385">
        <v>24.93</v>
      </c>
      <c r="I879" s="730">
        <f t="shared" si="487"/>
        <v>0</v>
      </c>
      <c r="J879" s="634">
        <f t="shared" si="489"/>
        <v>0</v>
      </c>
    </row>
    <row r="880" spans="1:10" ht="24.75" thickBot="1" x14ac:dyDescent="0.3">
      <c r="A880" s="274" t="s">
        <v>101</v>
      </c>
      <c r="B880" s="956"/>
      <c r="C880" s="299" t="s">
        <v>27</v>
      </c>
      <c r="D880" s="300" t="s">
        <v>234</v>
      </c>
      <c r="E880" s="501">
        <v>17.8202</v>
      </c>
      <c r="F880" s="402">
        <f>IFERROR(E880*'01 Prod Physique Boites'!H874,"-")</f>
        <v>0</v>
      </c>
      <c r="G880" s="403">
        <f>IFERROR(E880*'01 Prod Physique Boites'!L874,"-")</f>
        <v>0</v>
      </c>
      <c r="H880" s="385">
        <v>24.93</v>
      </c>
      <c r="I880" s="423">
        <f t="shared" si="487"/>
        <v>0</v>
      </c>
      <c r="J880" s="634">
        <f t="shared" si="489"/>
        <v>0</v>
      </c>
    </row>
    <row r="881" spans="1:10" ht="23.25" thickBot="1" x14ac:dyDescent="0.3">
      <c r="A881" s="274" t="s">
        <v>101</v>
      </c>
      <c r="B881" s="956"/>
      <c r="C881" s="304"/>
      <c r="D881" s="305" t="s">
        <v>52</v>
      </c>
      <c r="E881" s="397"/>
      <c r="F881" s="414">
        <f t="shared" ref="F881:G881" si="490">SUM(F874:F880)</f>
        <v>199888.13520000002</v>
      </c>
      <c r="G881" s="415">
        <f t="shared" si="490"/>
        <v>4632570.3527999995</v>
      </c>
      <c r="H881" s="398"/>
      <c r="I881" s="414">
        <f t="shared" ref="I881:J881" si="491">SUM(I874:I880)</f>
        <v>297236.16000000003</v>
      </c>
      <c r="J881" s="430">
        <f t="shared" si="491"/>
        <v>6535694.8800000008</v>
      </c>
    </row>
    <row r="882" spans="1:10" ht="23.25" thickBot="1" x14ac:dyDescent="0.3">
      <c r="A882" s="823" t="s">
        <v>101</v>
      </c>
      <c r="B882" s="957" t="s">
        <v>162</v>
      </c>
      <c r="C882" s="958"/>
      <c r="D882" s="959"/>
      <c r="E882" s="399"/>
      <c r="F882" s="416">
        <f t="shared" ref="F882:G882" si="492">+F873+F881</f>
        <v>722883.75120000006</v>
      </c>
      <c r="G882" s="417">
        <f t="shared" si="492"/>
        <v>15065441.82</v>
      </c>
      <c r="H882" s="400"/>
      <c r="I882" s="416">
        <f t="shared" ref="I882:J882" si="493">+I873+I881</f>
        <v>1189780.02</v>
      </c>
      <c r="J882" s="431">
        <f t="shared" si="493"/>
        <v>21201467.040000003</v>
      </c>
    </row>
    <row r="883" spans="1:10" ht="24" x14ac:dyDescent="0.25">
      <c r="A883" s="274" t="s">
        <v>101</v>
      </c>
      <c r="B883" s="956" t="s">
        <v>30</v>
      </c>
      <c r="C883" s="303" t="s">
        <v>450</v>
      </c>
      <c r="D883" s="299" t="s">
        <v>334</v>
      </c>
      <c r="E883" s="736">
        <v>27.917000000000002</v>
      </c>
      <c r="F883" s="402">
        <f>IFERROR(E883*'01 Prod Physique Boites'!H877,"-")</f>
        <v>0</v>
      </c>
      <c r="G883" s="728">
        <f>IFERROR(E883*'01 Prod Physique Boites'!L877,"-")</f>
        <v>0</v>
      </c>
      <c r="H883" s="734">
        <v>33.299999999999997</v>
      </c>
      <c r="I883" s="419">
        <f>IFERROR(H883*(F883/E883),"-")</f>
        <v>0</v>
      </c>
      <c r="J883" s="420">
        <f t="shared" ref="J883:J885" si="494">IFERROR(H883*(G883/E883),"-")</f>
        <v>0</v>
      </c>
    </row>
    <row r="884" spans="1:10" ht="24" x14ac:dyDescent="0.25">
      <c r="A884" s="274" t="s">
        <v>101</v>
      </c>
      <c r="B884" s="956"/>
      <c r="C884" s="300" t="s">
        <v>448</v>
      </c>
      <c r="D884" s="303" t="s">
        <v>384</v>
      </c>
      <c r="E884" s="733">
        <v>28.526700000000002</v>
      </c>
      <c r="F884" s="402">
        <f>IFERROR(E884*'01 Prod Physique Boites'!H878,"-")</f>
        <v>0</v>
      </c>
      <c r="G884" s="728">
        <f>IFERROR(E884*'01 Prod Physique Boites'!L878,"-")</f>
        <v>0</v>
      </c>
      <c r="H884" s="735">
        <v>37.89</v>
      </c>
      <c r="I884" s="421">
        <f>IFERROR(H884*(F884/E884),"-")</f>
        <v>0</v>
      </c>
      <c r="J884" s="422">
        <f t="shared" si="494"/>
        <v>0</v>
      </c>
    </row>
    <row r="885" spans="1:10" ht="24.75" thickBot="1" x14ac:dyDescent="0.3">
      <c r="A885" s="274" t="s">
        <v>101</v>
      </c>
      <c r="B885" s="956"/>
      <c r="C885" s="300" t="s">
        <v>291</v>
      </c>
      <c r="D885" s="300" t="s">
        <v>384</v>
      </c>
      <c r="E885" s="501">
        <v>25.751300000000001</v>
      </c>
      <c r="F885" s="724">
        <f>IFERROR(E885*'01 Prod Physique Boites'!H879,"-")</f>
        <v>0</v>
      </c>
      <c r="G885" s="728">
        <f>IFERROR(E885*'01 Prod Physique Boites'!L879,"-")</f>
        <v>0</v>
      </c>
      <c r="H885" s="387">
        <v>37.89</v>
      </c>
      <c r="I885" s="423">
        <f>IFERROR(H885*(F885/E885),"-")</f>
        <v>0</v>
      </c>
      <c r="J885" s="424">
        <f t="shared" si="494"/>
        <v>0</v>
      </c>
    </row>
    <row r="886" spans="1:10" ht="23.25" thickBot="1" x14ac:dyDescent="0.3">
      <c r="A886" s="274" t="s">
        <v>101</v>
      </c>
      <c r="B886" s="956"/>
      <c r="C886" s="301"/>
      <c r="D886" s="302" t="s">
        <v>50</v>
      </c>
      <c r="E886" s="390"/>
      <c r="F886" s="406">
        <f t="shared" ref="F886:G886" si="495">SUM(F883:F885)</f>
        <v>0</v>
      </c>
      <c r="G886" s="407">
        <f t="shared" si="495"/>
        <v>0</v>
      </c>
      <c r="H886" s="391"/>
      <c r="I886" s="406">
        <f t="shared" ref="I886" si="496">SUM(I883:I885)</f>
        <v>0</v>
      </c>
      <c r="J886" s="425">
        <f>SUM(J883:J885)</f>
        <v>0</v>
      </c>
    </row>
    <row r="887" spans="1:10" ht="24" x14ac:dyDescent="0.25">
      <c r="A887" s="274" t="s">
        <v>101</v>
      </c>
      <c r="B887" s="956"/>
      <c r="C887" s="297" t="s">
        <v>439</v>
      </c>
      <c r="D887" s="297" t="s">
        <v>92</v>
      </c>
      <c r="E887" s="504">
        <v>24.2607</v>
      </c>
      <c r="F887" s="402">
        <f>IFERROR(E887*'01 Prod Physique Boites'!H881,"-")</f>
        <v>0</v>
      </c>
      <c r="G887" s="728">
        <f>IFERROR(E887*'01 Prod Physique Boites'!L881,"-")</f>
        <v>0</v>
      </c>
      <c r="H887" s="381">
        <v>28.31</v>
      </c>
      <c r="I887" s="638">
        <f>IFERROR(H887*(F887/E887),"-")</f>
        <v>0</v>
      </c>
      <c r="J887" s="420">
        <f t="shared" ref="J887:J892" si="497">IFERROR(H887*(G887/E887),"-")</f>
        <v>0</v>
      </c>
    </row>
    <row r="888" spans="1:10" ht="24" x14ac:dyDescent="0.25">
      <c r="A888" s="274"/>
      <c r="B888" s="956"/>
      <c r="C888" s="303" t="s">
        <v>449</v>
      </c>
      <c r="D888" s="299" t="s">
        <v>334</v>
      </c>
      <c r="E888" s="504">
        <v>24.2607</v>
      </c>
      <c r="F888" s="402">
        <f>IFERROR(E888*'01 Prod Physique Boites'!H882,"-")</f>
        <v>0</v>
      </c>
      <c r="G888" s="728">
        <f>IFERROR(E888*'01 Prod Physique Boites'!L882,"-")</f>
        <v>0</v>
      </c>
      <c r="H888" s="381">
        <v>28.88</v>
      </c>
      <c r="I888" s="638">
        <f t="shared" ref="I888:I892" si="498">IFERROR(H888*(F888/E888),"-")</f>
        <v>0</v>
      </c>
      <c r="J888" s="420">
        <f t="shared" si="497"/>
        <v>0</v>
      </c>
    </row>
    <row r="889" spans="1:10" ht="24" x14ac:dyDescent="0.25">
      <c r="A889" s="274"/>
      <c r="B889" s="956"/>
      <c r="C889" s="303" t="s">
        <v>452</v>
      </c>
      <c r="D889" s="299" t="s">
        <v>334</v>
      </c>
      <c r="E889" s="504">
        <v>25.4041</v>
      </c>
      <c r="F889" s="402">
        <f>IFERROR(E889*'01 Prod Physique Boites'!H883,"-")</f>
        <v>0</v>
      </c>
      <c r="G889" s="728">
        <f>IFERROR(E889*'01 Prod Physique Boites'!L883,"-")</f>
        <v>0</v>
      </c>
      <c r="H889" s="381">
        <v>28.21</v>
      </c>
      <c r="I889" s="638">
        <f t="shared" si="498"/>
        <v>0</v>
      </c>
      <c r="J889" s="420">
        <f t="shared" si="497"/>
        <v>0</v>
      </c>
    </row>
    <row r="890" spans="1:10" ht="24" x14ac:dyDescent="0.25">
      <c r="A890" s="274" t="s">
        <v>101</v>
      </c>
      <c r="B890" s="956"/>
      <c r="C890" s="303" t="s">
        <v>501</v>
      </c>
      <c r="D890" s="300" t="s">
        <v>423</v>
      </c>
      <c r="E890" s="505">
        <v>23.697399999999998</v>
      </c>
      <c r="F890" s="724">
        <f>IFERROR(E890*'01 Prod Physique Boites'!H884,"-")</f>
        <v>0</v>
      </c>
      <c r="G890" s="728">
        <f>IFERROR(E890*'01 Prod Physique Boites'!L884,"-")</f>
        <v>177446.13119999997</v>
      </c>
      <c r="H890" s="385">
        <v>28.21</v>
      </c>
      <c r="I890" s="638">
        <f t="shared" si="498"/>
        <v>0</v>
      </c>
      <c r="J890" s="420">
        <f t="shared" si="497"/>
        <v>211236.47999999998</v>
      </c>
    </row>
    <row r="891" spans="1:10" ht="24" x14ac:dyDescent="0.25">
      <c r="A891" s="274"/>
      <c r="B891" s="956"/>
      <c r="C891" s="300" t="s">
        <v>459</v>
      </c>
      <c r="D891" s="300" t="s">
        <v>366</v>
      </c>
      <c r="E891" s="501">
        <v>22.094999999999999</v>
      </c>
      <c r="F891" s="724">
        <f>IFERROR(E891*'01 Prod Physique Boites'!H885,"-")</f>
        <v>0</v>
      </c>
      <c r="G891" s="728">
        <f>IFERROR(E891*'01 Prod Physique Boites'!L885,"-")</f>
        <v>0</v>
      </c>
      <c r="H891" s="745">
        <v>37.11</v>
      </c>
      <c r="I891" s="638">
        <f t="shared" si="498"/>
        <v>0</v>
      </c>
      <c r="J891" s="420">
        <f t="shared" si="497"/>
        <v>0</v>
      </c>
    </row>
    <row r="892" spans="1:10" ht="24.75" thickBot="1" x14ac:dyDescent="0.3">
      <c r="A892" s="274" t="s">
        <v>101</v>
      </c>
      <c r="B892" s="956"/>
      <c r="C892" s="300" t="s">
        <v>438</v>
      </c>
      <c r="D892" s="300" t="s">
        <v>423</v>
      </c>
      <c r="E892" s="501">
        <v>23.697399999999998</v>
      </c>
      <c r="F892" s="402">
        <f>IFERROR(E892*'01 Prod Physique Boites'!H886,"-")</f>
        <v>0</v>
      </c>
      <c r="G892" s="403">
        <f>IFERROR(E892*'01 Prod Physique Boites'!L886,"-")</f>
        <v>0</v>
      </c>
      <c r="H892" s="387">
        <v>28.21</v>
      </c>
      <c r="I892" s="638">
        <f t="shared" si="498"/>
        <v>0</v>
      </c>
      <c r="J892" s="420">
        <f t="shared" si="497"/>
        <v>0</v>
      </c>
    </row>
    <row r="893" spans="1:10" ht="23.25" thickBot="1" x14ac:dyDescent="0.3">
      <c r="A893" s="274" t="s">
        <v>101</v>
      </c>
      <c r="B893" s="956"/>
      <c r="C893" s="304"/>
      <c r="D893" s="305" t="s">
        <v>51</v>
      </c>
      <c r="E893" s="397"/>
      <c r="F893" s="414">
        <f t="shared" ref="F893:G893" si="499">SUM(F887:F892)</f>
        <v>0</v>
      </c>
      <c r="G893" s="415">
        <f t="shared" si="499"/>
        <v>177446.13119999997</v>
      </c>
      <c r="H893" s="398"/>
      <c r="I893" s="414">
        <f t="shared" ref="I893" si="500">SUM(I887:I892)</f>
        <v>0</v>
      </c>
      <c r="J893" s="430">
        <f>SUM(J887:J892)</f>
        <v>211236.47999999998</v>
      </c>
    </row>
    <row r="894" spans="1:10" ht="23.25" thickBot="1" x14ac:dyDescent="0.3">
      <c r="A894" s="274" t="s">
        <v>101</v>
      </c>
      <c r="B894" s="957" t="s">
        <v>163</v>
      </c>
      <c r="C894" s="958"/>
      <c r="D894" s="959"/>
      <c r="E894" s="399"/>
      <c r="F894" s="416">
        <f t="shared" ref="F894:G894" si="501">+F886+F893</f>
        <v>0</v>
      </c>
      <c r="G894" s="417">
        <f t="shared" si="501"/>
        <v>177446.13119999997</v>
      </c>
      <c r="H894" s="400"/>
      <c r="I894" s="416">
        <f t="shared" ref="I894:J894" si="502">+I886+I893</f>
        <v>0</v>
      </c>
      <c r="J894" s="431">
        <f t="shared" si="502"/>
        <v>211236.47999999998</v>
      </c>
    </row>
    <row r="895" spans="1:10" ht="24.75" thickBot="1" x14ac:dyDescent="0.3">
      <c r="A895" s="274" t="s">
        <v>101</v>
      </c>
      <c r="B895" s="599" t="s">
        <v>32</v>
      </c>
      <c r="C895" s="819"/>
      <c r="D895" s="310"/>
      <c r="E895" s="506">
        <v>12.2659</v>
      </c>
      <c r="F895" s="408">
        <f>IFERROR(E895*'01 Prod Physique Boites'!H889,"-")</f>
        <v>0</v>
      </c>
      <c r="G895" s="409">
        <f>IFERROR(E895*'01 Prod Physique Boites'!L889,"-")</f>
        <v>0</v>
      </c>
      <c r="H895" s="392"/>
      <c r="I895" s="426">
        <f>IFERROR(H895*(F895/E895),"-")</f>
        <v>0</v>
      </c>
      <c r="J895" s="427">
        <f>IFERROR(H895*(G895/E895),"-")</f>
        <v>0</v>
      </c>
    </row>
    <row r="896" spans="1:10" ht="23.25" thickBot="1" x14ac:dyDescent="0.3">
      <c r="A896" s="274" t="s">
        <v>101</v>
      </c>
      <c r="B896" s="960" t="s">
        <v>21</v>
      </c>
      <c r="C896" s="961"/>
      <c r="D896" s="962"/>
      <c r="E896" s="393"/>
      <c r="F896" s="410">
        <f t="shared" ref="F896" si="503">+F882+F894+F895</f>
        <v>722883.75120000006</v>
      </c>
      <c r="G896" s="411">
        <f>+G882+G894+G895</f>
        <v>15242887.951200001</v>
      </c>
      <c r="H896" s="394"/>
      <c r="I896" s="410">
        <f t="shared" ref="I896:J896" si="504">+I882+I894+I895</f>
        <v>1189780.02</v>
      </c>
      <c r="J896" s="428">
        <f t="shared" si="504"/>
        <v>21412703.520000003</v>
      </c>
    </row>
    <row r="897" spans="1:10" ht="23.25" thickBot="1" x14ac:dyDescent="0.3">
      <c r="A897" s="274" t="s">
        <v>101</v>
      </c>
      <c r="B897" s="963" t="s">
        <v>171</v>
      </c>
      <c r="C897" s="941"/>
      <c r="D897" s="942"/>
      <c r="E897" s="395"/>
      <c r="F897" s="412">
        <f t="shared" ref="F897:G897" si="505">+F896</f>
        <v>722883.75120000006</v>
      </c>
      <c r="G897" s="413">
        <f t="shared" si="505"/>
        <v>15242887.951200001</v>
      </c>
      <c r="H897" s="396"/>
      <c r="I897" s="412">
        <f t="shared" ref="I897:J897" si="506">+I896</f>
        <v>1189780.02</v>
      </c>
      <c r="J897" s="429">
        <f t="shared" si="506"/>
        <v>21412703.520000003</v>
      </c>
    </row>
    <row r="898" spans="1:10" ht="24" x14ac:dyDescent="0.25">
      <c r="A898" s="268" t="s">
        <v>102</v>
      </c>
      <c r="B898" s="949" t="s">
        <v>401</v>
      </c>
      <c r="C898" s="311" t="s">
        <v>113</v>
      </c>
      <c r="D898" s="311"/>
      <c r="E898" s="709">
        <v>254.89750000000001</v>
      </c>
      <c r="F898" s="402">
        <f>IFERROR(E898*'01 Prod Physique Boites'!H892,"-")</f>
        <v>0</v>
      </c>
      <c r="G898" s="403">
        <f>IFERROR(E898*'01 Prod Physique Boites'!L892,"-")</f>
        <v>0</v>
      </c>
      <c r="H898" s="381">
        <v>445.38</v>
      </c>
      <c r="I898" s="419">
        <f>IFERROR(H898*(F898/E898),"-")</f>
        <v>0</v>
      </c>
      <c r="J898" s="420">
        <f t="shared" ref="J898:J900" si="507">IFERROR(H898*(G898/E898),"-")</f>
        <v>0</v>
      </c>
    </row>
    <row r="899" spans="1:10" ht="24" x14ac:dyDescent="0.25">
      <c r="A899" s="274" t="s">
        <v>102</v>
      </c>
      <c r="B899" s="951"/>
      <c r="C899" s="312" t="s">
        <v>247</v>
      </c>
      <c r="D899" s="312"/>
      <c r="E899" s="503">
        <v>246.51390000000001</v>
      </c>
      <c r="F899" s="402">
        <f>IFERROR(E899*'01 Prod Physique Boites'!H893,"-")</f>
        <v>0</v>
      </c>
      <c r="G899" s="403">
        <f>IFERROR(E899*'01 Prod Physique Boites'!L893,"-")</f>
        <v>2169322.3199999998</v>
      </c>
      <c r="H899" s="385">
        <v>430.02</v>
      </c>
      <c r="I899" s="421">
        <f>IFERROR(H899*(F899/E899),"-")</f>
        <v>0</v>
      </c>
      <c r="J899" s="422">
        <f t="shared" si="507"/>
        <v>3784175.9999999991</v>
      </c>
    </row>
    <row r="900" spans="1:10" ht="24.75" thickBot="1" x14ac:dyDescent="0.3">
      <c r="A900" s="274" t="s">
        <v>102</v>
      </c>
      <c r="B900" s="950"/>
      <c r="C900" s="313" t="s">
        <v>33</v>
      </c>
      <c r="D900" s="313"/>
      <c r="E900" s="500">
        <v>225.7713</v>
      </c>
      <c r="F900" s="402">
        <f>IFERROR(E900*'01 Prod Physique Boites'!H894,"-")</f>
        <v>0</v>
      </c>
      <c r="G900" s="403">
        <f>IFERROR(E900*'01 Prod Physique Boites'!L894,"-")</f>
        <v>0</v>
      </c>
      <c r="H900" s="387"/>
      <c r="I900" s="423">
        <f>IFERROR(H900*(F900/E900),"-")</f>
        <v>0</v>
      </c>
      <c r="J900" s="424">
        <f t="shared" si="507"/>
        <v>0</v>
      </c>
    </row>
    <row r="901" spans="1:10" ht="23.25" thickBot="1" x14ac:dyDescent="0.3">
      <c r="A901" s="274" t="s">
        <v>102</v>
      </c>
      <c r="B901" s="946" t="s">
        <v>34</v>
      </c>
      <c r="C901" s="947"/>
      <c r="D901" s="948"/>
      <c r="E901" s="390"/>
      <c r="F901" s="406">
        <f t="shared" ref="F901:G901" si="508">SUM(F898:F900)</f>
        <v>0</v>
      </c>
      <c r="G901" s="407">
        <f t="shared" si="508"/>
        <v>2169322.3199999998</v>
      </c>
      <c r="H901" s="391"/>
      <c r="I901" s="406">
        <f t="shared" ref="I901:J901" si="509">SUM(I898:I900)</f>
        <v>0</v>
      </c>
      <c r="J901" s="425">
        <f t="shared" si="509"/>
        <v>3784175.9999999991</v>
      </c>
    </row>
    <row r="902" spans="1:10" ht="24" x14ac:dyDescent="0.25">
      <c r="A902" s="274" t="s">
        <v>102</v>
      </c>
      <c r="B902" s="949" t="s">
        <v>35</v>
      </c>
      <c r="C902" s="311" t="s">
        <v>113</v>
      </c>
      <c r="D902" s="311"/>
      <c r="E902" s="502">
        <v>254.89750000000001</v>
      </c>
      <c r="F902" s="402">
        <f>IFERROR(E902*'01 Prod Physique Boites'!H896,"-")</f>
        <v>0</v>
      </c>
      <c r="G902" s="403">
        <f>IFERROR(E902*'01 Prod Physique Boites'!L896,"-")</f>
        <v>0</v>
      </c>
      <c r="H902" s="381">
        <v>445.38</v>
      </c>
      <c r="I902" s="419">
        <f>IFERROR(H902*(F902/E902),"-")</f>
        <v>0</v>
      </c>
      <c r="J902" s="420">
        <f t="shared" ref="J902:J905" si="510">IFERROR(H902*(G902/E902),"-")</f>
        <v>0</v>
      </c>
    </row>
    <row r="903" spans="1:10" ht="24" x14ac:dyDescent="0.25">
      <c r="A903" s="274" t="s">
        <v>102</v>
      </c>
      <c r="B903" s="951"/>
      <c r="C903" s="312" t="s">
        <v>247</v>
      </c>
      <c r="D903" s="312"/>
      <c r="E903" s="503">
        <v>246.51390000000001</v>
      </c>
      <c r="F903" s="402">
        <f>IFERROR(E903*'01 Prod Physique Boites'!H897,"-")</f>
        <v>0</v>
      </c>
      <c r="G903" s="403">
        <f>IFERROR(E903*'01 Prod Physique Boites'!L897,"-")</f>
        <v>0</v>
      </c>
      <c r="H903" s="385">
        <v>430.02</v>
      </c>
      <c r="I903" s="421">
        <f>IFERROR(H903*(F903/E903),"-")</f>
        <v>0</v>
      </c>
      <c r="J903" s="422">
        <f t="shared" si="510"/>
        <v>0</v>
      </c>
    </row>
    <row r="904" spans="1:10" ht="24" x14ac:dyDescent="0.25">
      <c r="A904" s="274" t="s">
        <v>102</v>
      </c>
      <c r="B904" s="951"/>
      <c r="C904" s="312" t="s">
        <v>184</v>
      </c>
      <c r="D904" s="312" t="s">
        <v>183</v>
      </c>
      <c r="E904" s="503">
        <v>254.89750000000001</v>
      </c>
      <c r="F904" s="402">
        <f>IFERROR(E904*'01 Prod Physique Boites'!H898,"-")</f>
        <v>0</v>
      </c>
      <c r="G904" s="403">
        <f>IFERROR(E904*'01 Prod Physique Boites'!L898,"-")</f>
        <v>0</v>
      </c>
      <c r="H904" s="385"/>
      <c r="I904" s="421">
        <f>IFERROR(H904*(F904/E904),"-")</f>
        <v>0</v>
      </c>
      <c r="J904" s="422">
        <f t="shared" si="510"/>
        <v>0</v>
      </c>
    </row>
    <row r="905" spans="1:10" ht="24.75" thickBot="1" x14ac:dyDescent="0.3">
      <c r="A905" s="274" t="s">
        <v>102</v>
      </c>
      <c r="B905" s="950"/>
      <c r="C905" s="313" t="s">
        <v>36</v>
      </c>
      <c r="D905" s="313"/>
      <c r="E905" s="500">
        <v>229.99359999999999</v>
      </c>
      <c r="F905" s="402">
        <f>IFERROR(E905*'01 Prod Physique Boites'!H899,"-")</f>
        <v>0</v>
      </c>
      <c r="G905" s="403">
        <f>IFERROR(E905*'01 Prod Physique Boites'!L899,"-")</f>
        <v>0</v>
      </c>
      <c r="H905" s="387"/>
      <c r="I905" s="423">
        <f>IFERROR(H905*(F905/E905),"-")</f>
        <v>0</v>
      </c>
      <c r="J905" s="424">
        <f t="shared" si="510"/>
        <v>0</v>
      </c>
    </row>
    <row r="906" spans="1:10" ht="23.25" thickBot="1" x14ac:dyDescent="0.3">
      <c r="A906" s="274" t="s">
        <v>102</v>
      </c>
      <c r="B906" s="946" t="s">
        <v>37</v>
      </c>
      <c r="C906" s="947"/>
      <c r="D906" s="948"/>
      <c r="E906" s="390"/>
      <c r="F906" s="406">
        <f t="shared" ref="F906:G906" si="511">SUM(F902:F905)</f>
        <v>0</v>
      </c>
      <c r="G906" s="407">
        <f t="shared" si="511"/>
        <v>0</v>
      </c>
      <c r="H906" s="391"/>
      <c r="I906" s="406">
        <f>SUM(I902:I905)</f>
        <v>0</v>
      </c>
      <c r="J906" s="425">
        <f>SUM(J902:J905)</f>
        <v>0</v>
      </c>
    </row>
    <row r="907" spans="1:10" ht="24" x14ac:dyDescent="0.25">
      <c r="A907" s="274" t="s">
        <v>102</v>
      </c>
      <c r="B907" s="949" t="s">
        <v>402</v>
      </c>
      <c r="C907" s="314" t="s">
        <v>116</v>
      </c>
      <c r="D907" s="314"/>
      <c r="E907" s="502">
        <v>195.2808</v>
      </c>
      <c r="F907" s="402">
        <f>IFERROR(E907*'01 Prod Physique Boites'!H901,"-")</f>
        <v>0</v>
      </c>
      <c r="G907" s="403">
        <f>IFERROR(E907*'01 Prod Physique Boites'!L901,"-")</f>
        <v>0</v>
      </c>
      <c r="H907" s="681">
        <v>256.7</v>
      </c>
      <c r="I907" s="419">
        <f>IFERROR(H907*(F907/E907),"-")</f>
        <v>0</v>
      </c>
      <c r="J907" s="420">
        <f t="shared" ref="J907:J908" si="512">IFERROR(H907*(G907/E907),"-")</f>
        <v>0</v>
      </c>
    </row>
    <row r="908" spans="1:10" ht="24.75" thickBot="1" x14ac:dyDescent="0.3">
      <c r="A908" s="274" t="s">
        <v>102</v>
      </c>
      <c r="B908" s="950"/>
      <c r="C908" s="286" t="s">
        <v>132</v>
      </c>
      <c r="D908" s="286"/>
      <c r="E908" s="500">
        <v>189.91890000000001</v>
      </c>
      <c r="F908" s="402">
        <f>IFERROR(E908*'01 Prod Physique Boites'!H902,"-")</f>
        <v>835643.16</v>
      </c>
      <c r="G908" s="403">
        <f>IFERROR(E908*'01 Prod Physique Boites'!L902,"-")</f>
        <v>3055795.1010000003</v>
      </c>
      <c r="H908" s="387">
        <v>320.35000000000002</v>
      </c>
      <c r="I908" s="423">
        <f>IFERROR(H908*(F908/E908),"-")</f>
        <v>1409540</v>
      </c>
      <c r="J908" s="424">
        <f t="shared" si="512"/>
        <v>5154431.5</v>
      </c>
    </row>
    <row r="909" spans="1:10" ht="23.25" thickBot="1" x14ac:dyDescent="0.3">
      <c r="A909" s="823" t="s">
        <v>102</v>
      </c>
      <c r="B909" s="946" t="s">
        <v>38</v>
      </c>
      <c r="C909" s="947"/>
      <c r="D909" s="948"/>
      <c r="E909" s="390"/>
      <c r="F909" s="406">
        <f>SUM(F907:F908)</f>
        <v>835643.16</v>
      </c>
      <c r="G909" s="407">
        <f t="shared" ref="G909" si="513">SUM(G907:G908)</f>
        <v>3055795.1010000003</v>
      </c>
      <c r="H909" s="391"/>
      <c r="I909" s="406">
        <f t="shared" ref="I909:J909" si="514">SUM(I907:I908)</f>
        <v>1409540</v>
      </c>
      <c r="J909" s="425">
        <f t="shared" si="514"/>
        <v>5154431.5</v>
      </c>
    </row>
    <row r="910" spans="1:10" ht="24" x14ac:dyDescent="0.25">
      <c r="A910" s="274" t="s">
        <v>102</v>
      </c>
      <c r="B910" s="949" t="s">
        <v>403</v>
      </c>
      <c r="C910" s="269" t="s">
        <v>306</v>
      </c>
      <c r="D910" s="269" t="s">
        <v>238</v>
      </c>
      <c r="E910" s="504">
        <v>37.248699999999999</v>
      </c>
      <c r="F910" s="402">
        <f>IFERROR(E910*'01 Prod Physique Boites'!H904,"-")</f>
        <v>1229207.1000000001</v>
      </c>
      <c r="G910" s="403">
        <f>IFERROR(E910*'01 Prod Physique Boites'!L904,"-")</f>
        <v>5992719.8508000001</v>
      </c>
      <c r="H910" s="381">
        <v>71.44</v>
      </c>
      <c r="I910" s="419">
        <f>IFERROR(H910*(F910/E910),"-")</f>
        <v>2357520</v>
      </c>
      <c r="J910" s="420">
        <f>IFERROR(H910*(G910/E910),"-")</f>
        <v>11493552.959999999</v>
      </c>
    </row>
    <row r="911" spans="1:10" ht="24" x14ac:dyDescent="0.25">
      <c r="A911" s="274" t="s">
        <v>102</v>
      </c>
      <c r="B911" s="951"/>
      <c r="C911" s="269" t="s">
        <v>156</v>
      </c>
      <c r="D911" s="275"/>
      <c r="E911" s="504">
        <v>37.248699999999999</v>
      </c>
      <c r="F911" s="402">
        <f>IFERROR(E911*'01 Prod Physique Boites'!H905,"-")</f>
        <v>0</v>
      </c>
      <c r="G911" s="403">
        <f>IFERROR(E911*'01 Prod Physique Boites'!L905,"-")</f>
        <v>0</v>
      </c>
      <c r="H911" s="385"/>
      <c r="I911" s="421">
        <f>IFERROR(H911*(F911/E911),"-")</f>
        <v>0</v>
      </c>
      <c r="J911" s="422">
        <f t="shared" ref="J911:J913" si="515">IFERROR(H911*(G911/E911),"-")</f>
        <v>0</v>
      </c>
    </row>
    <row r="912" spans="1:10" ht="24" x14ac:dyDescent="0.25">
      <c r="A912" s="274" t="s">
        <v>102</v>
      </c>
      <c r="B912" s="951"/>
      <c r="C912" s="275" t="s">
        <v>345</v>
      </c>
      <c r="D912" s="269" t="s">
        <v>238</v>
      </c>
      <c r="E912" s="504">
        <v>37.248699999999999</v>
      </c>
      <c r="F912" s="402">
        <f>IFERROR(E912*'01 Prod Physique Boites'!H906,"-")</f>
        <v>241818.56039999999</v>
      </c>
      <c r="G912" s="403">
        <f>IFERROR(E912*'01 Prod Physique Boites'!L906,"-")</f>
        <v>1826378.2583999999</v>
      </c>
      <c r="H912" s="385">
        <v>71.44</v>
      </c>
      <c r="I912" s="421">
        <f>IFERROR(H912*(F912/E912),"-")</f>
        <v>463788.48</v>
      </c>
      <c r="J912" s="422">
        <f t="shared" si="515"/>
        <v>3502846.08</v>
      </c>
    </row>
    <row r="913" spans="1:10" ht="24.75" thickBot="1" x14ac:dyDescent="0.3">
      <c r="A913" s="274" t="s">
        <v>102</v>
      </c>
      <c r="B913" s="951"/>
      <c r="C913" s="275" t="s">
        <v>157</v>
      </c>
      <c r="D913" s="275"/>
      <c r="E913" s="505">
        <v>38.466099999999997</v>
      </c>
      <c r="F913" s="402">
        <f>IFERROR(E913*'01 Prod Physique Boites'!H907,"-")</f>
        <v>0</v>
      </c>
      <c r="G913" s="403">
        <f>IFERROR(E913*'01 Prod Physique Boites'!L907,"-")</f>
        <v>0</v>
      </c>
      <c r="H913" s="385"/>
      <c r="I913" s="421">
        <f>IFERROR(H913*(F913/E913),"-")</f>
        <v>0</v>
      </c>
      <c r="J913" s="422">
        <f t="shared" si="515"/>
        <v>0</v>
      </c>
    </row>
    <row r="914" spans="1:10" ht="23.25" thickBot="1" x14ac:dyDescent="0.3">
      <c r="A914" s="274" t="s">
        <v>102</v>
      </c>
      <c r="B914" s="946" t="s">
        <v>39</v>
      </c>
      <c r="C914" s="947"/>
      <c r="D914" s="948"/>
      <c r="E914" s="390"/>
      <c r="F914" s="406">
        <f>SUM(F910:F913)</f>
        <v>1471025.6604000002</v>
      </c>
      <c r="G914" s="407">
        <f>SUM(G910:G913)</f>
        <v>7819098.1091999998</v>
      </c>
      <c r="H914" s="391"/>
      <c r="I914" s="406">
        <f>SUM(I910:I913)</f>
        <v>2821308.48</v>
      </c>
      <c r="J914" s="406">
        <f>SUM(J910:J913)</f>
        <v>14996399.039999999</v>
      </c>
    </row>
    <row r="915" spans="1:10" ht="24" x14ac:dyDescent="0.25">
      <c r="A915" s="274" t="s">
        <v>102</v>
      </c>
      <c r="B915" s="949" t="s">
        <v>40</v>
      </c>
      <c r="C915" s="269" t="s">
        <v>186</v>
      </c>
      <c r="D915" s="269" t="s">
        <v>183</v>
      </c>
      <c r="E915" s="504">
        <v>30.7499</v>
      </c>
      <c r="F915" s="402">
        <f>IFERROR(E915*'01 Prod Physique Boites'!H910,"-")</f>
        <v>0</v>
      </c>
      <c r="G915" s="402">
        <f>IFERROR(E915*'01 Prod Physique Boites'!L910,"-")</f>
        <v>0</v>
      </c>
      <c r="H915" s="381"/>
      <c r="I915" s="419">
        <f>IFERROR(H915*(F915/E915),"-")</f>
        <v>0</v>
      </c>
      <c r="J915" s="420">
        <f>IFERROR(H915*(G915/E915),"-")</f>
        <v>0</v>
      </c>
    </row>
    <row r="916" spans="1:10" ht="24" x14ac:dyDescent="0.25">
      <c r="A916" s="274" t="s">
        <v>102</v>
      </c>
      <c r="B916" s="951"/>
      <c r="C916" s="275" t="s">
        <v>159</v>
      </c>
      <c r="D916" s="275"/>
      <c r="E916" s="684">
        <v>30.073599999999999</v>
      </c>
      <c r="F916" s="402">
        <f>IFERROR(E916*'01 Prod Physique Boites'!H911,"-")</f>
        <v>0</v>
      </c>
      <c r="G916" s="403">
        <f>IFERROR(E916*'01 Prod Physique Boites'!L911,"-")</f>
        <v>342839.03999999998</v>
      </c>
      <c r="H916" s="385">
        <v>59.96</v>
      </c>
      <c r="I916" s="421">
        <f>IFERROR(H916*(F916/E916),"-")</f>
        <v>0</v>
      </c>
      <c r="J916" s="422">
        <f t="shared" ref="J916:J917" si="516">IFERROR(H916*(G916/E916),"-")</f>
        <v>683544</v>
      </c>
    </row>
    <row r="917" spans="1:10" ht="24.75" thickBot="1" x14ac:dyDescent="0.3">
      <c r="A917" s="274" t="s">
        <v>102</v>
      </c>
      <c r="B917" s="950"/>
      <c r="C917" s="279" t="s">
        <v>186</v>
      </c>
      <c r="D917" s="279" t="s">
        <v>185</v>
      </c>
      <c r="E917" s="501">
        <v>30.073599999999999</v>
      </c>
      <c r="F917" s="402">
        <f>IFERROR(E917*'01 Prod Physique Boites'!H912,"-")</f>
        <v>0</v>
      </c>
      <c r="G917" s="403">
        <f>IFERROR(E917*'01 Prod Physique Boites'!L912,"-")</f>
        <v>0</v>
      </c>
      <c r="H917" s="387"/>
      <c r="I917" s="423">
        <f>IFERROR(H917*(F917/E917),"-")</f>
        <v>0</v>
      </c>
      <c r="J917" s="424">
        <f t="shared" si="516"/>
        <v>0</v>
      </c>
    </row>
    <row r="918" spans="1:10" ht="23.25" thickBot="1" x14ac:dyDescent="0.3">
      <c r="A918" s="274" t="s">
        <v>102</v>
      </c>
      <c r="B918" s="952" t="s">
        <v>41</v>
      </c>
      <c r="C918" s="953"/>
      <c r="D918" s="954"/>
      <c r="E918" s="390"/>
      <c r="F918" s="406">
        <f t="shared" ref="F918:G918" si="517">SUM(F915:F917)</f>
        <v>0</v>
      </c>
      <c r="G918" s="407">
        <f t="shared" si="517"/>
        <v>342839.03999999998</v>
      </c>
      <c r="H918" s="391"/>
      <c r="I918" s="406">
        <f t="shared" ref="I918:J918" si="518">SUM(I915:I917)</f>
        <v>0</v>
      </c>
      <c r="J918" s="425">
        <f t="shared" si="518"/>
        <v>683544</v>
      </c>
    </row>
    <row r="919" spans="1:10" ht="24" x14ac:dyDescent="0.25">
      <c r="A919" s="274" t="s">
        <v>102</v>
      </c>
      <c r="B919" s="949" t="s">
        <v>42</v>
      </c>
      <c r="C919" s="269" t="s">
        <v>160</v>
      </c>
      <c r="D919" s="269"/>
      <c r="E919" s="504">
        <v>36.684899999999999</v>
      </c>
      <c r="F919" s="402">
        <f>IFERROR(E919*'01 Prod Physique Boites'!H914,"-")</f>
        <v>0</v>
      </c>
      <c r="G919" s="402">
        <f>IFERROR(E919*'01 Prod Physique Boites'!L914,"-")</f>
        <v>0</v>
      </c>
      <c r="H919" s="381"/>
      <c r="I919" s="382" t="s">
        <v>190</v>
      </c>
      <c r="J919" s="383" t="s">
        <v>190</v>
      </c>
    </row>
    <row r="920" spans="1:10" ht="24.75" thickBot="1" x14ac:dyDescent="0.3">
      <c r="A920" s="274" t="s">
        <v>102</v>
      </c>
      <c r="B920" s="950"/>
      <c r="C920" s="279" t="s">
        <v>161</v>
      </c>
      <c r="D920" s="279"/>
      <c r="E920" s="501">
        <v>37.002800000000001</v>
      </c>
      <c r="F920" s="402">
        <f>IFERROR(E920*'01 Prod Physique Boites'!H915,"-")</f>
        <v>0</v>
      </c>
      <c r="G920" s="402">
        <f>IFERROR(E920*'01 Prod Physique Boites'!L915,"-")</f>
        <v>0</v>
      </c>
      <c r="H920" s="387"/>
      <c r="I920" s="388" t="s">
        <v>190</v>
      </c>
      <c r="J920" s="389" t="s">
        <v>190</v>
      </c>
    </row>
    <row r="921" spans="1:10" ht="23.25" thickBot="1" x14ac:dyDescent="0.3">
      <c r="A921" s="274" t="s">
        <v>102</v>
      </c>
      <c r="B921" s="952" t="s">
        <v>43</v>
      </c>
      <c r="C921" s="953"/>
      <c r="D921" s="954"/>
      <c r="E921" s="390"/>
      <c r="F921" s="402">
        <f>IFERROR(E921*'01 Prod Physique Boites'!H915,"-")</f>
        <v>0</v>
      </c>
      <c r="G921" s="407">
        <f>IFERROR(E921*'01 Prod Physique Boites'!L915,"-")</f>
        <v>0</v>
      </c>
      <c r="H921" s="391"/>
      <c r="I921" s="406">
        <f t="shared" ref="I921:J921" si="519">SUM(I919:I920)</f>
        <v>0</v>
      </c>
      <c r="J921" s="425">
        <f t="shared" si="519"/>
        <v>0</v>
      </c>
    </row>
    <row r="922" spans="1:10" ht="23.25" thickBot="1" x14ac:dyDescent="0.3">
      <c r="A922" s="274" t="s">
        <v>102</v>
      </c>
      <c r="B922" s="938" t="s">
        <v>25</v>
      </c>
      <c r="C922" s="939"/>
      <c r="D922" s="940"/>
      <c r="E922" s="393"/>
      <c r="F922" s="410">
        <f>+F901+F906+F909+F914+F918+F921</f>
        <v>2306668.8204000001</v>
      </c>
      <c r="G922" s="411">
        <f>+G901+G906+G909+G914+G918+G921</f>
        <v>13387054.5702</v>
      </c>
      <c r="H922" s="394"/>
      <c r="I922" s="410">
        <f>+I901+I906+I909+I914+I918+I921</f>
        <v>4230848.4800000004</v>
      </c>
      <c r="J922" s="428">
        <f>+J901+J906+J909+J914+J918+J921</f>
        <v>24618550.539999999</v>
      </c>
    </row>
    <row r="923" spans="1:10" ht="23.25" thickBot="1" x14ac:dyDescent="0.3">
      <c r="A923" s="318" t="s">
        <v>102</v>
      </c>
      <c r="B923" s="941" t="s">
        <v>173</v>
      </c>
      <c r="C923" s="941"/>
      <c r="D923" s="942"/>
      <c r="E923" s="395"/>
      <c r="F923" s="412">
        <f t="shared" ref="F923:G923" si="520">+F922</f>
        <v>2306668.8204000001</v>
      </c>
      <c r="G923" s="413">
        <f t="shared" si="520"/>
        <v>13387054.5702</v>
      </c>
      <c r="H923" s="396"/>
      <c r="I923" s="412">
        <f t="shared" ref="I923" si="521">+I922</f>
        <v>4230848.4800000004</v>
      </c>
      <c r="J923" s="429">
        <f>+J922</f>
        <v>24618550.539999999</v>
      </c>
    </row>
    <row r="924" spans="1:10" ht="26.25" thickBot="1" x14ac:dyDescent="0.3">
      <c r="A924" s="319"/>
      <c r="B924" s="943" t="s">
        <v>174</v>
      </c>
      <c r="C924" s="944"/>
      <c r="D924" s="945"/>
      <c r="E924" s="401"/>
      <c r="F924" s="418">
        <f>+F862+F897+F923</f>
        <v>5973882.7716000006</v>
      </c>
      <c r="G924" s="418">
        <f>+G862+G897+G923</f>
        <v>49652927.678599998</v>
      </c>
      <c r="H924" s="401"/>
      <c r="I924" s="418">
        <f>+I862+I897+I923</f>
        <v>7113781.7800000003</v>
      </c>
      <c r="J924" s="432">
        <f>+J862+J897+J923</f>
        <v>67249994.939999998</v>
      </c>
    </row>
    <row r="925" spans="1:10" ht="22.5" x14ac:dyDescent="0.25">
      <c r="A925" s="978" t="s">
        <v>1</v>
      </c>
      <c r="B925" s="981" t="s">
        <v>2</v>
      </c>
      <c r="C925" s="984" t="s">
        <v>396</v>
      </c>
      <c r="D925" s="984" t="s">
        <v>397</v>
      </c>
      <c r="E925" s="1011" t="s">
        <v>405</v>
      </c>
      <c r="F925" s="1012"/>
      <c r="G925" s="1012"/>
      <c r="H925" s="442"/>
      <c r="I925" s="442"/>
      <c r="J925" s="443"/>
    </row>
    <row r="926" spans="1:10" ht="22.5" x14ac:dyDescent="0.25">
      <c r="A926" s="979"/>
      <c r="B926" s="982"/>
      <c r="C926" s="985"/>
      <c r="D926" s="985"/>
      <c r="E926" s="1013" t="s">
        <v>408</v>
      </c>
      <c r="F926" s="1014"/>
      <c r="G926" s="1015"/>
      <c r="H926" s="1013" t="s">
        <v>168</v>
      </c>
      <c r="I926" s="1014"/>
      <c r="J926" s="1015"/>
    </row>
    <row r="927" spans="1:10" ht="45" x14ac:dyDescent="0.25">
      <c r="A927" s="980"/>
      <c r="B927" s="1009"/>
      <c r="C927" s="1010"/>
      <c r="D927" s="1010"/>
      <c r="E927" s="379" t="s">
        <v>170</v>
      </c>
      <c r="F927" s="866" t="s">
        <v>407</v>
      </c>
      <c r="G927" s="867" t="s">
        <v>406</v>
      </c>
      <c r="H927" s="1016" t="s">
        <v>170</v>
      </c>
      <c r="I927" s="1018" t="s">
        <v>137</v>
      </c>
      <c r="J927" s="1020" t="s">
        <v>406</v>
      </c>
    </row>
    <row r="928" spans="1:10" ht="23.25" thickBot="1" x14ac:dyDescent="0.3">
      <c r="A928" s="980"/>
      <c r="B928" s="983"/>
      <c r="C928" s="986"/>
      <c r="D928" s="986"/>
      <c r="E928" s="1022" t="s">
        <v>532</v>
      </c>
      <c r="F928" s="1023"/>
      <c r="G928" s="1024"/>
      <c r="H928" s="1017"/>
      <c r="I928" s="1019"/>
      <c r="J928" s="1021"/>
    </row>
    <row r="929" spans="1:15" ht="24" x14ac:dyDescent="0.25">
      <c r="A929" s="268" t="s">
        <v>103</v>
      </c>
      <c r="B929" s="965" t="s">
        <v>16</v>
      </c>
      <c r="C929" s="269" t="s">
        <v>368</v>
      </c>
      <c r="D929" s="269" t="s">
        <v>369</v>
      </c>
      <c r="E929" s="705">
        <v>81.360699999999994</v>
      </c>
      <c r="F929" s="402">
        <f>IFERROR(E929*'01 Prod Physique Boites'!H923,"-")</f>
        <v>0</v>
      </c>
      <c r="G929" s="402">
        <f>IFERROR(E929*'01 Prod Physique Boites'!L923,"-")</f>
        <v>0</v>
      </c>
      <c r="H929" s="706">
        <v>143.28</v>
      </c>
      <c r="I929" s="419">
        <f>IFERROR(H929*(F929/E929),"-")</f>
        <v>0</v>
      </c>
      <c r="J929" s="420">
        <f t="shared" ref="J929:J931" si="522">IFERROR(H929*(G929/E929),"-")</f>
        <v>0</v>
      </c>
    </row>
    <row r="930" spans="1:15" ht="24" x14ac:dyDescent="0.25">
      <c r="A930" s="713"/>
      <c r="B930" s="966"/>
      <c r="C930" s="275" t="s">
        <v>470</v>
      </c>
      <c r="D930" s="275" t="s">
        <v>375</v>
      </c>
      <c r="E930" s="505">
        <v>81.360699999999994</v>
      </c>
      <c r="F930" s="402">
        <f>IFERROR(E930*'01 Prod Physique Boites'!H924,"-")</f>
        <v>0</v>
      </c>
      <c r="G930" s="402">
        <f>IFERROR(E930*'01 Prod Physique Boites'!L924,"-")</f>
        <v>0</v>
      </c>
      <c r="H930" s="708">
        <v>143.28</v>
      </c>
      <c r="I930" s="419">
        <f>IFERROR(H930*(F930/E930),"-")</f>
        <v>0</v>
      </c>
      <c r="J930" s="420">
        <f t="shared" si="522"/>
        <v>0</v>
      </c>
    </row>
    <row r="931" spans="1:15" ht="24" x14ac:dyDescent="0.25">
      <c r="A931" s="274" t="s">
        <v>103</v>
      </c>
      <c r="B931" s="966"/>
      <c r="C931" s="275" t="s">
        <v>430</v>
      </c>
      <c r="D931" s="275" t="s">
        <v>384</v>
      </c>
      <c r="E931" s="684">
        <v>77.170400000000001</v>
      </c>
      <c r="F931" s="402">
        <f>IFERROR(E931*'01 Prod Physique Boites'!H925,"-")</f>
        <v>0</v>
      </c>
      <c r="G931" s="402">
        <f>IFERROR(E931*'01 Prod Physique Boites'!L925,"-")</f>
        <v>617363.19999999995</v>
      </c>
      <c r="H931" s="385">
        <v>0</v>
      </c>
      <c r="I931" s="419">
        <f>IFERROR(H931*(F931/E931),"-")</f>
        <v>0</v>
      </c>
      <c r="J931" s="420">
        <f t="shared" si="522"/>
        <v>0</v>
      </c>
    </row>
    <row r="932" spans="1:15" ht="24.75" thickBot="1" x14ac:dyDescent="0.3">
      <c r="A932" s="274" t="s">
        <v>103</v>
      </c>
      <c r="B932" s="967"/>
      <c r="C932" s="279" t="s">
        <v>262</v>
      </c>
      <c r="D932" s="279" t="s">
        <v>231</v>
      </c>
      <c r="E932" s="501">
        <v>60.703499999999998</v>
      </c>
      <c r="F932" s="402">
        <f>IFERROR(E932*'01 Prod Physique Boites'!H926,"-")</f>
        <v>0</v>
      </c>
      <c r="G932" s="402">
        <f>IFERROR(E932*'01 Prod Physique Boites'!L926,"-")</f>
        <v>0</v>
      </c>
      <c r="H932" s="387">
        <v>111.09</v>
      </c>
      <c r="I932" s="419">
        <f>IFERROR(H932*(F932/E932),"-")</f>
        <v>0</v>
      </c>
      <c r="J932" s="420">
        <f>IFERROR(H932*(G932/E932),"-")</f>
        <v>0</v>
      </c>
    </row>
    <row r="933" spans="1:15" ht="23.25" thickBot="1" x14ac:dyDescent="0.3">
      <c r="A933" s="274" t="s">
        <v>103</v>
      </c>
      <c r="B933" s="946" t="s">
        <v>44</v>
      </c>
      <c r="C933" s="947"/>
      <c r="D933" s="948"/>
      <c r="E933" s="390"/>
      <c r="F933" s="406">
        <f t="shared" ref="F933" si="523">SUM(F929:F932)</f>
        <v>0</v>
      </c>
      <c r="G933" s="407">
        <f>SUM(G929:G932)</f>
        <v>617363.19999999995</v>
      </c>
      <c r="H933" s="391"/>
      <c r="I933" s="406">
        <f t="shared" ref="I933:J933" si="524">SUM(I929:I932)</f>
        <v>0</v>
      </c>
      <c r="J933" s="425">
        <f t="shared" si="524"/>
        <v>0</v>
      </c>
      <c r="K933" s="704"/>
      <c r="L933" s="704"/>
      <c r="M933" s="704"/>
      <c r="N933" s="704"/>
      <c r="O933" s="704"/>
    </row>
    <row r="934" spans="1:15" ht="24" x14ac:dyDescent="0.25">
      <c r="A934" s="274" t="s">
        <v>103</v>
      </c>
      <c r="B934" s="965" t="s">
        <v>17</v>
      </c>
      <c r="C934" s="269" t="s">
        <v>294</v>
      </c>
      <c r="D934" s="269"/>
      <c r="E934" s="504">
        <v>12.5275</v>
      </c>
      <c r="F934" s="402">
        <f>IFERROR(E934*'01 Prod Physique Boites'!H928,"-")</f>
        <v>0</v>
      </c>
      <c r="G934" s="402">
        <f>IFERROR(E934*'01 Prod Physique Boites'!L928,"-")</f>
        <v>0</v>
      </c>
      <c r="H934" s="681">
        <v>18.836400000000001</v>
      </c>
      <c r="I934" s="419">
        <f t="shared" ref="I934:I940" si="525">IFERROR(H934*(F934/E934),"-")</f>
        <v>0</v>
      </c>
      <c r="J934" s="420">
        <f t="shared" ref="J934:J939" si="526">IFERROR(H934*(G934/E934),"-")</f>
        <v>0</v>
      </c>
    </row>
    <row r="935" spans="1:15" ht="24" x14ac:dyDescent="0.25">
      <c r="A935" s="274" t="s">
        <v>103</v>
      </c>
      <c r="B935" s="966"/>
      <c r="C935" s="275" t="s">
        <v>344</v>
      </c>
      <c r="D935" s="275" t="s">
        <v>232</v>
      </c>
      <c r="E935" s="677">
        <v>13.002700000000001</v>
      </c>
      <c r="F935" s="402">
        <f>IFERROR(E935*'01 Prod Physique Boites'!H929,"-")</f>
        <v>0</v>
      </c>
      <c r="G935" s="402">
        <f>IFERROR(E935*'01 Prod Physique Boites'!L929,"-")</f>
        <v>77756.146000000008</v>
      </c>
      <c r="H935" s="385">
        <v>21.18</v>
      </c>
      <c r="I935" s="421">
        <f t="shared" si="525"/>
        <v>0</v>
      </c>
      <c r="J935" s="422">
        <f t="shared" si="526"/>
        <v>126656.4</v>
      </c>
    </row>
    <row r="936" spans="1:15" ht="24" x14ac:dyDescent="0.25">
      <c r="A936" s="274" t="s">
        <v>103</v>
      </c>
      <c r="B936" s="966"/>
      <c r="C936" s="275" t="s">
        <v>351</v>
      </c>
      <c r="D936" s="275" t="s">
        <v>187</v>
      </c>
      <c r="E936" s="677">
        <v>12.9049</v>
      </c>
      <c r="F936" s="402">
        <f>IFERROR(E936*'01 Prod Physique Boites'!H930,"-")</f>
        <v>1105691.8319999999</v>
      </c>
      <c r="G936" s="402">
        <f>IFERROR(E936*'01 Prod Physique Boites'!L930,"-")</f>
        <v>8213710.7519999994</v>
      </c>
      <c r="H936" s="385">
        <v>20.5</v>
      </c>
      <c r="I936" s="421">
        <f t="shared" si="525"/>
        <v>1756440</v>
      </c>
      <c r="J936" s="422">
        <f t="shared" si="526"/>
        <v>13047840</v>
      </c>
    </row>
    <row r="937" spans="1:15" ht="24" x14ac:dyDescent="0.25">
      <c r="A937" s="274" t="s">
        <v>103</v>
      </c>
      <c r="B937" s="966"/>
      <c r="C937" s="275" t="s">
        <v>530</v>
      </c>
      <c r="D937" s="275" t="s">
        <v>529</v>
      </c>
      <c r="E937" s="505">
        <v>13.1958</v>
      </c>
      <c r="F937" s="402">
        <f>IFERROR(E937*'01 Prod Physique Boites'!H931,"-")</f>
        <v>0</v>
      </c>
      <c r="G937" s="402">
        <f>IFERROR(E937*'01 Prod Physique Boites'!L931,"-")</f>
        <v>545646.32999999996</v>
      </c>
      <c r="H937" s="708">
        <v>20.66</v>
      </c>
      <c r="I937" s="421">
        <f t="shared" si="525"/>
        <v>0</v>
      </c>
      <c r="J937" s="422">
        <f t="shared" si="526"/>
        <v>854290.99999999988</v>
      </c>
    </row>
    <row r="938" spans="1:15" ht="24" x14ac:dyDescent="0.25">
      <c r="A938" s="274" t="s">
        <v>103</v>
      </c>
      <c r="B938" s="966"/>
      <c r="C938" s="275" t="s">
        <v>323</v>
      </c>
      <c r="D938" s="275" t="s">
        <v>318</v>
      </c>
      <c r="E938" s="505">
        <v>13.1958</v>
      </c>
      <c r="F938" s="402">
        <f>IFERROR(E938*'01 Prod Physique Boites'!H932,"-")</f>
        <v>0</v>
      </c>
      <c r="G938" s="402">
        <f>IFERROR(E938*'01 Prod Physique Boites'!L932,"-")</f>
        <v>0</v>
      </c>
      <c r="H938" s="385">
        <v>21.28</v>
      </c>
      <c r="I938" s="421">
        <f t="shared" si="525"/>
        <v>0</v>
      </c>
      <c r="J938" s="422">
        <f t="shared" si="526"/>
        <v>0</v>
      </c>
    </row>
    <row r="939" spans="1:15" ht="24" x14ac:dyDescent="0.25">
      <c r="A939" s="274">
        <v>1</v>
      </c>
      <c r="B939" s="966"/>
      <c r="C939" s="275" t="s">
        <v>528</v>
      </c>
      <c r="D939" s="275" t="s">
        <v>189</v>
      </c>
      <c r="E939" s="677">
        <v>13.1958</v>
      </c>
      <c r="F939" s="402">
        <f>IFERROR(E939*'01 Prod Physique Boites'!H933,"-")</f>
        <v>0</v>
      </c>
      <c r="G939" s="402">
        <f>IFERROR(E939*'01 Prod Physique Boites'!L933,"-")</f>
        <v>375526.07640000002</v>
      </c>
      <c r="H939" s="664">
        <v>20.66</v>
      </c>
      <c r="I939" s="421">
        <f t="shared" si="525"/>
        <v>0</v>
      </c>
      <c r="J939" s="422">
        <f t="shared" si="526"/>
        <v>587942.28</v>
      </c>
    </row>
    <row r="940" spans="1:15" ht="24.75" thickBot="1" x14ac:dyDescent="0.3">
      <c r="A940" s="274" t="s">
        <v>103</v>
      </c>
      <c r="B940" s="967"/>
      <c r="C940" s="279" t="s">
        <v>341</v>
      </c>
      <c r="D940" s="279" t="s">
        <v>175</v>
      </c>
      <c r="E940" s="501">
        <v>13.6509</v>
      </c>
      <c r="F940" s="402">
        <f>IFERROR(E940*'01 Prod Physique Boites'!H934,"-")</f>
        <v>0</v>
      </c>
      <c r="G940" s="402">
        <f>IFERROR(E940*'01 Prod Physique Boites'!L934,"-")</f>
        <v>0</v>
      </c>
      <c r="H940" s="387">
        <v>21.18</v>
      </c>
      <c r="I940" s="423">
        <f t="shared" si="525"/>
        <v>0</v>
      </c>
      <c r="J940" s="424">
        <f>IFERROR(H940*(G940/E940),"-")</f>
        <v>0</v>
      </c>
    </row>
    <row r="941" spans="1:15" ht="23.25" thickBot="1" x14ac:dyDescent="0.3">
      <c r="A941" s="274" t="s">
        <v>103</v>
      </c>
      <c r="B941" s="946" t="s">
        <v>45</v>
      </c>
      <c r="C941" s="947"/>
      <c r="D941" s="948"/>
      <c r="E941" s="390"/>
      <c r="F941" s="406">
        <f t="shared" ref="F941" si="527">SUM(F934:F940)</f>
        <v>1105691.8319999999</v>
      </c>
      <c r="G941" s="407">
        <f>SUM(G934:G940)</f>
        <v>9212639.3043999989</v>
      </c>
      <c r="H941" s="391"/>
      <c r="I941" s="406">
        <f t="shared" ref="I941" si="528">SUM(I934:I940)</f>
        <v>1756440</v>
      </c>
      <c r="J941" s="425">
        <f>SUM(J934:J940)</f>
        <v>14616729.68</v>
      </c>
      <c r="K941" s="704"/>
      <c r="L941" s="704"/>
      <c r="M941" s="704"/>
      <c r="N941" s="704"/>
      <c r="O941" s="704"/>
    </row>
    <row r="942" spans="1:15" ht="24" x14ac:dyDescent="0.25">
      <c r="A942" s="274" t="s">
        <v>103</v>
      </c>
      <c r="B942" s="965" t="s">
        <v>18</v>
      </c>
      <c r="C942" s="269" t="s">
        <v>312</v>
      </c>
      <c r="D942" s="269" t="s">
        <v>92</v>
      </c>
      <c r="E942" s="504">
        <v>17.8202</v>
      </c>
      <c r="F942" s="402">
        <f>IFERROR(E942*'01 Prod Physique Boites'!H936,"-")</f>
        <v>0</v>
      </c>
      <c r="G942" s="403">
        <f>IFERROR(E942*'01 Prod Physique Boites'!L936,"-")</f>
        <v>0</v>
      </c>
      <c r="H942" s="381">
        <v>24.93</v>
      </c>
      <c r="I942" s="419">
        <f t="shared" ref="I942:I948" si="529">IFERROR(H942*(F942/E942),"-")</f>
        <v>0</v>
      </c>
      <c r="J942" s="420">
        <f t="shared" ref="J942:J944" si="530">IFERROR(H942*(G942/E942),"-")</f>
        <v>0</v>
      </c>
    </row>
    <row r="943" spans="1:15" ht="24" x14ac:dyDescent="0.25">
      <c r="A943" s="274" t="s">
        <v>103</v>
      </c>
      <c r="B943" s="966"/>
      <c r="C943" s="275" t="s">
        <v>130</v>
      </c>
      <c r="D943" s="275"/>
      <c r="E943" s="505">
        <v>17.8202</v>
      </c>
      <c r="F943" s="402">
        <f>IFERROR(E943*'01 Prod Physique Boites'!H937,"-")</f>
        <v>0</v>
      </c>
      <c r="G943" s="403">
        <f>IFERROR(E943*'01 Prod Physique Boites'!L937,"-")</f>
        <v>0</v>
      </c>
      <c r="H943" s="385">
        <v>0</v>
      </c>
      <c r="I943" s="421">
        <f t="shared" si="529"/>
        <v>0</v>
      </c>
      <c r="J943" s="422">
        <f t="shared" si="530"/>
        <v>0</v>
      </c>
    </row>
    <row r="944" spans="1:15" ht="24" x14ac:dyDescent="0.25">
      <c r="A944" s="274" t="s">
        <v>103</v>
      </c>
      <c r="B944" s="966"/>
      <c r="C944" s="275" t="s">
        <v>115</v>
      </c>
      <c r="D944" s="275"/>
      <c r="E944" s="505">
        <v>16.4071</v>
      </c>
      <c r="F944" s="402">
        <f>IFERROR(E944*'01 Prod Physique Boites'!H938,"-")</f>
        <v>0</v>
      </c>
      <c r="G944" s="403">
        <f>IFERROR(E944*'01 Prod Physique Boites'!L938,"-")</f>
        <v>0</v>
      </c>
      <c r="H944" s="385">
        <v>0</v>
      </c>
      <c r="I944" s="421">
        <f t="shared" si="529"/>
        <v>0</v>
      </c>
      <c r="J944" s="422">
        <f t="shared" si="530"/>
        <v>0</v>
      </c>
    </row>
    <row r="945" spans="1:10" ht="24" x14ac:dyDescent="0.25">
      <c r="A945" s="274" t="s">
        <v>103</v>
      </c>
      <c r="B945" s="966"/>
      <c r="C945" s="275" t="s">
        <v>122</v>
      </c>
      <c r="D945" s="275"/>
      <c r="E945" s="505">
        <v>17.8202</v>
      </c>
      <c r="F945" s="402">
        <f>IFERROR(E945*'01 Prod Physique Boites'!H939,"-")</f>
        <v>0</v>
      </c>
      <c r="G945" s="403">
        <f>IFERROR(E945*'01 Prod Physique Boites'!L939,"-")</f>
        <v>0</v>
      </c>
      <c r="H945" s="385">
        <v>0</v>
      </c>
      <c r="I945" s="421">
        <f t="shared" si="529"/>
        <v>0</v>
      </c>
      <c r="J945" s="422">
        <f>IFERROR(H945*(G945/E945),"-")</f>
        <v>0</v>
      </c>
    </row>
    <row r="946" spans="1:10" ht="24" x14ac:dyDescent="0.25">
      <c r="A946" s="274" t="s">
        <v>103</v>
      </c>
      <c r="B946" s="966"/>
      <c r="C946" s="275" t="s">
        <v>176</v>
      </c>
      <c r="D946" s="275" t="s">
        <v>177</v>
      </c>
      <c r="E946" s="505">
        <v>17.8202</v>
      </c>
      <c r="F946" s="402">
        <f>IFERROR(E946*'01 Prod Physique Boites'!H940,"-")</f>
        <v>0</v>
      </c>
      <c r="G946" s="403">
        <f>IFERROR(E946*'01 Prod Physique Boites'!L940,"-")</f>
        <v>0</v>
      </c>
      <c r="H946" s="385">
        <v>0</v>
      </c>
      <c r="I946" s="421">
        <f t="shared" si="529"/>
        <v>0</v>
      </c>
      <c r="J946" s="422">
        <f t="shared" ref="J946:J948" si="531">IFERROR(H946*(G946/E946),"-")</f>
        <v>0</v>
      </c>
    </row>
    <row r="947" spans="1:10" ht="24" x14ac:dyDescent="0.25">
      <c r="A947" s="274" t="s">
        <v>103</v>
      </c>
      <c r="B947" s="966"/>
      <c r="C947" s="275" t="s">
        <v>179</v>
      </c>
      <c r="D947" s="275" t="s">
        <v>178</v>
      </c>
      <c r="E947" s="505">
        <v>16.7288</v>
      </c>
      <c r="F947" s="402">
        <f>IFERROR(E947*'01 Prod Physique Boites'!H941,"-")</f>
        <v>0</v>
      </c>
      <c r="G947" s="403">
        <f>IFERROR(E947*'01 Prod Physique Boites'!L941,"-")</f>
        <v>0</v>
      </c>
      <c r="H947" s="385">
        <v>0</v>
      </c>
      <c r="I947" s="421">
        <f t="shared" si="529"/>
        <v>0</v>
      </c>
      <c r="J947" s="422">
        <f t="shared" si="531"/>
        <v>0</v>
      </c>
    </row>
    <row r="948" spans="1:10" ht="24.75" thickBot="1" x14ac:dyDescent="0.3">
      <c r="A948" s="274" t="s">
        <v>103</v>
      </c>
      <c r="B948" s="967"/>
      <c r="C948" s="286" t="s">
        <v>180</v>
      </c>
      <c r="D948" s="286" t="s">
        <v>107</v>
      </c>
      <c r="E948" s="501">
        <v>17.8202</v>
      </c>
      <c r="F948" s="402">
        <f>IFERROR(E948*'01 Prod Physique Boites'!H942,"-")</f>
        <v>0</v>
      </c>
      <c r="G948" s="403">
        <f>IFERROR(E948*'01 Prod Physique Boites'!L942,"-")</f>
        <v>0</v>
      </c>
      <c r="H948" s="385">
        <v>0</v>
      </c>
      <c r="I948" s="423">
        <f t="shared" si="529"/>
        <v>0</v>
      </c>
      <c r="J948" s="424">
        <f t="shared" si="531"/>
        <v>0</v>
      </c>
    </row>
    <row r="949" spans="1:10" ht="23.25" thickBot="1" x14ac:dyDescent="0.3">
      <c r="A949" s="274" t="s">
        <v>103</v>
      </c>
      <c r="B949" s="946" t="s">
        <v>29</v>
      </c>
      <c r="C949" s="947"/>
      <c r="D949" s="948"/>
      <c r="E949" s="648"/>
      <c r="F949" s="649">
        <f t="shared" ref="F949:G949" si="532">SUM(F942:F948)</f>
        <v>0</v>
      </c>
      <c r="G949" s="407">
        <f t="shared" si="532"/>
        <v>0</v>
      </c>
      <c r="H949" s="391"/>
      <c r="I949" s="406">
        <f t="shared" ref="I949:J949" si="533">SUM(I942:I948)</f>
        <v>0</v>
      </c>
      <c r="J949" s="425">
        <f t="shared" si="533"/>
        <v>0</v>
      </c>
    </row>
    <row r="950" spans="1:10" ht="24.75" thickBot="1" x14ac:dyDescent="0.3">
      <c r="A950" s="274"/>
      <c r="B950" s="1004" t="s">
        <v>19</v>
      </c>
      <c r="C950" s="650" t="s">
        <v>235</v>
      </c>
      <c r="D950" s="656" t="s">
        <v>177</v>
      </c>
      <c r="E950" s="657">
        <v>12.2659</v>
      </c>
      <c r="F950" s="658">
        <f>IFERROR(E950*'01 Prod Physique Boites'!H944,"-")</f>
        <v>0</v>
      </c>
      <c r="G950" s="659">
        <f>IFERROR(E950*'01 Prod Physique Boites'!L944,"-")</f>
        <v>0</v>
      </c>
      <c r="H950" s="653">
        <v>14.79</v>
      </c>
      <c r="I950" s="638">
        <f t="shared" ref="I950:I955" si="534">IFERROR(H950*(F950/E950),"-")</f>
        <v>0</v>
      </c>
      <c r="J950" s="638">
        <f>IFERROR(H950*(G950/E950),"-")</f>
        <v>0</v>
      </c>
    </row>
    <row r="951" spans="1:10" ht="24.75" thickBot="1" x14ac:dyDescent="0.3">
      <c r="A951" s="274"/>
      <c r="B951" s="1005"/>
      <c r="C951" s="651" t="s">
        <v>359</v>
      </c>
      <c r="D951" s="660" t="s">
        <v>423</v>
      </c>
      <c r="E951" s="642">
        <v>12.2659</v>
      </c>
      <c r="F951" s="658">
        <f>IFERROR(E951*'01 Prod Physique Boites'!H945,"-")</f>
        <v>0</v>
      </c>
      <c r="G951" s="659">
        <f>IFERROR(E951*'01 Prod Physique Boites'!L945,"-")</f>
        <v>7046317.9775999999</v>
      </c>
      <c r="H951" s="654">
        <v>14.55</v>
      </c>
      <c r="I951" s="643">
        <f t="shared" si="534"/>
        <v>0</v>
      </c>
      <c r="J951" s="643">
        <f>IFERROR(H951*(G951/E951),"-")</f>
        <v>8358451.2000000002</v>
      </c>
    </row>
    <row r="952" spans="1:10" ht="24.75" thickBot="1" x14ac:dyDescent="0.3">
      <c r="A952" s="274"/>
      <c r="B952" s="1005"/>
      <c r="C952" s="669" t="s">
        <v>235</v>
      </c>
      <c r="D952" s="840" t="s">
        <v>522</v>
      </c>
      <c r="E952" s="851">
        <v>12.2659</v>
      </c>
      <c r="F952" s="658">
        <f>IFERROR(E952*'01 Prod Physique Boites'!H946,"-")</f>
        <v>0</v>
      </c>
      <c r="G952" s="659">
        <f>IFERROR(E952*'01 Prod Physique Boites'!L946,"-")</f>
        <v>2143686.8111999999</v>
      </c>
      <c r="H952" s="860">
        <v>0</v>
      </c>
      <c r="I952" s="643">
        <f t="shared" si="534"/>
        <v>0</v>
      </c>
      <c r="J952" s="643">
        <f t="shared" ref="J952:J953" si="535">IFERROR(H952*(G952/E952),"-")</f>
        <v>0</v>
      </c>
    </row>
    <row r="953" spans="1:10" ht="24.75" thickBot="1" x14ac:dyDescent="0.3">
      <c r="A953" s="274"/>
      <c r="B953" s="1005"/>
      <c r="C953" s="840" t="s">
        <v>377</v>
      </c>
      <c r="D953" s="840" t="s">
        <v>522</v>
      </c>
      <c r="E953" s="851">
        <v>12.2659</v>
      </c>
      <c r="F953" s="658">
        <f>IFERROR(E953*'01 Prod Physique Boites'!H947,"-")</f>
        <v>103622.3232</v>
      </c>
      <c r="G953" s="659">
        <f>IFERROR(E953*'01 Prod Physique Boites'!L947,"-")</f>
        <v>3212292.0192</v>
      </c>
      <c r="H953" s="860">
        <v>0</v>
      </c>
      <c r="I953" s="643">
        <f t="shared" si="534"/>
        <v>0</v>
      </c>
      <c r="J953" s="643">
        <f t="shared" si="535"/>
        <v>0</v>
      </c>
    </row>
    <row r="954" spans="1:10" ht="24.75" thickBot="1" x14ac:dyDescent="0.3">
      <c r="A954" s="274"/>
      <c r="B954" s="1005"/>
      <c r="C954" s="840" t="s">
        <v>536</v>
      </c>
      <c r="D954" s="840" t="s">
        <v>522</v>
      </c>
      <c r="E954" s="851">
        <v>12.2659</v>
      </c>
      <c r="F954" s="658">
        <f>IFERROR(E954*'01 Prod Physique Boites'!H948,"-")</f>
        <v>103622.3232</v>
      </c>
      <c r="G954" s="659">
        <f>IFERROR(E954*'01 Prod Physique Boites'!L948,"-")</f>
        <v>103622.3232</v>
      </c>
      <c r="H954" s="860">
        <v>0</v>
      </c>
      <c r="I954" s="643">
        <f t="shared" ref="I954" si="536">IFERROR(H954*(F954/E954),"-")</f>
        <v>0</v>
      </c>
      <c r="J954" s="643">
        <f t="shared" ref="J954" si="537">IFERROR(H954*(G954/E954),"-")</f>
        <v>0</v>
      </c>
    </row>
    <row r="955" spans="1:10" ht="24.75" thickBot="1" x14ac:dyDescent="0.3">
      <c r="A955" s="868" t="s">
        <v>103</v>
      </c>
      <c r="B955" s="1006"/>
      <c r="C955" s="652" t="s">
        <v>342</v>
      </c>
      <c r="D955" s="661"/>
      <c r="E955" s="662">
        <v>0</v>
      </c>
      <c r="F955" s="658">
        <f>IFERROR(E955*'01 Prod Physique Boites'!H949,"-")</f>
        <v>0</v>
      </c>
      <c r="G955" s="659">
        <f>IFERROR(E955*'01 Prod Physique Boites'!L949,"-")</f>
        <v>0</v>
      </c>
      <c r="H955" s="655">
        <v>0</v>
      </c>
      <c r="I955" s="643" t="str">
        <f t="shared" si="534"/>
        <v>-</v>
      </c>
      <c r="J955" s="427" t="str">
        <f t="shared" ref="J955" si="538">IFERROR(I955*(G955/F955),"-")</f>
        <v>-</v>
      </c>
    </row>
    <row r="956" spans="1:10" ht="23.25" thickBot="1" x14ac:dyDescent="0.3">
      <c r="A956" s="274" t="s">
        <v>103</v>
      </c>
      <c r="B956" s="946" t="s">
        <v>46</v>
      </c>
      <c r="C956" s="947"/>
      <c r="D956" s="948"/>
      <c r="E956" s="390"/>
      <c r="F956" s="406">
        <f>SUM(F950:F955)</f>
        <v>207244.6464</v>
      </c>
      <c r="G956" s="406">
        <f>SUM(G950:G955)</f>
        <v>12505919.131199999</v>
      </c>
      <c r="H956" s="391"/>
      <c r="I956" s="406">
        <f>SUM(I950:I955)</f>
        <v>0</v>
      </c>
      <c r="J956" s="425">
        <f>SUM(J950:J955)</f>
        <v>8358451.2000000002</v>
      </c>
    </row>
    <row r="957" spans="1:10" ht="24" x14ac:dyDescent="0.25">
      <c r="A957" s="274" t="s">
        <v>103</v>
      </c>
      <c r="B957" s="965" t="s">
        <v>20</v>
      </c>
      <c r="C957" s="291" t="s">
        <v>317</v>
      </c>
      <c r="D957" s="291" t="s">
        <v>289</v>
      </c>
      <c r="E957" s="504">
        <v>26.032900000000001</v>
      </c>
      <c r="F957" s="402">
        <f>IFERROR(E957*'01 Prod Physique Boites'!H951,"-")</f>
        <v>0</v>
      </c>
      <c r="G957" s="403">
        <f>IFERROR(E957*'01 Prod Physique Boites'!L951,"-")</f>
        <v>0</v>
      </c>
      <c r="H957" s="381">
        <v>36.44</v>
      </c>
      <c r="I957" s="419">
        <f>IFERROR(H957*(F957/E957),"-")</f>
        <v>0</v>
      </c>
      <c r="J957" s="420">
        <f t="shared" ref="J957:J959" si="539">IFERROR(H957*(G957/E957),"-")</f>
        <v>0</v>
      </c>
    </row>
    <row r="958" spans="1:10" ht="24" x14ac:dyDescent="0.25">
      <c r="A958" s="274" t="s">
        <v>103</v>
      </c>
      <c r="B958" s="966"/>
      <c r="C958" s="292" t="s">
        <v>114</v>
      </c>
      <c r="D958" s="292"/>
      <c r="E958" s="384">
        <v>24.2607</v>
      </c>
      <c r="F958" s="402">
        <f>IFERROR(E958*'01 Prod Physique Boites'!H952,"-")</f>
        <v>0</v>
      </c>
      <c r="G958" s="403">
        <f>IFERROR(E958*'01 Prod Physique Boites'!L952,"-")</f>
        <v>0</v>
      </c>
      <c r="H958" s="385">
        <v>37.369999999999997</v>
      </c>
      <c r="I958" s="421">
        <f>IFERROR(H958*(F958/E958),"-")</f>
        <v>0</v>
      </c>
      <c r="J958" s="422">
        <f t="shared" si="539"/>
        <v>0</v>
      </c>
    </row>
    <row r="959" spans="1:10" ht="24.75" thickBot="1" x14ac:dyDescent="0.3">
      <c r="A959" s="274" t="s">
        <v>103</v>
      </c>
      <c r="B959" s="967"/>
      <c r="C959" s="293" t="s">
        <v>120</v>
      </c>
      <c r="D959" s="293"/>
      <c r="E959" s="386">
        <v>26.035799999999998</v>
      </c>
      <c r="F959" s="402">
        <f>IFERROR(E959*'01 Prod Physique Boites'!H953,"-")</f>
        <v>0</v>
      </c>
      <c r="G959" s="403">
        <f>IFERROR(E959*'01 Prod Physique Boites'!L953,"-")</f>
        <v>0</v>
      </c>
      <c r="H959" s="387">
        <v>37.11</v>
      </c>
      <c r="I959" s="423">
        <f>IFERROR(H959*(F959/E959),"-")</f>
        <v>0</v>
      </c>
      <c r="J959" s="424">
        <f t="shared" si="539"/>
        <v>0</v>
      </c>
    </row>
    <row r="960" spans="1:10" ht="23.25" thickBot="1" x14ac:dyDescent="0.3">
      <c r="A960" s="274" t="s">
        <v>103</v>
      </c>
      <c r="B960" s="947" t="s">
        <v>47</v>
      </c>
      <c r="C960" s="947"/>
      <c r="D960" s="964"/>
      <c r="E960" s="390"/>
      <c r="F960" s="406">
        <f t="shared" ref="F960:G960" si="540">SUM(F957:F959)</f>
        <v>0</v>
      </c>
      <c r="G960" s="407">
        <f t="shared" si="540"/>
        <v>0</v>
      </c>
      <c r="H960" s="391"/>
      <c r="I960" s="406">
        <f t="shared" ref="I960:J960" si="541">SUM(I957:I959)</f>
        <v>0</v>
      </c>
      <c r="J960" s="425">
        <f t="shared" si="541"/>
        <v>0</v>
      </c>
    </row>
    <row r="961" spans="1:10" ht="23.25" thickBot="1" x14ac:dyDescent="0.3">
      <c r="A961" s="274" t="s">
        <v>103</v>
      </c>
      <c r="B961" s="960" t="s">
        <v>21</v>
      </c>
      <c r="C961" s="961"/>
      <c r="D961" s="962"/>
      <c r="E961" s="393"/>
      <c r="F961" s="410">
        <f>+F933+F941+F949+F956+F960</f>
        <v>1312936.4783999999</v>
      </c>
      <c r="G961" s="411">
        <f>+G933+G941+G949+G956+G960</f>
        <v>22335921.635599997</v>
      </c>
      <c r="H961" s="394"/>
      <c r="I961" s="410">
        <f>+I933+I941+I949+I956+I960</f>
        <v>1756440</v>
      </c>
      <c r="J961" s="428">
        <f>+J933+J941+J949+J956+J960</f>
        <v>22975180.879999999</v>
      </c>
    </row>
    <row r="962" spans="1:10" ht="24" x14ac:dyDescent="0.25">
      <c r="A962" s="274" t="s">
        <v>103</v>
      </c>
      <c r="B962" s="965" t="s">
        <v>400</v>
      </c>
      <c r="C962" s="269" t="s">
        <v>125</v>
      </c>
      <c r="D962" s="269"/>
      <c r="E962" s="380">
        <v>22.820599999999999</v>
      </c>
      <c r="F962" s="402">
        <f>IFERROR(E962*'01 Prod Physique Boites'!H956,"-")</f>
        <v>0</v>
      </c>
      <c r="G962" s="403">
        <f>IFERROR(E962*'01 Prod Physique Boites'!L956,"-")</f>
        <v>0</v>
      </c>
      <c r="H962" s="381">
        <v>27.5</v>
      </c>
      <c r="I962" s="419">
        <f>IFERROR(H962*(F962/E962),"-")</f>
        <v>0</v>
      </c>
      <c r="J962" s="420">
        <f t="shared" ref="J962:J965" si="542">IFERROR(H962*(G962/E962),"-")</f>
        <v>0</v>
      </c>
    </row>
    <row r="963" spans="1:10" ht="24" x14ac:dyDescent="0.25">
      <c r="A963" s="274" t="s">
        <v>103</v>
      </c>
      <c r="B963" s="966"/>
      <c r="C963" s="295" t="s">
        <v>263</v>
      </c>
      <c r="D963" s="295" t="s">
        <v>181</v>
      </c>
      <c r="E963" s="384">
        <v>23.570699999999999</v>
      </c>
      <c r="F963" s="402">
        <f>IFERROR(E963*'01 Prod Physique Boites'!H957,"-")</f>
        <v>0</v>
      </c>
      <c r="G963" s="403">
        <f>IFERROR(E963*'01 Prod Physique Boites'!L957,"-")</f>
        <v>0</v>
      </c>
      <c r="H963" s="385">
        <v>27.5</v>
      </c>
      <c r="I963" s="421">
        <f>IFERROR(H963*(F963/E963),"-")</f>
        <v>0</v>
      </c>
      <c r="J963" s="422">
        <f t="shared" si="542"/>
        <v>0</v>
      </c>
    </row>
    <row r="964" spans="1:10" ht="24" x14ac:dyDescent="0.25">
      <c r="A964" s="274" t="s">
        <v>103</v>
      </c>
      <c r="B964" s="966"/>
      <c r="C964" s="295" t="s">
        <v>362</v>
      </c>
      <c r="D964" s="295" t="s">
        <v>181</v>
      </c>
      <c r="E964" s="384">
        <v>22.820599999999999</v>
      </c>
      <c r="F964" s="402">
        <f>IFERROR(E964*'01 Prod Physique Boites'!H958,"-")</f>
        <v>0</v>
      </c>
      <c r="G964" s="403">
        <f>IFERROR(E964*'01 Prod Physique Boites'!L958,"-")</f>
        <v>0</v>
      </c>
      <c r="H964" s="385">
        <v>27.5</v>
      </c>
      <c r="I964" s="421">
        <f>IFERROR(H964*(F964/E964),"-")</f>
        <v>0</v>
      </c>
      <c r="J964" s="422">
        <f t="shared" si="542"/>
        <v>0</v>
      </c>
    </row>
    <row r="965" spans="1:10" ht="24.75" thickBot="1" x14ac:dyDescent="0.3">
      <c r="A965" s="274" t="s">
        <v>103</v>
      </c>
      <c r="B965" s="967"/>
      <c r="C965" s="279" t="s">
        <v>182</v>
      </c>
      <c r="D965" s="279" t="s">
        <v>93</v>
      </c>
      <c r="E965" s="386">
        <v>23.5685</v>
      </c>
      <c r="F965" s="402">
        <f>IFERROR(E965*'01 Prod Physique Boites'!H959,"-")</f>
        <v>0</v>
      </c>
      <c r="G965" s="403">
        <f>IFERROR(E965*'01 Prod Physique Boites'!L959,"-")</f>
        <v>0</v>
      </c>
      <c r="H965" s="387">
        <v>24</v>
      </c>
      <c r="I965" s="423">
        <f>IFERROR(H965*(F965/E965),"-")</f>
        <v>0</v>
      </c>
      <c r="J965" s="424">
        <f t="shared" si="542"/>
        <v>0</v>
      </c>
    </row>
    <row r="966" spans="1:10" ht="23.25" thickBot="1" x14ac:dyDescent="0.3">
      <c r="A966" s="274" t="s">
        <v>103</v>
      </c>
      <c r="B966" s="946" t="s">
        <v>48</v>
      </c>
      <c r="C966" s="947"/>
      <c r="D966" s="948"/>
      <c r="E966" s="390"/>
      <c r="F966" s="406">
        <f t="shared" ref="F966:G966" si="543">SUM(F962:F965)</f>
        <v>0</v>
      </c>
      <c r="G966" s="407">
        <f t="shared" si="543"/>
        <v>0</v>
      </c>
      <c r="H966" s="391"/>
      <c r="I966" s="406">
        <f t="shared" ref="I966:J966" si="544">SUM(I962:I965)</f>
        <v>0</v>
      </c>
      <c r="J966" s="425">
        <f t="shared" si="544"/>
        <v>0</v>
      </c>
    </row>
    <row r="967" spans="1:10" ht="24" x14ac:dyDescent="0.25">
      <c r="A967" s="274" t="s">
        <v>103</v>
      </c>
      <c r="B967" s="965" t="s">
        <v>23</v>
      </c>
      <c r="C967" s="296" t="s">
        <v>308</v>
      </c>
      <c r="D967" s="296" t="s">
        <v>238</v>
      </c>
      <c r="E967" s="380">
        <v>101.4935</v>
      </c>
      <c r="F967" s="402">
        <f>IFERROR(E967*'01 Prod Physique Boites'!H961,"-")</f>
        <v>0</v>
      </c>
      <c r="G967" s="403">
        <f>IFERROR(E967*'01 Prod Physique Boites'!L961,"-")</f>
        <v>0</v>
      </c>
      <c r="H967" s="385">
        <v>160.44999999999999</v>
      </c>
      <c r="I967" s="419">
        <f t="shared" ref="I967:I975" si="545">IFERROR(H967*(F967/E967),"-")</f>
        <v>0</v>
      </c>
      <c r="J967" s="420">
        <f t="shared" ref="J967:J975" si="546">IFERROR(H967*(G967/E967),"-")</f>
        <v>0</v>
      </c>
    </row>
    <row r="968" spans="1:10" ht="24" x14ac:dyDescent="0.25">
      <c r="A968" s="274" t="s">
        <v>103</v>
      </c>
      <c r="B968" s="966"/>
      <c r="C968" s="275" t="s">
        <v>24</v>
      </c>
      <c r="D968" s="275" t="s">
        <v>238</v>
      </c>
      <c r="E968" s="384">
        <v>101.4935</v>
      </c>
      <c r="F968" s="402">
        <f>IFERROR(E968*'01 Prod Physique Boites'!H962,"-")</f>
        <v>0</v>
      </c>
      <c r="G968" s="403">
        <f>IFERROR(E968*'01 Prod Physique Boites'!L962,"-")</f>
        <v>0</v>
      </c>
      <c r="H968" s="385">
        <v>160.44999999999999</v>
      </c>
      <c r="I968" s="421">
        <f t="shared" si="545"/>
        <v>0</v>
      </c>
      <c r="J968" s="422">
        <f t="shared" si="546"/>
        <v>0</v>
      </c>
    </row>
    <row r="969" spans="1:10" ht="24" x14ac:dyDescent="0.25">
      <c r="A969" s="274" t="s">
        <v>103</v>
      </c>
      <c r="B969" s="966"/>
      <c r="C969" s="275" t="s">
        <v>236</v>
      </c>
      <c r="D969" s="275" t="s">
        <v>238</v>
      </c>
      <c r="E969" s="384">
        <v>101.4935</v>
      </c>
      <c r="F969" s="402">
        <f>IFERROR(E969*'01 Prod Physique Boites'!H963,"-")</f>
        <v>0</v>
      </c>
      <c r="G969" s="403">
        <f>IFERROR(E969*'01 Prod Physique Boites'!L963,"-")</f>
        <v>0</v>
      </c>
      <c r="H969" s="385">
        <v>160.44999999999999</v>
      </c>
      <c r="I969" s="421">
        <f t="shared" si="545"/>
        <v>0</v>
      </c>
      <c r="J969" s="422">
        <f t="shared" si="546"/>
        <v>0</v>
      </c>
    </row>
    <row r="970" spans="1:10" ht="24" x14ac:dyDescent="0.25">
      <c r="A970" s="274" t="s">
        <v>103</v>
      </c>
      <c r="B970" s="966"/>
      <c r="C970" s="275" t="s">
        <v>237</v>
      </c>
      <c r="D970" s="275" t="s">
        <v>238</v>
      </c>
      <c r="E970" s="384">
        <v>101.4935</v>
      </c>
      <c r="F970" s="402">
        <f>IFERROR(E970*'01 Prod Physique Boites'!H964,"-")</f>
        <v>0</v>
      </c>
      <c r="G970" s="403">
        <f>IFERROR(E970*'01 Prod Physique Boites'!L964,"-")</f>
        <v>0</v>
      </c>
      <c r="H970" s="385">
        <v>160.44999999999999</v>
      </c>
      <c r="I970" s="421">
        <f t="shared" si="545"/>
        <v>0</v>
      </c>
      <c r="J970" s="422">
        <f t="shared" si="546"/>
        <v>0</v>
      </c>
    </row>
    <row r="971" spans="1:10" ht="24" x14ac:dyDescent="0.25">
      <c r="A971" s="274" t="s">
        <v>103</v>
      </c>
      <c r="B971" s="966"/>
      <c r="C971" s="295" t="s">
        <v>239</v>
      </c>
      <c r="D971" s="275" t="s">
        <v>238</v>
      </c>
      <c r="E971" s="384">
        <v>101.4935</v>
      </c>
      <c r="F971" s="402">
        <f>IFERROR(E971*'01 Prod Physique Boites'!H965,"-")</f>
        <v>0</v>
      </c>
      <c r="G971" s="403">
        <f>IFERROR(E971*'01 Prod Physique Boites'!L965,"-")</f>
        <v>0</v>
      </c>
      <c r="H971" s="385">
        <v>160.44999999999999</v>
      </c>
      <c r="I971" s="421">
        <f t="shared" si="545"/>
        <v>0</v>
      </c>
      <c r="J971" s="422">
        <f t="shared" si="546"/>
        <v>0</v>
      </c>
    </row>
    <row r="972" spans="1:10" ht="24" x14ac:dyDescent="0.25">
      <c r="A972" s="274" t="s">
        <v>103</v>
      </c>
      <c r="B972" s="966"/>
      <c r="C972" s="295" t="s">
        <v>240</v>
      </c>
      <c r="D972" s="275" t="s">
        <v>238</v>
      </c>
      <c r="E972" s="384">
        <v>101.4935</v>
      </c>
      <c r="F972" s="402">
        <f>IFERROR(E972*'01 Prod Physique Boites'!H966,"-")</f>
        <v>0</v>
      </c>
      <c r="G972" s="403">
        <f>IFERROR(E972*'01 Prod Physique Boites'!L966,"-")</f>
        <v>0</v>
      </c>
      <c r="H972" s="385">
        <v>160.44999999999999</v>
      </c>
      <c r="I972" s="421">
        <f t="shared" si="545"/>
        <v>0</v>
      </c>
      <c r="J972" s="422">
        <f t="shared" si="546"/>
        <v>0</v>
      </c>
    </row>
    <row r="973" spans="1:10" ht="24" x14ac:dyDescent="0.25">
      <c r="A973" s="274" t="s">
        <v>103</v>
      </c>
      <c r="B973" s="966"/>
      <c r="C973" s="295" t="s">
        <v>241</v>
      </c>
      <c r="D973" s="275" t="s">
        <v>243</v>
      </c>
      <c r="E973" s="384">
        <v>101.4935</v>
      </c>
      <c r="F973" s="402">
        <f>IFERROR(E973*'01 Prod Physique Boites'!H967,"-")</f>
        <v>0</v>
      </c>
      <c r="G973" s="403">
        <f>IFERROR(E973*'01 Prod Physique Boites'!L967,"-")</f>
        <v>0</v>
      </c>
      <c r="H973" s="385">
        <v>160.44999999999999</v>
      </c>
      <c r="I973" s="421">
        <f t="shared" si="545"/>
        <v>0</v>
      </c>
      <c r="J973" s="422">
        <f t="shared" si="546"/>
        <v>0</v>
      </c>
    </row>
    <row r="974" spans="1:10" ht="24" x14ac:dyDescent="0.25">
      <c r="A974" s="274"/>
      <c r="B974" s="967"/>
      <c r="C974" s="295" t="s">
        <v>457</v>
      </c>
      <c r="D974" s="275" t="s">
        <v>238</v>
      </c>
      <c r="E974" s="386">
        <v>101.49</v>
      </c>
      <c r="F974" s="402">
        <f>IFERROR(E974*'01 Prod Physique Boites'!H968,"-")</f>
        <v>0</v>
      </c>
      <c r="G974" s="403">
        <f>IFERROR(E974*'01 Prod Physique Boites'!L968,"-")</f>
        <v>0</v>
      </c>
      <c r="H974" s="385">
        <v>160.44999999999999</v>
      </c>
      <c r="I974" s="421">
        <f t="shared" si="545"/>
        <v>0</v>
      </c>
      <c r="J974" s="422">
        <f t="shared" si="546"/>
        <v>0</v>
      </c>
    </row>
    <row r="975" spans="1:10" ht="24.75" thickBot="1" x14ac:dyDescent="0.3">
      <c r="A975" s="274" t="s">
        <v>103</v>
      </c>
      <c r="B975" s="967"/>
      <c r="C975" s="295" t="s">
        <v>242</v>
      </c>
      <c r="D975" s="275" t="s">
        <v>238</v>
      </c>
      <c r="E975" s="386">
        <v>101.4935</v>
      </c>
      <c r="F975" s="402">
        <f>IFERROR(E975*'01 Prod Physique Boites'!H969,"-")</f>
        <v>0</v>
      </c>
      <c r="G975" s="403">
        <f>IFERROR(E975*'01 Prod Physique Boites'!L969,"-")</f>
        <v>0</v>
      </c>
      <c r="H975" s="385">
        <v>160.44999999999999</v>
      </c>
      <c r="I975" s="421">
        <f t="shared" si="545"/>
        <v>0</v>
      </c>
      <c r="J975" s="424">
        <f t="shared" si="546"/>
        <v>0</v>
      </c>
    </row>
    <row r="976" spans="1:10" ht="23.25" thickBot="1" x14ac:dyDescent="0.3">
      <c r="A976" s="274" t="s">
        <v>103</v>
      </c>
      <c r="B976" s="946" t="s">
        <v>49</v>
      </c>
      <c r="C976" s="947"/>
      <c r="D976" s="948"/>
      <c r="E976" s="390"/>
      <c r="F976" s="406">
        <f t="shared" ref="F976" si="547">SUM(F967:F975)</f>
        <v>0</v>
      </c>
      <c r="G976" s="407">
        <f>SUM(G967:G975)</f>
        <v>0</v>
      </c>
      <c r="H976" s="391"/>
      <c r="I976" s="406">
        <f t="shared" ref="I976" si="548">SUM(I967:I975)</f>
        <v>0</v>
      </c>
      <c r="J976" s="425">
        <f>SUM(J967:J975)</f>
        <v>0</v>
      </c>
    </row>
    <row r="977" spans="1:10" ht="23.25" thickBot="1" x14ac:dyDescent="0.3">
      <c r="A977" s="274" t="s">
        <v>103</v>
      </c>
      <c r="B977" s="960" t="s">
        <v>25</v>
      </c>
      <c r="C977" s="961"/>
      <c r="D977" s="962"/>
      <c r="E977" s="393"/>
      <c r="F977" s="410">
        <f t="shared" ref="F977" si="549">+F966+F976</f>
        <v>0</v>
      </c>
      <c r="G977" s="411">
        <f>+G966+G976</f>
        <v>0</v>
      </c>
      <c r="H977" s="394"/>
      <c r="I977" s="410">
        <f t="shared" ref="I977:J977" si="550">+I966+I976</f>
        <v>0</v>
      </c>
      <c r="J977" s="428">
        <f t="shared" si="550"/>
        <v>0</v>
      </c>
    </row>
    <row r="978" spans="1:10" ht="23.25" thickBot="1" x14ac:dyDescent="0.3">
      <c r="A978" s="274" t="s">
        <v>103</v>
      </c>
      <c r="B978" s="963" t="s">
        <v>172</v>
      </c>
      <c r="C978" s="941"/>
      <c r="D978" s="942"/>
      <c r="E978" s="395"/>
      <c r="F978" s="412">
        <f t="shared" ref="F978" si="551">+F961+F977</f>
        <v>1312936.4783999999</v>
      </c>
      <c r="G978" s="413">
        <f>+G961+G977</f>
        <v>22335921.635599997</v>
      </c>
      <c r="H978" s="396"/>
      <c r="I978" s="412">
        <f t="shared" ref="I978:J978" si="552">+I961+I977</f>
        <v>1756440</v>
      </c>
      <c r="J978" s="429">
        <f t="shared" si="552"/>
        <v>22975180.879999999</v>
      </c>
    </row>
    <row r="979" spans="1:10" ht="24" x14ac:dyDescent="0.25">
      <c r="A979" s="268" t="s">
        <v>101</v>
      </c>
      <c r="B979" s="956" t="s">
        <v>26</v>
      </c>
      <c r="C979" s="297" t="s">
        <v>297</v>
      </c>
      <c r="D979" s="299" t="s">
        <v>177</v>
      </c>
      <c r="E979" s="504">
        <v>13.1272</v>
      </c>
      <c r="F979" s="402">
        <f>IFERROR(E979*'01 Prod Physique Boites'!H973,"-")</f>
        <v>0</v>
      </c>
      <c r="G979" s="403">
        <f>IFERROR(E979*'01 Prod Physique Boites'!L973,"-")</f>
        <v>0</v>
      </c>
      <c r="H979" s="381">
        <v>20.76</v>
      </c>
      <c r="I979" s="419">
        <f t="shared" ref="I979:I988" si="553">IFERROR(H979*(F979/E979),"-")</f>
        <v>0</v>
      </c>
      <c r="J979" s="632">
        <f t="shared" ref="J979:J988" si="554">IFERROR(H979*(G979/E979),"-")</f>
        <v>0</v>
      </c>
    </row>
    <row r="980" spans="1:10" ht="24" x14ac:dyDescent="0.25">
      <c r="A980" s="274" t="s">
        <v>101</v>
      </c>
      <c r="B980" s="956"/>
      <c r="C980" s="298" t="s">
        <v>424</v>
      </c>
      <c r="D980" s="298" t="s">
        <v>423</v>
      </c>
      <c r="E980" s="505">
        <v>16.7288</v>
      </c>
      <c r="F980" s="402">
        <f>IFERROR(E980*'01 Prod Physique Boites'!H974,"-")</f>
        <v>0</v>
      </c>
      <c r="G980" s="403">
        <f>IFERROR(E980*'01 Prod Physique Boites'!L974,"-")</f>
        <v>4392112.9824000001</v>
      </c>
      <c r="H980" s="385">
        <v>20.76</v>
      </c>
      <c r="I980" s="421">
        <f t="shared" si="553"/>
        <v>0</v>
      </c>
      <c r="J980" s="633">
        <f t="shared" si="554"/>
        <v>5450496.4800000004</v>
      </c>
    </row>
    <row r="981" spans="1:10" ht="24" x14ac:dyDescent="0.25">
      <c r="A981" s="274" t="s">
        <v>101</v>
      </c>
      <c r="B981" s="956"/>
      <c r="C981" s="813" t="s">
        <v>460</v>
      </c>
      <c r="D981" s="814" t="s">
        <v>334</v>
      </c>
      <c r="E981" s="501">
        <v>14.608000000000001</v>
      </c>
      <c r="F981" s="402">
        <f>IFERROR(E981*'01 Prod Physique Boites'!H975,"-")</f>
        <v>0</v>
      </c>
      <c r="G981" s="403">
        <f>IFERROR(E981*'01 Prod Physique Boites'!L975,"-")</f>
        <v>406774.36800000002</v>
      </c>
      <c r="H981" s="385">
        <v>21.22</v>
      </c>
      <c r="I981" s="643">
        <f t="shared" si="553"/>
        <v>0</v>
      </c>
      <c r="J981" s="633">
        <f t="shared" si="554"/>
        <v>590892.12</v>
      </c>
    </row>
    <row r="982" spans="1:10" ht="24" x14ac:dyDescent="0.25">
      <c r="A982" s="274" t="s">
        <v>101</v>
      </c>
      <c r="B982" s="956"/>
      <c r="C982" s="299" t="s">
        <v>27</v>
      </c>
      <c r="D982" s="297" t="s">
        <v>492</v>
      </c>
      <c r="E982" s="501">
        <v>17.8202</v>
      </c>
      <c r="F982" s="402">
        <f>IFERROR(E982*'01 Prod Physique Boites'!H976,"-")</f>
        <v>0</v>
      </c>
      <c r="G982" s="403">
        <f>IFERROR(E982*'01 Prod Physique Boites'!L976,"-")</f>
        <v>4820435.3808000004</v>
      </c>
      <c r="H982" s="385">
        <v>26.75</v>
      </c>
      <c r="I982" s="643">
        <f t="shared" si="553"/>
        <v>0</v>
      </c>
      <c r="J982" s="633">
        <f t="shared" si="554"/>
        <v>7235982</v>
      </c>
    </row>
    <row r="983" spans="1:10" ht="24" x14ac:dyDescent="0.25">
      <c r="A983" s="274" t="s">
        <v>101</v>
      </c>
      <c r="B983" s="956"/>
      <c r="C983" s="297" t="s">
        <v>521</v>
      </c>
      <c r="D983" s="299" t="s">
        <v>234</v>
      </c>
      <c r="E983" s="501">
        <v>14.608000000000001</v>
      </c>
      <c r="F983" s="402">
        <f>IFERROR(E983*'01 Prod Physique Boites'!H977,"-")</f>
        <v>0</v>
      </c>
      <c r="G983" s="403">
        <f>IFERROR(E983*'01 Prod Physique Boites'!L977,"-")</f>
        <v>813548.73600000003</v>
      </c>
      <c r="H983" s="385">
        <v>24.93</v>
      </c>
      <c r="I983" s="643">
        <f t="shared" si="553"/>
        <v>0</v>
      </c>
      <c r="J983" s="633">
        <f t="shared" si="554"/>
        <v>1388401.56</v>
      </c>
    </row>
    <row r="984" spans="1:10" ht="24" x14ac:dyDescent="0.25">
      <c r="A984" s="274"/>
      <c r="B984" s="956"/>
      <c r="C984" s="299" t="s">
        <v>437</v>
      </c>
      <c r="D984" s="299" t="s">
        <v>178</v>
      </c>
      <c r="E984" s="501">
        <v>14.608000000000001</v>
      </c>
      <c r="F984" s="402">
        <f>IFERROR(E984*'01 Prod Physique Boites'!H978,"-")</f>
        <v>0</v>
      </c>
      <c r="G984" s="403">
        <f>IFERROR(E984*'01 Prod Physique Boites'!L978,"-")</f>
        <v>0</v>
      </c>
      <c r="H984" s="387">
        <v>24.93</v>
      </c>
      <c r="I984" s="643">
        <f t="shared" si="553"/>
        <v>0</v>
      </c>
      <c r="J984" s="634">
        <f t="shared" si="554"/>
        <v>0</v>
      </c>
    </row>
    <row r="985" spans="1:10" ht="24" x14ac:dyDescent="0.25">
      <c r="A985" s="274"/>
      <c r="B985" s="956"/>
      <c r="C985" s="299" t="s">
        <v>436</v>
      </c>
      <c r="D985" s="299" t="s">
        <v>94</v>
      </c>
      <c r="E985" s="501">
        <v>17.8202</v>
      </c>
      <c r="F985" s="724">
        <f>IFERROR(E985*'01 Prod Physique Boites'!H979,"-")</f>
        <v>0</v>
      </c>
      <c r="G985" s="403">
        <f>IFERROR(E985*'01 Prod Physique Boites'!L979,"-")</f>
        <v>0</v>
      </c>
      <c r="H985" s="387">
        <v>24.93</v>
      </c>
      <c r="I985" s="730">
        <f t="shared" si="553"/>
        <v>0</v>
      </c>
      <c r="J985" s="634">
        <f t="shared" si="554"/>
        <v>0</v>
      </c>
    </row>
    <row r="986" spans="1:10" s="731" customFormat="1" ht="24" x14ac:dyDescent="0.25">
      <c r="A986" s="725"/>
      <c r="B986" s="956"/>
      <c r="C986" s="726" t="s">
        <v>383</v>
      </c>
      <c r="D986" s="726" t="s">
        <v>540</v>
      </c>
      <c r="E986" s="727">
        <v>16.7288</v>
      </c>
      <c r="F986" s="724">
        <f>IFERROR(E986*'01 Prod Physique Boites'!H980,"-")</f>
        <v>1530584.8271999999</v>
      </c>
      <c r="G986" s="728">
        <f>IFERROR(E986*'01 Prod Physique Boites'!L980,"-")</f>
        <v>1530584.8271999999</v>
      </c>
      <c r="H986" s="729">
        <v>25</v>
      </c>
      <c r="I986" s="730">
        <f t="shared" si="553"/>
        <v>2287350</v>
      </c>
      <c r="J986" s="634">
        <f t="shared" si="554"/>
        <v>2287350</v>
      </c>
    </row>
    <row r="987" spans="1:10" s="731" customFormat="1" ht="24" x14ac:dyDescent="0.25">
      <c r="A987" s="725"/>
      <c r="B987" s="956"/>
      <c r="C987" s="299" t="s">
        <v>433</v>
      </c>
      <c r="D987" s="299" t="s">
        <v>178</v>
      </c>
      <c r="E987" s="727">
        <v>16.7288</v>
      </c>
      <c r="F987" s="724">
        <f>IFERROR(E987*'01 Prod Physique Boites'!H981,"-")</f>
        <v>0</v>
      </c>
      <c r="G987" s="728">
        <f>IFERROR(E987*'01 Prod Physique Boites'!L981,"-")</f>
        <v>0</v>
      </c>
      <c r="H987" s="729">
        <v>25.49</v>
      </c>
      <c r="I987" s="730">
        <f t="shared" si="553"/>
        <v>0</v>
      </c>
      <c r="J987" s="634">
        <f t="shared" si="554"/>
        <v>0</v>
      </c>
    </row>
    <row r="988" spans="1:10" ht="24.75" thickBot="1" x14ac:dyDescent="0.3">
      <c r="A988" s="274" t="s">
        <v>101</v>
      </c>
      <c r="B988" s="956"/>
      <c r="C988" s="300" t="s">
        <v>290</v>
      </c>
      <c r="D988" s="299" t="s">
        <v>289</v>
      </c>
      <c r="E988" s="501">
        <v>12.6997</v>
      </c>
      <c r="F988" s="402">
        <f>IFERROR(E988*'01 Prod Physique Boites'!H982,"-")</f>
        <v>0</v>
      </c>
      <c r="G988" s="728">
        <f>IFERROR(E988*'01 Prod Physique Boites'!L982,"-")</f>
        <v>0</v>
      </c>
      <c r="H988" s="387">
        <v>13.25</v>
      </c>
      <c r="I988" s="730">
        <f t="shared" si="553"/>
        <v>0</v>
      </c>
      <c r="J988" s="634">
        <f t="shared" si="554"/>
        <v>0</v>
      </c>
    </row>
    <row r="989" spans="1:10" ht="23.25" thickBot="1" x14ac:dyDescent="0.3">
      <c r="A989" s="274" t="s">
        <v>101</v>
      </c>
      <c r="B989" s="969"/>
      <c r="C989" s="301"/>
      <c r="D989" s="302" t="s">
        <v>52</v>
      </c>
      <c r="E989" s="390"/>
      <c r="F989" s="406">
        <f>SUM(F979:F988)</f>
        <v>1530584.8271999999</v>
      </c>
      <c r="G989" s="407">
        <f>SUM(G979:G988)</f>
        <v>11963456.294399999</v>
      </c>
      <c r="H989" s="391"/>
      <c r="I989" s="406">
        <f>SUM(I979:I988)</f>
        <v>2287350</v>
      </c>
      <c r="J989" s="425">
        <f>SUM(J979:J988)</f>
        <v>16953122.160000004</v>
      </c>
    </row>
    <row r="990" spans="1:10" ht="24" x14ac:dyDescent="0.25">
      <c r="A990" s="274" t="s">
        <v>101</v>
      </c>
      <c r="B990" s="955" t="s">
        <v>28</v>
      </c>
      <c r="C990" s="299" t="s">
        <v>27</v>
      </c>
      <c r="D990" s="297" t="s">
        <v>492</v>
      </c>
      <c r="E990" s="504">
        <v>17.8202</v>
      </c>
      <c r="F990" s="402">
        <f>IFERROR(E990*'01 Prod Physique Boites'!H984,"-")</f>
        <v>0</v>
      </c>
      <c r="G990" s="403">
        <f>IFERROR(E990*'01 Prod Physique Boites'!L984,"-")</f>
        <v>2977327.7352</v>
      </c>
      <c r="H990" s="381">
        <v>26.75</v>
      </c>
      <c r="I990" s="419">
        <f t="shared" ref="I990:I996" si="555">IFERROR(H990*(F990/E990),"-")</f>
        <v>0</v>
      </c>
      <c r="J990" s="632">
        <f t="shared" ref="J990:J991" si="556">IFERROR(H990*(G990/E990),"-")</f>
        <v>4469283</v>
      </c>
    </row>
    <row r="991" spans="1:10" ht="24" x14ac:dyDescent="0.25">
      <c r="A991" s="274" t="s">
        <v>101</v>
      </c>
      <c r="B991" s="956"/>
      <c r="C991" s="299" t="s">
        <v>386</v>
      </c>
      <c r="D991" s="299" t="s">
        <v>334</v>
      </c>
      <c r="E991" s="711">
        <v>16.7288</v>
      </c>
      <c r="F991" s="402">
        <f>IFERROR(E991*'01 Prod Physique Boites'!H985,"-")</f>
        <v>0</v>
      </c>
      <c r="G991" s="728">
        <f>IFERROR(E991*'01 Prod Physique Boites'!L985,"-")</f>
        <v>1597131.9935999999</v>
      </c>
      <c r="H991" s="708">
        <v>20.76</v>
      </c>
      <c r="I991" s="421">
        <f t="shared" si="555"/>
        <v>0</v>
      </c>
      <c r="J991" s="633">
        <f t="shared" si="556"/>
        <v>1981998.7200000002</v>
      </c>
    </row>
    <row r="992" spans="1:10" ht="24" x14ac:dyDescent="0.25">
      <c r="A992" s="274" t="s">
        <v>101</v>
      </c>
      <c r="B992" s="956"/>
      <c r="C992" s="299" t="s">
        <v>541</v>
      </c>
      <c r="D992" s="299" t="s">
        <v>334</v>
      </c>
      <c r="E992" s="501">
        <v>17.8202</v>
      </c>
      <c r="F992" s="402">
        <f>IFERROR(E992*'01 Prod Physique Boites'!H986,"-")</f>
        <v>0</v>
      </c>
      <c r="G992" s="403">
        <f>IFERROR(E992*'01 Prod Physique Boites'!L986,"-")</f>
        <v>0</v>
      </c>
      <c r="H992" s="385">
        <v>21.22</v>
      </c>
      <c r="I992" s="421">
        <f t="shared" si="555"/>
        <v>0</v>
      </c>
      <c r="J992" s="633">
        <f>IFERROR(H992*(G992/E992),"-")</f>
        <v>0</v>
      </c>
    </row>
    <row r="993" spans="1:10" ht="24" x14ac:dyDescent="0.25">
      <c r="A993" s="274"/>
      <c r="B993" s="956"/>
      <c r="C993" s="299" t="s">
        <v>460</v>
      </c>
      <c r="D993" s="299" t="s">
        <v>334</v>
      </c>
      <c r="E993" s="501">
        <v>14.608000000000001</v>
      </c>
      <c r="F993" s="402">
        <f>IFERROR(E993*'01 Prod Physique Boites'!H987,"-")</f>
        <v>0</v>
      </c>
      <c r="G993" s="403">
        <f>IFERROR(E993*'01 Prod Physique Boites'!L987,"-")</f>
        <v>58110.624000000003</v>
      </c>
      <c r="H993" s="385">
        <v>21.22</v>
      </c>
      <c r="I993" s="421">
        <f t="shared" si="555"/>
        <v>0</v>
      </c>
      <c r="J993" s="633">
        <f>IFERROR(H993*(G993/E993),"-")</f>
        <v>84413.159999999989</v>
      </c>
    </row>
    <row r="994" spans="1:10" ht="24" x14ac:dyDescent="0.25">
      <c r="A994" s="274"/>
      <c r="B994" s="956"/>
      <c r="C994" s="299" t="s">
        <v>433</v>
      </c>
      <c r="D994" s="299" t="s">
        <v>540</v>
      </c>
      <c r="E994" s="711">
        <v>16.7288</v>
      </c>
      <c r="F994" s="402">
        <f>IFERROR(E994*'01 Prod Physique Boites'!H988,"-")</f>
        <v>1197848.9952</v>
      </c>
      <c r="G994" s="403">
        <f>IFERROR(E994*'01 Prod Physique Boites'!L988,"-")</f>
        <v>1197848.9952</v>
      </c>
      <c r="H994" s="385">
        <v>25</v>
      </c>
      <c r="I994" s="423">
        <f t="shared" si="555"/>
        <v>1790100</v>
      </c>
      <c r="J994" s="634">
        <f t="shared" ref="J994:J996" si="557">IFERROR(H994*(G994/E994),"-")</f>
        <v>1790100</v>
      </c>
    </row>
    <row r="995" spans="1:10" ht="24" x14ac:dyDescent="0.25">
      <c r="A995" s="274"/>
      <c r="B995" s="956"/>
      <c r="C995" s="299" t="s">
        <v>458</v>
      </c>
      <c r="D995" s="300" t="s">
        <v>280</v>
      </c>
      <c r="E995" s="711">
        <v>17.8202</v>
      </c>
      <c r="F995" s="402">
        <f>IFERROR(E995*'01 Prod Physique Boites'!H989,"-")</f>
        <v>0</v>
      </c>
      <c r="G995" s="403">
        <f>IFERROR(E995*'01 Prod Physique Boites'!L989,"-")</f>
        <v>0</v>
      </c>
      <c r="H995" s="385">
        <v>24.93</v>
      </c>
      <c r="I995" s="730">
        <f t="shared" si="555"/>
        <v>0</v>
      </c>
      <c r="J995" s="634">
        <f t="shared" si="557"/>
        <v>0</v>
      </c>
    </row>
    <row r="996" spans="1:10" ht="24.75" thickBot="1" x14ac:dyDescent="0.3">
      <c r="A996" s="274" t="s">
        <v>101</v>
      </c>
      <c r="B996" s="956"/>
      <c r="C996" s="299" t="s">
        <v>27</v>
      </c>
      <c r="D996" s="300" t="s">
        <v>234</v>
      </c>
      <c r="E996" s="501">
        <v>17.8202</v>
      </c>
      <c r="F996" s="402">
        <f>IFERROR(E996*'01 Prod Physique Boites'!H990,"-")</f>
        <v>0</v>
      </c>
      <c r="G996" s="403">
        <f>IFERROR(E996*'01 Prod Physique Boites'!L990,"-")</f>
        <v>0</v>
      </c>
      <c r="H996" s="385">
        <v>24.93</v>
      </c>
      <c r="I996" s="423">
        <f t="shared" si="555"/>
        <v>0</v>
      </c>
      <c r="J996" s="634">
        <f t="shared" si="557"/>
        <v>0</v>
      </c>
    </row>
    <row r="997" spans="1:10" ht="23.25" thickBot="1" x14ac:dyDescent="0.3">
      <c r="A997" s="274" t="s">
        <v>101</v>
      </c>
      <c r="B997" s="956"/>
      <c r="C997" s="304"/>
      <c r="D997" s="305" t="s">
        <v>52</v>
      </c>
      <c r="E997" s="397"/>
      <c r="F997" s="414">
        <f t="shared" ref="F997:G997" si="558">SUM(F990:F996)</f>
        <v>1197848.9952</v>
      </c>
      <c r="G997" s="415">
        <f t="shared" si="558"/>
        <v>5830419.3479999993</v>
      </c>
      <c r="H997" s="398"/>
      <c r="I997" s="414">
        <f t="shared" ref="I997:J997" si="559">SUM(I990:I996)</f>
        <v>1790100</v>
      </c>
      <c r="J997" s="430">
        <f t="shared" si="559"/>
        <v>8325794.8800000008</v>
      </c>
    </row>
    <row r="998" spans="1:10" ht="23.25" thickBot="1" x14ac:dyDescent="0.3">
      <c r="A998" s="868" t="s">
        <v>101</v>
      </c>
      <c r="B998" s="957" t="s">
        <v>162</v>
      </c>
      <c r="C998" s="958"/>
      <c r="D998" s="959"/>
      <c r="E998" s="399"/>
      <c r="F998" s="416">
        <f t="shared" ref="F998:G998" si="560">+F989+F997</f>
        <v>2728433.8223999999</v>
      </c>
      <c r="G998" s="417">
        <f t="shared" si="560"/>
        <v>17793875.642399997</v>
      </c>
      <c r="H998" s="400"/>
      <c r="I998" s="416">
        <f t="shared" ref="I998:J998" si="561">+I989+I997</f>
        <v>4077450</v>
      </c>
      <c r="J998" s="431">
        <f t="shared" si="561"/>
        <v>25278917.040000007</v>
      </c>
    </row>
    <row r="999" spans="1:10" ht="24" x14ac:dyDescent="0.25">
      <c r="A999" s="274" t="s">
        <v>101</v>
      </c>
      <c r="B999" s="956" t="s">
        <v>30</v>
      </c>
      <c r="C999" s="303" t="s">
        <v>450</v>
      </c>
      <c r="D999" s="299" t="s">
        <v>334</v>
      </c>
      <c r="E999" s="736">
        <v>27.917000000000002</v>
      </c>
      <c r="F999" s="402">
        <f>IFERROR(E999*'01 Prod Physique Boites'!H993,"-")</f>
        <v>0</v>
      </c>
      <c r="G999" s="728">
        <f>IFERROR(E999*'01 Prod Physique Boites'!L993,"-")</f>
        <v>0</v>
      </c>
      <c r="H999" s="734">
        <v>33.299999999999997</v>
      </c>
      <c r="I999" s="419">
        <f>IFERROR(H999*(F999/E999),"-")</f>
        <v>0</v>
      </c>
      <c r="J999" s="420">
        <f t="shared" ref="J999:J1001" si="562">IFERROR(H999*(G999/E999),"-")</f>
        <v>0</v>
      </c>
    </row>
    <row r="1000" spans="1:10" ht="24" x14ac:dyDescent="0.25">
      <c r="A1000" s="274" t="s">
        <v>101</v>
      </c>
      <c r="B1000" s="956"/>
      <c r="C1000" s="300" t="s">
        <v>448</v>
      </c>
      <c r="D1000" s="303" t="s">
        <v>384</v>
      </c>
      <c r="E1000" s="733">
        <v>28.526700000000002</v>
      </c>
      <c r="F1000" s="402">
        <f>IFERROR(E1000*'01 Prod Physique Boites'!H994,"-")</f>
        <v>0</v>
      </c>
      <c r="G1000" s="728">
        <f>IFERROR(E1000*'01 Prod Physique Boites'!L994,"-")</f>
        <v>0</v>
      </c>
      <c r="H1000" s="735">
        <v>37.89</v>
      </c>
      <c r="I1000" s="421">
        <f>IFERROR(H1000*(F1000/E1000),"-")</f>
        <v>0</v>
      </c>
      <c r="J1000" s="422">
        <f t="shared" si="562"/>
        <v>0</v>
      </c>
    </row>
    <row r="1001" spans="1:10" ht="24.75" thickBot="1" x14ac:dyDescent="0.3">
      <c r="A1001" s="274" t="s">
        <v>101</v>
      </c>
      <c r="B1001" s="956"/>
      <c r="C1001" s="300" t="s">
        <v>291</v>
      </c>
      <c r="D1001" s="300" t="s">
        <v>384</v>
      </c>
      <c r="E1001" s="501">
        <v>25.751300000000001</v>
      </c>
      <c r="F1001" s="724">
        <f>IFERROR(E1001*'01 Prod Physique Boites'!H995,"-")</f>
        <v>0</v>
      </c>
      <c r="G1001" s="728">
        <f>IFERROR(E1001*'01 Prod Physique Boites'!L995,"-")</f>
        <v>0</v>
      </c>
      <c r="H1001" s="387">
        <v>37.89</v>
      </c>
      <c r="I1001" s="423">
        <f>IFERROR(H1001*(F1001/E1001),"-")</f>
        <v>0</v>
      </c>
      <c r="J1001" s="424">
        <f t="shared" si="562"/>
        <v>0</v>
      </c>
    </row>
    <row r="1002" spans="1:10" ht="23.25" thickBot="1" x14ac:dyDescent="0.3">
      <c r="A1002" s="274" t="s">
        <v>101</v>
      </c>
      <c r="B1002" s="956"/>
      <c r="C1002" s="301"/>
      <c r="D1002" s="302" t="s">
        <v>50</v>
      </c>
      <c r="E1002" s="390"/>
      <c r="F1002" s="406">
        <f t="shared" ref="F1002:G1002" si="563">SUM(F999:F1001)</f>
        <v>0</v>
      </c>
      <c r="G1002" s="407">
        <f t="shared" si="563"/>
        <v>0</v>
      </c>
      <c r="H1002" s="391"/>
      <c r="I1002" s="406">
        <f t="shared" ref="I1002" si="564">SUM(I999:I1001)</f>
        <v>0</v>
      </c>
      <c r="J1002" s="425">
        <f>SUM(J999:J1001)</f>
        <v>0</v>
      </c>
    </row>
    <row r="1003" spans="1:10" ht="24" x14ac:dyDescent="0.25">
      <c r="A1003" s="274" t="s">
        <v>101</v>
      </c>
      <c r="B1003" s="956"/>
      <c r="C1003" s="297" t="s">
        <v>439</v>
      </c>
      <c r="D1003" s="297" t="s">
        <v>92</v>
      </c>
      <c r="E1003" s="504">
        <v>24.2607</v>
      </c>
      <c r="F1003" s="402">
        <f>IFERROR(E1003*'01 Prod Physique Boites'!H997,"-")</f>
        <v>0</v>
      </c>
      <c r="G1003" s="728">
        <f>IFERROR(E1003*'01 Prod Physique Boites'!L997,"-")</f>
        <v>0</v>
      </c>
      <c r="H1003" s="381">
        <v>28.31</v>
      </c>
      <c r="I1003" s="638">
        <f>IFERROR(H1003*(F1003/E1003),"-")</f>
        <v>0</v>
      </c>
      <c r="J1003" s="420">
        <f t="shared" ref="J1003:J1008" si="565">IFERROR(H1003*(G1003/E1003),"-")</f>
        <v>0</v>
      </c>
    </row>
    <row r="1004" spans="1:10" ht="24" x14ac:dyDescent="0.25">
      <c r="A1004" s="274"/>
      <c r="B1004" s="956"/>
      <c r="C1004" s="303" t="s">
        <v>449</v>
      </c>
      <c r="D1004" s="299" t="s">
        <v>334</v>
      </c>
      <c r="E1004" s="504">
        <v>24.2607</v>
      </c>
      <c r="F1004" s="402">
        <f>IFERROR(E1004*'01 Prod Physique Boites'!H998,"-")</f>
        <v>0</v>
      </c>
      <c r="G1004" s="728">
        <f>IFERROR(E1004*'01 Prod Physique Boites'!L998,"-")</f>
        <v>0</v>
      </c>
      <c r="H1004" s="381">
        <v>28.88</v>
      </c>
      <c r="I1004" s="638">
        <f t="shared" ref="I1004:I1008" si="566">IFERROR(H1004*(F1004/E1004),"-")</f>
        <v>0</v>
      </c>
      <c r="J1004" s="420">
        <f t="shared" si="565"/>
        <v>0</v>
      </c>
    </row>
    <row r="1005" spans="1:10" ht="24" x14ac:dyDescent="0.25">
      <c r="A1005" s="274"/>
      <c r="B1005" s="956"/>
      <c r="C1005" s="303" t="s">
        <v>452</v>
      </c>
      <c r="D1005" s="299" t="s">
        <v>334</v>
      </c>
      <c r="E1005" s="504">
        <v>25.4041</v>
      </c>
      <c r="F1005" s="402">
        <f>IFERROR(E1005*'01 Prod Physique Boites'!H999,"-")</f>
        <v>0</v>
      </c>
      <c r="G1005" s="728">
        <f>IFERROR(E1005*'01 Prod Physique Boites'!L999,"-")</f>
        <v>0</v>
      </c>
      <c r="H1005" s="381">
        <v>28.21</v>
      </c>
      <c r="I1005" s="638">
        <f t="shared" si="566"/>
        <v>0</v>
      </c>
      <c r="J1005" s="420">
        <f t="shared" si="565"/>
        <v>0</v>
      </c>
    </row>
    <row r="1006" spans="1:10" ht="24" x14ac:dyDescent="0.25">
      <c r="A1006" s="274" t="s">
        <v>101</v>
      </c>
      <c r="B1006" s="956"/>
      <c r="C1006" s="303" t="s">
        <v>501</v>
      </c>
      <c r="D1006" s="300" t="s">
        <v>423</v>
      </c>
      <c r="E1006" s="505">
        <v>23.697399999999998</v>
      </c>
      <c r="F1006" s="724">
        <f>IFERROR(E1006*'01 Prod Physique Boites'!H1000,"-")</f>
        <v>0</v>
      </c>
      <c r="G1006" s="728">
        <f>IFERROR(E1006*'01 Prod Physique Boites'!L1000,"-")</f>
        <v>177446.13119999997</v>
      </c>
      <c r="H1006" s="385">
        <v>28.21</v>
      </c>
      <c r="I1006" s="638">
        <f t="shared" si="566"/>
        <v>0</v>
      </c>
      <c r="J1006" s="420">
        <f t="shared" si="565"/>
        <v>211236.47999999998</v>
      </c>
    </row>
    <row r="1007" spans="1:10" ht="24" x14ac:dyDescent="0.25">
      <c r="A1007" s="274"/>
      <c r="B1007" s="956"/>
      <c r="C1007" s="300" t="s">
        <v>459</v>
      </c>
      <c r="D1007" s="300" t="s">
        <v>366</v>
      </c>
      <c r="E1007" s="501">
        <v>22.094999999999999</v>
      </c>
      <c r="F1007" s="724">
        <f>IFERROR(E1007*'01 Prod Physique Boites'!H1001,"-")</f>
        <v>0</v>
      </c>
      <c r="G1007" s="728">
        <f>IFERROR(E1007*'01 Prod Physique Boites'!L1001,"-")</f>
        <v>0</v>
      </c>
      <c r="H1007" s="745">
        <v>37.11</v>
      </c>
      <c r="I1007" s="638">
        <f t="shared" si="566"/>
        <v>0</v>
      </c>
      <c r="J1007" s="420">
        <f t="shared" si="565"/>
        <v>0</v>
      </c>
    </row>
    <row r="1008" spans="1:10" ht="24.75" thickBot="1" x14ac:dyDescent="0.3">
      <c r="A1008" s="274" t="s">
        <v>101</v>
      </c>
      <c r="B1008" s="956"/>
      <c r="C1008" s="300" t="s">
        <v>438</v>
      </c>
      <c r="D1008" s="300" t="s">
        <v>423</v>
      </c>
      <c r="E1008" s="501">
        <v>23.697399999999998</v>
      </c>
      <c r="F1008" s="402">
        <f>IFERROR(E1008*'01 Prod Physique Boites'!H1002,"-")</f>
        <v>0</v>
      </c>
      <c r="G1008" s="403">
        <f>IFERROR(E1008*'01 Prod Physique Boites'!L1002,"-")</f>
        <v>0</v>
      </c>
      <c r="H1008" s="387">
        <v>28.21</v>
      </c>
      <c r="I1008" s="638">
        <f t="shared" si="566"/>
        <v>0</v>
      </c>
      <c r="J1008" s="420">
        <f t="shared" si="565"/>
        <v>0</v>
      </c>
    </row>
    <row r="1009" spans="1:10" ht="23.25" thickBot="1" x14ac:dyDescent="0.3">
      <c r="A1009" s="274" t="s">
        <v>101</v>
      </c>
      <c r="B1009" s="956"/>
      <c r="C1009" s="304"/>
      <c r="D1009" s="305" t="s">
        <v>51</v>
      </c>
      <c r="E1009" s="397"/>
      <c r="F1009" s="414">
        <f t="shared" ref="F1009:G1009" si="567">SUM(F1003:F1008)</f>
        <v>0</v>
      </c>
      <c r="G1009" s="415">
        <f t="shared" si="567"/>
        <v>177446.13119999997</v>
      </c>
      <c r="H1009" s="398"/>
      <c r="I1009" s="414">
        <f t="shared" ref="I1009" si="568">SUM(I1003:I1008)</f>
        <v>0</v>
      </c>
      <c r="J1009" s="430">
        <f>SUM(J1003:J1008)</f>
        <v>211236.47999999998</v>
      </c>
    </row>
    <row r="1010" spans="1:10" ht="23.25" thickBot="1" x14ac:dyDescent="0.3">
      <c r="A1010" s="274" t="s">
        <v>101</v>
      </c>
      <c r="B1010" s="957" t="s">
        <v>163</v>
      </c>
      <c r="C1010" s="958"/>
      <c r="D1010" s="959"/>
      <c r="E1010" s="399"/>
      <c r="F1010" s="416">
        <f t="shared" ref="F1010:G1010" si="569">+F1002+F1009</f>
        <v>0</v>
      </c>
      <c r="G1010" s="417">
        <f t="shared" si="569"/>
        <v>177446.13119999997</v>
      </c>
      <c r="H1010" s="400"/>
      <c r="I1010" s="416">
        <f t="shared" ref="I1010:J1010" si="570">+I1002+I1009</f>
        <v>0</v>
      </c>
      <c r="J1010" s="431">
        <f t="shared" si="570"/>
        <v>211236.47999999998</v>
      </c>
    </row>
    <row r="1011" spans="1:10" ht="24.75" thickBot="1" x14ac:dyDescent="0.3">
      <c r="A1011" s="274" t="s">
        <v>101</v>
      </c>
      <c r="B1011" s="599" t="s">
        <v>32</v>
      </c>
      <c r="C1011" s="864"/>
      <c r="D1011" s="310"/>
      <c r="E1011" s="506">
        <v>12.2659</v>
      </c>
      <c r="F1011" s="408">
        <f>IFERROR(E1011*'01 Prod Physique Boites'!H1005,"-")</f>
        <v>0</v>
      </c>
      <c r="G1011" s="409">
        <f>IFERROR(E1011*'01 Prod Physique Boites'!L1005,"-")</f>
        <v>0</v>
      </c>
      <c r="H1011" s="392"/>
      <c r="I1011" s="426">
        <f>IFERROR(H1011*(F1011/E1011),"-")</f>
        <v>0</v>
      </c>
      <c r="J1011" s="427">
        <f>IFERROR(H1011*(G1011/E1011),"-")</f>
        <v>0</v>
      </c>
    </row>
    <row r="1012" spans="1:10" ht="23.25" thickBot="1" x14ac:dyDescent="0.3">
      <c r="A1012" s="274" t="s">
        <v>101</v>
      </c>
      <c r="B1012" s="960" t="s">
        <v>21</v>
      </c>
      <c r="C1012" s="961"/>
      <c r="D1012" s="962"/>
      <c r="E1012" s="393"/>
      <c r="F1012" s="410">
        <f t="shared" ref="F1012" si="571">+F998+F1010+F1011</f>
        <v>2728433.8223999999</v>
      </c>
      <c r="G1012" s="411">
        <f>+G998+G1010+G1011</f>
        <v>17971321.773599997</v>
      </c>
      <c r="H1012" s="394"/>
      <c r="I1012" s="410">
        <f t="shared" ref="I1012:J1012" si="572">+I998+I1010+I1011</f>
        <v>4077450</v>
      </c>
      <c r="J1012" s="428">
        <f t="shared" si="572"/>
        <v>25490153.520000007</v>
      </c>
    </row>
    <row r="1013" spans="1:10" ht="23.25" thickBot="1" x14ac:dyDescent="0.3">
      <c r="A1013" s="274" t="s">
        <v>101</v>
      </c>
      <c r="B1013" s="963" t="s">
        <v>171</v>
      </c>
      <c r="C1013" s="941"/>
      <c r="D1013" s="942"/>
      <c r="E1013" s="395"/>
      <c r="F1013" s="412">
        <f t="shared" ref="F1013:G1013" si="573">+F1012</f>
        <v>2728433.8223999999</v>
      </c>
      <c r="G1013" s="413">
        <f t="shared" si="573"/>
        <v>17971321.773599997</v>
      </c>
      <c r="H1013" s="396"/>
      <c r="I1013" s="412">
        <f t="shared" ref="I1013:J1013" si="574">+I1012</f>
        <v>4077450</v>
      </c>
      <c r="J1013" s="429">
        <f t="shared" si="574"/>
        <v>25490153.520000007</v>
      </c>
    </row>
    <row r="1014" spans="1:10" ht="24" x14ac:dyDescent="0.25">
      <c r="A1014" s="268" t="s">
        <v>102</v>
      </c>
      <c r="B1014" s="949" t="s">
        <v>401</v>
      </c>
      <c r="C1014" s="311" t="s">
        <v>113</v>
      </c>
      <c r="D1014" s="311"/>
      <c r="E1014" s="709">
        <v>254.89750000000001</v>
      </c>
      <c r="F1014" s="402">
        <f>IFERROR(E1014*'01 Prod Physique Boites'!H1008,"-")</f>
        <v>0</v>
      </c>
      <c r="G1014" s="403">
        <f>IFERROR(E1014*'01 Prod Physique Boites'!L1008,"-")</f>
        <v>0</v>
      </c>
      <c r="H1014" s="381">
        <v>445.38</v>
      </c>
      <c r="I1014" s="419">
        <f>IFERROR(H1014*(F1014/E1014),"-")</f>
        <v>0</v>
      </c>
      <c r="J1014" s="420">
        <f t="shared" ref="J1014:J1016" si="575">IFERROR(H1014*(G1014/E1014),"-")</f>
        <v>0</v>
      </c>
    </row>
    <row r="1015" spans="1:10" ht="24" x14ac:dyDescent="0.25">
      <c r="A1015" s="274" t="s">
        <v>102</v>
      </c>
      <c r="B1015" s="951"/>
      <c r="C1015" s="312" t="s">
        <v>247</v>
      </c>
      <c r="D1015" s="312"/>
      <c r="E1015" s="503">
        <v>246.51390000000001</v>
      </c>
      <c r="F1015" s="402">
        <f>IFERROR(E1015*'01 Prod Physique Boites'!H1009,"-")</f>
        <v>86033.3511</v>
      </c>
      <c r="G1015" s="403">
        <f>IFERROR(E1015*'01 Prod Physique Boites'!L1009,"-")</f>
        <v>2255355.6710999999</v>
      </c>
      <c r="H1015" s="385">
        <v>430.02</v>
      </c>
      <c r="I1015" s="421">
        <f>IFERROR(H1015*(F1015/E1015),"-")</f>
        <v>150076.97999999998</v>
      </c>
      <c r="J1015" s="422">
        <f t="shared" si="575"/>
        <v>3934252.98</v>
      </c>
    </row>
    <row r="1016" spans="1:10" ht="24.75" thickBot="1" x14ac:dyDescent="0.3">
      <c r="A1016" s="274" t="s">
        <v>102</v>
      </c>
      <c r="B1016" s="950"/>
      <c r="C1016" s="313" t="s">
        <v>33</v>
      </c>
      <c r="D1016" s="313"/>
      <c r="E1016" s="500">
        <v>225.7713</v>
      </c>
      <c r="F1016" s="402">
        <f>IFERROR(E1016*'01 Prod Physique Boites'!H1010,"-")</f>
        <v>0</v>
      </c>
      <c r="G1016" s="403">
        <f>IFERROR(E1016*'01 Prod Physique Boites'!L1010,"-")</f>
        <v>0</v>
      </c>
      <c r="H1016" s="387"/>
      <c r="I1016" s="423">
        <f>IFERROR(H1016*(F1016/E1016),"-")</f>
        <v>0</v>
      </c>
      <c r="J1016" s="424">
        <f t="shared" si="575"/>
        <v>0</v>
      </c>
    </row>
    <row r="1017" spans="1:10" ht="23.25" thickBot="1" x14ac:dyDescent="0.3">
      <c r="A1017" s="274" t="s">
        <v>102</v>
      </c>
      <c r="B1017" s="946" t="s">
        <v>34</v>
      </c>
      <c r="C1017" s="947"/>
      <c r="D1017" s="948"/>
      <c r="E1017" s="390"/>
      <c r="F1017" s="406">
        <f t="shared" ref="F1017:G1017" si="576">SUM(F1014:F1016)</f>
        <v>86033.3511</v>
      </c>
      <c r="G1017" s="407">
        <f t="shared" si="576"/>
        <v>2255355.6710999999</v>
      </c>
      <c r="H1017" s="391"/>
      <c r="I1017" s="406">
        <f t="shared" ref="I1017:J1017" si="577">SUM(I1014:I1016)</f>
        <v>150076.97999999998</v>
      </c>
      <c r="J1017" s="425">
        <f t="shared" si="577"/>
        <v>3934252.98</v>
      </c>
    </row>
    <row r="1018" spans="1:10" ht="24" x14ac:dyDescent="0.25">
      <c r="A1018" s="274" t="s">
        <v>102</v>
      </c>
      <c r="B1018" s="949" t="s">
        <v>35</v>
      </c>
      <c r="C1018" s="311" t="s">
        <v>113</v>
      </c>
      <c r="D1018" s="311"/>
      <c r="E1018" s="502">
        <v>254.89750000000001</v>
      </c>
      <c r="F1018" s="402">
        <f>IFERROR(E1018*'01 Prod Physique Boites'!H1012,"-")</f>
        <v>0</v>
      </c>
      <c r="G1018" s="403">
        <f>IFERROR(E1018*'01 Prod Physique Boites'!L1012,"-")</f>
        <v>0</v>
      </c>
      <c r="H1018" s="381">
        <v>445.38</v>
      </c>
      <c r="I1018" s="419">
        <f>IFERROR(H1018*(F1018/E1018),"-")</f>
        <v>0</v>
      </c>
      <c r="J1018" s="420">
        <f t="shared" ref="J1018:J1021" si="578">IFERROR(H1018*(G1018/E1018),"-")</f>
        <v>0</v>
      </c>
    </row>
    <row r="1019" spans="1:10" ht="24" x14ac:dyDescent="0.25">
      <c r="A1019" s="274" t="s">
        <v>102</v>
      </c>
      <c r="B1019" s="951"/>
      <c r="C1019" s="312" t="s">
        <v>247</v>
      </c>
      <c r="D1019" s="312"/>
      <c r="E1019" s="503">
        <v>246.51390000000001</v>
      </c>
      <c r="F1019" s="402">
        <f>IFERROR(E1019*'01 Prod Physique Boites'!H1013,"-")</f>
        <v>0</v>
      </c>
      <c r="G1019" s="403">
        <f>IFERROR(E1019*'01 Prod Physique Boites'!L1013,"-")</f>
        <v>0</v>
      </c>
      <c r="H1019" s="385">
        <v>430.02</v>
      </c>
      <c r="I1019" s="421">
        <f>IFERROR(H1019*(F1019/E1019),"-")</f>
        <v>0</v>
      </c>
      <c r="J1019" s="422">
        <f t="shared" si="578"/>
        <v>0</v>
      </c>
    </row>
    <row r="1020" spans="1:10" ht="24" x14ac:dyDescent="0.25">
      <c r="A1020" s="274" t="s">
        <v>102</v>
      </c>
      <c r="B1020" s="951"/>
      <c r="C1020" s="312" t="s">
        <v>184</v>
      </c>
      <c r="D1020" s="312" t="s">
        <v>183</v>
      </c>
      <c r="E1020" s="503">
        <v>254.89750000000001</v>
      </c>
      <c r="F1020" s="402">
        <f>IFERROR(E1020*'01 Prod Physique Boites'!H1014,"-")</f>
        <v>0</v>
      </c>
      <c r="G1020" s="403">
        <f>IFERROR(E1020*'01 Prod Physique Boites'!L1014,"-")</f>
        <v>0</v>
      </c>
      <c r="H1020" s="385"/>
      <c r="I1020" s="421">
        <f>IFERROR(H1020*(F1020/E1020),"-")</f>
        <v>0</v>
      </c>
      <c r="J1020" s="422">
        <f t="shared" si="578"/>
        <v>0</v>
      </c>
    </row>
    <row r="1021" spans="1:10" ht="24.75" thickBot="1" x14ac:dyDescent="0.3">
      <c r="A1021" s="274" t="s">
        <v>102</v>
      </c>
      <c r="B1021" s="950"/>
      <c r="C1021" s="313" t="s">
        <v>36</v>
      </c>
      <c r="D1021" s="313"/>
      <c r="E1021" s="500">
        <v>229.99359999999999</v>
      </c>
      <c r="F1021" s="402">
        <f>IFERROR(E1021*'01 Prod Physique Boites'!H1015,"-")</f>
        <v>0</v>
      </c>
      <c r="G1021" s="403">
        <f>IFERROR(E1021*'01 Prod Physique Boites'!L1015,"-")</f>
        <v>0</v>
      </c>
      <c r="H1021" s="387"/>
      <c r="I1021" s="423">
        <f>IFERROR(H1021*(F1021/E1021),"-")</f>
        <v>0</v>
      </c>
      <c r="J1021" s="424">
        <f t="shared" si="578"/>
        <v>0</v>
      </c>
    </row>
    <row r="1022" spans="1:10" ht="23.25" thickBot="1" x14ac:dyDescent="0.3">
      <c r="A1022" s="274" t="s">
        <v>102</v>
      </c>
      <c r="B1022" s="946" t="s">
        <v>37</v>
      </c>
      <c r="C1022" s="947"/>
      <c r="D1022" s="948"/>
      <c r="E1022" s="390"/>
      <c r="F1022" s="406">
        <f t="shared" ref="F1022:G1022" si="579">SUM(F1018:F1021)</f>
        <v>0</v>
      </c>
      <c r="G1022" s="407">
        <f t="shared" si="579"/>
        <v>0</v>
      </c>
      <c r="H1022" s="391"/>
      <c r="I1022" s="406">
        <f>SUM(I1018:I1021)</f>
        <v>0</v>
      </c>
      <c r="J1022" s="425">
        <f>SUM(J1018:J1021)</f>
        <v>0</v>
      </c>
    </row>
    <row r="1023" spans="1:10" ht="24" x14ac:dyDescent="0.25">
      <c r="A1023" s="274" t="s">
        <v>102</v>
      </c>
      <c r="B1023" s="949" t="s">
        <v>402</v>
      </c>
      <c r="C1023" s="314" t="s">
        <v>116</v>
      </c>
      <c r="D1023" s="314"/>
      <c r="E1023" s="502">
        <v>195.2808</v>
      </c>
      <c r="F1023" s="402">
        <f>IFERROR(E1023*'01 Prod Physique Boites'!H1017,"-")</f>
        <v>0</v>
      </c>
      <c r="G1023" s="403">
        <f>IFERROR(E1023*'01 Prod Physique Boites'!L1017,"-")</f>
        <v>0</v>
      </c>
      <c r="H1023" s="681">
        <v>256.7</v>
      </c>
      <c r="I1023" s="419">
        <f>IFERROR(H1023*(F1023/E1023),"-")</f>
        <v>0</v>
      </c>
      <c r="J1023" s="420">
        <f t="shared" ref="J1023:J1024" si="580">IFERROR(H1023*(G1023/E1023),"-")</f>
        <v>0</v>
      </c>
    </row>
    <row r="1024" spans="1:10" ht="24.75" thickBot="1" x14ac:dyDescent="0.3">
      <c r="A1024" s="274" t="s">
        <v>102</v>
      </c>
      <c r="B1024" s="950"/>
      <c r="C1024" s="286" t="s">
        <v>132</v>
      </c>
      <c r="D1024" s="286"/>
      <c r="E1024" s="500">
        <v>189.91890000000001</v>
      </c>
      <c r="F1024" s="402">
        <f>IFERROR(E1024*'01 Prod Physique Boites'!H1018,"-")</f>
        <v>607740.48</v>
      </c>
      <c r="G1024" s="403">
        <f>IFERROR(E1024*'01 Prod Physique Boites'!L1018,"-")</f>
        <v>3663535.5810000002</v>
      </c>
      <c r="H1024" s="387">
        <v>320.35000000000002</v>
      </c>
      <c r="I1024" s="423">
        <f>IFERROR(H1024*(F1024/E1024),"-")</f>
        <v>1025119.9999999999</v>
      </c>
      <c r="J1024" s="424">
        <f t="shared" si="580"/>
        <v>6179551.5</v>
      </c>
    </row>
    <row r="1025" spans="1:10" ht="23.25" thickBot="1" x14ac:dyDescent="0.3">
      <c r="A1025" s="868" t="s">
        <v>102</v>
      </c>
      <c r="B1025" s="946" t="s">
        <v>38</v>
      </c>
      <c r="C1025" s="947"/>
      <c r="D1025" s="948"/>
      <c r="E1025" s="390"/>
      <c r="F1025" s="406">
        <f>SUM(F1023:F1024)</f>
        <v>607740.48</v>
      </c>
      <c r="G1025" s="407">
        <f t="shared" ref="G1025" si="581">SUM(G1023:G1024)</f>
        <v>3663535.5810000002</v>
      </c>
      <c r="H1025" s="391"/>
      <c r="I1025" s="406">
        <f t="shared" ref="I1025:J1025" si="582">SUM(I1023:I1024)</f>
        <v>1025119.9999999999</v>
      </c>
      <c r="J1025" s="425">
        <f t="shared" si="582"/>
        <v>6179551.5</v>
      </c>
    </row>
    <row r="1026" spans="1:10" ht="24" x14ac:dyDescent="0.25">
      <c r="A1026" s="274" t="s">
        <v>102</v>
      </c>
      <c r="B1026" s="949" t="s">
        <v>403</v>
      </c>
      <c r="C1026" s="269" t="s">
        <v>306</v>
      </c>
      <c r="D1026" s="269" t="s">
        <v>238</v>
      </c>
      <c r="E1026" s="504">
        <v>37.248699999999999</v>
      </c>
      <c r="F1026" s="402">
        <f>IFERROR(E1026*'01 Prod Physique Boites'!H1020,"-")</f>
        <v>1672615.6247999999</v>
      </c>
      <c r="G1026" s="403">
        <f>IFERROR(E1026*'01 Prod Physique Boites'!L1020,"-")</f>
        <v>7665335.4755999995</v>
      </c>
      <c r="H1026" s="381">
        <v>71.44</v>
      </c>
      <c r="I1026" s="419">
        <f>IFERROR(H1026*(F1026/E1026),"-")</f>
        <v>3207941.76</v>
      </c>
      <c r="J1026" s="420">
        <f>IFERROR(H1026*(G1026/E1026),"-")</f>
        <v>14701494.719999999</v>
      </c>
    </row>
    <row r="1027" spans="1:10" ht="24" x14ac:dyDescent="0.25">
      <c r="A1027" s="274" t="s">
        <v>102</v>
      </c>
      <c r="B1027" s="951"/>
      <c r="C1027" s="269" t="s">
        <v>156</v>
      </c>
      <c r="D1027" s="275"/>
      <c r="E1027" s="504">
        <v>37.248699999999999</v>
      </c>
      <c r="F1027" s="402">
        <f>IFERROR(E1027*'01 Prod Physique Boites'!H1021,"-")</f>
        <v>0</v>
      </c>
      <c r="G1027" s="403">
        <f>IFERROR(E1027*'01 Prod Physique Boites'!L1021,"-")</f>
        <v>0</v>
      </c>
      <c r="H1027" s="385"/>
      <c r="I1027" s="421">
        <f>IFERROR(H1027*(F1027/E1027),"-")</f>
        <v>0</v>
      </c>
      <c r="J1027" s="422">
        <f t="shared" ref="J1027:J1029" si="583">IFERROR(H1027*(G1027/E1027),"-")</f>
        <v>0</v>
      </c>
    </row>
    <row r="1028" spans="1:10" ht="24" x14ac:dyDescent="0.25">
      <c r="A1028" s="274" t="s">
        <v>102</v>
      </c>
      <c r="B1028" s="951"/>
      <c r="C1028" s="275" t="s">
        <v>345</v>
      </c>
      <c r="D1028" s="269" t="s">
        <v>238</v>
      </c>
      <c r="E1028" s="504">
        <v>37.248699999999999</v>
      </c>
      <c r="F1028" s="402">
        <f>IFERROR(E1028*'01 Prod Physique Boites'!H1022,"-")</f>
        <v>0</v>
      </c>
      <c r="G1028" s="403">
        <f>IFERROR(E1028*'01 Prod Physique Boites'!L1022,"-")</f>
        <v>1826378.2583999999</v>
      </c>
      <c r="H1028" s="385">
        <v>71.44</v>
      </c>
      <c r="I1028" s="421">
        <f>IFERROR(H1028*(F1028/E1028),"-")</f>
        <v>0</v>
      </c>
      <c r="J1028" s="422">
        <f t="shared" si="583"/>
        <v>3502846.08</v>
      </c>
    </row>
    <row r="1029" spans="1:10" ht="24.75" thickBot="1" x14ac:dyDescent="0.3">
      <c r="A1029" s="274" t="s">
        <v>102</v>
      </c>
      <c r="B1029" s="951"/>
      <c r="C1029" s="275" t="s">
        <v>157</v>
      </c>
      <c r="D1029" s="275"/>
      <c r="E1029" s="505">
        <v>38.466099999999997</v>
      </c>
      <c r="F1029" s="402">
        <f>IFERROR(E1029*'01 Prod Physique Boites'!H1023,"-")</f>
        <v>0</v>
      </c>
      <c r="G1029" s="403">
        <f>IFERROR(E1029*'01 Prod Physique Boites'!L1023,"-")</f>
        <v>0</v>
      </c>
      <c r="H1029" s="385"/>
      <c r="I1029" s="421">
        <f>IFERROR(H1029*(F1029/E1029),"-")</f>
        <v>0</v>
      </c>
      <c r="J1029" s="422">
        <f t="shared" si="583"/>
        <v>0</v>
      </c>
    </row>
    <row r="1030" spans="1:10" ht="23.25" thickBot="1" x14ac:dyDescent="0.3">
      <c r="A1030" s="274" t="s">
        <v>102</v>
      </c>
      <c r="B1030" s="946" t="s">
        <v>39</v>
      </c>
      <c r="C1030" s="947"/>
      <c r="D1030" s="948"/>
      <c r="E1030" s="390"/>
      <c r="F1030" s="406">
        <f>SUM(F1026:F1029)</f>
        <v>1672615.6247999999</v>
      </c>
      <c r="G1030" s="407">
        <f>SUM(G1026:G1029)</f>
        <v>9491713.7339999992</v>
      </c>
      <c r="H1030" s="391"/>
      <c r="I1030" s="406">
        <f>SUM(I1026:I1029)</f>
        <v>3207941.76</v>
      </c>
      <c r="J1030" s="406">
        <f>SUM(J1026:J1029)</f>
        <v>18204340.799999997</v>
      </c>
    </row>
    <row r="1031" spans="1:10" ht="24" x14ac:dyDescent="0.25">
      <c r="A1031" s="274" t="s">
        <v>102</v>
      </c>
      <c r="B1031" s="949" t="s">
        <v>40</v>
      </c>
      <c r="C1031" s="269" t="s">
        <v>186</v>
      </c>
      <c r="D1031" s="269" t="s">
        <v>183</v>
      </c>
      <c r="E1031" s="504">
        <v>30.7499</v>
      </c>
      <c r="F1031" s="402">
        <f>IFERROR(E1031*'01 Prod Physique Boites'!H1026,"-")</f>
        <v>0</v>
      </c>
      <c r="G1031" s="402">
        <f>IFERROR(E1031*'01 Prod Physique Boites'!L1026,"-")</f>
        <v>0</v>
      </c>
      <c r="H1031" s="381"/>
      <c r="I1031" s="419">
        <f>IFERROR(H1031*(F1031/E1031),"-")</f>
        <v>0</v>
      </c>
      <c r="J1031" s="420">
        <f>IFERROR(H1031*(G1031/E1031),"-")</f>
        <v>0</v>
      </c>
    </row>
    <row r="1032" spans="1:10" ht="24" x14ac:dyDescent="0.25">
      <c r="A1032" s="274" t="s">
        <v>102</v>
      </c>
      <c r="B1032" s="951"/>
      <c r="C1032" s="275" t="s">
        <v>159</v>
      </c>
      <c r="D1032" s="275"/>
      <c r="E1032" s="684">
        <v>30.073599999999999</v>
      </c>
      <c r="F1032" s="402">
        <f>IFERROR(E1032*'01 Prod Physique Boites'!H1027,"-")</f>
        <v>0</v>
      </c>
      <c r="G1032" s="403">
        <f>IFERROR(E1032*'01 Prod Physique Boites'!L1027,"-")</f>
        <v>342839.03999999998</v>
      </c>
      <c r="H1032" s="385">
        <v>59.96</v>
      </c>
      <c r="I1032" s="421">
        <f>IFERROR(H1032*(F1032/E1032),"-")</f>
        <v>0</v>
      </c>
      <c r="J1032" s="422">
        <f t="shared" ref="J1032:J1033" si="584">IFERROR(H1032*(G1032/E1032),"-")</f>
        <v>683544</v>
      </c>
    </row>
    <row r="1033" spans="1:10" ht="24.75" thickBot="1" x14ac:dyDescent="0.3">
      <c r="A1033" s="274" t="s">
        <v>102</v>
      </c>
      <c r="B1033" s="950"/>
      <c r="C1033" s="279" t="s">
        <v>186</v>
      </c>
      <c r="D1033" s="279" t="s">
        <v>185</v>
      </c>
      <c r="E1033" s="501">
        <v>30.073599999999999</v>
      </c>
      <c r="F1033" s="402">
        <f>IFERROR(E1033*'01 Prod Physique Boites'!H1028,"-")</f>
        <v>0</v>
      </c>
      <c r="G1033" s="403">
        <f>IFERROR(E1033*'01 Prod Physique Boites'!L1028,"-")</f>
        <v>0</v>
      </c>
      <c r="H1033" s="387"/>
      <c r="I1033" s="423">
        <f>IFERROR(H1033*(F1033/E1033),"-")</f>
        <v>0</v>
      </c>
      <c r="J1033" s="424">
        <f t="shared" si="584"/>
        <v>0</v>
      </c>
    </row>
    <row r="1034" spans="1:10" ht="23.25" thickBot="1" x14ac:dyDescent="0.3">
      <c r="A1034" s="274" t="s">
        <v>102</v>
      </c>
      <c r="B1034" s="952" t="s">
        <v>41</v>
      </c>
      <c r="C1034" s="953"/>
      <c r="D1034" s="954"/>
      <c r="E1034" s="390"/>
      <c r="F1034" s="406">
        <f t="shared" ref="F1034:G1034" si="585">SUM(F1031:F1033)</f>
        <v>0</v>
      </c>
      <c r="G1034" s="407">
        <f t="shared" si="585"/>
        <v>342839.03999999998</v>
      </c>
      <c r="H1034" s="391"/>
      <c r="I1034" s="406">
        <f t="shared" ref="I1034:J1034" si="586">SUM(I1031:I1033)</f>
        <v>0</v>
      </c>
      <c r="J1034" s="425">
        <f t="shared" si="586"/>
        <v>683544</v>
      </c>
    </row>
    <row r="1035" spans="1:10" ht="24" x14ac:dyDescent="0.25">
      <c r="A1035" s="274" t="s">
        <v>102</v>
      </c>
      <c r="B1035" s="949" t="s">
        <v>42</v>
      </c>
      <c r="C1035" s="269" t="s">
        <v>160</v>
      </c>
      <c r="D1035" s="269"/>
      <c r="E1035" s="504">
        <v>36.684899999999999</v>
      </c>
      <c r="F1035" s="402">
        <f>IFERROR(E1035*'01 Prod Physique Boites'!H1030,"-")</f>
        <v>0</v>
      </c>
      <c r="G1035" s="402">
        <f>IFERROR(E1035*'01 Prod Physique Boites'!L1030,"-")</f>
        <v>0</v>
      </c>
      <c r="H1035" s="381"/>
      <c r="I1035" s="382" t="s">
        <v>190</v>
      </c>
      <c r="J1035" s="383" t="s">
        <v>190</v>
      </c>
    </row>
    <row r="1036" spans="1:10" ht="24.75" thickBot="1" x14ac:dyDescent="0.3">
      <c r="A1036" s="274" t="s">
        <v>102</v>
      </c>
      <c r="B1036" s="950"/>
      <c r="C1036" s="279" t="s">
        <v>161</v>
      </c>
      <c r="D1036" s="279"/>
      <c r="E1036" s="501">
        <v>37.002800000000001</v>
      </c>
      <c r="F1036" s="402">
        <f>IFERROR(E1036*'01 Prod Physique Boites'!H1031,"-")</f>
        <v>0</v>
      </c>
      <c r="G1036" s="402">
        <f>IFERROR(E1036*'01 Prod Physique Boites'!L1031,"-")</f>
        <v>0</v>
      </c>
      <c r="H1036" s="387"/>
      <c r="I1036" s="388" t="s">
        <v>190</v>
      </c>
      <c r="J1036" s="389" t="s">
        <v>190</v>
      </c>
    </row>
    <row r="1037" spans="1:10" ht="23.25" thickBot="1" x14ac:dyDescent="0.3">
      <c r="A1037" s="274" t="s">
        <v>102</v>
      </c>
      <c r="B1037" s="952" t="s">
        <v>43</v>
      </c>
      <c r="C1037" s="953"/>
      <c r="D1037" s="954"/>
      <c r="E1037" s="390"/>
      <c r="F1037" s="402">
        <f>IFERROR(E1037*'01 Prod Physique Boites'!H1031,"-")</f>
        <v>0</v>
      </c>
      <c r="G1037" s="407">
        <f>IFERROR(E1037*'01 Prod Physique Boites'!L1031,"-")</f>
        <v>0</v>
      </c>
      <c r="H1037" s="391"/>
      <c r="I1037" s="406">
        <f t="shared" ref="I1037:J1037" si="587">SUM(I1035:I1036)</f>
        <v>0</v>
      </c>
      <c r="J1037" s="425">
        <f t="shared" si="587"/>
        <v>0</v>
      </c>
    </row>
    <row r="1038" spans="1:10" ht="23.25" thickBot="1" x14ac:dyDescent="0.3">
      <c r="A1038" s="274" t="s">
        <v>102</v>
      </c>
      <c r="B1038" s="938" t="s">
        <v>25</v>
      </c>
      <c r="C1038" s="939"/>
      <c r="D1038" s="940"/>
      <c r="E1038" s="393"/>
      <c r="F1038" s="410">
        <f>+F1017+F1022+F1025+F1030+F1034+F1037</f>
        <v>2366389.4558999999</v>
      </c>
      <c r="G1038" s="411">
        <f>+G1017+G1022+G1025+G1030+G1034+G1037</f>
        <v>15753444.026099999</v>
      </c>
      <c r="H1038" s="394"/>
      <c r="I1038" s="410">
        <f>+I1017+I1022+I1025+I1030+I1034+I1037</f>
        <v>4383138.74</v>
      </c>
      <c r="J1038" s="428">
        <f>+J1017+J1022+J1025+J1030+J1034+J1037</f>
        <v>29001689.279999997</v>
      </c>
    </row>
    <row r="1039" spans="1:10" ht="23.25" thickBot="1" x14ac:dyDescent="0.3">
      <c r="A1039" s="318" t="s">
        <v>102</v>
      </c>
      <c r="B1039" s="941" t="s">
        <v>173</v>
      </c>
      <c r="C1039" s="941"/>
      <c r="D1039" s="942"/>
      <c r="E1039" s="395"/>
      <c r="F1039" s="412">
        <f t="shared" ref="F1039:G1039" si="588">+F1038</f>
        <v>2366389.4558999999</v>
      </c>
      <c r="G1039" s="413">
        <f t="shared" si="588"/>
        <v>15753444.026099999</v>
      </c>
      <c r="H1039" s="396"/>
      <c r="I1039" s="412">
        <f t="shared" ref="I1039" si="589">+I1038</f>
        <v>4383138.74</v>
      </c>
      <c r="J1039" s="429">
        <f>+J1038</f>
        <v>29001689.279999997</v>
      </c>
    </row>
    <row r="1040" spans="1:10" ht="26.25" thickBot="1" x14ac:dyDescent="0.3">
      <c r="A1040" s="319"/>
      <c r="B1040" s="943" t="s">
        <v>174</v>
      </c>
      <c r="C1040" s="944"/>
      <c r="D1040" s="945"/>
      <c r="E1040" s="401"/>
      <c r="F1040" s="418">
        <f>+F978+F1013+F1039</f>
        <v>6407759.7566999998</v>
      </c>
      <c r="G1040" s="418">
        <f>+G978+G1013+G1039</f>
        <v>56060687.435299993</v>
      </c>
      <c r="H1040" s="401"/>
      <c r="I1040" s="418">
        <f>+I978+I1013+I1039</f>
        <v>10217028.74</v>
      </c>
      <c r="J1040" s="432">
        <f>+J978+J1013+J1039</f>
        <v>77467023.680000007</v>
      </c>
    </row>
    <row r="1041" spans="1:15" ht="22.5" x14ac:dyDescent="0.25">
      <c r="A1041" s="978" t="s">
        <v>1</v>
      </c>
      <c r="B1041" s="981" t="s">
        <v>2</v>
      </c>
      <c r="C1041" s="984" t="s">
        <v>396</v>
      </c>
      <c r="D1041" s="984" t="s">
        <v>397</v>
      </c>
      <c r="E1041" s="1011" t="s">
        <v>405</v>
      </c>
      <c r="F1041" s="1012"/>
      <c r="G1041" s="1012"/>
      <c r="H1041" s="442"/>
      <c r="I1041" s="442"/>
      <c r="J1041" s="443"/>
    </row>
    <row r="1042" spans="1:15" ht="22.5" x14ac:dyDescent="0.25">
      <c r="A1042" s="979"/>
      <c r="B1042" s="982"/>
      <c r="C1042" s="985"/>
      <c r="D1042" s="985"/>
      <c r="E1042" s="1013" t="s">
        <v>408</v>
      </c>
      <c r="F1042" s="1014"/>
      <c r="G1042" s="1015"/>
      <c r="H1042" s="1013" t="s">
        <v>168</v>
      </c>
      <c r="I1042" s="1014"/>
      <c r="J1042" s="1015"/>
    </row>
    <row r="1043" spans="1:15" ht="45" x14ac:dyDescent="0.25">
      <c r="A1043" s="980"/>
      <c r="B1043" s="1009"/>
      <c r="C1043" s="1010"/>
      <c r="D1043" s="1010"/>
      <c r="E1043" s="379" t="s">
        <v>170</v>
      </c>
      <c r="F1043" s="890" t="s">
        <v>407</v>
      </c>
      <c r="G1043" s="891" t="s">
        <v>406</v>
      </c>
      <c r="H1043" s="1016" t="s">
        <v>170</v>
      </c>
      <c r="I1043" s="1018" t="s">
        <v>137</v>
      </c>
      <c r="J1043" s="1020" t="s">
        <v>406</v>
      </c>
    </row>
    <row r="1044" spans="1:15" ht="23.25" thickBot="1" x14ac:dyDescent="0.3">
      <c r="A1044" s="980"/>
      <c r="B1044" s="983"/>
      <c r="C1044" s="986"/>
      <c r="D1044" s="986"/>
      <c r="E1044" s="1022" t="s">
        <v>542</v>
      </c>
      <c r="F1044" s="1023"/>
      <c r="G1044" s="1024"/>
      <c r="H1044" s="1017"/>
      <c r="I1044" s="1019"/>
      <c r="J1044" s="1021"/>
    </row>
    <row r="1045" spans="1:15" ht="24" x14ac:dyDescent="0.25">
      <c r="A1045" s="268" t="s">
        <v>103</v>
      </c>
      <c r="B1045" s="965" t="s">
        <v>16</v>
      </c>
      <c r="C1045" s="269" t="s">
        <v>368</v>
      </c>
      <c r="D1045" s="269" t="s">
        <v>369</v>
      </c>
      <c r="E1045" s="705">
        <v>81.360699999999994</v>
      </c>
      <c r="F1045" s="402">
        <f>IFERROR(E1045*'01 Prod Physique Boites'!H1039,"-")</f>
        <v>182247.96799999999</v>
      </c>
      <c r="G1045" s="402">
        <f>IFERROR(E1045*'01 Prod Physique Boites'!L1039,"-")</f>
        <v>182247.96799999999</v>
      </c>
      <c r="H1045" s="706">
        <v>143.28</v>
      </c>
      <c r="I1045" s="419">
        <f>IFERROR(H1045*(F1045/E1045),"-")</f>
        <v>320947.20000000001</v>
      </c>
      <c r="J1045" s="420">
        <f t="shared" ref="J1045:J1047" si="590">IFERROR(H1045*(G1045/E1045),"-")</f>
        <v>320947.20000000001</v>
      </c>
    </row>
    <row r="1046" spans="1:15" ht="24" x14ac:dyDescent="0.25">
      <c r="A1046" s="713"/>
      <c r="B1046" s="966"/>
      <c r="C1046" s="275" t="s">
        <v>470</v>
      </c>
      <c r="D1046" s="275" t="s">
        <v>375</v>
      </c>
      <c r="E1046" s="505">
        <v>81.360699999999994</v>
      </c>
      <c r="F1046" s="402">
        <f>IFERROR(E1046*'01 Prod Physique Boites'!H1040,"-")</f>
        <v>0</v>
      </c>
      <c r="G1046" s="402">
        <f>IFERROR(E1046*'01 Prod Physique Boites'!L1040,"-")</f>
        <v>0</v>
      </c>
      <c r="H1046" s="708">
        <v>143.28</v>
      </c>
      <c r="I1046" s="419">
        <f>IFERROR(H1046*(F1046/E1046),"-")</f>
        <v>0</v>
      </c>
      <c r="J1046" s="420">
        <f t="shared" si="590"/>
        <v>0</v>
      </c>
    </row>
    <row r="1047" spans="1:15" ht="24" x14ac:dyDescent="0.25">
      <c r="A1047" s="274" t="s">
        <v>103</v>
      </c>
      <c r="B1047" s="966"/>
      <c r="C1047" s="275" t="s">
        <v>430</v>
      </c>
      <c r="D1047" s="275" t="s">
        <v>384</v>
      </c>
      <c r="E1047" s="684">
        <v>77.170400000000001</v>
      </c>
      <c r="F1047" s="402">
        <f>IFERROR(E1047*'01 Prod Physique Boites'!H1041,"-")</f>
        <v>0</v>
      </c>
      <c r="G1047" s="402">
        <f>IFERROR(E1047*'01 Prod Physique Boites'!L1041,"-")</f>
        <v>617363.19999999995</v>
      </c>
      <c r="H1047" s="385">
        <v>0</v>
      </c>
      <c r="I1047" s="419">
        <f>IFERROR(H1047*(F1047/E1047),"-")</f>
        <v>0</v>
      </c>
      <c r="J1047" s="420">
        <f t="shared" si="590"/>
        <v>0</v>
      </c>
    </row>
    <row r="1048" spans="1:15" ht="24.75" thickBot="1" x14ac:dyDescent="0.3">
      <c r="A1048" s="274" t="s">
        <v>103</v>
      </c>
      <c r="B1048" s="967"/>
      <c r="C1048" s="279" t="s">
        <v>262</v>
      </c>
      <c r="D1048" s="279" t="s">
        <v>231</v>
      </c>
      <c r="E1048" s="501">
        <v>60.703499999999998</v>
      </c>
      <c r="F1048" s="402">
        <f>IFERROR(E1048*'01 Prod Physique Boites'!H1042,"-")</f>
        <v>0</v>
      </c>
      <c r="G1048" s="402">
        <f>IFERROR(E1048*'01 Prod Physique Boites'!L1042,"-")</f>
        <v>0</v>
      </c>
      <c r="H1048" s="387">
        <v>111.09</v>
      </c>
      <c r="I1048" s="419">
        <f>IFERROR(H1048*(F1048/E1048),"-")</f>
        <v>0</v>
      </c>
      <c r="J1048" s="420">
        <f>IFERROR(H1048*(G1048/E1048),"-")</f>
        <v>0</v>
      </c>
    </row>
    <row r="1049" spans="1:15" ht="23.25" thickBot="1" x14ac:dyDescent="0.3">
      <c r="A1049" s="274" t="s">
        <v>103</v>
      </c>
      <c r="B1049" s="946" t="s">
        <v>44</v>
      </c>
      <c r="C1049" s="947"/>
      <c r="D1049" s="948"/>
      <c r="E1049" s="390"/>
      <c r="F1049" s="406">
        <f t="shared" ref="F1049" si="591">SUM(F1045:F1048)</f>
        <v>182247.96799999999</v>
      </c>
      <c r="G1049" s="407">
        <f>SUM(G1045:G1048)</f>
        <v>799611.16799999995</v>
      </c>
      <c r="H1049" s="391"/>
      <c r="I1049" s="406">
        <f t="shared" ref="I1049:J1049" si="592">SUM(I1045:I1048)</f>
        <v>320947.20000000001</v>
      </c>
      <c r="J1049" s="425">
        <f t="shared" si="592"/>
        <v>320947.20000000001</v>
      </c>
      <c r="K1049" s="704"/>
      <c r="L1049" s="704"/>
      <c r="M1049" s="704"/>
      <c r="N1049" s="704"/>
      <c r="O1049" s="704"/>
    </row>
    <row r="1050" spans="1:15" ht="24" x14ac:dyDescent="0.25">
      <c r="A1050" s="274" t="s">
        <v>103</v>
      </c>
      <c r="B1050" s="965" t="s">
        <v>17</v>
      </c>
      <c r="C1050" s="269" t="s">
        <v>294</v>
      </c>
      <c r="D1050" s="269"/>
      <c r="E1050" s="504">
        <v>12.5275</v>
      </c>
      <c r="F1050" s="402">
        <f>IFERROR(E1050*'01 Prod Physique Boites'!H1044,"-")</f>
        <v>0</v>
      </c>
      <c r="G1050" s="402">
        <f>IFERROR(E1050*'01 Prod Physique Boites'!L1044,"-")</f>
        <v>0</v>
      </c>
      <c r="H1050" s="681">
        <v>18.836400000000001</v>
      </c>
      <c r="I1050" s="419">
        <f t="shared" ref="I1050:I1056" si="593">IFERROR(H1050*(F1050/E1050),"-")</f>
        <v>0</v>
      </c>
      <c r="J1050" s="420">
        <f t="shared" ref="J1050:J1055" si="594">IFERROR(H1050*(G1050/E1050),"-")</f>
        <v>0</v>
      </c>
    </row>
    <row r="1051" spans="1:15" ht="24" x14ac:dyDescent="0.25">
      <c r="A1051" s="274" t="s">
        <v>103</v>
      </c>
      <c r="B1051" s="966"/>
      <c r="C1051" s="275" t="s">
        <v>344</v>
      </c>
      <c r="D1051" s="275" t="s">
        <v>232</v>
      </c>
      <c r="E1051" s="677">
        <v>13.002700000000001</v>
      </c>
      <c r="F1051" s="402">
        <f>IFERROR(E1051*'01 Prod Physique Boites'!H1045,"-")</f>
        <v>0</v>
      </c>
      <c r="G1051" s="402">
        <f>IFERROR(E1051*'01 Prod Physique Boites'!L1045,"-")</f>
        <v>77756.146000000008</v>
      </c>
      <c r="H1051" s="385">
        <v>21.18</v>
      </c>
      <c r="I1051" s="421">
        <f t="shared" si="593"/>
        <v>0</v>
      </c>
      <c r="J1051" s="422">
        <f t="shared" si="594"/>
        <v>126656.4</v>
      </c>
    </row>
    <row r="1052" spans="1:15" ht="24" x14ac:dyDescent="0.25">
      <c r="A1052" s="274" t="s">
        <v>103</v>
      </c>
      <c r="B1052" s="966"/>
      <c r="C1052" s="275" t="s">
        <v>351</v>
      </c>
      <c r="D1052" s="275" t="s">
        <v>187</v>
      </c>
      <c r="E1052" s="677">
        <v>12.9049</v>
      </c>
      <c r="F1052" s="402">
        <f>IFERROR(E1052*'01 Prod Physique Boites'!H1046,"-")</f>
        <v>1500581.7719999999</v>
      </c>
      <c r="G1052" s="402">
        <f>IFERROR(E1052*'01 Prod Physique Boites'!L1046,"-")</f>
        <v>9714292.5240000002</v>
      </c>
      <c r="H1052" s="385">
        <v>20.5</v>
      </c>
      <c r="I1052" s="421">
        <f t="shared" si="593"/>
        <v>2383740</v>
      </c>
      <c r="J1052" s="422">
        <f t="shared" si="594"/>
        <v>15431580</v>
      </c>
    </row>
    <row r="1053" spans="1:15" ht="24" x14ac:dyDescent="0.25">
      <c r="A1053" s="274" t="s">
        <v>103</v>
      </c>
      <c r="B1053" s="966"/>
      <c r="C1053" s="275" t="s">
        <v>530</v>
      </c>
      <c r="D1053" s="275" t="s">
        <v>529</v>
      </c>
      <c r="E1053" s="505">
        <v>13.1958</v>
      </c>
      <c r="F1053" s="402">
        <f>IFERROR(E1053*'01 Prod Physique Boites'!H1047,"-")</f>
        <v>0</v>
      </c>
      <c r="G1053" s="402">
        <f>IFERROR(E1053*'01 Prod Physique Boites'!L1047,"-")</f>
        <v>545646.32999999996</v>
      </c>
      <c r="H1053" s="708">
        <v>21.28</v>
      </c>
      <c r="I1053" s="421">
        <f t="shared" si="593"/>
        <v>0</v>
      </c>
      <c r="J1053" s="422">
        <f t="shared" si="594"/>
        <v>879927.99999999988</v>
      </c>
    </row>
    <row r="1054" spans="1:15" ht="24" x14ac:dyDescent="0.25">
      <c r="A1054" s="274" t="s">
        <v>103</v>
      </c>
      <c r="B1054" s="966"/>
      <c r="C1054" s="275" t="s">
        <v>323</v>
      </c>
      <c r="D1054" s="275" t="s">
        <v>318</v>
      </c>
      <c r="E1054" s="505">
        <v>13.1958</v>
      </c>
      <c r="F1054" s="402">
        <f>IFERROR(E1054*'01 Prod Physique Boites'!H1048,"-")</f>
        <v>0</v>
      </c>
      <c r="G1054" s="402">
        <f>IFERROR(E1054*'01 Prod Physique Boites'!L1048,"-")</f>
        <v>0</v>
      </c>
      <c r="H1054" s="385">
        <v>21.28</v>
      </c>
      <c r="I1054" s="421">
        <f t="shared" si="593"/>
        <v>0</v>
      </c>
      <c r="J1054" s="422">
        <f t="shared" si="594"/>
        <v>0</v>
      </c>
    </row>
    <row r="1055" spans="1:15" ht="24" x14ac:dyDescent="0.25">
      <c r="A1055" s="274">
        <v>1</v>
      </c>
      <c r="B1055" s="966"/>
      <c r="C1055" s="275" t="s">
        <v>528</v>
      </c>
      <c r="D1055" s="275" t="s">
        <v>189</v>
      </c>
      <c r="E1055" s="677">
        <v>13.1958</v>
      </c>
      <c r="F1055" s="402">
        <f>IFERROR(E1055*'01 Prod Physique Boites'!H1049,"-")</f>
        <v>69964.131600000008</v>
      </c>
      <c r="G1055" s="402">
        <f>IFERROR(E1055*'01 Prod Physique Boites'!L1049,"-")</f>
        <v>445490.20799999998</v>
      </c>
      <c r="H1055" s="664">
        <v>21.28</v>
      </c>
      <c r="I1055" s="421">
        <f t="shared" si="593"/>
        <v>112826.56000000003</v>
      </c>
      <c r="J1055" s="422">
        <f t="shared" si="594"/>
        <v>718412.80000000005</v>
      </c>
    </row>
    <row r="1056" spans="1:15" ht="24.75" thickBot="1" x14ac:dyDescent="0.3">
      <c r="A1056" s="274" t="s">
        <v>103</v>
      </c>
      <c r="B1056" s="967"/>
      <c r="C1056" s="279" t="s">
        <v>341</v>
      </c>
      <c r="D1056" s="279" t="s">
        <v>175</v>
      </c>
      <c r="E1056" s="501">
        <v>13.6509</v>
      </c>
      <c r="F1056" s="402">
        <f>IFERROR(E1056*'01 Prod Physique Boites'!H1050,"-")</f>
        <v>0</v>
      </c>
      <c r="G1056" s="402">
        <f>IFERROR(E1056*'01 Prod Physique Boites'!L1050,"-")</f>
        <v>0</v>
      </c>
      <c r="H1056" s="387">
        <v>21.18</v>
      </c>
      <c r="I1056" s="423">
        <f t="shared" si="593"/>
        <v>0</v>
      </c>
      <c r="J1056" s="424">
        <f>IFERROR(H1056*(G1056/E1056),"-")</f>
        <v>0</v>
      </c>
    </row>
    <row r="1057" spans="1:15" ht="23.25" thickBot="1" x14ac:dyDescent="0.3">
      <c r="A1057" s="274" t="s">
        <v>103</v>
      </c>
      <c r="B1057" s="946" t="s">
        <v>45</v>
      </c>
      <c r="C1057" s="947"/>
      <c r="D1057" s="948"/>
      <c r="E1057" s="390"/>
      <c r="F1057" s="406">
        <f t="shared" ref="F1057" si="595">SUM(F1050:F1056)</f>
        <v>1570545.9035999998</v>
      </c>
      <c r="G1057" s="407">
        <f>SUM(G1050:G1056)</f>
        <v>10783185.208000001</v>
      </c>
      <c r="H1057" s="391"/>
      <c r="I1057" s="406">
        <f t="shared" ref="I1057" si="596">SUM(I1050:I1056)</f>
        <v>2496566.56</v>
      </c>
      <c r="J1057" s="425">
        <f>SUM(J1050:J1056)</f>
        <v>17156577.199999999</v>
      </c>
      <c r="K1057" s="704"/>
      <c r="L1057" s="704"/>
      <c r="M1057" s="704"/>
      <c r="N1057" s="704"/>
      <c r="O1057" s="704"/>
    </row>
    <row r="1058" spans="1:15" ht="24" x14ac:dyDescent="0.25">
      <c r="A1058" s="274" t="s">
        <v>103</v>
      </c>
      <c r="B1058" s="965" t="s">
        <v>18</v>
      </c>
      <c r="C1058" s="269" t="s">
        <v>312</v>
      </c>
      <c r="D1058" s="269" t="s">
        <v>92</v>
      </c>
      <c r="E1058" s="504">
        <v>17.8202</v>
      </c>
      <c r="F1058" s="402">
        <f>IFERROR(E1058*'01 Prod Physique Boites'!H1052,"-")</f>
        <v>0</v>
      </c>
      <c r="G1058" s="403">
        <f>IFERROR(E1058*'01 Prod Physique Boites'!L1052,"-")</f>
        <v>0</v>
      </c>
      <c r="H1058" s="381">
        <v>24.93</v>
      </c>
      <c r="I1058" s="419">
        <f t="shared" ref="I1058:I1064" si="597">IFERROR(H1058*(F1058/E1058),"-")</f>
        <v>0</v>
      </c>
      <c r="J1058" s="420">
        <f t="shared" ref="J1058:J1060" si="598">IFERROR(H1058*(G1058/E1058),"-")</f>
        <v>0</v>
      </c>
    </row>
    <row r="1059" spans="1:15" ht="24" x14ac:dyDescent="0.25">
      <c r="A1059" s="274" t="s">
        <v>103</v>
      </c>
      <c r="B1059" s="966"/>
      <c r="C1059" s="275" t="s">
        <v>130</v>
      </c>
      <c r="D1059" s="275"/>
      <c r="E1059" s="505">
        <v>17.8202</v>
      </c>
      <c r="F1059" s="402">
        <f>IFERROR(E1059*'01 Prod Physique Boites'!H1053,"-")</f>
        <v>0</v>
      </c>
      <c r="G1059" s="403">
        <f>IFERROR(E1059*'01 Prod Physique Boites'!L1053,"-")</f>
        <v>0</v>
      </c>
      <c r="H1059" s="385">
        <v>0</v>
      </c>
      <c r="I1059" s="421">
        <f t="shared" si="597"/>
        <v>0</v>
      </c>
      <c r="J1059" s="422">
        <f t="shared" si="598"/>
        <v>0</v>
      </c>
    </row>
    <row r="1060" spans="1:15" ht="24" x14ac:dyDescent="0.25">
      <c r="A1060" s="274" t="s">
        <v>103</v>
      </c>
      <c r="B1060" s="966"/>
      <c r="C1060" s="275" t="s">
        <v>115</v>
      </c>
      <c r="D1060" s="275"/>
      <c r="E1060" s="505">
        <v>16.4071</v>
      </c>
      <c r="F1060" s="402">
        <f>IFERROR(E1060*'01 Prod Physique Boites'!H1054,"-")</f>
        <v>0</v>
      </c>
      <c r="G1060" s="403">
        <f>IFERROR(E1060*'01 Prod Physique Boites'!L1054,"-")</f>
        <v>0</v>
      </c>
      <c r="H1060" s="385">
        <v>0</v>
      </c>
      <c r="I1060" s="421">
        <f t="shared" si="597"/>
        <v>0</v>
      </c>
      <c r="J1060" s="422">
        <f t="shared" si="598"/>
        <v>0</v>
      </c>
    </row>
    <row r="1061" spans="1:15" ht="24" x14ac:dyDescent="0.25">
      <c r="A1061" s="274" t="s">
        <v>103</v>
      </c>
      <c r="B1061" s="966"/>
      <c r="C1061" s="275" t="s">
        <v>122</v>
      </c>
      <c r="D1061" s="275"/>
      <c r="E1061" s="505">
        <v>17.8202</v>
      </c>
      <c r="F1061" s="402">
        <f>IFERROR(E1061*'01 Prod Physique Boites'!H1055,"-")</f>
        <v>0</v>
      </c>
      <c r="G1061" s="403">
        <f>IFERROR(E1061*'01 Prod Physique Boites'!L1055,"-")</f>
        <v>0</v>
      </c>
      <c r="H1061" s="385">
        <v>0</v>
      </c>
      <c r="I1061" s="421">
        <f t="shared" si="597"/>
        <v>0</v>
      </c>
      <c r="J1061" s="422">
        <f>IFERROR(H1061*(G1061/E1061),"-")</f>
        <v>0</v>
      </c>
    </row>
    <row r="1062" spans="1:15" ht="24" x14ac:dyDescent="0.25">
      <c r="A1062" s="274" t="s">
        <v>103</v>
      </c>
      <c r="B1062" s="966"/>
      <c r="C1062" s="275" t="s">
        <v>176</v>
      </c>
      <c r="D1062" s="275" t="s">
        <v>177</v>
      </c>
      <c r="E1062" s="505">
        <v>17.8202</v>
      </c>
      <c r="F1062" s="402">
        <f>IFERROR(E1062*'01 Prod Physique Boites'!H1056,"-")</f>
        <v>0</v>
      </c>
      <c r="G1062" s="403">
        <f>IFERROR(E1062*'01 Prod Physique Boites'!L1056,"-")</f>
        <v>0</v>
      </c>
      <c r="H1062" s="385">
        <v>0</v>
      </c>
      <c r="I1062" s="421">
        <f t="shared" si="597"/>
        <v>0</v>
      </c>
      <c r="J1062" s="422">
        <f t="shared" ref="J1062:J1064" si="599">IFERROR(H1062*(G1062/E1062),"-")</f>
        <v>0</v>
      </c>
    </row>
    <row r="1063" spans="1:15" ht="24" x14ac:dyDescent="0.25">
      <c r="A1063" s="274" t="s">
        <v>103</v>
      </c>
      <c r="B1063" s="966"/>
      <c r="C1063" s="275" t="s">
        <v>179</v>
      </c>
      <c r="D1063" s="275" t="s">
        <v>178</v>
      </c>
      <c r="E1063" s="505">
        <v>16.7288</v>
      </c>
      <c r="F1063" s="402">
        <f>IFERROR(E1063*'01 Prod Physique Boites'!H1057,"-")</f>
        <v>0</v>
      </c>
      <c r="G1063" s="403">
        <f>IFERROR(E1063*'01 Prod Physique Boites'!L1057,"-")</f>
        <v>0</v>
      </c>
      <c r="H1063" s="385">
        <v>0</v>
      </c>
      <c r="I1063" s="421">
        <f t="shared" si="597"/>
        <v>0</v>
      </c>
      <c r="J1063" s="422">
        <f t="shared" si="599"/>
        <v>0</v>
      </c>
    </row>
    <row r="1064" spans="1:15" ht="24.75" thickBot="1" x14ac:dyDescent="0.3">
      <c r="A1064" s="274" t="s">
        <v>103</v>
      </c>
      <c r="B1064" s="967"/>
      <c r="C1064" s="286" t="s">
        <v>180</v>
      </c>
      <c r="D1064" s="286" t="s">
        <v>107</v>
      </c>
      <c r="E1064" s="501">
        <v>17.8202</v>
      </c>
      <c r="F1064" s="402">
        <f>IFERROR(E1064*'01 Prod Physique Boites'!H1058,"-")</f>
        <v>0</v>
      </c>
      <c r="G1064" s="403">
        <f>IFERROR(E1064*'01 Prod Physique Boites'!L1058,"-")</f>
        <v>0</v>
      </c>
      <c r="H1064" s="385">
        <v>0</v>
      </c>
      <c r="I1064" s="423">
        <f t="shared" si="597"/>
        <v>0</v>
      </c>
      <c r="J1064" s="424">
        <f t="shared" si="599"/>
        <v>0</v>
      </c>
    </row>
    <row r="1065" spans="1:15" ht="23.25" thickBot="1" x14ac:dyDescent="0.3">
      <c r="A1065" s="274" t="s">
        <v>103</v>
      </c>
      <c r="B1065" s="946" t="s">
        <v>29</v>
      </c>
      <c r="C1065" s="970"/>
      <c r="D1065" s="971"/>
      <c r="E1065" s="841"/>
      <c r="F1065" s="649">
        <f t="shared" ref="F1065:G1065" si="600">SUM(F1058:F1064)</f>
        <v>0</v>
      </c>
      <c r="G1065" s="407">
        <f t="shared" si="600"/>
        <v>0</v>
      </c>
      <c r="H1065" s="391"/>
      <c r="I1065" s="406">
        <f t="shared" ref="I1065:J1065" si="601">SUM(I1058:I1064)</f>
        <v>0</v>
      </c>
      <c r="J1065" s="425">
        <f t="shared" si="601"/>
        <v>0</v>
      </c>
    </row>
    <row r="1066" spans="1:15" ht="24.75" thickBot="1" x14ac:dyDescent="0.3">
      <c r="A1066" s="274"/>
      <c r="B1066" s="972" t="s">
        <v>19</v>
      </c>
      <c r="C1066" s="669" t="s">
        <v>235</v>
      </c>
      <c r="D1066" s="669" t="s">
        <v>177</v>
      </c>
      <c r="E1066" s="914">
        <v>12.2659</v>
      </c>
      <c r="F1066" s="843">
        <f>IFERROR(E1066*'01 Prod Physique Boites'!H1060,"-")</f>
        <v>0</v>
      </c>
      <c r="G1066" s="659">
        <f>IFERROR(E1066*'01 Prod Physique Boites'!L1060,"-")</f>
        <v>0</v>
      </c>
      <c r="H1066" s="653">
        <v>14.79</v>
      </c>
      <c r="I1066" s="638">
        <f t="shared" ref="I1066:I1072" si="602">IFERROR(H1066*(F1066/E1066),"-")</f>
        <v>0</v>
      </c>
      <c r="J1066" s="638">
        <f>IFERROR(H1066*(G1066/E1066),"-")</f>
        <v>0</v>
      </c>
    </row>
    <row r="1067" spans="1:15" ht="24.75" thickBot="1" x14ac:dyDescent="0.3">
      <c r="A1067" s="274"/>
      <c r="B1067" s="973"/>
      <c r="C1067" s="840" t="s">
        <v>359</v>
      </c>
      <c r="D1067" s="840" t="s">
        <v>423</v>
      </c>
      <c r="E1067" s="911">
        <v>12.2659</v>
      </c>
      <c r="F1067" s="843">
        <f>IFERROR(E1067*'01 Prod Physique Boites'!H1061,"-")</f>
        <v>0</v>
      </c>
      <c r="G1067" s="659">
        <f>IFERROR(E1067*'01 Prod Physique Boites'!L1061,"-")</f>
        <v>7046317.9775999999</v>
      </c>
      <c r="H1067" s="654">
        <v>14.55</v>
      </c>
      <c r="I1067" s="643">
        <f t="shared" si="602"/>
        <v>0</v>
      </c>
      <c r="J1067" s="643">
        <f>IFERROR(H1067*(G1067/E1067),"-")</f>
        <v>8358451.2000000002</v>
      </c>
    </row>
    <row r="1068" spans="1:15" ht="24.75" thickBot="1" x14ac:dyDescent="0.3">
      <c r="A1068" s="274"/>
      <c r="B1068" s="973"/>
      <c r="C1068" s="840" t="s">
        <v>235</v>
      </c>
      <c r="D1068" s="840" t="s">
        <v>522</v>
      </c>
      <c r="E1068" s="911">
        <v>12.2659</v>
      </c>
      <c r="F1068" s="843">
        <f>IFERROR(E1068*'01 Prod Physique Boites'!H1062,"-")</f>
        <v>0</v>
      </c>
      <c r="G1068" s="659">
        <f>IFERROR(E1068*'01 Prod Physique Boites'!L1062,"-")</f>
        <v>2143686.8111999999</v>
      </c>
      <c r="H1068" s="860">
        <v>0</v>
      </c>
      <c r="I1068" s="643">
        <f t="shared" si="602"/>
        <v>0</v>
      </c>
      <c r="J1068" s="643">
        <f t="shared" ref="J1068:J1070" si="603">IFERROR(H1068*(G1068/E1068),"-")</f>
        <v>0</v>
      </c>
    </row>
    <row r="1069" spans="1:15" ht="24.75" thickBot="1" x14ac:dyDescent="0.3">
      <c r="A1069" s="274"/>
      <c r="B1069" s="973"/>
      <c r="C1069" s="840" t="s">
        <v>377</v>
      </c>
      <c r="D1069" s="840" t="s">
        <v>522</v>
      </c>
      <c r="E1069" s="911">
        <v>12.2659</v>
      </c>
      <c r="F1069" s="843">
        <f>IFERROR(E1069*'01 Prod Physique Boites'!H1063,"-")</f>
        <v>207244.6464</v>
      </c>
      <c r="G1069" s="659">
        <f>IFERROR(E1069*'01 Prod Physique Boites'!L1063,"-")</f>
        <v>3419536.6655999999</v>
      </c>
      <c r="H1069" s="860">
        <v>0</v>
      </c>
      <c r="I1069" s="643">
        <f t="shared" si="602"/>
        <v>0</v>
      </c>
      <c r="J1069" s="643">
        <f t="shared" si="603"/>
        <v>0</v>
      </c>
    </row>
    <row r="1070" spans="1:15" ht="24.75" thickBot="1" x14ac:dyDescent="0.3">
      <c r="A1070" s="274"/>
      <c r="B1070" s="973"/>
      <c r="C1070" s="840" t="s">
        <v>536</v>
      </c>
      <c r="D1070" s="840" t="s">
        <v>522</v>
      </c>
      <c r="E1070" s="911">
        <v>12.2659</v>
      </c>
      <c r="F1070" s="843">
        <f>IFERROR(E1070*'01 Prod Physique Boites'!H1064,"-")</f>
        <v>828978.58559999999</v>
      </c>
      <c r="G1070" s="659">
        <f>IFERROR(E1070*'01 Prod Physique Boites'!L1064,"-")</f>
        <v>932600.90879999998</v>
      </c>
      <c r="H1070" s="860">
        <v>0</v>
      </c>
      <c r="I1070" s="643">
        <f t="shared" si="602"/>
        <v>0</v>
      </c>
      <c r="J1070" s="643">
        <f t="shared" si="603"/>
        <v>0</v>
      </c>
    </row>
    <row r="1071" spans="1:15" ht="24.75" thickBot="1" x14ac:dyDescent="0.3">
      <c r="A1071" s="274"/>
      <c r="B1071" s="973"/>
      <c r="C1071" s="840"/>
      <c r="D1071" s="840"/>
      <c r="E1071" s="911">
        <v>12.2659</v>
      </c>
      <c r="F1071" s="843">
        <f>IFERROR(E1071*'01 Prod Physique Boites'!H1065,"-")</f>
        <v>0</v>
      </c>
      <c r="G1071" s="659">
        <f>IFERROR(E1071*'01 Prod Physique Boites'!L1065,"-")</f>
        <v>0</v>
      </c>
      <c r="H1071" s="910">
        <v>14.55</v>
      </c>
      <c r="I1071" s="643">
        <f t="shared" ref="I1071" si="604">IFERROR(H1071*(F1071/E1071),"-")</f>
        <v>0</v>
      </c>
      <c r="J1071" s="643">
        <f t="shared" ref="J1071" si="605">IFERROR(H1071*(G1071/E1071),"-")</f>
        <v>0</v>
      </c>
    </row>
    <row r="1072" spans="1:15" ht="24.75" thickBot="1" x14ac:dyDescent="0.3">
      <c r="A1072" s="892" t="s">
        <v>103</v>
      </c>
      <c r="B1072" s="974"/>
      <c r="C1072" s="670" t="s">
        <v>342</v>
      </c>
      <c r="D1072" s="670"/>
      <c r="E1072" s="676">
        <v>0</v>
      </c>
      <c r="F1072" s="843">
        <f>IFERROR(E1072*'01 Prod Physique Boites'!H1066,"-")</f>
        <v>0</v>
      </c>
      <c r="G1072" s="659">
        <f>IFERROR(E1072*'01 Prod Physique Boites'!L1066,"-")</f>
        <v>0</v>
      </c>
      <c r="H1072" s="655">
        <v>0</v>
      </c>
      <c r="I1072" s="643" t="str">
        <f t="shared" si="602"/>
        <v>-</v>
      </c>
      <c r="J1072" s="427" t="str">
        <f t="shared" ref="J1072" si="606">IFERROR(I1072*(G1072/F1072),"-")</f>
        <v>-</v>
      </c>
    </row>
    <row r="1073" spans="1:10" ht="23.25" thickBot="1" x14ac:dyDescent="0.3">
      <c r="A1073" s="274" t="s">
        <v>103</v>
      </c>
      <c r="B1073" s="946" t="s">
        <v>46</v>
      </c>
      <c r="C1073" s="976"/>
      <c r="D1073" s="977"/>
      <c r="E1073" s="842"/>
      <c r="F1073" s="406">
        <f>SUM(F1066:F1072)</f>
        <v>1036223.232</v>
      </c>
      <c r="G1073" s="406">
        <f>SUM(G1066:G1072)</f>
        <v>13542142.3632</v>
      </c>
      <c r="H1073" s="391"/>
      <c r="I1073" s="406">
        <f>SUM(I1066:I1072)</f>
        <v>0</v>
      </c>
      <c r="J1073" s="425">
        <f>SUM(J1066:J1072)</f>
        <v>8358451.2000000002</v>
      </c>
    </row>
    <row r="1074" spans="1:10" ht="24" x14ac:dyDescent="0.25">
      <c r="A1074" s="274" t="s">
        <v>103</v>
      </c>
      <c r="B1074" s="965" t="s">
        <v>20</v>
      </c>
      <c r="C1074" s="291" t="s">
        <v>317</v>
      </c>
      <c r="D1074" s="291" t="s">
        <v>289</v>
      </c>
      <c r="E1074" s="504">
        <v>26.032900000000001</v>
      </c>
      <c r="F1074" s="402">
        <f>IFERROR(E1074*'01 Prod Physique Boites'!H1068,"-")</f>
        <v>0</v>
      </c>
      <c r="G1074" s="403">
        <f>IFERROR(E1074*'01 Prod Physique Boites'!L1068,"-")</f>
        <v>0</v>
      </c>
      <c r="H1074" s="381">
        <v>36.44</v>
      </c>
      <c r="I1074" s="419">
        <f>IFERROR(H1074*(F1074/E1074),"-")</f>
        <v>0</v>
      </c>
      <c r="J1074" s="420">
        <f t="shared" ref="J1074:J1076" si="607">IFERROR(H1074*(G1074/E1074),"-")</f>
        <v>0</v>
      </c>
    </row>
    <row r="1075" spans="1:10" ht="24" x14ac:dyDescent="0.25">
      <c r="A1075" s="274" t="s">
        <v>103</v>
      </c>
      <c r="B1075" s="966"/>
      <c r="C1075" s="292" t="s">
        <v>114</v>
      </c>
      <c r="D1075" s="292"/>
      <c r="E1075" s="384">
        <v>24.2607</v>
      </c>
      <c r="F1075" s="402">
        <f>IFERROR(E1075*'01 Prod Physique Boites'!H1069,"-")</f>
        <v>0</v>
      </c>
      <c r="G1075" s="403">
        <f>IFERROR(E1075*'01 Prod Physique Boites'!L1069,"-")</f>
        <v>0</v>
      </c>
      <c r="H1075" s="385">
        <v>37.369999999999997</v>
      </c>
      <c r="I1075" s="421">
        <f>IFERROR(H1075*(F1075/E1075),"-")</f>
        <v>0</v>
      </c>
      <c r="J1075" s="422">
        <f t="shared" si="607"/>
        <v>0</v>
      </c>
    </row>
    <row r="1076" spans="1:10" ht="24.75" thickBot="1" x14ac:dyDescent="0.3">
      <c r="A1076" s="274" t="s">
        <v>103</v>
      </c>
      <c r="B1076" s="967"/>
      <c r="C1076" s="293" t="s">
        <v>120</v>
      </c>
      <c r="D1076" s="293"/>
      <c r="E1076" s="386">
        <v>26.035799999999998</v>
      </c>
      <c r="F1076" s="402">
        <f>IFERROR(E1076*'01 Prod Physique Boites'!H1070,"-")</f>
        <v>0</v>
      </c>
      <c r="G1076" s="403">
        <f>IFERROR(E1076*'01 Prod Physique Boites'!L1070,"-")</f>
        <v>0</v>
      </c>
      <c r="H1076" s="387">
        <v>37.11</v>
      </c>
      <c r="I1076" s="423">
        <f>IFERROR(H1076*(F1076/E1076),"-")</f>
        <v>0</v>
      </c>
      <c r="J1076" s="424">
        <f t="shared" si="607"/>
        <v>0</v>
      </c>
    </row>
    <row r="1077" spans="1:10" ht="23.25" thickBot="1" x14ac:dyDescent="0.3">
      <c r="A1077" s="274" t="s">
        <v>103</v>
      </c>
      <c r="B1077" s="947" t="s">
        <v>47</v>
      </c>
      <c r="C1077" s="947"/>
      <c r="D1077" s="964"/>
      <c r="E1077" s="390"/>
      <c r="F1077" s="406">
        <f t="shared" ref="F1077:G1077" si="608">SUM(F1074:F1076)</f>
        <v>0</v>
      </c>
      <c r="G1077" s="407">
        <f t="shared" si="608"/>
        <v>0</v>
      </c>
      <c r="H1077" s="391"/>
      <c r="I1077" s="406">
        <f t="shared" ref="I1077:J1077" si="609">SUM(I1074:I1076)</f>
        <v>0</v>
      </c>
      <c r="J1077" s="425">
        <f t="shared" si="609"/>
        <v>0</v>
      </c>
    </row>
    <row r="1078" spans="1:10" ht="23.25" thickBot="1" x14ac:dyDescent="0.3">
      <c r="A1078" s="274" t="s">
        <v>103</v>
      </c>
      <c r="B1078" s="960" t="s">
        <v>21</v>
      </c>
      <c r="C1078" s="961"/>
      <c r="D1078" s="962"/>
      <c r="E1078" s="393"/>
      <c r="F1078" s="410">
        <f>+F1049+F1057+F1065+F1073+F1077</f>
        <v>2789017.1035999996</v>
      </c>
      <c r="G1078" s="411">
        <f>+G1049+G1057+G1065+G1073+G1077</f>
        <v>25124938.7392</v>
      </c>
      <c r="H1078" s="394"/>
      <c r="I1078" s="410">
        <f>+I1049+I1057+I1065+I1073+I1077</f>
        <v>2817513.7600000002</v>
      </c>
      <c r="J1078" s="428">
        <f>+J1049+J1057+J1065+J1073+J1077</f>
        <v>25835975.599999998</v>
      </c>
    </row>
    <row r="1079" spans="1:10" ht="24" x14ac:dyDescent="0.25">
      <c r="A1079" s="274" t="s">
        <v>103</v>
      </c>
      <c r="B1079" s="965" t="s">
        <v>400</v>
      </c>
      <c r="C1079" s="269" t="s">
        <v>125</v>
      </c>
      <c r="D1079" s="269"/>
      <c r="E1079" s="380">
        <v>22.820599999999999</v>
      </c>
      <c r="F1079" s="402">
        <f>IFERROR(E1079*'01 Prod Physique Boites'!H1073,"-")</f>
        <v>0</v>
      </c>
      <c r="G1079" s="403">
        <f>IFERROR(E1079*'01 Prod Physique Boites'!L1073,"-")</f>
        <v>0</v>
      </c>
      <c r="H1079" s="381">
        <v>27.5</v>
      </c>
      <c r="I1079" s="419">
        <f>IFERROR(H1079*(F1079/E1079),"-")</f>
        <v>0</v>
      </c>
      <c r="J1079" s="420">
        <f t="shared" ref="J1079:J1082" si="610">IFERROR(H1079*(G1079/E1079),"-")</f>
        <v>0</v>
      </c>
    </row>
    <row r="1080" spans="1:10" ht="24" x14ac:dyDescent="0.25">
      <c r="A1080" s="274" t="s">
        <v>103</v>
      </c>
      <c r="B1080" s="966"/>
      <c r="C1080" s="295" t="s">
        <v>263</v>
      </c>
      <c r="D1080" s="295" t="s">
        <v>181</v>
      </c>
      <c r="E1080" s="384">
        <v>23.570699999999999</v>
      </c>
      <c r="F1080" s="402">
        <f>IFERROR(E1080*'01 Prod Physique Boites'!H1074,"-")</f>
        <v>0</v>
      </c>
      <c r="G1080" s="403">
        <f>IFERROR(E1080*'01 Prod Physique Boites'!L1074,"-")</f>
        <v>0</v>
      </c>
      <c r="H1080" s="385">
        <v>27.5</v>
      </c>
      <c r="I1080" s="421">
        <f>IFERROR(H1080*(F1080/E1080),"-")</f>
        <v>0</v>
      </c>
      <c r="J1080" s="422">
        <f t="shared" si="610"/>
        <v>0</v>
      </c>
    </row>
    <row r="1081" spans="1:10" ht="24" x14ac:dyDescent="0.25">
      <c r="A1081" s="274" t="s">
        <v>103</v>
      </c>
      <c r="B1081" s="966"/>
      <c r="C1081" s="295" t="s">
        <v>362</v>
      </c>
      <c r="D1081" s="295" t="s">
        <v>181</v>
      </c>
      <c r="E1081" s="384">
        <v>22.820599999999999</v>
      </c>
      <c r="F1081" s="402">
        <f>IFERROR(E1081*'01 Prod Physique Boites'!H1075,"-")</f>
        <v>0</v>
      </c>
      <c r="G1081" s="403">
        <f>IFERROR(E1081*'01 Prod Physique Boites'!L1075,"-")</f>
        <v>0</v>
      </c>
      <c r="H1081" s="385">
        <v>27.5</v>
      </c>
      <c r="I1081" s="421">
        <f>IFERROR(H1081*(F1081/E1081),"-")</f>
        <v>0</v>
      </c>
      <c r="J1081" s="422">
        <f t="shared" si="610"/>
        <v>0</v>
      </c>
    </row>
    <row r="1082" spans="1:10" ht="24.75" thickBot="1" x14ac:dyDescent="0.3">
      <c r="A1082" s="274" t="s">
        <v>103</v>
      </c>
      <c r="B1082" s="967"/>
      <c r="C1082" s="279" t="s">
        <v>182</v>
      </c>
      <c r="D1082" s="279" t="s">
        <v>93</v>
      </c>
      <c r="E1082" s="386">
        <v>22.238499999999998</v>
      </c>
      <c r="F1082" s="402">
        <f>IFERROR(E1082*'01 Prod Physique Boites'!H1076,"-")</f>
        <v>880644.6</v>
      </c>
      <c r="G1082" s="403">
        <f>IFERROR(E1082*'01 Prod Physique Boites'!L1076,"-")</f>
        <v>880644.6</v>
      </c>
      <c r="H1082" s="387">
        <v>27</v>
      </c>
      <c r="I1082" s="423">
        <f>IFERROR(H1082*(F1082/E1082),"-")</f>
        <v>1069200</v>
      </c>
      <c r="J1082" s="424">
        <f t="shared" si="610"/>
        <v>1069200</v>
      </c>
    </row>
    <row r="1083" spans="1:10" ht="23.25" thickBot="1" x14ac:dyDescent="0.3">
      <c r="A1083" s="274" t="s">
        <v>103</v>
      </c>
      <c r="B1083" s="946" t="s">
        <v>48</v>
      </c>
      <c r="C1083" s="947"/>
      <c r="D1083" s="948"/>
      <c r="E1083" s="390"/>
      <c r="F1083" s="406">
        <f t="shared" ref="F1083:G1083" si="611">SUM(F1079:F1082)</f>
        <v>880644.6</v>
      </c>
      <c r="G1083" s="407">
        <f t="shared" si="611"/>
        <v>880644.6</v>
      </c>
      <c r="H1083" s="391"/>
      <c r="I1083" s="406">
        <f t="shared" ref="I1083:J1083" si="612">SUM(I1079:I1082)</f>
        <v>1069200</v>
      </c>
      <c r="J1083" s="425">
        <f t="shared" si="612"/>
        <v>1069200</v>
      </c>
    </row>
    <row r="1084" spans="1:10" ht="24" x14ac:dyDescent="0.25">
      <c r="A1084" s="274" t="s">
        <v>103</v>
      </c>
      <c r="B1084" s="965" t="s">
        <v>23</v>
      </c>
      <c r="C1084" s="275" t="s">
        <v>500</v>
      </c>
      <c r="D1084" s="296" t="s">
        <v>238</v>
      </c>
      <c r="E1084" s="380">
        <v>101.4935</v>
      </c>
      <c r="F1084" s="402">
        <f>IFERROR(E1084*'01 Prod Physique Boites'!H1078,"-")</f>
        <v>0</v>
      </c>
      <c r="G1084" s="403">
        <f>IFERROR(E1084*'01 Prod Physique Boites'!L1078,"-")</f>
        <v>0</v>
      </c>
      <c r="H1084" s="385">
        <v>160.44999999999999</v>
      </c>
      <c r="I1084" s="419">
        <f t="shared" ref="I1084:I1092" si="613">IFERROR(H1084*(F1084/E1084),"-")</f>
        <v>0</v>
      </c>
      <c r="J1084" s="420">
        <f t="shared" ref="J1084:J1092" si="614">IFERROR(H1084*(G1084/E1084),"-")</f>
        <v>0</v>
      </c>
    </row>
    <row r="1085" spans="1:10" ht="24" x14ac:dyDescent="0.25">
      <c r="A1085" s="274" t="s">
        <v>103</v>
      </c>
      <c r="B1085" s="966"/>
      <c r="C1085" s="275" t="s">
        <v>24</v>
      </c>
      <c r="D1085" s="275" t="s">
        <v>238</v>
      </c>
      <c r="E1085" s="384">
        <v>101.4935</v>
      </c>
      <c r="F1085" s="402">
        <f>IFERROR(E1085*'01 Prod Physique Boites'!H1079,"-")</f>
        <v>0</v>
      </c>
      <c r="G1085" s="403">
        <f>IFERROR(E1085*'01 Prod Physique Boites'!L1079,"-")</f>
        <v>0</v>
      </c>
      <c r="H1085" s="385">
        <v>160.44999999999999</v>
      </c>
      <c r="I1085" s="421">
        <f t="shared" si="613"/>
        <v>0</v>
      </c>
      <c r="J1085" s="422">
        <f t="shared" si="614"/>
        <v>0</v>
      </c>
    </row>
    <row r="1086" spans="1:10" ht="24" x14ac:dyDescent="0.25">
      <c r="A1086" s="274" t="s">
        <v>103</v>
      </c>
      <c r="B1086" s="966"/>
      <c r="C1086" s="275" t="s">
        <v>236</v>
      </c>
      <c r="D1086" s="275" t="s">
        <v>238</v>
      </c>
      <c r="E1086" s="384">
        <v>101.4935</v>
      </c>
      <c r="F1086" s="402">
        <f>IFERROR(E1086*'01 Prod Physique Boites'!H1080,"-")</f>
        <v>0</v>
      </c>
      <c r="G1086" s="403">
        <f>IFERROR(E1086*'01 Prod Physique Boites'!L1080,"-")</f>
        <v>0</v>
      </c>
      <c r="H1086" s="385">
        <v>160.44999999999999</v>
      </c>
      <c r="I1086" s="421">
        <f t="shared" si="613"/>
        <v>0</v>
      </c>
      <c r="J1086" s="422">
        <f t="shared" si="614"/>
        <v>0</v>
      </c>
    </row>
    <row r="1087" spans="1:10" ht="24" x14ac:dyDescent="0.25">
      <c r="A1087" s="274" t="s">
        <v>103</v>
      </c>
      <c r="B1087" s="966"/>
      <c r="C1087" s="275" t="s">
        <v>239</v>
      </c>
      <c r="D1087" s="275" t="s">
        <v>238</v>
      </c>
      <c r="E1087" s="384">
        <v>101.4935</v>
      </c>
      <c r="F1087" s="402">
        <f>IFERROR(E1087*'01 Prod Physique Boites'!H1081,"-")</f>
        <v>0</v>
      </c>
      <c r="G1087" s="403">
        <f>IFERROR(E1087*'01 Prod Physique Boites'!L1081,"-")</f>
        <v>0</v>
      </c>
      <c r="H1087" s="385">
        <v>160.44999999999999</v>
      </c>
      <c r="I1087" s="421">
        <f t="shared" si="613"/>
        <v>0</v>
      </c>
      <c r="J1087" s="422">
        <f t="shared" si="614"/>
        <v>0</v>
      </c>
    </row>
    <row r="1088" spans="1:10" ht="24" x14ac:dyDescent="0.25">
      <c r="A1088" s="274" t="s">
        <v>103</v>
      </c>
      <c r="B1088" s="966"/>
      <c r="C1088" s="295" t="s">
        <v>394</v>
      </c>
      <c r="D1088" s="275" t="s">
        <v>238</v>
      </c>
      <c r="E1088" s="384">
        <v>101.4935</v>
      </c>
      <c r="F1088" s="402">
        <f>IFERROR(E1088*'01 Prod Physique Boites'!H1082,"-")</f>
        <v>0</v>
      </c>
      <c r="G1088" s="403">
        <f>IFERROR(E1088*'01 Prod Physique Boites'!L1082,"-")</f>
        <v>0</v>
      </c>
      <c r="H1088" s="385">
        <v>160.44999999999999</v>
      </c>
      <c r="I1088" s="421">
        <f t="shared" si="613"/>
        <v>0</v>
      </c>
      <c r="J1088" s="422">
        <f t="shared" si="614"/>
        <v>0</v>
      </c>
    </row>
    <row r="1089" spans="1:10" ht="24" x14ac:dyDescent="0.25">
      <c r="A1089" s="274" t="s">
        <v>103</v>
      </c>
      <c r="B1089" s="966"/>
      <c r="C1089" s="295" t="s">
        <v>422</v>
      </c>
      <c r="D1089" s="275" t="s">
        <v>238</v>
      </c>
      <c r="E1089" s="384">
        <v>101.4935</v>
      </c>
      <c r="F1089" s="402">
        <f>IFERROR(E1089*'01 Prod Physique Boites'!H1083,"-")</f>
        <v>0</v>
      </c>
      <c r="G1089" s="403">
        <f>IFERROR(E1089*'01 Prod Physique Boites'!L1083,"-")</f>
        <v>0</v>
      </c>
      <c r="H1089" s="385">
        <v>160.44999999999999</v>
      </c>
      <c r="I1089" s="421">
        <f t="shared" si="613"/>
        <v>0</v>
      </c>
      <c r="J1089" s="422">
        <f t="shared" si="614"/>
        <v>0</v>
      </c>
    </row>
    <row r="1090" spans="1:10" ht="24" x14ac:dyDescent="0.25">
      <c r="A1090" s="274" t="s">
        <v>103</v>
      </c>
      <c r="B1090" s="966"/>
      <c r="C1090" s="295" t="s">
        <v>241</v>
      </c>
      <c r="D1090" s="275" t="s">
        <v>547</v>
      </c>
      <c r="E1090" s="384">
        <v>101.4935</v>
      </c>
      <c r="F1090" s="402">
        <f>IFERROR(E1090*'01 Prod Physique Boites'!H1084,"-")</f>
        <v>0</v>
      </c>
      <c r="G1090" s="403">
        <f>IFERROR(E1090*'01 Prod Physique Boites'!L1084,"-")</f>
        <v>0</v>
      </c>
      <c r="H1090" s="385">
        <v>160.44999999999999</v>
      </c>
      <c r="I1090" s="421">
        <f t="shared" si="613"/>
        <v>0</v>
      </c>
      <c r="J1090" s="422">
        <f t="shared" si="614"/>
        <v>0</v>
      </c>
    </row>
    <row r="1091" spans="1:10" ht="24" x14ac:dyDescent="0.25">
      <c r="A1091" s="274"/>
      <c r="B1091" s="967"/>
      <c r="C1091" s="295" t="s">
        <v>546</v>
      </c>
      <c r="D1091" s="275" t="s">
        <v>238</v>
      </c>
      <c r="E1091" s="386">
        <v>101.49</v>
      </c>
      <c r="F1091" s="402">
        <f>IFERROR(E1091*'01 Prod Physique Boites'!H1085,"-")</f>
        <v>0</v>
      </c>
      <c r="G1091" s="403">
        <f>IFERROR(E1091*'01 Prod Physique Boites'!L1085,"-")</f>
        <v>0</v>
      </c>
      <c r="H1091" s="385">
        <v>160.44999999999999</v>
      </c>
      <c r="I1091" s="421">
        <f t="shared" si="613"/>
        <v>0</v>
      </c>
      <c r="J1091" s="422">
        <f t="shared" si="614"/>
        <v>0</v>
      </c>
    </row>
    <row r="1092" spans="1:10" ht="24.75" thickBot="1" x14ac:dyDescent="0.3">
      <c r="A1092" s="274" t="s">
        <v>103</v>
      </c>
      <c r="B1092" s="967"/>
      <c r="C1092" s="295" t="s">
        <v>242</v>
      </c>
      <c r="D1092" s="275" t="s">
        <v>238</v>
      </c>
      <c r="E1092" s="386">
        <v>101.4935</v>
      </c>
      <c r="F1092" s="402">
        <f>IFERROR(E1092*'01 Prod Physique Boites'!H1086,"-")</f>
        <v>0</v>
      </c>
      <c r="G1092" s="403">
        <f>IFERROR(E1092*'01 Prod Physique Boites'!L1086,"-")</f>
        <v>0</v>
      </c>
      <c r="H1092" s="385">
        <v>160.44999999999999</v>
      </c>
      <c r="I1092" s="421">
        <f t="shared" si="613"/>
        <v>0</v>
      </c>
      <c r="J1092" s="424">
        <f t="shared" si="614"/>
        <v>0</v>
      </c>
    </row>
    <row r="1093" spans="1:10" ht="23.25" thickBot="1" x14ac:dyDescent="0.3">
      <c r="A1093" s="274" t="s">
        <v>103</v>
      </c>
      <c r="B1093" s="946" t="s">
        <v>49</v>
      </c>
      <c r="C1093" s="947"/>
      <c r="D1093" s="948"/>
      <c r="E1093" s="390"/>
      <c r="F1093" s="406">
        <f t="shared" ref="F1093" si="615">SUM(F1084:F1092)</f>
        <v>0</v>
      </c>
      <c r="G1093" s="407">
        <f>SUM(G1084:G1092)</f>
        <v>0</v>
      </c>
      <c r="H1093" s="391"/>
      <c r="I1093" s="406">
        <f t="shared" ref="I1093" si="616">SUM(I1084:I1092)</f>
        <v>0</v>
      </c>
      <c r="J1093" s="425">
        <f>SUM(J1084:J1092)</f>
        <v>0</v>
      </c>
    </row>
    <row r="1094" spans="1:10" ht="23.25" thickBot="1" x14ac:dyDescent="0.3">
      <c r="A1094" s="274" t="s">
        <v>103</v>
      </c>
      <c r="B1094" s="960" t="s">
        <v>25</v>
      </c>
      <c r="C1094" s="961"/>
      <c r="D1094" s="962"/>
      <c r="E1094" s="393"/>
      <c r="F1094" s="410">
        <f t="shared" ref="F1094" si="617">+F1083+F1093</f>
        <v>880644.6</v>
      </c>
      <c r="G1094" s="411">
        <f>+G1083+G1093</f>
        <v>880644.6</v>
      </c>
      <c r="H1094" s="394"/>
      <c r="I1094" s="410">
        <f t="shared" ref="I1094:J1094" si="618">+I1083+I1093</f>
        <v>1069200</v>
      </c>
      <c r="J1094" s="428">
        <f t="shared" si="618"/>
        <v>1069200</v>
      </c>
    </row>
    <row r="1095" spans="1:10" ht="23.25" thickBot="1" x14ac:dyDescent="0.3">
      <c r="A1095" s="274" t="s">
        <v>103</v>
      </c>
      <c r="B1095" s="963" t="s">
        <v>172</v>
      </c>
      <c r="C1095" s="941"/>
      <c r="D1095" s="942"/>
      <c r="E1095" s="395"/>
      <c r="F1095" s="412">
        <f t="shared" ref="F1095" si="619">+F1078+F1094</f>
        <v>3669661.7035999997</v>
      </c>
      <c r="G1095" s="413">
        <f>+G1078+G1094</f>
        <v>26005583.339200001</v>
      </c>
      <c r="H1095" s="396"/>
      <c r="I1095" s="412">
        <f t="shared" ref="I1095:J1095" si="620">+I1078+I1094</f>
        <v>3886713.7600000002</v>
      </c>
      <c r="J1095" s="429">
        <f t="shared" si="620"/>
        <v>26905175.599999998</v>
      </c>
    </row>
    <row r="1096" spans="1:10" ht="24" x14ac:dyDescent="0.25">
      <c r="A1096" s="268" t="s">
        <v>101</v>
      </c>
      <c r="B1096" s="956" t="s">
        <v>26</v>
      </c>
      <c r="C1096" s="893" t="s">
        <v>297</v>
      </c>
      <c r="D1096" s="898" t="s">
        <v>177</v>
      </c>
      <c r="E1096" s="504">
        <v>13.1272</v>
      </c>
      <c r="F1096" s="402">
        <f>IFERROR(E1096*'01 Prod Physique Boites'!H1090,"-")</f>
        <v>0</v>
      </c>
      <c r="G1096" s="403">
        <f>IFERROR(E1096*'01 Prod Physique Boites'!L1090,"-")</f>
        <v>0</v>
      </c>
      <c r="H1096" s="381">
        <v>20.76</v>
      </c>
      <c r="I1096" s="419">
        <f t="shared" ref="I1096:I1105" si="621">IFERROR(H1096*(F1096/E1096),"-")</f>
        <v>0</v>
      </c>
      <c r="J1096" s="632">
        <f t="shared" ref="J1096:J1105" si="622">IFERROR(H1096*(G1096/E1096),"-")</f>
        <v>0</v>
      </c>
    </row>
    <row r="1097" spans="1:10" ht="24" x14ac:dyDescent="0.25">
      <c r="A1097" s="274" t="s">
        <v>101</v>
      </c>
      <c r="B1097" s="956"/>
      <c r="C1097" s="253" t="s">
        <v>424</v>
      </c>
      <c r="D1097" s="899" t="s">
        <v>423</v>
      </c>
      <c r="E1097" s="505">
        <v>16.7288</v>
      </c>
      <c r="F1097" s="402">
        <f>IFERROR(E1097*'01 Prod Physique Boites'!H1091,"-")</f>
        <v>0</v>
      </c>
      <c r="G1097" s="403">
        <f>IFERROR(E1097*'01 Prod Physique Boites'!L1091,"-")</f>
        <v>4392112.9824000001</v>
      </c>
      <c r="H1097" s="385">
        <v>20.76</v>
      </c>
      <c r="I1097" s="421">
        <f t="shared" si="621"/>
        <v>0</v>
      </c>
      <c r="J1097" s="633">
        <f t="shared" si="622"/>
        <v>5450496.4800000004</v>
      </c>
    </row>
    <row r="1098" spans="1:10" ht="24" x14ac:dyDescent="0.25">
      <c r="A1098" s="274" t="s">
        <v>101</v>
      </c>
      <c r="B1098" s="956"/>
      <c r="C1098" s="813" t="s">
        <v>27</v>
      </c>
      <c r="D1098" s="899" t="s">
        <v>334</v>
      </c>
      <c r="E1098" s="501">
        <v>14.608000000000001</v>
      </c>
      <c r="F1098" s="402">
        <f>IFERROR(E1098*'01 Prod Physique Boites'!H1092,"-")</f>
        <v>0</v>
      </c>
      <c r="G1098" s="403">
        <f>IFERROR(E1098*'01 Prod Physique Boites'!L1092,"-")</f>
        <v>406774.36800000002</v>
      </c>
      <c r="H1098" s="385">
        <v>21.22</v>
      </c>
      <c r="I1098" s="643">
        <f t="shared" si="621"/>
        <v>0</v>
      </c>
      <c r="J1098" s="633">
        <f t="shared" si="622"/>
        <v>590892.12</v>
      </c>
    </row>
    <row r="1099" spans="1:10" ht="24" x14ac:dyDescent="0.25">
      <c r="A1099" s="274" t="s">
        <v>101</v>
      </c>
      <c r="B1099" s="956"/>
      <c r="C1099" s="813" t="s">
        <v>27</v>
      </c>
      <c r="D1099" s="900" t="s">
        <v>492</v>
      </c>
      <c r="E1099" s="501">
        <v>17.8202</v>
      </c>
      <c r="F1099" s="402">
        <f>IFERROR(E1099*'01 Prod Physique Boites'!H1093,"-")</f>
        <v>0</v>
      </c>
      <c r="G1099" s="403">
        <f>IFERROR(E1099*'01 Prod Physique Boites'!L1093,"-")</f>
        <v>4820435.3808000004</v>
      </c>
      <c r="H1099" s="385">
        <v>26.75</v>
      </c>
      <c r="I1099" s="643">
        <f t="shared" si="621"/>
        <v>0</v>
      </c>
      <c r="J1099" s="633">
        <f t="shared" si="622"/>
        <v>7235982</v>
      </c>
    </row>
    <row r="1100" spans="1:10" ht="24" x14ac:dyDescent="0.25">
      <c r="A1100" s="274" t="s">
        <v>101</v>
      </c>
      <c r="B1100" s="956"/>
      <c r="C1100" s="893" t="s">
        <v>521</v>
      </c>
      <c r="D1100" s="899" t="s">
        <v>234</v>
      </c>
      <c r="E1100" s="501">
        <v>14.608000000000001</v>
      </c>
      <c r="F1100" s="402">
        <f>IFERROR(E1100*'01 Prod Physique Boites'!H1094,"-")</f>
        <v>0</v>
      </c>
      <c r="G1100" s="403">
        <f>IFERROR(E1100*'01 Prod Physique Boites'!L1094,"-")</f>
        <v>813548.73600000003</v>
      </c>
      <c r="H1100" s="385">
        <v>24.93</v>
      </c>
      <c r="I1100" s="643">
        <f t="shared" si="621"/>
        <v>0</v>
      </c>
      <c r="J1100" s="633">
        <f t="shared" si="622"/>
        <v>1388401.56</v>
      </c>
    </row>
    <row r="1101" spans="1:10" ht="24" x14ac:dyDescent="0.25">
      <c r="A1101" s="274"/>
      <c r="B1101" s="956"/>
      <c r="C1101" s="813" t="s">
        <v>432</v>
      </c>
      <c r="D1101" s="899" t="s">
        <v>178</v>
      </c>
      <c r="E1101" s="501">
        <v>14.608000000000001</v>
      </c>
      <c r="F1101" s="402">
        <f>IFERROR(E1101*'01 Prod Physique Boites'!H1095,"-")</f>
        <v>0</v>
      </c>
      <c r="G1101" s="403">
        <f>IFERROR(E1101*'01 Prod Physique Boites'!L1095,"-")</f>
        <v>0</v>
      </c>
      <c r="H1101" s="387">
        <v>24.93</v>
      </c>
      <c r="I1101" s="643">
        <f t="shared" si="621"/>
        <v>0</v>
      </c>
      <c r="J1101" s="634">
        <f t="shared" si="622"/>
        <v>0</v>
      </c>
    </row>
    <row r="1102" spans="1:10" ht="24" x14ac:dyDescent="0.25">
      <c r="A1102" s="274"/>
      <c r="B1102" s="956"/>
      <c r="C1102" s="813" t="s">
        <v>333</v>
      </c>
      <c r="D1102" s="899" t="s">
        <v>94</v>
      </c>
      <c r="E1102" s="501">
        <v>17.8202</v>
      </c>
      <c r="F1102" s="724">
        <f>IFERROR(E1102*'01 Prod Physique Boites'!H1096,"-")</f>
        <v>0</v>
      </c>
      <c r="G1102" s="403">
        <f>IFERROR(E1102*'01 Prod Physique Boites'!L1096,"-")</f>
        <v>0</v>
      </c>
      <c r="H1102" s="387">
        <v>24.93</v>
      </c>
      <c r="I1102" s="730">
        <f t="shared" si="621"/>
        <v>0</v>
      </c>
      <c r="J1102" s="634">
        <f t="shared" si="622"/>
        <v>0</v>
      </c>
    </row>
    <row r="1103" spans="1:10" s="731" customFormat="1" ht="24" x14ac:dyDescent="0.25">
      <c r="A1103" s="725"/>
      <c r="B1103" s="956"/>
      <c r="C1103" s="813" t="s">
        <v>433</v>
      </c>
      <c r="D1103" s="899" t="s">
        <v>540</v>
      </c>
      <c r="E1103" s="727">
        <v>16.7288</v>
      </c>
      <c r="F1103" s="724">
        <f>IFERROR(E1103*'01 Prod Physique Boites'!H1097,"-")</f>
        <v>2661886.656</v>
      </c>
      <c r="G1103" s="728">
        <f>IFERROR(E1103*'01 Prod Physique Boites'!L1097,"-")</f>
        <v>4192471.4832000001</v>
      </c>
      <c r="H1103" s="729">
        <v>25</v>
      </c>
      <c r="I1103" s="730">
        <f t="shared" si="621"/>
        <v>3978000</v>
      </c>
      <c r="J1103" s="634">
        <f t="shared" si="622"/>
        <v>6265350</v>
      </c>
    </row>
    <row r="1104" spans="1:10" s="731" customFormat="1" ht="24" x14ac:dyDescent="0.25">
      <c r="A1104" s="725"/>
      <c r="B1104" s="956"/>
      <c r="C1104" s="813" t="s">
        <v>382</v>
      </c>
      <c r="D1104" s="899" t="s">
        <v>366</v>
      </c>
      <c r="E1104" s="727">
        <v>16.7288</v>
      </c>
      <c r="F1104" s="724">
        <f>IFERROR(E1104*'01 Prod Physique Boites'!H1098,"-")</f>
        <v>0</v>
      </c>
      <c r="G1104" s="728">
        <f>IFERROR(E1104*'01 Prod Physique Boites'!L1098,"-")</f>
        <v>0</v>
      </c>
      <c r="H1104" s="729">
        <v>25.49</v>
      </c>
      <c r="I1104" s="730">
        <f t="shared" si="621"/>
        <v>0</v>
      </c>
      <c r="J1104" s="634">
        <f t="shared" si="622"/>
        <v>0</v>
      </c>
    </row>
    <row r="1105" spans="1:10" ht="24.75" thickBot="1" x14ac:dyDescent="0.3">
      <c r="A1105" s="274" t="s">
        <v>101</v>
      </c>
      <c r="B1105" s="956"/>
      <c r="C1105" s="894" t="s">
        <v>290</v>
      </c>
      <c r="D1105" s="901" t="s">
        <v>289</v>
      </c>
      <c r="E1105" s="501">
        <v>12.6997</v>
      </c>
      <c r="F1105" s="402">
        <f>IFERROR(E1105*'01 Prod Physique Boites'!H1099,"-")</f>
        <v>0</v>
      </c>
      <c r="G1105" s="728">
        <f>IFERROR(E1105*'01 Prod Physique Boites'!L1099,"-")</f>
        <v>0</v>
      </c>
      <c r="H1105" s="387">
        <v>13.25</v>
      </c>
      <c r="I1105" s="730">
        <f t="shared" si="621"/>
        <v>0</v>
      </c>
      <c r="J1105" s="634">
        <f t="shared" si="622"/>
        <v>0</v>
      </c>
    </row>
    <row r="1106" spans="1:10" ht="23.25" thickBot="1" x14ac:dyDescent="0.3">
      <c r="A1106" s="274" t="s">
        <v>101</v>
      </c>
      <c r="B1106" s="969"/>
      <c r="C1106" s="301"/>
      <c r="D1106" s="302" t="s">
        <v>52</v>
      </c>
      <c r="E1106" s="390"/>
      <c r="F1106" s="406">
        <f>SUM(F1096:F1105)</f>
        <v>2661886.656</v>
      </c>
      <c r="G1106" s="407">
        <f>SUM(G1096:G1105)</f>
        <v>14625342.9504</v>
      </c>
      <c r="H1106" s="391"/>
      <c r="I1106" s="406">
        <f>SUM(I1096:I1105)</f>
        <v>3978000</v>
      </c>
      <c r="J1106" s="425">
        <f>SUM(J1096:J1105)</f>
        <v>20931122.160000004</v>
      </c>
    </row>
    <row r="1107" spans="1:10" ht="24" x14ac:dyDescent="0.25">
      <c r="A1107" s="274" t="s">
        <v>101</v>
      </c>
      <c r="B1107" s="955" t="s">
        <v>28</v>
      </c>
      <c r="C1107" s="299" t="s">
        <v>27</v>
      </c>
      <c r="D1107" s="297" t="s">
        <v>492</v>
      </c>
      <c r="E1107" s="504">
        <v>17.8202</v>
      </c>
      <c r="F1107" s="402">
        <f>IFERROR(E1107*'01 Prod Physique Boites'!H1101,"-")</f>
        <v>0</v>
      </c>
      <c r="G1107" s="403">
        <f>IFERROR(E1107*'01 Prod Physique Boites'!L1101,"-")</f>
        <v>2977327.7352</v>
      </c>
      <c r="H1107" s="381">
        <v>26.75</v>
      </c>
      <c r="I1107" s="419">
        <f t="shared" ref="I1107:I1113" si="623">IFERROR(H1107*(F1107/E1107),"-")</f>
        <v>0</v>
      </c>
      <c r="J1107" s="632">
        <f t="shared" ref="J1107:J1108" si="624">IFERROR(H1107*(G1107/E1107),"-")</f>
        <v>4469283</v>
      </c>
    </row>
    <row r="1108" spans="1:10" ht="24" x14ac:dyDescent="0.25">
      <c r="A1108" s="274" t="s">
        <v>101</v>
      </c>
      <c r="B1108" s="956"/>
      <c r="C1108" s="299" t="s">
        <v>386</v>
      </c>
      <c r="D1108" s="299" t="s">
        <v>334</v>
      </c>
      <c r="E1108" s="711">
        <v>16.7288</v>
      </c>
      <c r="F1108" s="402">
        <f>IFERROR(E1108*'01 Prod Physique Boites'!H1102,"-")</f>
        <v>0</v>
      </c>
      <c r="G1108" s="728">
        <f>IFERROR(E1108*'01 Prod Physique Boites'!L1102,"-")</f>
        <v>1597131.9935999999</v>
      </c>
      <c r="H1108" s="708">
        <v>20.76</v>
      </c>
      <c r="I1108" s="421">
        <f t="shared" si="623"/>
        <v>0</v>
      </c>
      <c r="J1108" s="633">
        <f t="shared" si="624"/>
        <v>1981998.7200000002</v>
      </c>
    </row>
    <row r="1109" spans="1:10" ht="24" x14ac:dyDescent="0.25">
      <c r="A1109" s="274" t="s">
        <v>101</v>
      </c>
      <c r="B1109" s="956"/>
      <c r="C1109" s="299" t="s">
        <v>541</v>
      </c>
      <c r="D1109" s="299" t="s">
        <v>334</v>
      </c>
      <c r="E1109" s="501">
        <v>17.8202</v>
      </c>
      <c r="F1109" s="402">
        <f>IFERROR(E1109*'01 Prod Physique Boites'!H1103,"-")</f>
        <v>0</v>
      </c>
      <c r="G1109" s="403">
        <f>IFERROR(E1109*'01 Prod Physique Boites'!L1103,"-")</f>
        <v>0</v>
      </c>
      <c r="H1109" s="385">
        <v>21.22</v>
      </c>
      <c r="I1109" s="421">
        <f t="shared" si="623"/>
        <v>0</v>
      </c>
      <c r="J1109" s="633">
        <f>IFERROR(H1109*(G1109/E1109),"-")</f>
        <v>0</v>
      </c>
    </row>
    <row r="1110" spans="1:10" ht="24" x14ac:dyDescent="0.25">
      <c r="A1110" s="274"/>
      <c r="B1110" s="956"/>
      <c r="C1110" s="299" t="s">
        <v>460</v>
      </c>
      <c r="D1110" s="299" t="s">
        <v>334</v>
      </c>
      <c r="E1110" s="501">
        <v>14.608000000000001</v>
      </c>
      <c r="F1110" s="402">
        <f>IFERROR(E1110*'01 Prod Physique Boites'!H1104,"-")</f>
        <v>0</v>
      </c>
      <c r="G1110" s="403">
        <f>IFERROR(E1110*'01 Prod Physique Boites'!L1104,"-")</f>
        <v>58110.624000000003</v>
      </c>
      <c r="H1110" s="385">
        <v>21.22</v>
      </c>
      <c r="I1110" s="421">
        <f t="shared" si="623"/>
        <v>0</v>
      </c>
      <c r="J1110" s="633">
        <f>IFERROR(H1110*(G1110/E1110),"-")</f>
        <v>84413.159999999989</v>
      </c>
    </row>
    <row r="1111" spans="1:10" ht="24" x14ac:dyDescent="0.25">
      <c r="A1111" s="274"/>
      <c r="B1111" s="956"/>
      <c r="C1111" s="299" t="s">
        <v>433</v>
      </c>
      <c r="D1111" s="299" t="s">
        <v>540</v>
      </c>
      <c r="E1111" s="711">
        <v>16.7288</v>
      </c>
      <c r="F1111" s="402">
        <f>IFERROR(E1111*'01 Prod Physique Boites'!H1105,"-")</f>
        <v>931660.32959999994</v>
      </c>
      <c r="G1111" s="403">
        <f>IFERROR(E1111*'01 Prod Physique Boites'!L1105,"-")</f>
        <v>2129509.3248000001</v>
      </c>
      <c r="H1111" s="385">
        <v>25</v>
      </c>
      <c r="I1111" s="423">
        <f t="shared" si="623"/>
        <v>1392300</v>
      </c>
      <c r="J1111" s="634">
        <f t="shared" ref="J1111:J1113" si="625">IFERROR(H1111*(G1111/E1111),"-")</f>
        <v>3182400</v>
      </c>
    </row>
    <row r="1112" spans="1:10" ht="24" x14ac:dyDescent="0.25">
      <c r="A1112" s="274"/>
      <c r="B1112" s="956"/>
      <c r="C1112" s="299" t="s">
        <v>458</v>
      </c>
      <c r="D1112" s="300" t="s">
        <v>280</v>
      </c>
      <c r="E1112" s="711">
        <v>17.8202</v>
      </c>
      <c r="F1112" s="402">
        <f>IFERROR(E1112*'01 Prod Physique Boites'!H1106,"-")</f>
        <v>0</v>
      </c>
      <c r="G1112" s="403">
        <f>IFERROR(E1112*'01 Prod Physique Boites'!L1106,"-")</f>
        <v>0</v>
      </c>
      <c r="H1112" s="385">
        <v>24.93</v>
      </c>
      <c r="I1112" s="730">
        <f t="shared" si="623"/>
        <v>0</v>
      </c>
      <c r="J1112" s="634">
        <f t="shared" si="625"/>
        <v>0</v>
      </c>
    </row>
    <row r="1113" spans="1:10" ht="24.75" thickBot="1" x14ac:dyDescent="0.3">
      <c r="A1113" s="274" t="s">
        <v>101</v>
      </c>
      <c r="B1113" s="956"/>
      <c r="C1113" s="299" t="s">
        <v>27</v>
      </c>
      <c r="D1113" s="300" t="s">
        <v>234</v>
      </c>
      <c r="E1113" s="501">
        <v>17.8202</v>
      </c>
      <c r="F1113" s="402">
        <f>IFERROR(E1113*'01 Prod Physique Boites'!H1107,"-")</f>
        <v>0</v>
      </c>
      <c r="G1113" s="403">
        <f>IFERROR(E1113*'01 Prod Physique Boites'!L1107,"-")</f>
        <v>0</v>
      </c>
      <c r="H1113" s="385">
        <v>24.93</v>
      </c>
      <c r="I1113" s="423">
        <f t="shared" si="623"/>
        <v>0</v>
      </c>
      <c r="J1113" s="634">
        <f t="shared" si="625"/>
        <v>0</v>
      </c>
    </row>
    <row r="1114" spans="1:10" ht="23.25" thickBot="1" x14ac:dyDescent="0.3">
      <c r="A1114" s="274" t="s">
        <v>101</v>
      </c>
      <c r="B1114" s="956"/>
      <c r="C1114" s="304"/>
      <c r="D1114" s="305" t="s">
        <v>52</v>
      </c>
      <c r="E1114" s="397"/>
      <c r="F1114" s="414">
        <f t="shared" ref="F1114:G1114" si="626">SUM(F1107:F1113)</f>
        <v>931660.32959999994</v>
      </c>
      <c r="G1114" s="415">
        <f t="shared" si="626"/>
        <v>6762079.6776000001</v>
      </c>
      <c r="H1114" s="398"/>
      <c r="I1114" s="414">
        <f t="shared" ref="I1114:J1114" si="627">SUM(I1107:I1113)</f>
        <v>1392300</v>
      </c>
      <c r="J1114" s="430">
        <f t="shared" si="627"/>
        <v>9718094.8800000008</v>
      </c>
    </row>
    <row r="1115" spans="1:10" ht="23.25" thickBot="1" x14ac:dyDescent="0.3">
      <c r="A1115" s="892" t="s">
        <v>101</v>
      </c>
      <c r="B1115" s="957" t="s">
        <v>162</v>
      </c>
      <c r="C1115" s="958"/>
      <c r="D1115" s="959"/>
      <c r="E1115" s="399"/>
      <c r="F1115" s="416">
        <f t="shared" ref="F1115:G1115" si="628">+F1106+F1114</f>
        <v>3593546.9855999998</v>
      </c>
      <c r="G1115" s="417">
        <f t="shared" si="628"/>
        <v>21387422.627999999</v>
      </c>
      <c r="H1115" s="400"/>
      <c r="I1115" s="416">
        <f t="shared" ref="I1115:J1115" si="629">+I1106+I1114</f>
        <v>5370300</v>
      </c>
      <c r="J1115" s="431">
        <f t="shared" si="629"/>
        <v>30649217.040000007</v>
      </c>
    </row>
    <row r="1116" spans="1:10" ht="24" x14ac:dyDescent="0.25">
      <c r="A1116" s="274" t="s">
        <v>101</v>
      </c>
      <c r="B1116" s="956" t="s">
        <v>30</v>
      </c>
      <c r="C1116" s="303" t="s">
        <v>446</v>
      </c>
      <c r="D1116" s="299" t="s">
        <v>522</v>
      </c>
      <c r="E1116" s="736">
        <v>27.917000000000002</v>
      </c>
      <c r="F1116" s="402">
        <f>IFERROR(E1116*'01 Prod Physique Boites'!H1110,"-")</f>
        <v>0</v>
      </c>
      <c r="G1116" s="728">
        <f>IFERROR(E1116*'01 Prod Physique Boites'!L1110,"-")</f>
        <v>0</v>
      </c>
      <c r="H1116" s="734">
        <v>33.299999999999997</v>
      </c>
      <c r="I1116" s="419">
        <f>IFERROR(H1116*(F1116/E1116),"-")</f>
        <v>0</v>
      </c>
      <c r="J1116" s="420">
        <f t="shared" ref="J1116:J1118" si="630">IFERROR(H1116*(G1116/E1116),"-")</f>
        <v>0</v>
      </c>
    </row>
    <row r="1117" spans="1:10" ht="24" x14ac:dyDescent="0.25">
      <c r="A1117" s="274" t="s">
        <v>101</v>
      </c>
      <c r="B1117" s="956"/>
      <c r="C1117" s="300" t="s">
        <v>548</v>
      </c>
      <c r="D1117" s="303" t="s">
        <v>522</v>
      </c>
      <c r="E1117" s="733">
        <v>28.526700000000002</v>
      </c>
      <c r="F1117" s="402">
        <f>IFERROR(E1117*'01 Prod Physique Boites'!H1111,"-")</f>
        <v>0</v>
      </c>
      <c r="G1117" s="728">
        <f>IFERROR(E1117*'01 Prod Physique Boites'!L1111,"-")</f>
        <v>0</v>
      </c>
      <c r="H1117" s="735">
        <v>37.89</v>
      </c>
      <c r="I1117" s="421">
        <f>IFERROR(H1117*(F1117/E1117),"-")</f>
        <v>0</v>
      </c>
      <c r="J1117" s="422">
        <f t="shared" si="630"/>
        <v>0</v>
      </c>
    </row>
    <row r="1118" spans="1:10" ht="24.75" thickBot="1" x14ac:dyDescent="0.3">
      <c r="A1118" s="274" t="s">
        <v>101</v>
      </c>
      <c r="B1118" s="956"/>
      <c r="C1118" s="300" t="s">
        <v>291</v>
      </c>
      <c r="D1118" s="300" t="s">
        <v>366</v>
      </c>
      <c r="E1118" s="501">
        <v>25.751300000000001</v>
      </c>
      <c r="F1118" s="724">
        <f>IFERROR(E1118*'01 Prod Physique Boites'!H1112,"-")</f>
        <v>0</v>
      </c>
      <c r="G1118" s="728">
        <f>IFERROR(E1118*'01 Prod Physique Boites'!L1112,"-")</f>
        <v>0</v>
      </c>
      <c r="H1118" s="387">
        <v>37.89</v>
      </c>
      <c r="I1118" s="423">
        <f>IFERROR(H1118*(F1118/E1118),"-")</f>
        <v>0</v>
      </c>
      <c r="J1118" s="424">
        <f t="shared" si="630"/>
        <v>0</v>
      </c>
    </row>
    <row r="1119" spans="1:10" ht="23.25" thickBot="1" x14ac:dyDescent="0.3">
      <c r="A1119" s="274" t="s">
        <v>101</v>
      </c>
      <c r="B1119" s="956"/>
      <c r="C1119" s="301"/>
      <c r="D1119" s="302" t="s">
        <v>50</v>
      </c>
      <c r="E1119" s="390"/>
      <c r="F1119" s="406">
        <f t="shared" ref="F1119:G1119" si="631">SUM(F1116:F1118)</f>
        <v>0</v>
      </c>
      <c r="G1119" s="407">
        <f t="shared" si="631"/>
        <v>0</v>
      </c>
      <c r="H1119" s="391"/>
      <c r="I1119" s="406">
        <f t="shared" ref="I1119" si="632">SUM(I1116:I1118)</f>
        <v>0</v>
      </c>
      <c r="J1119" s="425">
        <f>SUM(J1116:J1118)</f>
        <v>0</v>
      </c>
    </row>
    <row r="1120" spans="1:10" ht="24" x14ac:dyDescent="0.25">
      <c r="A1120" s="274" t="s">
        <v>101</v>
      </c>
      <c r="B1120" s="956"/>
      <c r="C1120" s="297" t="s">
        <v>439</v>
      </c>
      <c r="D1120" s="297" t="s">
        <v>92</v>
      </c>
      <c r="E1120" s="504">
        <v>24.2607</v>
      </c>
      <c r="F1120" s="402">
        <f>IFERROR(E1120*'01 Prod Physique Boites'!H1114,"-")</f>
        <v>0</v>
      </c>
      <c r="G1120" s="728">
        <f>IFERROR(E1120*'01 Prod Physique Boites'!L1114,"-")</f>
        <v>0</v>
      </c>
      <c r="H1120" s="381">
        <v>28.31</v>
      </c>
      <c r="I1120" s="638">
        <f>IFERROR(H1120*(F1120/E1120),"-")</f>
        <v>0</v>
      </c>
      <c r="J1120" s="420">
        <f t="shared" ref="J1120:J1125" si="633">IFERROR(H1120*(G1120/E1120),"-")</f>
        <v>0</v>
      </c>
    </row>
    <row r="1121" spans="1:10" ht="24" x14ac:dyDescent="0.25">
      <c r="A1121" s="274"/>
      <c r="B1121" s="956"/>
      <c r="C1121" s="303" t="s">
        <v>449</v>
      </c>
      <c r="D1121" s="299" t="s">
        <v>334</v>
      </c>
      <c r="E1121" s="504">
        <v>24.2607</v>
      </c>
      <c r="F1121" s="402">
        <f>IFERROR(E1121*'01 Prod Physique Boites'!H1115,"-")</f>
        <v>0</v>
      </c>
      <c r="G1121" s="728">
        <f>IFERROR(E1121*'01 Prod Physique Boites'!L1115,"-")</f>
        <v>0</v>
      </c>
      <c r="H1121" s="381">
        <v>28.88</v>
      </c>
      <c r="I1121" s="638">
        <f t="shared" ref="I1121:I1125" si="634">IFERROR(H1121*(F1121/E1121),"-")</f>
        <v>0</v>
      </c>
      <c r="J1121" s="420">
        <f t="shared" si="633"/>
        <v>0</v>
      </c>
    </row>
    <row r="1122" spans="1:10" ht="24" x14ac:dyDescent="0.25">
      <c r="A1122" s="274"/>
      <c r="B1122" s="956"/>
      <c r="C1122" s="303" t="s">
        <v>452</v>
      </c>
      <c r="D1122" s="299" t="s">
        <v>334</v>
      </c>
      <c r="E1122" s="504">
        <v>25.4041</v>
      </c>
      <c r="F1122" s="402">
        <f>IFERROR(E1122*'01 Prod Physique Boites'!H1116,"-")</f>
        <v>0</v>
      </c>
      <c r="G1122" s="728">
        <f>IFERROR(E1122*'01 Prod Physique Boites'!L1116,"-")</f>
        <v>0</v>
      </c>
      <c r="H1122" s="381">
        <v>28.21</v>
      </c>
      <c r="I1122" s="638">
        <f t="shared" si="634"/>
        <v>0</v>
      </c>
      <c r="J1122" s="420">
        <f t="shared" si="633"/>
        <v>0</v>
      </c>
    </row>
    <row r="1123" spans="1:10" ht="24" x14ac:dyDescent="0.25">
      <c r="A1123" s="274" t="s">
        <v>101</v>
      </c>
      <c r="B1123" s="956"/>
      <c r="C1123" s="303" t="s">
        <v>501</v>
      </c>
      <c r="D1123" s="300" t="s">
        <v>423</v>
      </c>
      <c r="E1123" s="505">
        <v>23.697399999999998</v>
      </c>
      <c r="F1123" s="724">
        <f>IFERROR(E1123*'01 Prod Physique Boites'!H1117,"-")</f>
        <v>0</v>
      </c>
      <c r="G1123" s="728">
        <f>IFERROR(E1123*'01 Prod Physique Boites'!L1117,"-")</f>
        <v>177446.13119999997</v>
      </c>
      <c r="H1123" s="385">
        <v>28.21</v>
      </c>
      <c r="I1123" s="638">
        <f t="shared" si="634"/>
        <v>0</v>
      </c>
      <c r="J1123" s="420">
        <f t="shared" si="633"/>
        <v>211236.47999999998</v>
      </c>
    </row>
    <row r="1124" spans="1:10" ht="24" x14ac:dyDescent="0.25">
      <c r="A1124" s="274"/>
      <c r="B1124" s="956"/>
      <c r="C1124" s="300" t="s">
        <v>459</v>
      </c>
      <c r="D1124" s="300" t="s">
        <v>366</v>
      </c>
      <c r="E1124" s="501">
        <v>22.094999999999999</v>
      </c>
      <c r="F1124" s="724">
        <f>IFERROR(E1124*'01 Prod Physique Boites'!H1118,"-")</f>
        <v>0</v>
      </c>
      <c r="G1124" s="728">
        <f>IFERROR(E1124*'01 Prod Physique Boites'!L1118,"-")</f>
        <v>0</v>
      </c>
      <c r="H1124" s="745">
        <v>37.11</v>
      </c>
      <c r="I1124" s="638">
        <f t="shared" si="634"/>
        <v>0</v>
      </c>
      <c r="J1124" s="420">
        <f t="shared" si="633"/>
        <v>0</v>
      </c>
    </row>
    <row r="1125" spans="1:10" ht="24.75" thickBot="1" x14ac:dyDescent="0.3">
      <c r="A1125" s="274" t="s">
        <v>101</v>
      </c>
      <c r="B1125" s="956"/>
      <c r="C1125" s="300" t="s">
        <v>438</v>
      </c>
      <c r="D1125" s="300" t="s">
        <v>423</v>
      </c>
      <c r="E1125" s="501">
        <v>23.697399999999998</v>
      </c>
      <c r="F1125" s="402">
        <f>IFERROR(E1125*'01 Prod Physique Boites'!H1119,"-")</f>
        <v>0</v>
      </c>
      <c r="G1125" s="403">
        <f>IFERROR(E1125*'01 Prod Physique Boites'!L1119,"-")</f>
        <v>0</v>
      </c>
      <c r="H1125" s="387">
        <v>28.21</v>
      </c>
      <c r="I1125" s="638">
        <f t="shared" si="634"/>
        <v>0</v>
      </c>
      <c r="J1125" s="420">
        <f t="shared" si="633"/>
        <v>0</v>
      </c>
    </row>
    <row r="1126" spans="1:10" ht="23.25" thickBot="1" x14ac:dyDescent="0.3">
      <c r="A1126" s="274" t="s">
        <v>101</v>
      </c>
      <c r="B1126" s="956"/>
      <c r="C1126" s="304"/>
      <c r="D1126" s="305" t="s">
        <v>51</v>
      </c>
      <c r="E1126" s="397"/>
      <c r="F1126" s="414">
        <f t="shared" ref="F1126:G1126" si="635">SUM(F1120:F1125)</f>
        <v>0</v>
      </c>
      <c r="G1126" s="415">
        <f t="shared" si="635"/>
        <v>177446.13119999997</v>
      </c>
      <c r="H1126" s="398"/>
      <c r="I1126" s="414">
        <f t="shared" ref="I1126" si="636">SUM(I1120:I1125)</f>
        <v>0</v>
      </c>
      <c r="J1126" s="430">
        <f>SUM(J1120:J1125)</f>
        <v>211236.47999999998</v>
      </c>
    </row>
    <row r="1127" spans="1:10" ht="23.25" thickBot="1" x14ac:dyDescent="0.3">
      <c r="A1127" s="274" t="s">
        <v>101</v>
      </c>
      <c r="B1127" s="957" t="s">
        <v>163</v>
      </c>
      <c r="C1127" s="958"/>
      <c r="D1127" s="959"/>
      <c r="E1127" s="399"/>
      <c r="F1127" s="416">
        <f t="shared" ref="F1127:G1127" si="637">+F1119+F1126</f>
        <v>0</v>
      </c>
      <c r="G1127" s="417">
        <f t="shared" si="637"/>
        <v>177446.13119999997</v>
      </c>
      <c r="H1127" s="400"/>
      <c r="I1127" s="416">
        <f t="shared" ref="I1127:J1127" si="638">+I1119+I1126</f>
        <v>0</v>
      </c>
      <c r="J1127" s="431">
        <f t="shared" si="638"/>
        <v>211236.47999999998</v>
      </c>
    </row>
    <row r="1128" spans="1:10" ht="24.75" thickBot="1" x14ac:dyDescent="0.3">
      <c r="A1128" s="274" t="s">
        <v>101</v>
      </c>
      <c r="B1128" s="599" t="s">
        <v>32</v>
      </c>
      <c r="C1128" s="888"/>
      <c r="D1128" s="310"/>
      <c r="E1128" s="506">
        <v>12.2659</v>
      </c>
      <c r="F1128" s="408">
        <f>IFERROR(E1128*'01 Prod Physique Boites'!H1122,"-")</f>
        <v>0</v>
      </c>
      <c r="G1128" s="409">
        <f>IFERROR(E1128*'01 Prod Physique Boites'!L1122,"-")</f>
        <v>0</v>
      </c>
      <c r="H1128" s="392"/>
      <c r="I1128" s="426">
        <f>IFERROR(H1128*(F1128/E1128),"-")</f>
        <v>0</v>
      </c>
      <c r="J1128" s="427">
        <f>IFERROR(H1128*(G1128/E1128),"-")</f>
        <v>0</v>
      </c>
    </row>
    <row r="1129" spans="1:10" ht="23.25" thickBot="1" x14ac:dyDescent="0.3">
      <c r="A1129" s="274" t="s">
        <v>101</v>
      </c>
      <c r="B1129" s="960" t="s">
        <v>21</v>
      </c>
      <c r="C1129" s="961"/>
      <c r="D1129" s="962"/>
      <c r="E1129" s="393"/>
      <c r="F1129" s="410">
        <f t="shared" ref="F1129" si="639">+F1115+F1127+F1128</f>
        <v>3593546.9855999998</v>
      </c>
      <c r="G1129" s="411">
        <f>+G1115+G1127+G1128</f>
        <v>21564868.759199999</v>
      </c>
      <c r="H1129" s="394"/>
      <c r="I1129" s="410">
        <f t="shared" ref="I1129:J1129" si="640">+I1115+I1127+I1128</f>
        <v>5370300</v>
      </c>
      <c r="J1129" s="428">
        <f t="shared" si="640"/>
        <v>30860453.520000007</v>
      </c>
    </row>
    <row r="1130" spans="1:10" ht="23.25" thickBot="1" x14ac:dyDescent="0.3">
      <c r="A1130" s="274" t="s">
        <v>101</v>
      </c>
      <c r="B1130" s="963" t="s">
        <v>171</v>
      </c>
      <c r="C1130" s="941"/>
      <c r="D1130" s="942"/>
      <c r="E1130" s="395"/>
      <c r="F1130" s="412">
        <f t="shared" ref="F1130:G1130" si="641">+F1129</f>
        <v>3593546.9855999998</v>
      </c>
      <c r="G1130" s="413">
        <f t="shared" si="641"/>
        <v>21564868.759199999</v>
      </c>
      <c r="H1130" s="396"/>
      <c r="I1130" s="412">
        <f t="shared" ref="I1130:J1130" si="642">+I1129</f>
        <v>5370300</v>
      </c>
      <c r="J1130" s="429">
        <f t="shared" si="642"/>
        <v>30860453.520000007</v>
      </c>
    </row>
    <row r="1131" spans="1:10" ht="24" x14ac:dyDescent="0.25">
      <c r="A1131" s="268" t="s">
        <v>102</v>
      </c>
      <c r="B1131" s="949" t="s">
        <v>401</v>
      </c>
      <c r="C1131" s="311" t="s">
        <v>113</v>
      </c>
      <c r="D1131" s="311"/>
      <c r="E1131" s="709">
        <v>254.89750000000001</v>
      </c>
      <c r="F1131" s="402">
        <f>IFERROR(E1131*'01 Prod Physique Boites'!H1125,"-")</f>
        <v>0</v>
      </c>
      <c r="G1131" s="403">
        <f>IFERROR(E1131*'01 Prod Physique Boites'!L1125,"-")</f>
        <v>0</v>
      </c>
      <c r="H1131" s="381">
        <v>445.38</v>
      </c>
      <c r="I1131" s="419">
        <f>IFERROR(H1131*(F1131/E1131),"-")</f>
        <v>0</v>
      </c>
      <c r="J1131" s="420">
        <f t="shared" ref="J1131:J1133" si="643">IFERROR(H1131*(G1131/E1131),"-")</f>
        <v>0</v>
      </c>
    </row>
    <row r="1132" spans="1:10" ht="24" x14ac:dyDescent="0.25">
      <c r="A1132" s="274" t="s">
        <v>102</v>
      </c>
      <c r="B1132" s="951"/>
      <c r="C1132" s="312" t="s">
        <v>247</v>
      </c>
      <c r="D1132" s="312"/>
      <c r="E1132" s="503">
        <v>246.51390000000001</v>
      </c>
      <c r="F1132" s="402">
        <f>IFERROR(E1132*'01 Prod Physique Boites'!H1126,"-")</f>
        <v>0</v>
      </c>
      <c r="G1132" s="403">
        <f>IFERROR(E1132*'01 Prod Physique Boites'!L1126,"-")</f>
        <v>2255355.6710999999</v>
      </c>
      <c r="H1132" s="385">
        <v>430.02</v>
      </c>
      <c r="I1132" s="421">
        <f>IFERROR(H1132*(F1132/E1132),"-")</f>
        <v>0</v>
      </c>
      <c r="J1132" s="422">
        <f t="shared" si="643"/>
        <v>3934252.98</v>
      </c>
    </row>
    <row r="1133" spans="1:10" ht="24.75" thickBot="1" x14ac:dyDescent="0.3">
      <c r="A1133" s="274" t="s">
        <v>102</v>
      </c>
      <c r="B1133" s="950"/>
      <c r="C1133" s="313" t="s">
        <v>33</v>
      </c>
      <c r="D1133" s="313"/>
      <c r="E1133" s="500">
        <v>225.7713</v>
      </c>
      <c r="F1133" s="402">
        <f>IFERROR(E1133*'01 Prod Physique Boites'!H1127,"-")</f>
        <v>0</v>
      </c>
      <c r="G1133" s="403">
        <f>IFERROR(E1133*'01 Prod Physique Boites'!L1127,"-")</f>
        <v>0</v>
      </c>
      <c r="H1133" s="387"/>
      <c r="I1133" s="423">
        <f>IFERROR(H1133*(F1133/E1133),"-")</f>
        <v>0</v>
      </c>
      <c r="J1133" s="424">
        <f t="shared" si="643"/>
        <v>0</v>
      </c>
    </row>
    <row r="1134" spans="1:10" ht="23.25" thickBot="1" x14ac:dyDescent="0.3">
      <c r="A1134" s="274" t="s">
        <v>102</v>
      </c>
      <c r="B1134" s="946" t="s">
        <v>34</v>
      </c>
      <c r="C1134" s="947"/>
      <c r="D1134" s="948"/>
      <c r="E1134" s="390"/>
      <c r="F1134" s="406">
        <f t="shared" ref="F1134:G1134" si="644">SUM(F1131:F1133)</f>
        <v>0</v>
      </c>
      <c r="G1134" s="407">
        <f t="shared" si="644"/>
        <v>2255355.6710999999</v>
      </c>
      <c r="H1134" s="391"/>
      <c r="I1134" s="406">
        <f t="shared" ref="I1134:J1134" si="645">SUM(I1131:I1133)</f>
        <v>0</v>
      </c>
      <c r="J1134" s="425">
        <f t="shared" si="645"/>
        <v>3934252.98</v>
      </c>
    </row>
    <row r="1135" spans="1:10" ht="24" x14ac:dyDescent="0.25">
      <c r="A1135" s="274" t="s">
        <v>102</v>
      </c>
      <c r="B1135" s="949" t="s">
        <v>35</v>
      </c>
      <c r="C1135" s="311" t="s">
        <v>113</v>
      </c>
      <c r="D1135" s="311"/>
      <c r="E1135" s="502">
        <v>254.89750000000001</v>
      </c>
      <c r="F1135" s="402">
        <f>IFERROR(E1135*'01 Prod Physique Boites'!H1129,"-")</f>
        <v>0</v>
      </c>
      <c r="G1135" s="403">
        <f>IFERROR(E1135*'01 Prod Physique Boites'!L1129,"-")</f>
        <v>0</v>
      </c>
      <c r="H1135" s="381">
        <v>445.38</v>
      </c>
      <c r="I1135" s="419">
        <f>IFERROR(H1135*(F1135/E1135),"-")</f>
        <v>0</v>
      </c>
      <c r="J1135" s="420">
        <f t="shared" ref="J1135:J1138" si="646">IFERROR(H1135*(G1135/E1135),"-")</f>
        <v>0</v>
      </c>
    </row>
    <row r="1136" spans="1:10" ht="24" x14ac:dyDescent="0.25">
      <c r="A1136" s="274" t="s">
        <v>102</v>
      </c>
      <c r="B1136" s="951"/>
      <c r="C1136" s="312" t="s">
        <v>247</v>
      </c>
      <c r="D1136" s="312"/>
      <c r="E1136" s="503">
        <v>246.51390000000001</v>
      </c>
      <c r="F1136" s="402">
        <f>IFERROR(E1136*'01 Prod Physique Boites'!H1130,"-")</f>
        <v>0</v>
      </c>
      <c r="G1136" s="403">
        <f>IFERROR(E1136*'01 Prod Physique Boites'!L1130,"-")</f>
        <v>0</v>
      </c>
      <c r="H1136" s="385">
        <v>430.02</v>
      </c>
      <c r="I1136" s="421">
        <f>IFERROR(H1136*(F1136/E1136),"-")</f>
        <v>0</v>
      </c>
      <c r="J1136" s="422">
        <f t="shared" si="646"/>
        <v>0</v>
      </c>
    </row>
    <row r="1137" spans="1:10" ht="24" x14ac:dyDescent="0.25">
      <c r="A1137" s="274" t="s">
        <v>102</v>
      </c>
      <c r="B1137" s="951"/>
      <c r="C1137" s="312" t="s">
        <v>184</v>
      </c>
      <c r="D1137" s="312" t="s">
        <v>183</v>
      </c>
      <c r="E1137" s="503">
        <v>254.89750000000001</v>
      </c>
      <c r="F1137" s="402">
        <f>IFERROR(E1137*'01 Prod Physique Boites'!H1131,"-")</f>
        <v>0</v>
      </c>
      <c r="G1137" s="403">
        <f>IFERROR(E1137*'01 Prod Physique Boites'!L1131,"-")</f>
        <v>0</v>
      </c>
      <c r="H1137" s="385"/>
      <c r="I1137" s="421">
        <f>IFERROR(H1137*(F1137/E1137),"-")</f>
        <v>0</v>
      </c>
      <c r="J1137" s="422">
        <f t="shared" si="646"/>
        <v>0</v>
      </c>
    </row>
    <row r="1138" spans="1:10" ht="24.75" thickBot="1" x14ac:dyDescent="0.3">
      <c r="A1138" s="274" t="s">
        <v>102</v>
      </c>
      <c r="B1138" s="950"/>
      <c r="C1138" s="313" t="s">
        <v>36</v>
      </c>
      <c r="D1138" s="313"/>
      <c r="E1138" s="500">
        <v>229.99359999999999</v>
      </c>
      <c r="F1138" s="402">
        <f>IFERROR(E1138*'01 Prod Physique Boites'!H1132,"-")</f>
        <v>0</v>
      </c>
      <c r="G1138" s="403">
        <f>IFERROR(E1138*'01 Prod Physique Boites'!L1132,"-")</f>
        <v>0</v>
      </c>
      <c r="H1138" s="387"/>
      <c r="I1138" s="423">
        <f>IFERROR(H1138*(F1138/E1138),"-")</f>
        <v>0</v>
      </c>
      <c r="J1138" s="424">
        <f t="shared" si="646"/>
        <v>0</v>
      </c>
    </row>
    <row r="1139" spans="1:10" ht="23.25" thickBot="1" x14ac:dyDescent="0.3">
      <c r="A1139" s="274" t="s">
        <v>102</v>
      </c>
      <c r="B1139" s="946" t="s">
        <v>37</v>
      </c>
      <c r="C1139" s="947"/>
      <c r="D1139" s="948"/>
      <c r="E1139" s="390"/>
      <c r="F1139" s="406">
        <f t="shared" ref="F1139:G1139" si="647">SUM(F1135:F1138)</f>
        <v>0</v>
      </c>
      <c r="G1139" s="407">
        <f t="shared" si="647"/>
        <v>0</v>
      </c>
      <c r="H1139" s="391"/>
      <c r="I1139" s="406">
        <f>SUM(I1135:I1138)</f>
        <v>0</v>
      </c>
      <c r="J1139" s="425">
        <f>SUM(J1135:J1138)</f>
        <v>0</v>
      </c>
    </row>
    <row r="1140" spans="1:10" ht="24" x14ac:dyDescent="0.25">
      <c r="A1140" s="274" t="s">
        <v>102</v>
      </c>
      <c r="B1140" s="949" t="s">
        <v>402</v>
      </c>
      <c r="C1140" s="314" t="s">
        <v>116</v>
      </c>
      <c r="D1140" s="314"/>
      <c r="E1140" s="502">
        <v>195.2808</v>
      </c>
      <c r="F1140" s="402">
        <f>IFERROR(E1140*'01 Prod Physique Boites'!H1134,"-")</f>
        <v>0</v>
      </c>
      <c r="G1140" s="403">
        <f>IFERROR(E1140*'01 Prod Physique Boites'!L1134,"-")</f>
        <v>0</v>
      </c>
      <c r="H1140" s="681">
        <v>256.7</v>
      </c>
      <c r="I1140" s="419">
        <f>IFERROR(H1140*(F1140/E1140),"-")</f>
        <v>0</v>
      </c>
      <c r="J1140" s="420">
        <f t="shared" ref="J1140:J1141" si="648">IFERROR(H1140*(G1140/E1140),"-")</f>
        <v>0</v>
      </c>
    </row>
    <row r="1141" spans="1:10" ht="24.75" thickBot="1" x14ac:dyDescent="0.3">
      <c r="A1141" s="274" t="s">
        <v>102</v>
      </c>
      <c r="B1141" s="950"/>
      <c r="C1141" s="286" t="s">
        <v>132</v>
      </c>
      <c r="D1141" s="286"/>
      <c r="E1141" s="500">
        <v>189.91890000000001</v>
      </c>
      <c r="F1141" s="402">
        <f>IFERROR(E1141*'01 Prod Physique Boites'!H1135,"-")</f>
        <v>474797.25</v>
      </c>
      <c r="G1141" s="403">
        <f>IFERROR(E1141*'01 Prod Physique Boites'!L1135,"-")</f>
        <v>4138332.8310000002</v>
      </c>
      <c r="H1141" s="387">
        <v>320.35000000000002</v>
      </c>
      <c r="I1141" s="423">
        <f>IFERROR(H1141*(F1141/E1141),"-")</f>
        <v>800875</v>
      </c>
      <c r="J1141" s="424">
        <f t="shared" si="648"/>
        <v>6980426.5000000009</v>
      </c>
    </row>
    <row r="1142" spans="1:10" ht="23.25" thickBot="1" x14ac:dyDescent="0.3">
      <c r="A1142" s="892" t="s">
        <v>102</v>
      </c>
      <c r="B1142" s="946" t="s">
        <v>38</v>
      </c>
      <c r="C1142" s="947"/>
      <c r="D1142" s="948"/>
      <c r="E1142" s="390"/>
      <c r="F1142" s="406">
        <f>SUM(F1140:F1141)</f>
        <v>474797.25</v>
      </c>
      <c r="G1142" s="407">
        <f t="shared" ref="G1142" si="649">SUM(G1140:G1141)</f>
        <v>4138332.8310000002</v>
      </c>
      <c r="H1142" s="391"/>
      <c r="I1142" s="406">
        <f t="shared" ref="I1142:J1142" si="650">SUM(I1140:I1141)</f>
        <v>800875</v>
      </c>
      <c r="J1142" s="425">
        <f t="shared" si="650"/>
        <v>6980426.5000000009</v>
      </c>
    </row>
    <row r="1143" spans="1:10" ht="24" x14ac:dyDescent="0.25">
      <c r="A1143" s="274" t="s">
        <v>102</v>
      </c>
      <c r="B1143" s="949" t="s">
        <v>403</v>
      </c>
      <c r="C1143" s="269" t="s">
        <v>306</v>
      </c>
      <c r="D1143" s="269" t="s">
        <v>238</v>
      </c>
      <c r="E1143" s="504">
        <v>37.248699999999999</v>
      </c>
      <c r="F1143" s="402">
        <f>IFERROR(E1143*'01 Prod Physique Boites'!H1137,"-")</f>
        <v>1752178.848</v>
      </c>
      <c r="G1143" s="403">
        <f>IFERROR(E1143*'01 Prod Physique Boites'!L1137,"-")</f>
        <v>9417514.3235999998</v>
      </c>
      <c r="H1143" s="381">
        <v>71.44</v>
      </c>
      <c r="I1143" s="419">
        <f>IFERROR(H1143*(F1143/E1143),"-")</f>
        <v>3360537.6</v>
      </c>
      <c r="J1143" s="420">
        <f>IFERROR(H1143*(G1143/E1143),"-")</f>
        <v>18062032.32</v>
      </c>
    </row>
    <row r="1144" spans="1:10" ht="24" x14ac:dyDescent="0.25">
      <c r="A1144" s="274" t="s">
        <v>102</v>
      </c>
      <c r="B1144" s="951"/>
      <c r="C1144" s="269" t="s">
        <v>156</v>
      </c>
      <c r="D1144" s="275"/>
      <c r="E1144" s="504">
        <v>37.248699999999999</v>
      </c>
      <c r="F1144" s="402">
        <f>IFERROR(E1144*'01 Prod Physique Boites'!H1138,"-")</f>
        <v>0</v>
      </c>
      <c r="G1144" s="403">
        <f>IFERROR(E1144*'01 Prod Physique Boites'!L1138,"-")</f>
        <v>0</v>
      </c>
      <c r="H1144" s="385"/>
      <c r="I1144" s="421">
        <f>IFERROR(H1144*(F1144/E1144),"-")</f>
        <v>0</v>
      </c>
      <c r="J1144" s="422">
        <f t="shared" ref="J1144:J1146" si="651">IFERROR(H1144*(G1144/E1144),"-")</f>
        <v>0</v>
      </c>
    </row>
    <row r="1145" spans="1:10" ht="24" x14ac:dyDescent="0.25">
      <c r="A1145" s="274" t="s">
        <v>102</v>
      </c>
      <c r="B1145" s="951"/>
      <c r="C1145" s="275" t="s">
        <v>345</v>
      </c>
      <c r="D1145" s="269" t="s">
        <v>238</v>
      </c>
      <c r="E1145" s="504">
        <v>37.248699999999999</v>
      </c>
      <c r="F1145" s="402">
        <f>IFERROR(E1145*'01 Prod Physique Boites'!H1139,"-")</f>
        <v>0</v>
      </c>
      <c r="G1145" s="403">
        <f>IFERROR(E1145*'01 Prod Physique Boites'!L1139,"-")</f>
        <v>1826378.2583999999</v>
      </c>
      <c r="H1145" s="385">
        <v>71.44</v>
      </c>
      <c r="I1145" s="421">
        <f>IFERROR(H1145*(F1145/E1145),"-")</f>
        <v>0</v>
      </c>
      <c r="J1145" s="422">
        <f t="shared" si="651"/>
        <v>3502846.08</v>
      </c>
    </row>
    <row r="1146" spans="1:10" ht="24.75" thickBot="1" x14ac:dyDescent="0.3">
      <c r="A1146" s="274" t="s">
        <v>102</v>
      </c>
      <c r="B1146" s="951"/>
      <c r="C1146" s="275" t="s">
        <v>157</v>
      </c>
      <c r="D1146" s="275"/>
      <c r="E1146" s="505">
        <v>38.466099999999997</v>
      </c>
      <c r="F1146" s="402">
        <f>IFERROR(E1146*'01 Prod Physique Boites'!H1140,"-")</f>
        <v>0</v>
      </c>
      <c r="G1146" s="403">
        <f>IFERROR(E1146*'01 Prod Physique Boites'!L1140,"-")</f>
        <v>0</v>
      </c>
      <c r="H1146" s="385"/>
      <c r="I1146" s="421">
        <f>IFERROR(H1146*(F1146/E1146),"-")</f>
        <v>0</v>
      </c>
      <c r="J1146" s="422">
        <f t="shared" si="651"/>
        <v>0</v>
      </c>
    </row>
    <row r="1147" spans="1:10" ht="23.25" thickBot="1" x14ac:dyDescent="0.3">
      <c r="A1147" s="274" t="s">
        <v>102</v>
      </c>
      <c r="B1147" s="946" t="s">
        <v>39</v>
      </c>
      <c r="C1147" s="947"/>
      <c r="D1147" s="948"/>
      <c r="E1147" s="390"/>
      <c r="F1147" s="406">
        <f>SUM(F1143:F1146)</f>
        <v>1752178.848</v>
      </c>
      <c r="G1147" s="407">
        <f>SUM(G1143:G1146)</f>
        <v>11243892.582</v>
      </c>
      <c r="H1147" s="391"/>
      <c r="I1147" s="406">
        <f>SUM(I1143:I1146)</f>
        <v>3360537.6</v>
      </c>
      <c r="J1147" s="406">
        <f>SUM(J1143:J1146)</f>
        <v>21564878.399999999</v>
      </c>
    </row>
    <row r="1148" spans="1:10" ht="24" x14ac:dyDescent="0.25">
      <c r="A1148" s="274" t="s">
        <v>102</v>
      </c>
      <c r="B1148" s="949" t="s">
        <v>40</v>
      </c>
      <c r="C1148" s="269" t="s">
        <v>186</v>
      </c>
      <c r="D1148" s="269" t="s">
        <v>183</v>
      </c>
      <c r="E1148" s="504">
        <v>30.7499</v>
      </c>
      <c r="F1148" s="402">
        <f>IFERROR(E1148*'01 Prod Physique Boites'!H1143,"-")</f>
        <v>0</v>
      </c>
      <c r="G1148" s="402">
        <f>IFERROR(E1148*'01 Prod Physique Boites'!L1143,"-")</f>
        <v>0</v>
      </c>
      <c r="H1148" s="381"/>
      <c r="I1148" s="419">
        <f>IFERROR(H1148*(F1148/E1148),"-")</f>
        <v>0</v>
      </c>
      <c r="J1148" s="420">
        <f>IFERROR(H1148*(G1148/E1148),"-")</f>
        <v>0</v>
      </c>
    </row>
    <row r="1149" spans="1:10" ht="24" x14ac:dyDescent="0.25">
      <c r="A1149" s="274" t="s">
        <v>102</v>
      </c>
      <c r="B1149" s="951"/>
      <c r="C1149" s="275" t="s">
        <v>159</v>
      </c>
      <c r="D1149" s="275"/>
      <c r="E1149" s="684">
        <v>30.073599999999999</v>
      </c>
      <c r="F1149" s="402">
        <f>IFERROR(E1149*'01 Prod Physique Boites'!H1144,"-")</f>
        <v>0</v>
      </c>
      <c r="G1149" s="403">
        <f>IFERROR(E1149*'01 Prod Physique Boites'!L1144,"-")</f>
        <v>342839.03999999998</v>
      </c>
      <c r="H1149" s="385">
        <v>59.96</v>
      </c>
      <c r="I1149" s="421">
        <f>IFERROR(H1149*(F1149/E1149),"-")</f>
        <v>0</v>
      </c>
      <c r="J1149" s="422">
        <f t="shared" ref="J1149:J1150" si="652">IFERROR(H1149*(G1149/E1149),"-")</f>
        <v>683544</v>
      </c>
    </row>
    <row r="1150" spans="1:10" ht="24.75" thickBot="1" x14ac:dyDescent="0.3">
      <c r="A1150" s="274" t="s">
        <v>102</v>
      </c>
      <c r="B1150" s="950"/>
      <c r="C1150" s="279" t="s">
        <v>186</v>
      </c>
      <c r="D1150" s="279" t="s">
        <v>185</v>
      </c>
      <c r="E1150" s="501">
        <v>30.073599999999999</v>
      </c>
      <c r="F1150" s="402">
        <f>IFERROR(E1150*'01 Prod Physique Boites'!H1145,"-")</f>
        <v>0</v>
      </c>
      <c r="G1150" s="403">
        <f>IFERROR(E1150*'01 Prod Physique Boites'!L1145,"-")</f>
        <v>0</v>
      </c>
      <c r="H1150" s="387"/>
      <c r="I1150" s="423">
        <f>IFERROR(H1150*(F1150/E1150),"-")</f>
        <v>0</v>
      </c>
      <c r="J1150" s="424">
        <f t="shared" si="652"/>
        <v>0</v>
      </c>
    </row>
    <row r="1151" spans="1:10" ht="23.25" thickBot="1" x14ac:dyDescent="0.3">
      <c r="A1151" s="274" t="s">
        <v>102</v>
      </c>
      <c r="B1151" s="952" t="s">
        <v>41</v>
      </c>
      <c r="C1151" s="953"/>
      <c r="D1151" s="954"/>
      <c r="E1151" s="390"/>
      <c r="F1151" s="406">
        <f t="shared" ref="F1151:G1151" si="653">SUM(F1148:F1150)</f>
        <v>0</v>
      </c>
      <c r="G1151" s="407">
        <f t="shared" si="653"/>
        <v>342839.03999999998</v>
      </c>
      <c r="H1151" s="391"/>
      <c r="I1151" s="406">
        <f t="shared" ref="I1151:J1151" si="654">SUM(I1148:I1150)</f>
        <v>0</v>
      </c>
      <c r="J1151" s="425">
        <f t="shared" si="654"/>
        <v>683544</v>
      </c>
    </row>
    <row r="1152" spans="1:10" ht="24" x14ac:dyDescent="0.25">
      <c r="A1152" s="274" t="s">
        <v>102</v>
      </c>
      <c r="B1152" s="949" t="s">
        <v>42</v>
      </c>
      <c r="C1152" s="269" t="s">
        <v>160</v>
      </c>
      <c r="D1152" s="269"/>
      <c r="E1152" s="504">
        <v>36.684899999999999</v>
      </c>
      <c r="F1152" s="402">
        <f>IFERROR(E1152*'01 Prod Physique Boites'!H1147,"-")</f>
        <v>0</v>
      </c>
      <c r="G1152" s="402">
        <f>IFERROR(E1152*'01 Prod Physique Boites'!L1147,"-")</f>
        <v>0</v>
      </c>
      <c r="H1152" s="381"/>
      <c r="I1152" s="382" t="s">
        <v>190</v>
      </c>
      <c r="J1152" s="383" t="s">
        <v>190</v>
      </c>
    </row>
    <row r="1153" spans="1:15" ht="24.75" thickBot="1" x14ac:dyDescent="0.3">
      <c r="A1153" s="274" t="s">
        <v>102</v>
      </c>
      <c r="B1153" s="950"/>
      <c r="C1153" s="279" t="s">
        <v>161</v>
      </c>
      <c r="D1153" s="279"/>
      <c r="E1153" s="501">
        <v>37.002800000000001</v>
      </c>
      <c r="F1153" s="402">
        <f>IFERROR(E1153*'01 Prod Physique Boites'!H1148,"-")</f>
        <v>0</v>
      </c>
      <c r="G1153" s="402">
        <f>IFERROR(E1153*'01 Prod Physique Boites'!L1148,"-")</f>
        <v>0</v>
      </c>
      <c r="H1153" s="387"/>
      <c r="I1153" s="388" t="s">
        <v>190</v>
      </c>
      <c r="J1153" s="389" t="s">
        <v>190</v>
      </c>
    </row>
    <row r="1154" spans="1:15" ht="23.25" thickBot="1" x14ac:dyDescent="0.3">
      <c r="A1154" s="274" t="s">
        <v>102</v>
      </c>
      <c r="B1154" s="952" t="s">
        <v>43</v>
      </c>
      <c r="C1154" s="953"/>
      <c r="D1154" s="954"/>
      <c r="E1154" s="390"/>
      <c r="F1154" s="402">
        <f>IFERROR(E1154*'01 Prod Physique Boites'!H1148,"-")</f>
        <v>0</v>
      </c>
      <c r="G1154" s="407">
        <f>IFERROR(E1154*'01 Prod Physique Boites'!L1148,"-")</f>
        <v>0</v>
      </c>
      <c r="H1154" s="391"/>
      <c r="I1154" s="406">
        <f t="shared" ref="I1154:J1154" si="655">SUM(I1152:I1153)</f>
        <v>0</v>
      </c>
      <c r="J1154" s="425">
        <f t="shared" si="655"/>
        <v>0</v>
      </c>
    </row>
    <row r="1155" spans="1:15" ht="23.25" thickBot="1" x14ac:dyDescent="0.3">
      <c r="A1155" s="274" t="s">
        <v>102</v>
      </c>
      <c r="B1155" s="938" t="s">
        <v>25</v>
      </c>
      <c r="C1155" s="939"/>
      <c r="D1155" s="940"/>
      <c r="E1155" s="393"/>
      <c r="F1155" s="410">
        <f>+F1134+F1139+F1142+F1147+F1151+F1154</f>
        <v>2226976.0980000002</v>
      </c>
      <c r="G1155" s="411">
        <f>+G1134+G1139+G1142+G1147+G1151+G1154</f>
        <v>17980420.1241</v>
      </c>
      <c r="H1155" s="394"/>
      <c r="I1155" s="410">
        <f>+I1134+I1139+I1142+I1147+I1151+I1154</f>
        <v>4161412.6</v>
      </c>
      <c r="J1155" s="428">
        <f>+J1134+J1139+J1142+J1147+J1151+J1154</f>
        <v>33163101.879999999</v>
      </c>
    </row>
    <row r="1156" spans="1:15" ht="23.25" thickBot="1" x14ac:dyDescent="0.3">
      <c r="A1156" s="318" t="s">
        <v>102</v>
      </c>
      <c r="B1156" s="941" t="s">
        <v>173</v>
      </c>
      <c r="C1156" s="941"/>
      <c r="D1156" s="942"/>
      <c r="E1156" s="395"/>
      <c r="F1156" s="412">
        <f t="shared" ref="F1156:G1156" si="656">+F1155</f>
        <v>2226976.0980000002</v>
      </c>
      <c r="G1156" s="413">
        <f t="shared" si="656"/>
        <v>17980420.1241</v>
      </c>
      <c r="H1156" s="396"/>
      <c r="I1156" s="412">
        <f t="shared" ref="I1156" si="657">+I1155</f>
        <v>4161412.6</v>
      </c>
      <c r="J1156" s="429">
        <f>+J1155</f>
        <v>33163101.879999999</v>
      </c>
    </row>
    <row r="1157" spans="1:15" ht="26.25" thickBot="1" x14ac:dyDescent="0.3">
      <c r="A1157" s="319"/>
      <c r="B1157" s="943" t="s">
        <v>174</v>
      </c>
      <c r="C1157" s="944"/>
      <c r="D1157" s="945"/>
      <c r="E1157" s="401"/>
      <c r="F1157" s="418">
        <f>+F1095+F1130+F1156</f>
        <v>9490184.7872000001</v>
      </c>
      <c r="G1157" s="418">
        <f>+G1095+G1130+G1156</f>
        <v>65550872.222499996</v>
      </c>
      <c r="H1157" s="401"/>
      <c r="I1157" s="418">
        <f>+I1095+I1130+I1156</f>
        <v>13418426.359999999</v>
      </c>
      <c r="J1157" s="432">
        <f>+J1095+J1130+J1156</f>
        <v>90928731</v>
      </c>
    </row>
    <row r="1158" spans="1:15" ht="22.5" x14ac:dyDescent="0.25">
      <c r="A1158" s="978" t="s">
        <v>1</v>
      </c>
      <c r="B1158" s="981" t="s">
        <v>2</v>
      </c>
      <c r="C1158" s="984" t="s">
        <v>396</v>
      </c>
      <c r="D1158" s="984" t="s">
        <v>397</v>
      </c>
      <c r="E1158" s="1011" t="s">
        <v>405</v>
      </c>
      <c r="F1158" s="1012"/>
      <c r="G1158" s="1012"/>
      <c r="H1158" s="442"/>
      <c r="I1158" s="442"/>
      <c r="J1158" s="443"/>
    </row>
    <row r="1159" spans="1:15" ht="22.5" x14ac:dyDescent="0.25">
      <c r="A1159" s="979"/>
      <c r="B1159" s="982"/>
      <c r="C1159" s="985"/>
      <c r="D1159" s="985"/>
      <c r="E1159" s="1013" t="s">
        <v>408</v>
      </c>
      <c r="F1159" s="1014"/>
      <c r="G1159" s="1015"/>
      <c r="H1159" s="1013" t="s">
        <v>168</v>
      </c>
      <c r="I1159" s="1014"/>
      <c r="J1159" s="1015"/>
    </row>
    <row r="1160" spans="1:15" ht="45" x14ac:dyDescent="0.25">
      <c r="A1160" s="980"/>
      <c r="B1160" s="1009"/>
      <c r="C1160" s="1010"/>
      <c r="D1160" s="1010"/>
      <c r="E1160" s="379" t="s">
        <v>170</v>
      </c>
      <c r="F1160" s="907" t="s">
        <v>407</v>
      </c>
      <c r="G1160" s="908" t="s">
        <v>406</v>
      </c>
      <c r="H1160" s="1016" t="s">
        <v>170</v>
      </c>
      <c r="I1160" s="1018" t="s">
        <v>137</v>
      </c>
      <c r="J1160" s="1020" t="s">
        <v>406</v>
      </c>
    </row>
    <row r="1161" spans="1:15" ht="23.25" thickBot="1" x14ac:dyDescent="0.3">
      <c r="A1161" s="980"/>
      <c r="B1161" s="983"/>
      <c r="C1161" s="986"/>
      <c r="D1161" s="986"/>
      <c r="E1161" s="1022" t="s">
        <v>552</v>
      </c>
      <c r="F1161" s="1023"/>
      <c r="G1161" s="1024"/>
      <c r="H1161" s="1017"/>
      <c r="I1161" s="1019"/>
      <c r="J1161" s="1021"/>
    </row>
    <row r="1162" spans="1:15" ht="24" x14ac:dyDescent="0.25">
      <c r="A1162" s="268" t="s">
        <v>103</v>
      </c>
      <c r="B1162" s="965" t="s">
        <v>16</v>
      </c>
      <c r="C1162" s="269" t="s">
        <v>368</v>
      </c>
      <c r="D1162" s="269" t="s">
        <v>369</v>
      </c>
      <c r="E1162" s="705">
        <v>81.360699999999994</v>
      </c>
      <c r="F1162" s="402">
        <f>IFERROR(E1162*'01 Prod Physique Boites'!H1156,"-")</f>
        <v>442602.20799999998</v>
      </c>
      <c r="G1162" s="402">
        <f>IFERROR(E1162*'01 Prod Physique Boites'!L1156,"-")</f>
        <v>624850.17599999998</v>
      </c>
      <c r="H1162" s="706">
        <v>143.28</v>
      </c>
      <c r="I1162" s="419">
        <f>IFERROR(H1162*(F1162/E1162),"-")</f>
        <v>779443.19999999995</v>
      </c>
      <c r="J1162" s="420">
        <f t="shared" ref="J1162:J1164" si="658">IFERROR(H1162*(G1162/E1162),"-")</f>
        <v>1100390.3999999999</v>
      </c>
    </row>
    <row r="1163" spans="1:15" ht="24" x14ac:dyDescent="0.25">
      <c r="A1163" s="713"/>
      <c r="B1163" s="966"/>
      <c r="C1163" s="275" t="s">
        <v>470</v>
      </c>
      <c r="D1163" s="275" t="s">
        <v>375</v>
      </c>
      <c r="E1163" s="505">
        <v>81.360699999999994</v>
      </c>
      <c r="F1163" s="402">
        <f>IFERROR(E1163*'01 Prod Physique Boites'!H1157,"-")</f>
        <v>0</v>
      </c>
      <c r="G1163" s="402">
        <f>IFERROR(E1163*'01 Prod Physique Boites'!L1157,"-")</f>
        <v>0</v>
      </c>
      <c r="H1163" s="708">
        <v>143.28</v>
      </c>
      <c r="I1163" s="419">
        <f>IFERROR(H1163*(F1163/E1163),"-")</f>
        <v>0</v>
      </c>
      <c r="J1163" s="420">
        <f t="shared" si="658"/>
        <v>0</v>
      </c>
    </row>
    <row r="1164" spans="1:15" ht="24" x14ac:dyDescent="0.25">
      <c r="A1164" s="274" t="s">
        <v>103</v>
      </c>
      <c r="B1164" s="966"/>
      <c r="C1164" s="275" t="s">
        <v>430</v>
      </c>
      <c r="D1164" s="275" t="s">
        <v>384</v>
      </c>
      <c r="E1164" s="684">
        <v>77.170400000000001</v>
      </c>
      <c r="F1164" s="402">
        <f>IFERROR(E1164*'01 Prod Physique Boites'!H1158,"-")</f>
        <v>0</v>
      </c>
      <c r="G1164" s="402">
        <f>IFERROR(E1164*'01 Prod Physique Boites'!L1158,"-")</f>
        <v>617363.19999999995</v>
      </c>
      <c r="H1164" s="385">
        <v>0</v>
      </c>
      <c r="I1164" s="419">
        <f>IFERROR(H1164*(F1164/E1164),"-")</f>
        <v>0</v>
      </c>
      <c r="J1164" s="420">
        <f t="shared" si="658"/>
        <v>0</v>
      </c>
    </row>
    <row r="1165" spans="1:15" ht="24.75" thickBot="1" x14ac:dyDescent="0.3">
      <c r="A1165" s="274" t="s">
        <v>103</v>
      </c>
      <c r="B1165" s="967"/>
      <c r="C1165" s="279" t="s">
        <v>262</v>
      </c>
      <c r="D1165" s="279" t="s">
        <v>231</v>
      </c>
      <c r="E1165" s="501">
        <v>60.703499999999998</v>
      </c>
      <c r="F1165" s="402">
        <f>IFERROR(E1165*'01 Prod Physique Boites'!H1159,"-")</f>
        <v>0</v>
      </c>
      <c r="G1165" s="402">
        <f>IFERROR(E1165*'01 Prod Physique Boites'!L1159,"-")</f>
        <v>0</v>
      </c>
      <c r="H1165" s="387">
        <v>111.09</v>
      </c>
      <c r="I1165" s="419">
        <f>IFERROR(H1165*(F1165/E1165),"-")</f>
        <v>0</v>
      </c>
      <c r="J1165" s="420">
        <f>IFERROR(H1165*(G1165/E1165),"-")</f>
        <v>0</v>
      </c>
    </row>
    <row r="1166" spans="1:15" ht="23.25" thickBot="1" x14ac:dyDescent="0.3">
      <c r="A1166" s="274" t="s">
        <v>103</v>
      </c>
      <c r="B1166" s="946" t="s">
        <v>44</v>
      </c>
      <c r="C1166" s="947"/>
      <c r="D1166" s="948"/>
      <c r="E1166" s="390"/>
      <c r="F1166" s="406">
        <f t="shared" ref="F1166" si="659">SUM(F1162:F1165)</f>
        <v>442602.20799999998</v>
      </c>
      <c r="G1166" s="407">
        <f>SUM(G1162:G1165)</f>
        <v>1242213.3759999999</v>
      </c>
      <c r="H1166" s="391"/>
      <c r="I1166" s="406">
        <f t="shared" ref="I1166:J1166" si="660">SUM(I1162:I1165)</f>
        <v>779443.19999999995</v>
      </c>
      <c r="J1166" s="425">
        <f t="shared" si="660"/>
        <v>1100390.3999999999</v>
      </c>
      <c r="K1166" s="704"/>
      <c r="L1166" s="704"/>
      <c r="M1166" s="704"/>
      <c r="N1166" s="704"/>
      <c r="O1166" s="704"/>
    </row>
    <row r="1167" spans="1:15" ht="24" x14ac:dyDescent="0.25">
      <c r="A1167" s="274" t="s">
        <v>103</v>
      </c>
      <c r="B1167" s="965" t="s">
        <v>17</v>
      </c>
      <c r="C1167" s="269" t="s">
        <v>294</v>
      </c>
      <c r="D1167" s="269"/>
      <c r="E1167" s="504">
        <v>12.5275</v>
      </c>
      <c r="F1167" s="402">
        <f>IFERROR(E1167*'01 Prod Physique Boites'!H1161,"-")</f>
        <v>0</v>
      </c>
      <c r="G1167" s="402">
        <f>IFERROR(E1167*'01 Prod Physique Boites'!L1161,"-")</f>
        <v>0</v>
      </c>
      <c r="H1167" s="681">
        <v>18.836400000000001</v>
      </c>
      <c r="I1167" s="419">
        <f t="shared" ref="I1167:I1173" si="661">IFERROR(H1167*(F1167/E1167),"-")</f>
        <v>0</v>
      </c>
      <c r="J1167" s="420">
        <f t="shared" ref="J1167:J1172" si="662">IFERROR(H1167*(G1167/E1167),"-")</f>
        <v>0</v>
      </c>
    </row>
    <row r="1168" spans="1:15" ht="24" x14ac:dyDescent="0.25">
      <c r="A1168" s="274" t="s">
        <v>103</v>
      </c>
      <c r="B1168" s="966"/>
      <c r="C1168" s="275" t="s">
        <v>344</v>
      </c>
      <c r="D1168" s="275" t="s">
        <v>232</v>
      </c>
      <c r="E1168" s="677">
        <v>13.002700000000001</v>
      </c>
      <c r="F1168" s="402">
        <f>IFERROR(E1168*'01 Prod Physique Boites'!H1162,"-")</f>
        <v>0</v>
      </c>
      <c r="G1168" s="402">
        <f>IFERROR(E1168*'01 Prod Physique Boites'!L1162,"-")</f>
        <v>77756.146000000008</v>
      </c>
      <c r="H1168" s="385">
        <v>21.18</v>
      </c>
      <c r="I1168" s="421">
        <f t="shared" si="661"/>
        <v>0</v>
      </c>
      <c r="J1168" s="422">
        <f t="shared" si="662"/>
        <v>126656.4</v>
      </c>
    </row>
    <row r="1169" spans="1:15" ht="24" x14ac:dyDescent="0.25">
      <c r="A1169" s="274" t="s">
        <v>103</v>
      </c>
      <c r="B1169" s="966"/>
      <c r="C1169" s="275" t="s">
        <v>351</v>
      </c>
      <c r="D1169" s="275" t="s">
        <v>187</v>
      </c>
      <c r="E1169" s="677">
        <v>12.9049</v>
      </c>
      <c r="F1169" s="402">
        <f>IFERROR(E1169*'01 Prod Physique Boites'!H1163,"-")</f>
        <v>1342625.7959999999</v>
      </c>
      <c r="G1169" s="402">
        <f>IFERROR(E1169*'01 Prod Physique Boites'!L1163,"-")</f>
        <v>11056918.32</v>
      </c>
      <c r="H1169" s="385">
        <v>20.5</v>
      </c>
      <c r="I1169" s="421">
        <f t="shared" si="661"/>
        <v>2132819.9999999995</v>
      </c>
      <c r="J1169" s="422">
        <f t="shared" si="662"/>
        <v>17564400</v>
      </c>
    </row>
    <row r="1170" spans="1:15" ht="24" x14ac:dyDescent="0.25">
      <c r="A1170" s="274" t="s">
        <v>103</v>
      </c>
      <c r="B1170" s="966"/>
      <c r="C1170" s="275" t="s">
        <v>530</v>
      </c>
      <c r="D1170" s="275" t="s">
        <v>529</v>
      </c>
      <c r="E1170" s="505">
        <v>13.1958</v>
      </c>
      <c r="F1170" s="402">
        <f>IFERROR(E1170*'01 Prod Physique Boites'!H1164,"-")</f>
        <v>0</v>
      </c>
      <c r="G1170" s="402">
        <f>IFERROR(E1170*'01 Prod Physique Boites'!L1164,"-")</f>
        <v>545646.32999999996</v>
      </c>
      <c r="H1170" s="708">
        <v>21.28</v>
      </c>
      <c r="I1170" s="421">
        <f t="shared" si="661"/>
        <v>0</v>
      </c>
      <c r="J1170" s="422">
        <f t="shared" si="662"/>
        <v>879927.99999999988</v>
      </c>
    </row>
    <row r="1171" spans="1:15" ht="24" x14ac:dyDescent="0.25">
      <c r="A1171" s="274" t="s">
        <v>103</v>
      </c>
      <c r="B1171" s="966"/>
      <c r="C1171" s="275" t="s">
        <v>323</v>
      </c>
      <c r="D1171" s="275" t="s">
        <v>318</v>
      </c>
      <c r="E1171" s="505">
        <v>13.1958</v>
      </c>
      <c r="F1171" s="402">
        <f>IFERROR(E1171*'01 Prod Physique Boites'!H1165,"-")</f>
        <v>0</v>
      </c>
      <c r="G1171" s="402">
        <f>IFERROR(E1171*'01 Prod Physique Boites'!L1165,"-")</f>
        <v>0</v>
      </c>
      <c r="H1171" s="385">
        <v>21.28</v>
      </c>
      <c r="I1171" s="421">
        <f t="shared" si="661"/>
        <v>0</v>
      </c>
      <c r="J1171" s="422">
        <f t="shared" si="662"/>
        <v>0</v>
      </c>
    </row>
    <row r="1172" spans="1:15" ht="24" x14ac:dyDescent="0.25">
      <c r="A1172" s="274">
        <v>1</v>
      </c>
      <c r="B1172" s="966"/>
      <c r="C1172" s="275" t="s">
        <v>528</v>
      </c>
      <c r="D1172" s="275" t="s">
        <v>189</v>
      </c>
      <c r="E1172" s="677">
        <v>13.1958</v>
      </c>
      <c r="F1172" s="402">
        <f>IFERROR(E1172*'01 Prod Physique Boites'!H1166,"-")</f>
        <v>0</v>
      </c>
      <c r="G1172" s="402">
        <f>IFERROR(E1172*'01 Prod Physique Boites'!L1166,"-")</f>
        <v>445490.20799999998</v>
      </c>
      <c r="H1172" s="664">
        <v>21.28</v>
      </c>
      <c r="I1172" s="421">
        <f t="shared" si="661"/>
        <v>0</v>
      </c>
      <c r="J1172" s="422">
        <f t="shared" si="662"/>
        <v>718412.80000000005</v>
      </c>
    </row>
    <row r="1173" spans="1:15" ht="24.75" thickBot="1" x14ac:dyDescent="0.3">
      <c r="A1173" s="274" t="s">
        <v>103</v>
      </c>
      <c r="B1173" s="967"/>
      <c r="C1173" s="279" t="s">
        <v>341</v>
      </c>
      <c r="D1173" s="279" t="s">
        <v>175</v>
      </c>
      <c r="E1173" s="501">
        <v>13.6509</v>
      </c>
      <c r="F1173" s="402">
        <f>IFERROR(E1173*'01 Prod Physique Boites'!H1167,"-")</f>
        <v>0</v>
      </c>
      <c r="G1173" s="402">
        <f>IFERROR(E1173*'01 Prod Physique Boites'!L1167,"-")</f>
        <v>0</v>
      </c>
      <c r="H1173" s="387">
        <v>21.18</v>
      </c>
      <c r="I1173" s="423">
        <f t="shared" si="661"/>
        <v>0</v>
      </c>
      <c r="J1173" s="424">
        <f>IFERROR(H1173*(G1173/E1173),"-")</f>
        <v>0</v>
      </c>
    </row>
    <row r="1174" spans="1:15" ht="23.25" thickBot="1" x14ac:dyDescent="0.3">
      <c r="A1174" s="274" t="s">
        <v>103</v>
      </c>
      <c r="B1174" s="946" t="s">
        <v>45</v>
      </c>
      <c r="C1174" s="947"/>
      <c r="D1174" s="948"/>
      <c r="E1174" s="390"/>
      <c r="F1174" s="406">
        <f t="shared" ref="F1174" si="663">SUM(F1167:F1173)</f>
        <v>1342625.7959999999</v>
      </c>
      <c r="G1174" s="407">
        <f>SUM(G1167:G1173)</f>
        <v>12125811.004000001</v>
      </c>
      <c r="H1174" s="391"/>
      <c r="I1174" s="406">
        <f t="shared" ref="I1174" si="664">SUM(I1167:I1173)</f>
        <v>2132819.9999999995</v>
      </c>
      <c r="J1174" s="425">
        <f>SUM(J1167:J1173)</f>
        <v>19289397.199999999</v>
      </c>
      <c r="K1174" s="704"/>
      <c r="L1174" s="704"/>
      <c r="M1174" s="704"/>
      <c r="N1174" s="704"/>
      <c r="O1174" s="704"/>
    </row>
    <row r="1175" spans="1:15" ht="24" x14ac:dyDescent="0.25">
      <c r="A1175" s="274" t="s">
        <v>103</v>
      </c>
      <c r="B1175" s="965" t="s">
        <v>18</v>
      </c>
      <c r="C1175" s="269" t="s">
        <v>312</v>
      </c>
      <c r="D1175" s="269" t="s">
        <v>92</v>
      </c>
      <c r="E1175" s="504">
        <v>17.8202</v>
      </c>
      <c r="F1175" s="402">
        <f>IFERROR(E1175*'01 Prod Physique Boites'!H1169,"-")</f>
        <v>0</v>
      </c>
      <c r="G1175" s="403">
        <f>IFERROR(E1175*'01 Prod Physique Boites'!L1169,"-")</f>
        <v>0</v>
      </c>
      <c r="H1175" s="381">
        <v>24.93</v>
      </c>
      <c r="I1175" s="419">
        <f t="shared" ref="I1175:I1181" si="665">IFERROR(H1175*(F1175/E1175),"-")</f>
        <v>0</v>
      </c>
      <c r="J1175" s="420">
        <f t="shared" ref="J1175:J1177" si="666">IFERROR(H1175*(G1175/E1175),"-")</f>
        <v>0</v>
      </c>
    </row>
    <row r="1176" spans="1:15" ht="24" x14ac:dyDescent="0.25">
      <c r="A1176" s="274" t="s">
        <v>103</v>
      </c>
      <c r="B1176" s="966"/>
      <c r="C1176" s="275" t="s">
        <v>130</v>
      </c>
      <c r="D1176" s="275"/>
      <c r="E1176" s="505">
        <v>17.8202</v>
      </c>
      <c r="F1176" s="402">
        <f>IFERROR(E1176*'01 Prod Physique Boites'!H1170,"-")</f>
        <v>0</v>
      </c>
      <c r="G1176" s="403">
        <f>IFERROR(E1176*'01 Prod Physique Boites'!L1170,"-")</f>
        <v>0</v>
      </c>
      <c r="H1176" s="385">
        <v>0</v>
      </c>
      <c r="I1176" s="421">
        <f t="shared" si="665"/>
        <v>0</v>
      </c>
      <c r="J1176" s="422">
        <f t="shared" si="666"/>
        <v>0</v>
      </c>
    </row>
    <row r="1177" spans="1:15" ht="24" x14ac:dyDescent="0.25">
      <c r="A1177" s="274" t="s">
        <v>103</v>
      </c>
      <c r="B1177" s="966"/>
      <c r="C1177" s="275" t="s">
        <v>115</v>
      </c>
      <c r="D1177" s="275"/>
      <c r="E1177" s="505">
        <v>16.4071</v>
      </c>
      <c r="F1177" s="402">
        <f>IFERROR(E1177*'01 Prod Physique Boites'!H1171,"-")</f>
        <v>0</v>
      </c>
      <c r="G1177" s="403">
        <f>IFERROR(E1177*'01 Prod Physique Boites'!L1171,"-")</f>
        <v>0</v>
      </c>
      <c r="H1177" s="385">
        <v>0</v>
      </c>
      <c r="I1177" s="421">
        <f t="shared" si="665"/>
        <v>0</v>
      </c>
      <c r="J1177" s="422">
        <f t="shared" si="666"/>
        <v>0</v>
      </c>
    </row>
    <row r="1178" spans="1:15" ht="24" x14ac:dyDescent="0.25">
      <c r="A1178" s="274" t="s">
        <v>103</v>
      </c>
      <c r="B1178" s="966"/>
      <c r="C1178" s="275" t="s">
        <v>122</v>
      </c>
      <c r="D1178" s="275"/>
      <c r="E1178" s="505">
        <v>17.8202</v>
      </c>
      <c r="F1178" s="402">
        <f>IFERROR(E1178*'01 Prod Physique Boites'!H1172,"-")</f>
        <v>0</v>
      </c>
      <c r="G1178" s="403">
        <f>IFERROR(E1178*'01 Prod Physique Boites'!L1172,"-")</f>
        <v>0</v>
      </c>
      <c r="H1178" s="385">
        <v>0</v>
      </c>
      <c r="I1178" s="421">
        <f t="shared" si="665"/>
        <v>0</v>
      </c>
      <c r="J1178" s="422">
        <f>IFERROR(H1178*(G1178/E1178),"-")</f>
        <v>0</v>
      </c>
    </row>
    <row r="1179" spans="1:15" ht="24" x14ac:dyDescent="0.25">
      <c r="A1179" s="274" t="s">
        <v>103</v>
      </c>
      <c r="B1179" s="966"/>
      <c r="C1179" s="275" t="s">
        <v>176</v>
      </c>
      <c r="D1179" s="275" t="s">
        <v>177</v>
      </c>
      <c r="E1179" s="505">
        <v>17.8202</v>
      </c>
      <c r="F1179" s="402">
        <f>IFERROR(E1179*'01 Prod Physique Boites'!H1173,"-")</f>
        <v>0</v>
      </c>
      <c r="G1179" s="403">
        <f>IFERROR(E1179*'01 Prod Physique Boites'!L1173,"-")</f>
        <v>0</v>
      </c>
      <c r="H1179" s="385">
        <v>0</v>
      </c>
      <c r="I1179" s="421">
        <f t="shared" si="665"/>
        <v>0</v>
      </c>
      <c r="J1179" s="422">
        <f t="shared" ref="J1179:J1181" si="667">IFERROR(H1179*(G1179/E1179),"-")</f>
        <v>0</v>
      </c>
    </row>
    <row r="1180" spans="1:15" ht="24" x14ac:dyDescent="0.25">
      <c r="A1180" s="274" t="s">
        <v>103</v>
      </c>
      <c r="B1180" s="966"/>
      <c r="C1180" s="275" t="s">
        <v>179</v>
      </c>
      <c r="D1180" s="275" t="s">
        <v>178</v>
      </c>
      <c r="E1180" s="505">
        <v>16.7288</v>
      </c>
      <c r="F1180" s="402">
        <f>IFERROR(E1180*'01 Prod Physique Boites'!H1174,"-")</f>
        <v>0</v>
      </c>
      <c r="G1180" s="403">
        <f>IFERROR(E1180*'01 Prod Physique Boites'!L1174,"-")</f>
        <v>0</v>
      </c>
      <c r="H1180" s="385">
        <v>0</v>
      </c>
      <c r="I1180" s="421">
        <f t="shared" si="665"/>
        <v>0</v>
      </c>
      <c r="J1180" s="422">
        <f t="shared" si="667"/>
        <v>0</v>
      </c>
    </row>
    <row r="1181" spans="1:15" ht="24.75" thickBot="1" x14ac:dyDescent="0.3">
      <c r="A1181" s="274" t="s">
        <v>103</v>
      </c>
      <c r="B1181" s="967"/>
      <c r="C1181" s="286" t="s">
        <v>180</v>
      </c>
      <c r="D1181" s="286" t="s">
        <v>107</v>
      </c>
      <c r="E1181" s="501">
        <v>17.8202</v>
      </c>
      <c r="F1181" s="402">
        <f>IFERROR(E1181*'01 Prod Physique Boites'!H1175,"-")</f>
        <v>0</v>
      </c>
      <c r="G1181" s="403">
        <f>IFERROR(E1181*'01 Prod Physique Boites'!L1175,"-")</f>
        <v>0</v>
      </c>
      <c r="H1181" s="385">
        <v>0</v>
      </c>
      <c r="I1181" s="423">
        <f t="shared" si="665"/>
        <v>0</v>
      </c>
      <c r="J1181" s="424">
        <f t="shared" si="667"/>
        <v>0</v>
      </c>
    </row>
    <row r="1182" spans="1:15" ht="23.25" thickBot="1" x14ac:dyDescent="0.3">
      <c r="A1182" s="274" t="s">
        <v>103</v>
      </c>
      <c r="B1182" s="946" t="s">
        <v>29</v>
      </c>
      <c r="C1182" s="970"/>
      <c r="D1182" s="971"/>
      <c r="E1182" s="841"/>
      <c r="F1182" s="649">
        <f t="shared" ref="F1182:G1182" si="668">SUM(F1175:F1181)</f>
        <v>0</v>
      </c>
      <c r="G1182" s="407">
        <f t="shared" si="668"/>
        <v>0</v>
      </c>
      <c r="H1182" s="391"/>
      <c r="I1182" s="406">
        <f t="shared" ref="I1182:J1182" si="669">SUM(I1175:I1181)</f>
        <v>0</v>
      </c>
      <c r="J1182" s="425">
        <f t="shared" si="669"/>
        <v>0</v>
      </c>
    </row>
    <row r="1183" spans="1:15" ht="24.75" thickBot="1" x14ac:dyDescent="0.3">
      <c r="A1183" s="274"/>
      <c r="B1183" s="972" t="s">
        <v>19</v>
      </c>
      <c r="C1183" s="669" t="s">
        <v>235</v>
      </c>
      <c r="D1183" s="669" t="s">
        <v>177</v>
      </c>
      <c r="E1183" s="914">
        <v>12.2659</v>
      </c>
      <c r="F1183" s="843">
        <f>IFERROR(E1183*'01 Prod Physique Boites'!H1177,"-")</f>
        <v>0</v>
      </c>
      <c r="G1183" s="659">
        <f>IFERROR(E1183*'01 Prod Physique Boites'!L1177,"-")</f>
        <v>0</v>
      </c>
      <c r="H1183" s="653">
        <v>14.79</v>
      </c>
      <c r="I1183" s="638">
        <f t="shared" ref="I1183:I1189" si="670">IFERROR(H1183*(F1183/E1183),"-")</f>
        <v>0</v>
      </c>
      <c r="J1183" s="638">
        <f>IFERROR(H1183*(G1183/E1183),"-")</f>
        <v>0</v>
      </c>
    </row>
    <row r="1184" spans="1:15" ht="24.75" thickBot="1" x14ac:dyDescent="0.3">
      <c r="A1184" s="274"/>
      <c r="B1184" s="973"/>
      <c r="C1184" s="840" t="s">
        <v>359</v>
      </c>
      <c r="D1184" s="840" t="s">
        <v>423</v>
      </c>
      <c r="E1184" s="911">
        <v>12.2659</v>
      </c>
      <c r="F1184" s="843">
        <f>IFERROR(E1184*'01 Prod Physique Boites'!H1178,"-")</f>
        <v>0</v>
      </c>
      <c r="G1184" s="659">
        <f>IFERROR(E1184*'01 Prod Physique Boites'!L1178,"-")</f>
        <v>7046317.9775999999</v>
      </c>
      <c r="H1184" s="654">
        <v>14.55</v>
      </c>
      <c r="I1184" s="643">
        <f t="shared" si="670"/>
        <v>0</v>
      </c>
      <c r="J1184" s="643">
        <f>IFERROR(H1184*(G1184/E1184),"-")</f>
        <v>8358451.2000000002</v>
      </c>
    </row>
    <row r="1185" spans="1:10" ht="24.75" thickBot="1" x14ac:dyDescent="0.3">
      <c r="A1185" s="274"/>
      <c r="B1185" s="973"/>
      <c r="C1185" s="840" t="s">
        <v>235</v>
      </c>
      <c r="D1185" s="840" t="s">
        <v>522</v>
      </c>
      <c r="E1185" s="911">
        <v>12.2659</v>
      </c>
      <c r="F1185" s="843">
        <f>IFERROR(E1185*'01 Prod Physique Boites'!H1179,"-")</f>
        <v>477683.2096</v>
      </c>
      <c r="G1185" s="659">
        <f>IFERROR(E1185*'01 Prod Physique Boites'!L1179,"-")</f>
        <v>2621370.0208000001</v>
      </c>
      <c r="H1185" s="860">
        <v>0</v>
      </c>
      <c r="I1185" s="643">
        <f t="shared" si="670"/>
        <v>0</v>
      </c>
      <c r="J1185" s="643">
        <f t="shared" ref="J1185:J1188" si="671">IFERROR(H1185*(G1185/E1185),"-")</f>
        <v>0</v>
      </c>
    </row>
    <row r="1186" spans="1:10" ht="24.75" thickBot="1" x14ac:dyDescent="0.3">
      <c r="A1186" s="274"/>
      <c r="B1186" s="973"/>
      <c r="C1186" s="840" t="s">
        <v>377</v>
      </c>
      <c r="D1186" s="840" t="s">
        <v>522</v>
      </c>
      <c r="E1186" s="911">
        <v>12.2659</v>
      </c>
      <c r="F1186" s="843">
        <f>IFERROR(E1186*'01 Prod Physique Boites'!H1180,"-")</f>
        <v>103622.3232</v>
      </c>
      <c r="G1186" s="659">
        <f>IFERROR(E1186*'01 Prod Physique Boites'!L1180,"-")</f>
        <v>3523158.9887999999</v>
      </c>
      <c r="H1186" s="860">
        <v>0</v>
      </c>
      <c r="I1186" s="643">
        <f t="shared" si="670"/>
        <v>0</v>
      </c>
      <c r="J1186" s="643">
        <f t="shared" si="671"/>
        <v>0</v>
      </c>
    </row>
    <row r="1187" spans="1:10" ht="24.75" thickBot="1" x14ac:dyDescent="0.3">
      <c r="A1187" s="274"/>
      <c r="B1187" s="973"/>
      <c r="C1187" s="840" t="s">
        <v>536</v>
      </c>
      <c r="D1187" s="840" t="s">
        <v>522</v>
      </c>
      <c r="E1187" s="911">
        <v>12.2659</v>
      </c>
      <c r="F1187" s="843">
        <f>IFERROR(E1187*'01 Prod Physique Boites'!H1181,"-")</f>
        <v>828978.58559999999</v>
      </c>
      <c r="G1187" s="659">
        <f>IFERROR(E1187*'01 Prod Physique Boites'!L1181,"-")</f>
        <v>1761579.4944</v>
      </c>
      <c r="H1187" s="860">
        <v>0</v>
      </c>
      <c r="I1187" s="643">
        <f t="shared" si="670"/>
        <v>0</v>
      </c>
      <c r="J1187" s="643">
        <f t="shared" si="671"/>
        <v>0</v>
      </c>
    </row>
    <row r="1188" spans="1:10" ht="24.75" thickBot="1" x14ac:dyDescent="0.3">
      <c r="A1188" s="274"/>
      <c r="B1188" s="973"/>
      <c r="C1188" s="840"/>
      <c r="D1188" s="840"/>
      <c r="E1188" s="911">
        <v>12.2659</v>
      </c>
      <c r="F1188" s="843">
        <f>IFERROR(E1188*'01 Prod Physique Boites'!H1182,"-")</f>
        <v>0</v>
      </c>
      <c r="G1188" s="659">
        <f>IFERROR(E1188*'01 Prod Physique Boites'!L1182,"-")</f>
        <v>0</v>
      </c>
      <c r="H1188" s="910">
        <v>14.55</v>
      </c>
      <c r="I1188" s="643">
        <f t="shared" si="670"/>
        <v>0</v>
      </c>
      <c r="J1188" s="643">
        <f t="shared" si="671"/>
        <v>0</v>
      </c>
    </row>
    <row r="1189" spans="1:10" ht="24.75" thickBot="1" x14ac:dyDescent="0.3">
      <c r="A1189" s="909" t="s">
        <v>103</v>
      </c>
      <c r="B1189" s="974"/>
      <c r="C1189" s="670" t="s">
        <v>342</v>
      </c>
      <c r="D1189" s="670"/>
      <c r="E1189" s="676">
        <v>0</v>
      </c>
      <c r="F1189" s="843">
        <f>IFERROR(E1189*'01 Prod Physique Boites'!H1183,"-")</f>
        <v>0</v>
      </c>
      <c r="G1189" s="659">
        <f>IFERROR(E1189*'01 Prod Physique Boites'!L1183,"-")</f>
        <v>0</v>
      </c>
      <c r="H1189" s="655">
        <v>0</v>
      </c>
      <c r="I1189" s="643" t="str">
        <f t="shared" si="670"/>
        <v>-</v>
      </c>
      <c r="J1189" s="427" t="str">
        <f t="shared" ref="J1189" si="672">IFERROR(I1189*(G1189/F1189),"-")</f>
        <v>-</v>
      </c>
    </row>
    <row r="1190" spans="1:10" ht="23.25" thickBot="1" x14ac:dyDescent="0.3">
      <c r="A1190" s="274" t="s">
        <v>103</v>
      </c>
      <c r="B1190" s="946" t="s">
        <v>46</v>
      </c>
      <c r="C1190" s="976"/>
      <c r="D1190" s="977"/>
      <c r="E1190" s="842"/>
      <c r="F1190" s="406">
        <f>SUM(F1183:F1189)</f>
        <v>1410284.1184</v>
      </c>
      <c r="G1190" s="406">
        <f>SUM(G1183:G1189)</f>
        <v>14952426.4816</v>
      </c>
      <c r="H1190" s="391"/>
      <c r="I1190" s="406">
        <f>SUM(I1183:I1189)</f>
        <v>0</v>
      </c>
      <c r="J1190" s="425">
        <f>SUM(J1183:J1189)</f>
        <v>8358451.2000000002</v>
      </c>
    </row>
    <row r="1191" spans="1:10" ht="24" x14ac:dyDescent="0.25">
      <c r="A1191" s="274" t="s">
        <v>103</v>
      </c>
      <c r="B1191" s="965" t="s">
        <v>20</v>
      </c>
      <c r="C1191" s="291" t="s">
        <v>317</v>
      </c>
      <c r="D1191" s="291" t="s">
        <v>289</v>
      </c>
      <c r="E1191" s="504">
        <v>26.032900000000001</v>
      </c>
      <c r="F1191" s="402">
        <f>IFERROR(E1191*'01 Prod Physique Boites'!H1185,"-")</f>
        <v>0</v>
      </c>
      <c r="G1191" s="403">
        <f>IFERROR(E1191*'01 Prod Physique Boites'!L1185,"-")</f>
        <v>0</v>
      </c>
      <c r="H1191" s="381">
        <v>36.44</v>
      </c>
      <c r="I1191" s="419">
        <f>IFERROR(H1191*(F1191/E1191),"-")</f>
        <v>0</v>
      </c>
      <c r="J1191" s="420">
        <f t="shared" ref="J1191:J1193" si="673">IFERROR(H1191*(G1191/E1191),"-")</f>
        <v>0</v>
      </c>
    </row>
    <row r="1192" spans="1:10" ht="24" x14ac:dyDescent="0.25">
      <c r="A1192" s="274" t="s">
        <v>103</v>
      </c>
      <c r="B1192" s="966"/>
      <c r="C1192" s="292" t="s">
        <v>114</v>
      </c>
      <c r="D1192" s="292"/>
      <c r="E1192" s="384">
        <v>24.2607</v>
      </c>
      <c r="F1192" s="402">
        <f>IFERROR(E1192*'01 Prod Physique Boites'!H1186,"-")</f>
        <v>0</v>
      </c>
      <c r="G1192" s="403">
        <f>IFERROR(E1192*'01 Prod Physique Boites'!L1186,"-")</f>
        <v>0</v>
      </c>
      <c r="H1192" s="385">
        <v>37.369999999999997</v>
      </c>
      <c r="I1192" s="421">
        <f>IFERROR(H1192*(F1192/E1192),"-")</f>
        <v>0</v>
      </c>
      <c r="J1192" s="422">
        <f t="shared" si="673"/>
        <v>0</v>
      </c>
    </row>
    <row r="1193" spans="1:10" ht="24.75" thickBot="1" x14ac:dyDescent="0.3">
      <c r="A1193" s="274" t="s">
        <v>103</v>
      </c>
      <c r="B1193" s="967"/>
      <c r="C1193" s="293" t="s">
        <v>120</v>
      </c>
      <c r="D1193" s="293"/>
      <c r="E1193" s="386">
        <v>26.035799999999998</v>
      </c>
      <c r="F1193" s="402">
        <f>IFERROR(E1193*'01 Prod Physique Boites'!H1187,"-")</f>
        <v>0</v>
      </c>
      <c r="G1193" s="403">
        <f>IFERROR(E1193*'01 Prod Physique Boites'!L1187,"-")</f>
        <v>0</v>
      </c>
      <c r="H1193" s="387">
        <v>37.11</v>
      </c>
      <c r="I1193" s="423">
        <f>IFERROR(H1193*(F1193/E1193),"-")</f>
        <v>0</v>
      </c>
      <c r="J1193" s="424">
        <f t="shared" si="673"/>
        <v>0</v>
      </c>
    </row>
    <row r="1194" spans="1:10" ht="23.25" thickBot="1" x14ac:dyDescent="0.3">
      <c r="A1194" s="274" t="s">
        <v>103</v>
      </c>
      <c r="B1194" s="947" t="s">
        <v>47</v>
      </c>
      <c r="C1194" s="947"/>
      <c r="D1194" s="964"/>
      <c r="E1194" s="390"/>
      <c r="F1194" s="406">
        <f t="shared" ref="F1194:G1194" si="674">SUM(F1191:F1193)</f>
        <v>0</v>
      </c>
      <c r="G1194" s="407">
        <f t="shared" si="674"/>
        <v>0</v>
      </c>
      <c r="H1194" s="391"/>
      <c r="I1194" s="406">
        <f t="shared" ref="I1194:J1194" si="675">SUM(I1191:I1193)</f>
        <v>0</v>
      </c>
      <c r="J1194" s="425">
        <f t="shared" si="675"/>
        <v>0</v>
      </c>
    </row>
    <row r="1195" spans="1:10" ht="23.25" thickBot="1" x14ac:dyDescent="0.3">
      <c r="A1195" s="274" t="s">
        <v>103</v>
      </c>
      <c r="B1195" s="960" t="s">
        <v>21</v>
      </c>
      <c r="C1195" s="961"/>
      <c r="D1195" s="962"/>
      <c r="E1195" s="393"/>
      <c r="F1195" s="410">
        <f>+F1166+F1174+F1182+F1190+F1194</f>
        <v>3195512.1223999998</v>
      </c>
      <c r="G1195" s="411">
        <f>+G1166+G1174+G1182+G1190+G1194</f>
        <v>28320450.8616</v>
      </c>
      <c r="H1195" s="394"/>
      <c r="I1195" s="410">
        <f>+I1166+I1174+I1182+I1190+I1194</f>
        <v>2912263.1999999993</v>
      </c>
      <c r="J1195" s="428">
        <f>+J1166+J1174+J1182+J1190+J1194</f>
        <v>28748238.799999997</v>
      </c>
    </row>
    <row r="1196" spans="1:10" ht="24" x14ac:dyDescent="0.25">
      <c r="A1196" s="274" t="s">
        <v>103</v>
      </c>
      <c r="B1196" s="965" t="s">
        <v>400</v>
      </c>
      <c r="C1196" s="269" t="s">
        <v>125</v>
      </c>
      <c r="D1196" s="269"/>
      <c r="E1196" s="380">
        <v>22.820599999999999</v>
      </c>
      <c r="F1196" s="402">
        <f>IFERROR(E1196*'01 Prod Physique Boites'!H1190,"-")</f>
        <v>0</v>
      </c>
      <c r="G1196" s="403">
        <f>IFERROR(E1196*'01 Prod Physique Boites'!L1190,"-")</f>
        <v>0</v>
      </c>
      <c r="H1196" s="381">
        <v>27.5</v>
      </c>
      <c r="I1196" s="419">
        <f>IFERROR(H1196*(F1196/E1196),"-")</f>
        <v>0</v>
      </c>
      <c r="J1196" s="420">
        <f t="shared" ref="J1196:J1199" si="676">IFERROR(H1196*(G1196/E1196),"-")</f>
        <v>0</v>
      </c>
    </row>
    <row r="1197" spans="1:10" ht="24" x14ac:dyDescent="0.25">
      <c r="A1197" s="274" t="s">
        <v>103</v>
      </c>
      <c r="B1197" s="966"/>
      <c r="C1197" s="295" t="s">
        <v>263</v>
      </c>
      <c r="D1197" s="295" t="s">
        <v>181</v>
      </c>
      <c r="E1197" s="384">
        <v>23.570699999999999</v>
      </c>
      <c r="F1197" s="402">
        <f>IFERROR(E1197*'01 Prod Physique Boites'!H1191,"-")</f>
        <v>0</v>
      </c>
      <c r="G1197" s="403">
        <f>IFERROR(E1197*'01 Prod Physique Boites'!L1191,"-")</f>
        <v>0</v>
      </c>
      <c r="H1197" s="385">
        <v>27.5</v>
      </c>
      <c r="I1197" s="421">
        <f>IFERROR(H1197*(F1197/E1197),"-")</f>
        <v>0</v>
      </c>
      <c r="J1197" s="422">
        <f t="shared" si="676"/>
        <v>0</v>
      </c>
    </row>
    <row r="1198" spans="1:10" ht="24" x14ac:dyDescent="0.25">
      <c r="A1198" s="274" t="s">
        <v>103</v>
      </c>
      <c r="B1198" s="966"/>
      <c r="C1198" s="295" t="s">
        <v>362</v>
      </c>
      <c r="D1198" s="295" t="s">
        <v>181</v>
      </c>
      <c r="E1198" s="384">
        <v>22.820599999999999</v>
      </c>
      <c r="F1198" s="402">
        <f>IFERROR(E1198*'01 Prod Physique Boites'!H1192,"-")</f>
        <v>0</v>
      </c>
      <c r="G1198" s="403">
        <f>IFERROR(E1198*'01 Prod Physique Boites'!L1192,"-")</f>
        <v>0</v>
      </c>
      <c r="H1198" s="385">
        <v>27.5</v>
      </c>
      <c r="I1198" s="421">
        <f>IFERROR(H1198*(F1198/E1198),"-")</f>
        <v>0</v>
      </c>
      <c r="J1198" s="422">
        <f t="shared" si="676"/>
        <v>0</v>
      </c>
    </row>
    <row r="1199" spans="1:10" ht="24.75" thickBot="1" x14ac:dyDescent="0.3">
      <c r="A1199" s="274" t="s">
        <v>103</v>
      </c>
      <c r="B1199" s="967"/>
      <c r="C1199" s="279" t="s">
        <v>182</v>
      </c>
      <c r="D1199" s="279" t="s">
        <v>93</v>
      </c>
      <c r="E1199" s="386">
        <v>22.238499999999998</v>
      </c>
      <c r="F1199" s="402">
        <f>IFERROR(E1199*'01 Prod Physique Boites'!H1193,"-")</f>
        <v>1012741.2899999999</v>
      </c>
      <c r="G1199" s="403">
        <f>IFERROR(E1199*'01 Prod Physique Boites'!L1193,"-")</f>
        <v>1893385.89</v>
      </c>
      <c r="H1199" s="387">
        <v>27</v>
      </c>
      <c r="I1199" s="423">
        <f>IFERROR(H1199*(F1199/E1199),"-")</f>
        <v>1229580</v>
      </c>
      <c r="J1199" s="424">
        <f t="shared" si="676"/>
        <v>2298780</v>
      </c>
    </row>
    <row r="1200" spans="1:10" ht="23.25" thickBot="1" x14ac:dyDescent="0.3">
      <c r="A1200" s="274" t="s">
        <v>103</v>
      </c>
      <c r="B1200" s="946" t="s">
        <v>48</v>
      </c>
      <c r="C1200" s="947"/>
      <c r="D1200" s="948"/>
      <c r="E1200" s="390"/>
      <c r="F1200" s="406">
        <f t="shared" ref="F1200:G1200" si="677">SUM(F1196:F1199)</f>
        <v>1012741.2899999999</v>
      </c>
      <c r="G1200" s="407">
        <f t="shared" si="677"/>
        <v>1893385.89</v>
      </c>
      <c r="H1200" s="391"/>
      <c r="I1200" s="406">
        <f t="shared" ref="I1200:J1200" si="678">SUM(I1196:I1199)</f>
        <v>1229580</v>
      </c>
      <c r="J1200" s="425">
        <f t="shared" si="678"/>
        <v>2298780</v>
      </c>
    </row>
    <row r="1201" spans="1:10" ht="24" x14ac:dyDescent="0.25">
      <c r="A1201" s="274" t="s">
        <v>103</v>
      </c>
      <c r="B1201" s="965" t="s">
        <v>23</v>
      </c>
      <c r="C1201" s="275" t="s">
        <v>500</v>
      </c>
      <c r="D1201" s="296" t="s">
        <v>238</v>
      </c>
      <c r="E1201" s="380">
        <v>101.4935</v>
      </c>
      <c r="F1201" s="402">
        <f>IFERROR(E1201*'01 Prod Physique Boites'!H1195,"-")</f>
        <v>0</v>
      </c>
      <c r="G1201" s="403">
        <f>IFERROR(E1201*'01 Prod Physique Boites'!L1195,"-")</f>
        <v>0</v>
      </c>
      <c r="H1201" s="385">
        <v>160.44999999999999</v>
      </c>
      <c r="I1201" s="419">
        <f t="shared" ref="I1201:I1209" si="679">IFERROR(H1201*(F1201/E1201),"-")</f>
        <v>0</v>
      </c>
      <c r="J1201" s="420">
        <f t="shared" ref="J1201:J1209" si="680">IFERROR(H1201*(G1201/E1201),"-")</f>
        <v>0</v>
      </c>
    </row>
    <row r="1202" spans="1:10" ht="24" x14ac:dyDescent="0.25">
      <c r="A1202" s="274" t="s">
        <v>103</v>
      </c>
      <c r="B1202" s="966"/>
      <c r="C1202" s="275" t="s">
        <v>24</v>
      </c>
      <c r="D1202" s="275" t="s">
        <v>238</v>
      </c>
      <c r="E1202" s="384">
        <v>101.4935</v>
      </c>
      <c r="F1202" s="402">
        <f>IFERROR(E1202*'01 Prod Physique Boites'!H1196,"-")</f>
        <v>0</v>
      </c>
      <c r="G1202" s="403">
        <f>IFERROR(E1202*'01 Prod Physique Boites'!L1196,"-")</f>
        <v>0</v>
      </c>
      <c r="H1202" s="385">
        <v>160.44999999999999</v>
      </c>
      <c r="I1202" s="421">
        <f t="shared" si="679"/>
        <v>0</v>
      </c>
      <c r="J1202" s="422">
        <f t="shared" si="680"/>
        <v>0</v>
      </c>
    </row>
    <row r="1203" spans="1:10" ht="24" x14ac:dyDescent="0.25">
      <c r="A1203" s="274" t="s">
        <v>103</v>
      </c>
      <c r="B1203" s="966"/>
      <c r="C1203" s="275" t="s">
        <v>236</v>
      </c>
      <c r="D1203" s="275" t="s">
        <v>238</v>
      </c>
      <c r="E1203" s="384">
        <v>101.4935</v>
      </c>
      <c r="F1203" s="402">
        <f>IFERROR(E1203*'01 Prod Physique Boites'!H1197,"-")</f>
        <v>0</v>
      </c>
      <c r="G1203" s="403">
        <f>IFERROR(E1203*'01 Prod Physique Boites'!L1197,"-")</f>
        <v>0</v>
      </c>
      <c r="H1203" s="385">
        <v>160.44999999999999</v>
      </c>
      <c r="I1203" s="421">
        <f t="shared" si="679"/>
        <v>0</v>
      </c>
      <c r="J1203" s="422">
        <f t="shared" si="680"/>
        <v>0</v>
      </c>
    </row>
    <row r="1204" spans="1:10" ht="24" x14ac:dyDescent="0.25">
      <c r="A1204" s="274" t="s">
        <v>103</v>
      </c>
      <c r="B1204" s="966"/>
      <c r="C1204" s="275" t="s">
        <v>239</v>
      </c>
      <c r="D1204" s="275" t="s">
        <v>238</v>
      </c>
      <c r="E1204" s="384">
        <v>101.4935</v>
      </c>
      <c r="F1204" s="402">
        <f>IFERROR(E1204*'01 Prod Physique Boites'!H1198,"-")</f>
        <v>0</v>
      </c>
      <c r="G1204" s="403">
        <f>IFERROR(E1204*'01 Prod Physique Boites'!L1198,"-")</f>
        <v>0</v>
      </c>
      <c r="H1204" s="385">
        <v>160.44999999999999</v>
      </c>
      <c r="I1204" s="421">
        <f t="shared" si="679"/>
        <v>0</v>
      </c>
      <c r="J1204" s="422">
        <f t="shared" si="680"/>
        <v>0</v>
      </c>
    </row>
    <row r="1205" spans="1:10" ht="24" x14ac:dyDescent="0.25">
      <c r="A1205" s="274" t="s">
        <v>103</v>
      </c>
      <c r="B1205" s="966"/>
      <c r="C1205" s="295" t="s">
        <v>394</v>
      </c>
      <c r="D1205" s="275" t="s">
        <v>238</v>
      </c>
      <c r="E1205" s="384">
        <v>101.4935</v>
      </c>
      <c r="F1205" s="402">
        <f>IFERROR(E1205*'01 Prod Physique Boites'!H1199,"-")</f>
        <v>0</v>
      </c>
      <c r="G1205" s="403">
        <f>IFERROR(E1205*'01 Prod Physique Boites'!L1199,"-")</f>
        <v>0</v>
      </c>
      <c r="H1205" s="385">
        <v>160.44999999999999</v>
      </c>
      <c r="I1205" s="421">
        <f t="shared" si="679"/>
        <v>0</v>
      </c>
      <c r="J1205" s="422">
        <f t="shared" si="680"/>
        <v>0</v>
      </c>
    </row>
    <row r="1206" spans="1:10" ht="24" x14ac:dyDescent="0.25">
      <c r="A1206" s="274" t="s">
        <v>103</v>
      </c>
      <c r="B1206" s="966"/>
      <c r="C1206" s="295" t="s">
        <v>422</v>
      </c>
      <c r="D1206" s="275" t="s">
        <v>238</v>
      </c>
      <c r="E1206" s="384">
        <v>101.4935</v>
      </c>
      <c r="F1206" s="402">
        <f>IFERROR(E1206*'01 Prod Physique Boites'!H1200,"-")</f>
        <v>0</v>
      </c>
      <c r="G1206" s="403">
        <f>IFERROR(E1206*'01 Prod Physique Boites'!L1200,"-")</f>
        <v>0</v>
      </c>
      <c r="H1206" s="385">
        <v>160.44999999999999</v>
      </c>
      <c r="I1206" s="421">
        <f t="shared" si="679"/>
        <v>0</v>
      </c>
      <c r="J1206" s="422">
        <f t="shared" si="680"/>
        <v>0</v>
      </c>
    </row>
    <row r="1207" spans="1:10" ht="24" x14ac:dyDescent="0.25">
      <c r="A1207" s="274" t="s">
        <v>103</v>
      </c>
      <c r="B1207" s="966"/>
      <c r="C1207" s="295" t="s">
        <v>241</v>
      </c>
      <c r="D1207" s="275" t="s">
        <v>547</v>
      </c>
      <c r="E1207" s="384">
        <v>101.4935</v>
      </c>
      <c r="F1207" s="402">
        <f>IFERROR(E1207*'01 Prod Physique Boites'!H1201,"-")</f>
        <v>0</v>
      </c>
      <c r="G1207" s="403">
        <f>IFERROR(E1207*'01 Prod Physique Boites'!L1201,"-")</f>
        <v>0</v>
      </c>
      <c r="H1207" s="385">
        <v>160.44999999999999</v>
      </c>
      <c r="I1207" s="421">
        <f t="shared" si="679"/>
        <v>0</v>
      </c>
      <c r="J1207" s="422">
        <f t="shared" si="680"/>
        <v>0</v>
      </c>
    </row>
    <row r="1208" spans="1:10" ht="24" x14ac:dyDescent="0.25">
      <c r="A1208" s="274"/>
      <c r="B1208" s="967"/>
      <c r="C1208" s="295" t="s">
        <v>546</v>
      </c>
      <c r="D1208" s="275" t="s">
        <v>238</v>
      </c>
      <c r="E1208" s="386">
        <v>101.49</v>
      </c>
      <c r="F1208" s="402">
        <f>IFERROR(E1208*'01 Prod Physique Boites'!H1202,"-")</f>
        <v>0</v>
      </c>
      <c r="G1208" s="403">
        <f>IFERROR(E1208*'01 Prod Physique Boites'!L1202,"-")</f>
        <v>0</v>
      </c>
      <c r="H1208" s="385">
        <v>160.44999999999999</v>
      </c>
      <c r="I1208" s="421">
        <f t="shared" si="679"/>
        <v>0</v>
      </c>
      <c r="J1208" s="422">
        <f t="shared" si="680"/>
        <v>0</v>
      </c>
    </row>
    <row r="1209" spans="1:10" ht="24.75" thickBot="1" x14ac:dyDescent="0.3">
      <c r="A1209" s="274" t="s">
        <v>103</v>
      </c>
      <c r="B1209" s="967"/>
      <c r="C1209" s="295" t="s">
        <v>242</v>
      </c>
      <c r="D1209" s="275" t="s">
        <v>238</v>
      </c>
      <c r="E1209" s="386">
        <v>101.4935</v>
      </c>
      <c r="F1209" s="402">
        <f>IFERROR(E1209*'01 Prod Physique Boites'!H1203,"-")</f>
        <v>0</v>
      </c>
      <c r="G1209" s="403">
        <f>IFERROR(E1209*'01 Prod Physique Boites'!L1203,"-")</f>
        <v>0</v>
      </c>
      <c r="H1209" s="385">
        <v>160.44999999999999</v>
      </c>
      <c r="I1209" s="421">
        <f t="shared" si="679"/>
        <v>0</v>
      </c>
      <c r="J1209" s="424">
        <f t="shared" si="680"/>
        <v>0</v>
      </c>
    </row>
    <row r="1210" spans="1:10" ht="23.25" thickBot="1" x14ac:dyDescent="0.3">
      <c r="A1210" s="274" t="s">
        <v>103</v>
      </c>
      <c r="B1210" s="946" t="s">
        <v>49</v>
      </c>
      <c r="C1210" s="947"/>
      <c r="D1210" s="948"/>
      <c r="E1210" s="390"/>
      <c r="F1210" s="406">
        <f t="shared" ref="F1210" si="681">SUM(F1201:F1209)</f>
        <v>0</v>
      </c>
      <c r="G1210" s="407">
        <f>SUM(G1201:G1209)</f>
        <v>0</v>
      </c>
      <c r="H1210" s="391"/>
      <c r="I1210" s="406">
        <f t="shared" ref="I1210" si="682">SUM(I1201:I1209)</f>
        <v>0</v>
      </c>
      <c r="J1210" s="425">
        <f>SUM(J1201:J1209)</f>
        <v>0</v>
      </c>
    </row>
    <row r="1211" spans="1:10" ht="23.25" thickBot="1" x14ac:dyDescent="0.3">
      <c r="A1211" s="274" t="s">
        <v>103</v>
      </c>
      <c r="B1211" s="960" t="s">
        <v>25</v>
      </c>
      <c r="C1211" s="961"/>
      <c r="D1211" s="962"/>
      <c r="E1211" s="393"/>
      <c r="F1211" s="410">
        <f t="shared" ref="F1211" si="683">+F1200+F1210</f>
        <v>1012741.2899999999</v>
      </c>
      <c r="G1211" s="411">
        <f>+G1200+G1210</f>
        <v>1893385.89</v>
      </c>
      <c r="H1211" s="394"/>
      <c r="I1211" s="410">
        <f t="shared" ref="I1211:J1211" si="684">+I1200+I1210</f>
        <v>1229580</v>
      </c>
      <c r="J1211" s="428">
        <f t="shared" si="684"/>
        <v>2298780</v>
      </c>
    </row>
    <row r="1212" spans="1:10" ht="23.25" thickBot="1" x14ac:dyDescent="0.3">
      <c r="A1212" s="274" t="s">
        <v>103</v>
      </c>
      <c r="B1212" s="963" t="s">
        <v>172</v>
      </c>
      <c r="C1212" s="941"/>
      <c r="D1212" s="942"/>
      <c r="E1212" s="395"/>
      <c r="F1212" s="412">
        <f t="shared" ref="F1212" si="685">+F1195+F1211</f>
        <v>4208253.4123999998</v>
      </c>
      <c r="G1212" s="413">
        <f>+G1195+G1211</f>
        <v>30213836.751600001</v>
      </c>
      <c r="H1212" s="396"/>
      <c r="I1212" s="412">
        <f t="shared" ref="I1212:J1212" si="686">+I1195+I1211</f>
        <v>4141843.1999999993</v>
      </c>
      <c r="J1212" s="429">
        <f t="shared" si="686"/>
        <v>31047018.799999997</v>
      </c>
    </row>
    <row r="1213" spans="1:10" ht="24" x14ac:dyDescent="0.25">
      <c r="A1213" s="268" t="s">
        <v>101</v>
      </c>
      <c r="B1213" s="956" t="s">
        <v>26</v>
      </c>
      <c r="C1213" s="893" t="s">
        <v>297</v>
      </c>
      <c r="D1213" s="898" t="s">
        <v>177</v>
      </c>
      <c r="E1213" s="504">
        <v>13.1272</v>
      </c>
      <c r="F1213" s="402">
        <f>IFERROR(E1213*'01 Prod Physique Boites'!H1207,"-")</f>
        <v>0</v>
      </c>
      <c r="G1213" s="403">
        <f>IFERROR(E1213*'01 Prod Physique Boites'!L1207,"-")</f>
        <v>0</v>
      </c>
      <c r="H1213" s="381">
        <v>20.76</v>
      </c>
      <c r="I1213" s="419">
        <f t="shared" ref="I1213:I1222" si="687">IFERROR(H1213*(F1213/E1213),"-")</f>
        <v>0</v>
      </c>
      <c r="J1213" s="632">
        <f t="shared" ref="J1213:J1222" si="688">IFERROR(H1213*(G1213/E1213),"-")</f>
        <v>0</v>
      </c>
    </row>
    <row r="1214" spans="1:10" ht="24" x14ac:dyDescent="0.25">
      <c r="A1214" s="274" t="s">
        <v>101</v>
      </c>
      <c r="B1214" s="956"/>
      <c r="C1214" s="253" t="s">
        <v>424</v>
      </c>
      <c r="D1214" s="899" t="s">
        <v>423</v>
      </c>
      <c r="E1214" s="505">
        <v>16.7288</v>
      </c>
      <c r="F1214" s="402">
        <f>IFERROR(E1214*'01 Prod Physique Boites'!H1208,"-")</f>
        <v>0</v>
      </c>
      <c r="G1214" s="403">
        <f>IFERROR(E1214*'01 Prod Physique Boites'!L1208,"-")</f>
        <v>4392112.9824000001</v>
      </c>
      <c r="H1214" s="385">
        <v>20.76</v>
      </c>
      <c r="I1214" s="421">
        <f t="shared" si="687"/>
        <v>0</v>
      </c>
      <c r="J1214" s="633">
        <f t="shared" si="688"/>
        <v>5450496.4800000004</v>
      </c>
    </row>
    <row r="1215" spans="1:10" ht="24" x14ac:dyDescent="0.25">
      <c r="A1215" s="274" t="s">
        <v>101</v>
      </c>
      <c r="B1215" s="956"/>
      <c r="C1215" s="813" t="s">
        <v>27</v>
      </c>
      <c r="D1215" s="899" t="s">
        <v>334</v>
      </c>
      <c r="E1215" s="501">
        <v>14.608000000000001</v>
      </c>
      <c r="F1215" s="402">
        <f>IFERROR(E1215*'01 Prod Physique Boites'!H1209,"-")</f>
        <v>0</v>
      </c>
      <c r="G1215" s="403">
        <f>IFERROR(E1215*'01 Prod Physique Boites'!L1209,"-")</f>
        <v>406774.36800000002</v>
      </c>
      <c r="H1215" s="385">
        <v>21.22</v>
      </c>
      <c r="I1215" s="643">
        <f t="shared" si="687"/>
        <v>0</v>
      </c>
      <c r="J1215" s="633">
        <f t="shared" si="688"/>
        <v>590892.12</v>
      </c>
    </row>
    <row r="1216" spans="1:10" ht="24" x14ac:dyDescent="0.25">
      <c r="A1216" s="274" t="s">
        <v>101</v>
      </c>
      <c r="B1216" s="956"/>
      <c r="C1216" s="813" t="s">
        <v>27</v>
      </c>
      <c r="D1216" s="900" t="s">
        <v>492</v>
      </c>
      <c r="E1216" s="501">
        <v>17.8202</v>
      </c>
      <c r="F1216" s="402">
        <f>IFERROR(E1216*'01 Prod Physique Boites'!H1210,"-")</f>
        <v>0</v>
      </c>
      <c r="G1216" s="403">
        <f>IFERROR(E1216*'01 Prod Physique Boites'!L1210,"-")</f>
        <v>4820435.3808000004</v>
      </c>
      <c r="H1216" s="385">
        <v>26.75</v>
      </c>
      <c r="I1216" s="643">
        <f t="shared" si="687"/>
        <v>0</v>
      </c>
      <c r="J1216" s="633">
        <f t="shared" si="688"/>
        <v>7235982</v>
      </c>
    </row>
    <row r="1217" spans="1:10" ht="24" x14ac:dyDescent="0.25">
      <c r="A1217" s="274" t="s">
        <v>101</v>
      </c>
      <c r="B1217" s="956"/>
      <c r="C1217" s="893" t="s">
        <v>521</v>
      </c>
      <c r="D1217" s="899" t="s">
        <v>234</v>
      </c>
      <c r="E1217" s="501">
        <v>14.608000000000001</v>
      </c>
      <c r="F1217" s="402">
        <f>IFERROR(E1217*'01 Prod Physique Boites'!H1211,"-")</f>
        <v>0</v>
      </c>
      <c r="G1217" s="403">
        <f>IFERROR(E1217*'01 Prod Physique Boites'!L1211,"-")</f>
        <v>813548.73600000003</v>
      </c>
      <c r="H1217" s="385">
        <v>24.93</v>
      </c>
      <c r="I1217" s="643">
        <f t="shared" si="687"/>
        <v>0</v>
      </c>
      <c r="J1217" s="633">
        <f t="shared" si="688"/>
        <v>1388401.56</v>
      </c>
    </row>
    <row r="1218" spans="1:10" ht="24" x14ac:dyDescent="0.25">
      <c r="A1218" s="274"/>
      <c r="B1218" s="956"/>
      <c r="C1218" s="813" t="s">
        <v>432</v>
      </c>
      <c r="D1218" s="899" t="s">
        <v>178</v>
      </c>
      <c r="E1218" s="501">
        <v>14.608000000000001</v>
      </c>
      <c r="F1218" s="402">
        <f>IFERROR(E1218*'01 Prod Physique Boites'!H1212,"-")</f>
        <v>0</v>
      </c>
      <c r="G1218" s="403">
        <f>IFERROR(E1218*'01 Prod Physique Boites'!L1212,"-")</f>
        <v>0</v>
      </c>
      <c r="H1218" s="387">
        <v>24.93</v>
      </c>
      <c r="I1218" s="643">
        <f t="shared" si="687"/>
        <v>0</v>
      </c>
      <c r="J1218" s="634">
        <f t="shared" si="688"/>
        <v>0</v>
      </c>
    </row>
    <row r="1219" spans="1:10" ht="24" x14ac:dyDescent="0.25">
      <c r="A1219" s="274"/>
      <c r="B1219" s="956"/>
      <c r="C1219" s="813" t="s">
        <v>333</v>
      </c>
      <c r="D1219" s="899" t="s">
        <v>94</v>
      </c>
      <c r="E1219" s="501">
        <v>17.8202</v>
      </c>
      <c r="F1219" s="724">
        <f>IFERROR(E1219*'01 Prod Physique Boites'!H1213,"-")</f>
        <v>0</v>
      </c>
      <c r="G1219" s="403">
        <f>IFERROR(E1219*'01 Prod Physique Boites'!L1213,"-")</f>
        <v>0</v>
      </c>
      <c r="H1219" s="387">
        <v>24.93</v>
      </c>
      <c r="I1219" s="730">
        <f t="shared" si="687"/>
        <v>0</v>
      </c>
      <c r="J1219" s="634">
        <f t="shared" si="688"/>
        <v>0</v>
      </c>
    </row>
    <row r="1220" spans="1:10" s="731" customFormat="1" ht="24" x14ac:dyDescent="0.25">
      <c r="A1220" s="725"/>
      <c r="B1220" s="956"/>
      <c r="C1220" s="813" t="s">
        <v>433</v>
      </c>
      <c r="D1220" s="899" t="s">
        <v>540</v>
      </c>
      <c r="E1220" s="727">
        <v>16.7288</v>
      </c>
      <c r="F1220" s="724">
        <f>IFERROR(E1220*'01 Prod Physique Boites'!H1214,"-")</f>
        <v>1730226.3263999999</v>
      </c>
      <c r="G1220" s="728">
        <f>IFERROR(E1220*'01 Prod Physique Boites'!L1214,"-")</f>
        <v>5922697.8096000003</v>
      </c>
      <c r="H1220" s="729">
        <v>25</v>
      </c>
      <c r="I1220" s="730">
        <f t="shared" si="687"/>
        <v>2585700</v>
      </c>
      <c r="J1220" s="634">
        <f t="shared" si="688"/>
        <v>8851050</v>
      </c>
    </row>
    <row r="1221" spans="1:10" s="731" customFormat="1" ht="24" x14ac:dyDescent="0.25">
      <c r="A1221" s="725"/>
      <c r="B1221" s="956"/>
      <c r="C1221" s="813" t="s">
        <v>382</v>
      </c>
      <c r="D1221" s="899" t="s">
        <v>366</v>
      </c>
      <c r="E1221" s="727">
        <v>16.7288</v>
      </c>
      <c r="F1221" s="724">
        <f>IFERROR(E1221*'01 Prod Physique Boites'!H1215,"-")</f>
        <v>0</v>
      </c>
      <c r="G1221" s="728">
        <f>IFERROR(E1221*'01 Prod Physique Boites'!L1215,"-")</f>
        <v>0</v>
      </c>
      <c r="H1221" s="729">
        <v>25.49</v>
      </c>
      <c r="I1221" s="730">
        <f t="shared" si="687"/>
        <v>0</v>
      </c>
      <c r="J1221" s="634">
        <f t="shared" si="688"/>
        <v>0</v>
      </c>
    </row>
    <row r="1222" spans="1:10" ht="24.75" thickBot="1" x14ac:dyDescent="0.3">
      <c r="A1222" s="274" t="s">
        <v>101</v>
      </c>
      <c r="B1222" s="956"/>
      <c r="C1222" s="894" t="s">
        <v>290</v>
      </c>
      <c r="D1222" s="901" t="s">
        <v>289</v>
      </c>
      <c r="E1222" s="501">
        <v>12.6997</v>
      </c>
      <c r="F1222" s="402">
        <f>IFERROR(E1222*'01 Prod Physique Boites'!H1216,"-")</f>
        <v>0</v>
      </c>
      <c r="G1222" s="728">
        <f>IFERROR(E1222*'01 Prod Physique Boites'!L1216,"-")</f>
        <v>0</v>
      </c>
      <c r="H1222" s="387">
        <v>13.25</v>
      </c>
      <c r="I1222" s="730">
        <f t="shared" si="687"/>
        <v>0</v>
      </c>
      <c r="J1222" s="634">
        <f t="shared" si="688"/>
        <v>0</v>
      </c>
    </row>
    <row r="1223" spans="1:10" ht="23.25" thickBot="1" x14ac:dyDescent="0.3">
      <c r="A1223" s="274" t="s">
        <v>101</v>
      </c>
      <c r="B1223" s="969"/>
      <c r="C1223" s="301"/>
      <c r="D1223" s="302" t="s">
        <v>52</v>
      </c>
      <c r="E1223" s="390"/>
      <c r="F1223" s="406">
        <f>SUM(F1213:F1222)</f>
        <v>1730226.3263999999</v>
      </c>
      <c r="G1223" s="407">
        <f>SUM(G1213:G1222)</f>
        <v>16355569.276799999</v>
      </c>
      <c r="H1223" s="391"/>
      <c r="I1223" s="406">
        <f>SUM(I1213:I1222)</f>
        <v>2585700</v>
      </c>
      <c r="J1223" s="425">
        <f>SUM(J1213:J1222)</f>
        <v>23516822.160000004</v>
      </c>
    </row>
    <row r="1224" spans="1:10" ht="24" x14ac:dyDescent="0.25">
      <c r="A1224" s="274" t="s">
        <v>101</v>
      </c>
      <c r="B1224" s="955" t="s">
        <v>28</v>
      </c>
      <c r="C1224" s="299" t="s">
        <v>27</v>
      </c>
      <c r="D1224" s="297" t="s">
        <v>492</v>
      </c>
      <c r="E1224" s="504">
        <v>17.8202</v>
      </c>
      <c r="F1224" s="402">
        <f>IFERROR(E1224*'01 Prod Physique Boites'!H1218,"-")</f>
        <v>0</v>
      </c>
      <c r="G1224" s="403">
        <f>IFERROR(E1224*'01 Prod Physique Boites'!L1218,"-")</f>
        <v>2977327.7352</v>
      </c>
      <c r="H1224" s="381">
        <v>26.75</v>
      </c>
      <c r="I1224" s="419">
        <f t="shared" ref="I1224:I1230" si="689">IFERROR(H1224*(F1224/E1224),"-")</f>
        <v>0</v>
      </c>
      <c r="J1224" s="632">
        <f t="shared" ref="J1224:J1225" si="690">IFERROR(H1224*(G1224/E1224),"-")</f>
        <v>4469283</v>
      </c>
    </row>
    <row r="1225" spans="1:10" ht="24" x14ac:dyDescent="0.25">
      <c r="A1225" s="274" t="s">
        <v>101</v>
      </c>
      <c r="B1225" s="956"/>
      <c r="C1225" s="299" t="s">
        <v>386</v>
      </c>
      <c r="D1225" s="299" t="s">
        <v>334</v>
      </c>
      <c r="E1225" s="711">
        <v>16.7288</v>
      </c>
      <c r="F1225" s="402">
        <f>IFERROR(E1225*'01 Prod Physique Boites'!H1219,"-")</f>
        <v>0</v>
      </c>
      <c r="G1225" s="728">
        <f>IFERROR(E1225*'01 Prod Physique Boites'!L1219,"-")</f>
        <v>1597131.9935999999</v>
      </c>
      <c r="H1225" s="708">
        <v>20.76</v>
      </c>
      <c r="I1225" s="421">
        <f t="shared" si="689"/>
        <v>0</v>
      </c>
      <c r="J1225" s="633">
        <f t="shared" si="690"/>
        <v>1981998.7200000002</v>
      </c>
    </row>
    <row r="1226" spans="1:10" ht="24" x14ac:dyDescent="0.25">
      <c r="A1226" s="274" t="s">
        <v>101</v>
      </c>
      <c r="B1226" s="956"/>
      <c r="C1226" s="299" t="s">
        <v>541</v>
      </c>
      <c r="D1226" s="299" t="s">
        <v>334</v>
      </c>
      <c r="E1226" s="501">
        <v>17.8202</v>
      </c>
      <c r="F1226" s="402">
        <f>IFERROR(E1226*'01 Prod Physique Boites'!H1220,"-")</f>
        <v>0</v>
      </c>
      <c r="G1226" s="403">
        <f>IFERROR(E1226*'01 Prod Physique Boites'!L1220,"-")</f>
        <v>0</v>
      </c>
      <c r="H1226" s="385">
        <v>21.22</v>
      </c>
      <c r="I1226" s="421">
        <f t="shared" si="689"/>
        <v>0</v>
      </c>
      <c r="J1226" s="633">
        <f>IFERROR(H1226*(G1226/E1226),"-")</f>
        <v>0</v>
      </c>
    </row>
    <row r="1227" spans="1:10" ht="24" x14ac:dyDescent="0.25">
      <c r="A1227" s="274"/>
      <c r="B1227" s="956"/>
      <c r="C1227" s="299" t="s">
        <v>460</v>
      </c>
      <c r="D1227" s="299" t="s">
        <v>334</v>
      </c>
      <c r="E1227" s="501">
        <v>14.608000000000001</v>
      </c>
      <c r="F1227" s="402">
        <f>IFERROR(E1227*'01 Prod Physique Boites'!H1221,"-")</f>
        <v>0</v>
      </c>
      <c r="G1227" s="403">
        <f>IFERROR(E1227*'01 Prod Physique Boites'!L1221,"-")</f>
        <v>58110.624000000003</v>
      </c>
      <c r="H1227" s="385">
        <v>21.22</v>
      </c>
      <c r="I1227" s="421">
        <f t="shared" si="689"/>
        <v>0</v>
      </c>
      <c r="J1227" s="633">
        <f>IFERROR(H1227*(G1227/E1227),"-")</f>
        <v>84413.159999999989</v>
      </c>
    </row>
    <row r="1228" spans="1:10" ht="24" x14ac:dyDescent="0.25">
      <c r="A1228" s="274"/>
      <c r="B1228" s="956"/>
      <c r="C1228" s="299" t="s">
        <v>433</v>
      </c>
      <c r="D1228" s="299" t="s">
        <v>540</v>
      </c>
      <c r="E1228" s="711">
        <v>16.7288</v>
      </c>
      <c r="F1228" s="402">
        <f>IFERROR(E1228*'01 Prod Physique Boites'!H1222,"-")</f>
        <v>0</v>
      </c>
      <c r="G1228" s="403">
        <f>IFERROR(E1228*'01 Prod Physique Boites'!L1222,"-")</f>
        <v>2129509.3248000001</v>
      </c>
      <c r="H1228" s="385">
        <v>25</v>
      </c>
      <c r="I1228" s="423">
        <f t="shared" si="689"/>
        <v>0</v>
      </c>
      <c r="J1228" s="634">
        <f t="shared" ref="J1228:J1230" si="691">IFERROR(H1228*(G1228/E1228),"-")</f>
        <v>3182400</v>
      </c>
    </row>
    <row r="1229" spans="1:10" ht="24" x14ac:dyDescent="0.25">
      <c r="A1229" s="274"/>
      <c r="B1229" s="956"/>
      <c r="C1229" s="299" t="s">
        <v>458</v>
      </c>
      <c r="D1229" s="300" t="s">
        <v>280</v>
      </c>
      <c r="E1229" s="711">
        <v>17.8202</v>
      </c>
      <c r="F1229" s="402">
        <f>IFERROR(E1229*'01 Prod Physique Boites'!H1223,"-")</f>
        <v>0</v>
      </c>
      <c r="G1229" s="403">
        <f>IFERROR(E1229*'01 Prod Physique Boites'!L1223,"-")</f>
        <v>0</v>
      </c>
      <c r="H1229" s="385">
        <v>24.93</v>
      </c>
      <c r="I1229" s="730">
        <f t="shared" si="689"/>
        <v>0</v>
      </c>
      <c r="J1229" s="634">
        <f t="shared" si="691"/>
        <v>0</v>
      </c>
    </row>
    <row r="1230" spans="1:10" ht="24.75" thickBot="1" x14ac:dyDescent="0.3">
      <c r="A1230" s="274" t="s">
        <v>101</v>
      </c>
      <c r="B1230" s="956"/>
      <c r="C1230" s="299" t="s">
        <v>27</v>
      </c>
      <c r="D1230" s="300" t="s">
        <v>234</v>
      </c>
      <c r="E1230" s="501">
        <v>17.8202</v>
      </c>
      <c r="F1230" s="402">
        <f>IFERROR(E1230*'01 Prod Physique Boites'!H1224,"-")</f>
        <v>0</v>
      </c>
      <c r="G1230" s="403">
        <f>IFERROR(E1230*'01 Prod Physique Boites'!L1224,"-")</f>
        <v>0</v>
      </c>
      <c r="H1230" s="385">
        <v>24.93</v>
      </c>
      <c r="I1230" s="423">
        <f t="shared" si="689"/>
        <v>0</v>
      </c>
      <c r="J1230" s="634">
        <f t="shared" si="691"/>
        <v>0</v>
      </c>
    </row>
    <row r="1231" spans="1:10" ht="23.25" thickBot="1" x14ac:dyDescent="0.3">
      <c r="A1231" s="274" t="s">
        <v>101</v>
      </c>
      <c r="B1231" s="956"/>
      <c r="C1231" s="304"/>
      <c r="D1231" s="305" t="s">
        <v>52</v>
      </c>
      <c r="E1231" s="397"/>
      <c r="F1231" s="414">
        <f t="shared" ref="F1231:G1231" si="692">SUM(F1224:F1230)</f>
        <v>0</v>
      </c>
      <c r="G1231" s="415">
        <f t="shared" si="692"/>
        <v>6762079.6776000001</v>
      </c>
      <c r="H1231" s="398"/>
      <c r="I1231" s="414">
        <f t="shared" ref="I1231:J1231" si="693">SUM(I1224:I1230)</f>
        <v>0</v>
      </c>
      <c r="J1231" s="430">
        <f t="shared" si="693"/>
        <v>9718094.8800000008</v>
      </c>
    </row>
    <row r="1232" spans="1:10" ht="23.25" thickBot="1" x14ac:dyDescent="0.3">
      <c r="A1232" s="909" t="s">
        <v>101</v>
      </c>
      <c r="B1232" s="957" t="s">
        <v>162</v>
      </c>
      <c r="C1232" s="958"/>
      <c r="D1232" s="959"/>
      <c r="E1232" s="399"/>
      <c r="F1232" s="416">
        <f t="shared" ref="F1232:G1232" si="694">+F1223+F1231</f>
        <v>1730226.3263999999</v>
      </c>
      <c r="G1232" s="417">
        <f t="shared" si="694"/>
        <v>23117648.954399999</v>
      </c>
      <c r="H1232" s="400"/>
      <c r="I1232" s="416">
        <f t="shared" ref="I1232:J1232" si="695">+I1223+I1231</f>
        <v>2585700</v>
      </c>
      <c r="J1232" s="431">
        <f t="shared" si="695"/>
        <v>33234917.040000007</v>
      </c>
    </row>
    <row r="1233" spans="1:10" ht="24" x14ac:dyDescent="0.25">
      <c r="A1233" s="274" t="s">
        <v>101</v>
      </c>
      <c r="B1233" s="956" t="s">
        <v>30</v>
      </c>
      <c r="C1233" s="303" t="s">
        <v>446</v>
      </c>
      <c r="D1233" s="299" t="s">
        <v>522</v>
      </c>
      <c r="E1233" s="736">
        <v>27.917000000000002</v>
      </c>
      <c r="F1233" s="402">
        <f>IFERROR(E1233*'01 Prod Physique Boites'!H1227,"-")</f>
        <v>0</v>
      </c>
      <c r="G1233" s="728">
        <f>IFERROR(E1233*'01 Prod Physique Boites'!L1227,"-")</f>
        <v>0</v>
      </c>
      <c r="H1233" s="734">
        <v>33.299999999999997</v>
      </c>
      <c r="I1233" s="419">
        <f>IFERROR(H1233*(F1233/E1233),"-")</f>
        <v>0</v>
      </c>
      <c r="J1233" s="420">
        <f t="shared" ref="J1233:J1235" si="696">IFERROR(H1233*(G1233/E1233),"-")</f>
        <v>0</v>
      </c>
    </row>
    <row r="1234" spans="1:10" ht="24" x14ac:dyDescent="0.25">
      <c r="A1234" s="274" t="s">
        <v>101</v>
      </c>
      <c r="B1234" s="956"/>
      <c r="C1234" s="300" t="s">
        <v>548</v>
      </c>
      <c r="D1234" s="303" t="s">
        <v>522</v>
      </c>
      <c r="E1234" s="733">
        <v>28.526700000000002</v>
      </c>
      <c r="F1234" s="402">
        <f>IFERROR(E1234*'01 Prod Physique Boites'!H1228,"-")</f>
        <v>0</v>
      </c>
      <c r="G1234" s="728">
        <f>IFERROR(E1234*'01 Prod Physique Boites'!L1228,"-")</f>
        <v>0</v>
      </c>
      <c r="H1234" s="735">
        <v>37.89</v>
      </c>
      <c r="I1234" s="421">
        <f>IFERROR(H1234*(F1234/E1234),"-")</f>
        <v>0</v>
      </c>
      <c r="J1234" s="422">
        <f t="shared" si="696"/>
        <v>0</v>
      </c>
    </row>
    <row r="1235" spans="1:10" ht="24.75" thickBot="1" x14ac:dyDescent="0.3">
      <c r="A1235" s="274" t="s">
        <v>101</v>
      </c>
      <c r="B1235" s="956"/>
      <c r="C1235" s="300" t="s">
        <v>291</v>
      </c>
      <c r="D1235" s="300" t="s">
        <v>366</v>
      </c>
      <c r="E1235" s="501">
        <v>25.751300000000001</v>
      </c>
      <c r="F1235" s="724">
        <f>IFERROR(E1235*'01 Prod Physique Boites'!H1229,"-")</f>
        <v>1301573.7072000001</v>
      </c>
      <c r="G1235" s="728">
        <f>IFERROR(E1235*'01 Prod Physique Boites'!L1229,"-")</f>
        <v>1301573.7072000001</v>
      </c>
      <c r="H1235" s="387">
        <v>37.89</v>
      </c>
      <c r="I1235" s="423">
        <f>IFERROR(H1235*(F1235/E1235),"-")</f>
        <v>1915112.16</v>
      </c>
      <c r="J1235" s="424">
        <f t="shared" si="696"/>
        <v>1915112.16</v>
      </c>
    </row>
    <row r="1236" spans="1:10" ht="23.25" thickBot="1" x14ac:dyDescent="0.3">
      <c r="A1236" s="274" t="s">
        <v>101</v>
      </c>
      <c r="B1236" s="956"/>
      <c r="C1236" s="301"/>
      <c r="D1236" s="302" t="s">
        <v>50</v>
      </c>
      <c r="E1236" s="390"/>
      <c r="F1236" s="406">
        <f t="shared" ref="F1236:G1236" si="697">SUM(F1233:F1235)</f>
        <v>1301573.7072000001</v>
      </c>
      <c r="G1236" s="407">
        <f t="shared" si="697"/>
        <v>1301573.7072000001</v>
      </c>
      <c r="H1236" s="391"/>
      <c r="I1236" s="406">
        <f t="shared" ref="I1236" si="698">SUM(I1233:I1235)</f>
        <v>1915112.16</v>
      </c>
      <c r="J1236" s="425">
        <f>SUM(J1233:J1235)</f>
        <v>1915112.16</v>
      </c>
    </row>
    <row r="1237" spans="1:10" ht="24" x14ac:dyDescent="0.25">
      <c r="A1237" s="274" t="s">
        <v>101</v>
      </c>
      <c r="B1237" s="956"/>
      <c r="C1237" s="297" t="s">
        <v>439</v>
      </c>
      <c r="D1237" s="297" t="s">
        <v>92</v>
      </c>
      <c r="E1237" s="504">
        <v>24.2607</v>
      </c>
      <c r="F1237" s="402">
        <f>IFERROR(E1237*'01 Prod Physique Boites'!H1231,"-")</f>
        <v>0</v>
      </c>
      <c r="G1237" s="728">
        <f>IFERROR(E1237*'01 Prod Physique Boites'!L1231,"-")</f>
        <v>0</v>
      </c>
      <c r="H1237" s="381">
        <v>28.31</v>
      </c>
      <c r="I1237" s="638">
        <f>IFERROR(H1237*(F1237/E1237),"-")</f>
        <v>0</v>
      </c>
      <c r="J1237" s="420">
        <f t="shared" ref="J1237:J1242" si="699">IFERROR(H1237*(G1237/E1237),"-")</f>
        <v>0</v>
      </c>
    </row>
    <row r="1238" spans="1:10" ht="24" x14ac:dyDescent="0.25">
      <c r="A1238" s="274"/>
      <c r="B1238" s="956"/>
      <c r="C1238" s="303" t="s">
        <v>449</v>
      </c>
      <c r="D1238" s="299" t="s">
        <v>334</v>
      </c>
      <c r="E1238" s="504">
        <v>24.2607</v>
      </c>
      <c r="F1238" s="402">
        <f>IFERROR(E1238*'01 Prod Physique Boites'!H1232,"-")</f>
        <v>0</v>
      </c>
      <c r="G1238" s="728">
        <f>IFERROR(E1238*'01 Prod Physique Boites'!L1232,"-")</f>
        <v>0</v>
      </c>
      <c r="H1238" s="381">
        <v>28.88</v>
      </c>
      <c r="I1238" s="638">
        <f t="shared" ref="I1238:I1242" si="700">IFERROR(H1238*(F1238/E1238),"-")</f>
        <v>0</v>
      </c>
      <c r="J1238" s="420">
        <f t="shared" si="699"/>
        <v>0</v>
      </c>
    </row>
    <row r="1239" spans="1:10" ht="24" x14ac:dyDescent="0.25">
      <c r="A1239" s="274"/>
      <c r="B1239" s="956"/>
      <c r="C1239" s="303" t="s">
        <v>452</v>
      </c>
      <c r="D1239" s="299" t="s">
        <v>334</v>
      </c>
      <c r="E1239" s="504">
        <v>25.4041</v>
      </c>
      <c r="F1239" s="402">
        <f>IFERROR(E1239*'01 Prod Physique Boites'!H1233,"-")</f>
        <v>0</v>
      </c>
      <c r="G1239" s="728">
        <f>IFERROR(E1239*'01 Prod Physique Boites'!L1233,"-")</f>
        <v>0</v>
      </c>
      <c r="H1239" s="381">
        <v>28.21</v>
      </c>
      <c r="I1239" s="638">
        <f t="shared" si="700"/>
        <v>0</v>
      </c>
      <c r="J1239" s="420">
        <f t="shared" si="699"/>
        <v>0</v>
      </c>
    </row>
    <row r="1240" spans="1:10" ht="24" x14ac:dyDescent="0.25">
      <c r="A1240" s="274" t="s">
        <v>101</v>
      </c>
      <c r="B1240" s="956"/>
      <c r="C1240" s="303" t="s">
        <v>501</v>
      </c>
      <c r="D1240" s="300" t="s">
        <v>423</v>
      </c>
      <c r="E1240" s="505">
        <v>23.697399999999998</v>
      </c>
      <c r="F1240" s="724">
        <f>IFERROR(E1240*'01 Prod Physique Boites'!H1234,"-")</f>
        <v>0</v>
      </c>
      <c r="G1240" s="728">
        <f>IFERROR(E1240*'01 Prod Physique Boites'!L1234,"-")</f>
        <v>177446.13119999997</v>
      </c>
      <c r="H1240" s="385">
        <v>28.21</v>
      </c>
      <c r="I1240" s="638">
        <f t="shared" si="700"/>
        <v>0</v>
      </c>
      <c r="J1240" s="420">
        <f t="shared" si="699"/>
        <v>211236.47999999998</v>
      </c>
    </row>
    <row r="1241" spans="1:10" ht="24" x14ac:dyDescent="0.25">
      <c r="A1241" s="274"/>
      <c r="B1241" s="956"/>
      <c r="C1241" s="300" t="s">
        <v>459</v>
      </c>
      <c r="D1241" s="300" t="s">
        <v>366</v>
      </c>
      <c r="E1241" s="501">
        <v>22.094999999999999</v>
      </c>
      <c r="F1241" s="724">
        <f>IFERROR(E1241*'01 Prod Physique Boites'!H1235,"-")</f>
        <v>0</v>
      </c>
      <c r="G1241" s="728">
        <f>IFERROR(E1241*'01 Prod Physique Boites'!L1235,"-")</f>
        <v>0</v>
      </c>
      <c r="H1241" s="745">
        <v>37.11</v>
      </c>
      <c r="I1241" s="638">
        <f t="shared" si="700"/>
        <v>0</v>
      </c>
      <c r="J1241" s="420">
        <f t="shared" si="699"/>
        <v>0</v>
      </c>
    </row>
    <row r="1242" spans="1:10" ht="24.75" thickBot="1" x14ac:dyDescent="0.3">
      <c r="A1242" s="274" t="s">
        <v>101</v>
      </c>
      <c r="B1242" s="956"/>
      <c r="C1242" s="300" t="s">
        <v>438</v>
      </c>
      <c r="D1242" s="300" t="s">
        <v>423</v>
      </c>
      <c r="E1242" s="501">
        <v>23.697399999999998</v>
      </c>
      <c r="F1242" s="402">
        <f>IFERROR(E1242*'01 Prod Physique Boites'!H1236,"-")</f>
        <v>0</v>
      </c>
      <c r="G1242" s="403">
        <f>IFERROR(E1242*'01 Prod Physique Boites'!L1236,"-")</f>
        <v>0</v>
      </c>
      <c r="H1242" s="387">
        <v>28.21</v>
      </c>
      <c r="I1242" s="638">
        <f t="shared" si="700"/>
        <v>0</v>
      </c>
      <c r="J1242" s="420">
        <f t="shared" si="699"/>
        <v>0</v>
      </c>
    </row>
    <row r="1243" spans="1:10" ht="23.25" thickBot="1" x14ac:dyDescent="0.3">
      <c r="A1243" s="274" t="s">
        <v>101</v>
      </c>
      <c r="B1243" s="956"/>
      <c r="C1243" s="304"/>
      <c r="D1243" s="305" t="s">
        <v>51</v>
      </c>
      <c r="E1243" s="397"/>
      <c r="F1243" s="414">
        <f t="shared" ref="F1243:G1243" si="701">SUM(F1237:F1242)</f>
        <v>0</v>
      </c>
      <c r="G1243" s="415">
        <f t="shared" si="701"/>
        <v>177446.13119999997</v>
      </c>
      <c r="H1243" s="398"/>
      <c r="I1243" s="414">
        <f t="shared" ref="I1243" si="702">SUM(I1237:I1242)</f>
        <v>0</v>
      </c>
      <c r="J1243" s="430">
        <f>SUM(J1237:J1242)</f>
        <v>211236.47999999998</v>
      </c>
    </row>
    <row r="1244" spans="1:10" ht="23.25" thickBot="1" x14ac:dyDescent="0.3">
      <c r="A1244" s="274" t="s">
        <v>101</v>
      </c>
      <c r="B1244" s="957" t="s">
        <v>163</v>
      </c>
      <c r="C1244" s="958"/>
      <c r="D1244" s="959"/>
      <c r="E1244" s="399"/>
      <c r="F1244" s="416">
        <f t="shared" ref="F1244:G1244" si="703">+F1236+F1243</f>
        <v>1301573.7072000001</v>
      </c>
      <c r="G1244" s="417">
        <f t="shared" si="703"/>
        <v>1479019.8384</v>
      </c>
      <c r="H1244" s="400"/>
      <c r="I1244" s="416">
        <f t="shared" ref="I1244:J1244" si="704">+I1236+I1243</f>
        <v>1915112.16</v>
      </c>
      <c r="J1244" s="431">
        <f t="shared" si="704"/>
        <v>2126348.6399999997</v>
      </c>
    </row>
    <row r="1245" spans="1:10" ht="24.75" thickBot="1" x14ac:dyDescent="0.3">
      <c r="A1245" s="274" t="s">
        <v>101</v>
      </c>
      <c r="B1245" s="599" t="s">
        <v>32</v>
      </c>
      <c r="C1245" s="905"/>
      <c r="D1245" s="310"/>
      <c r="E1245" s="506">
        <v>12.2659</v>
      </c>
      <c r="F1245" s="408">
        <f>IFERROR(E1245*'01 Prod Physique Boites'!H1239,"-")</f>
        <v>0</v>
      </c>
      <c r="G1245" s="409">
        <f>IFERROR(E1245*'01 Prod Physique Boites'!L1239,"-")</f>
        <v>0</v>
      </c>
      <c r="H1245" s="392"/>
      <c r="I1245" s="426">
        <f>IFERROR(H1245*(F1245/E1245),"-")</f>
        <v>0</v>
      </c>
      <c r="J1245" s="427">
        <f>IFERROR(H1245*(G1245/E1245),"-")</f>
        <v>0</v>
      </c>
    </row>
    <row r="1246" spans="1:10" ht="23.25" thickBot="1" x14ac:dyDescent="0.3">
      <c r="A1246" s="274" t="s">
        <v>101</v>
      </c>
      <c r="B1246" s="960" t="s">
        <v>21</v>
      </c>
      <c r="C1246" s="961"/>
      <c r="D1246" s="962"/>
      <c r="E1246" s="393"/>
      <c r="F1246" s="410">
        <f t="shared" ref="F1246" si="705">+F1232+F1244+F1245</f>
        <v>3031800.0335999997</v>
      </c>
      <c r="G1246" s="411">
        <f>+G1232+G1244+G1245</f>
        <v>24596668.792799998</v>
      </c>
      <c r="H1246" s="394"/>
      <c r="I1246" s="410">
        <f t="shared" ref="I1246:J1246" si="706">+I1232+I1244+I1245</f>
        <v>4500812.16</v>
      </c>
      <c r="J1246" s="428">
        <f t="shared" si="706"/>
        <v>35361265.680000007</v>
      </c>
    </row>
    <row r="1247" spans="1:10" ht="23.25" thickBot="1" x14ac:dyDescent="0.3">
      <c r="A1247" s="274" t="s">
        <v>101</v>
      </c>
      <c r="B1247" s="963" t="s">
        <v>171</v>
      </c>
      <c r="C1247" s="941"/>
      <c r="D1247" s="942"/>
      <c r="E1247" s="395"/>
      <c r="F1247" s="412">
        <f t="shared" ref="F1247:G1247" si="707">+F1246</f>
        <v>3031800.0335999997</v>
      </c>
      <c r="G1247" s="413">
        <f t="shared" si="707"/>
        <v>24596668.792799998</v>
      </c>
      <c r="H1247" s="396"/>
      <c r="I1247" s="412">
        <f t="shared" ref="I1247:J1247" si="708">+I1246</f>
        <v>4500812.16</v>
      </c>
      <c r="J1247" s="429">
        <f t="shared" si="708"/>
        <v>35361265.680000007</v>
      </c>
    </row>
    <row r="1248" spans="1:10" ht="24" x14ac:dyDescent="0.25">
      <c r="A1248" s="268" t="s">
        <v>102</v>
      </c>
      <c r="B1248" s="949" t="s">
        <v>401</v>
      </c>
      <c r="C1248" s="311" t="s">
        <v>113</v>
      </c>
      <c r="D1248" s="311"/>
      <c r="E1248" s="709">
        <v>254.89750000000001</v>
      </c>
      <c r="F1248" s="402">
        <f>IFERROR(E1248*'01 Prod Physique Boites'!H1242,"-")</f>
        <v>0</v>
      </c>
      <c r="G1248" s="403">
        <f>IFERROR(E1248*'01 Prod Physique Boites'!L1242,"-")</f>
        <v>0</v>
      </c>
      <c r="H1248" s="381">
        <v>445.38</v>
      </c>
      <c r="I1248" s="419">
        <f>IFERROR(H1248*(F1248/E1248),"-")</f>
        <v>0</v>
      </c>
      <c r="J1248" s="420">
        <f t="shared" ref="J1248:J1250" si="709">IFERROR(H1248*(G1248/E1248),"-")</f>
        <v>0</v>
      </c>
    </row>
    <row r="1249" spans="1:10" ht="24" x14ac:dyDescent="0.25">
      <c r="A1249" s="274" t="s">
        <v>102</v>
      </c>
      <c r="B1249" s="951"/>
      <c r="C1249" s="312" t="s">
        <v>247</v>
      </c>
      <c r="D1249" s="312"/>
      <c r="E1249" s="503">
        <v>246.51390000000001</v>
      </c>
      <c r="F1249" s="402">
        <f>IFERROR(E1249*'01 Prod Physique Boites'!H1243,"-")</f>
        <v>0</v>
      </c>
      <c r="G1249" s="403">
        <f>IFERROR(E1249*'01 Prod Physique Boites'!L1243,"-")</f>
        <v>2255355.6710999999</v>
      </c>
      <c r="H1249" s="385">
        <v>430.02</v>
      </c>
      <c r="I1249" s="421">
        <f>IFERROR(H1249*(F1249/E1249),"-")</f>
        <v>0</v>
      </c>
      <c r="J1249" s="422">
        <f t="shared" si="709"/>
        <v>3934252.98</v>
      </c>
    </row>
    <row r="1250" spans="1:10" ht="24.75" thickBot="1" x14ac:dyDescent="0.3">
      <c r="A1250" s="274" t="s">
        <v>102</v>
      </c>
      <c r="B1250" s="950"/>
      <c r="C1250" s="313" t="s">
        <v>33</v>
      </c>
      <c r="D1250" s="313"/>
      <c r="E1250" s="500">
        <v>225.7713</v>
      </c>
      <c r="F1250" s="402">
        <f>IFERROR(E1250*'01 Prod Physique Boites'!H1244,"-")</f>
        <v>0</v>
      </c>
      <c r="G1250" s="403">
        <f>IFERROR(E1250*'01 Prod Physique Boites'!L1244,"-")</f>
        <v>0</v>
      </c>
      <c r="H1250" s="387"/>
      <c r="I1250" s="423">
        <f>IFERROR(H1250*(F1250/E1250),"-")</f>
        <v>0</v>
      </c>
      <c r="J1250" s="424">
        <f t="shared" si="709"/>
        <v>0</v>
      </c>
    </row>
    <row r="1251" spans="1:10" ht="23.25" thickBot="1" x14ac:dyDescent="0.3">
      <c r="A1251" s="274" t="s">
        <v>102</v>
      </c>
      <c r="B1251" s="946" t="s">
        <v>34</v>
      </c>
      <c r="C1251" s="947"/>
      <c r="D1251" s="948"/>
      <c r="E1251" s="390"/>
      <c r="F1251" s="406">
        <f t="shared" ref="F1251:G1251" si="710">SUM(F1248:F1250)</f>
        <v>0</v>
      </c>
      <c r="G1251" s="407">
        <f t="shared" si="710"/>
        <v>2255355.6710999999</v>
      </c>
      <c r="H1251" s="391"/>
      <c r="I1251" s="406">
        <f t="shared" ref="I1251:J1251" si="711">SUM(I1248:I1250)</f>
        <v>0</v>
      </c>
      <c r="J1251" s="425">
        <f t="shared" si="711"/>
        <v>3934252.98</v>
      </c>
    </row>
    <row r="1252" spans="1:10" ht="24" x14ac:dyDescent="0.25">
      <c r="A1252" s="274" t="s">
        <v>102</v>
      </c>
      <c r="B1252" s="949" t="s">
        <v>35</v>
      </c>
      <c r="C1252" s="311" t="s">
        <v>113</v>
      </c>
      <c r="D1252" s="311"/>
      <c r="E1252" s="502">
        <v>254.89750000000001</v>
      </c>
      <c r="F1252" s="402">
        <f>IFERROR(E1252*'01 Prod Physique Boites'!H1246,"-")</f>
        <v>0</v>
      </c>
      <c r="G1252" s="403">
        <f>IFERROR(E1252*'01 Prod Physique Boites'!L1246,"-")</f>
        <v>0</v>
      </c>
      <c r="H1252" s="381">
        <v>445.38</v>
      </c>
      <c r="I1252" s="419">
        <f>IFERROR(H1252*(F1252/E1252),"-")</f>
        <v>0</v>
      </c>
      <c r="J1252" s="420">
        <f t="shared" ref="J1252:J1255" si="712">IFERROR(H1252*(G1252/E1252),"-")</f>
        <v>0</v>
      </c>
    </row>
    <row r="1253" spans="1:10" ht="24" x14ac:dyDescent="0.25">
      <c r="A1253" s="274" t="s">
        <v>102</v>
      </c>
      <c r="B1253" s="951"/>
      <c r="C1253" s="312" t="s">
        <v>247</v>
      </c>
      <c r="D1253" s="312"/>
      <c r="E1253" s="503">
        <v>246.51390000000001</v>
      </c>
      <c r="F1253" s="402">
        <f>IFERROR(E1253*'01 Prod Physique Boites'!H1247,"-")</f>
        <v>0</v>
      </c>
      <c r="G1253" s="403">
        <f>IFERROR(E1253*'01 Prod Physique Boites'!L1247,"-")</f>
        <v>0</v>
      </c>
      <c r="H1253" s="385">
        <v>430.02</v>
      </c>
      <c r="I1253" s="421">
        <f>IFERROR(H1253*(F1253/E1253),"-")</f>
        <v>0</v>
      </c>
      <c r="J1253" s="422">
        <f t="shared" si="712"/>
        <v>0</v>
      </c>
    </row>
    <row r="1254" spans="1:10" ht="24" x14ac:dyDescent="0.25">
      <c r="A1254" s="274" t="s">
        <v>102</v>
      </c>
      <c r="B1254" s="951"/>
      <c r="C1254" s="312" t="s">
        <v>184</v>
      </c>
      <c r="D1254" s="312" t="s">
        <v>183</v>
      </c>
      <c r="E1254" s="503">
        <v>254.89750000000001</v>
      </c>
      <c r="F1254" s="402">
        <f>IFERROR(E1254*'01 Prod Physique Boites'!H1248,"-")</f>
        <v>0</v>
      </c>
      <c r="G1254" s="403">
        <f>IFERROR(E1254*'01 Prod Physique Boites'!L1248,"-")</f>
        <v>0</v>
      </c>
      <c r="H1254" s="385"/>
      <c r="I1254" s="421">
        <f>IFERROR(H1254*(F1254/E1254),"-")</f>
        <v>0</v>
      </c>
      <c r="J1254" s="422">
        <f t="shared" si="712"/>
        <v>0</v>
      </c>
    </row>
    <row r="1255" spans="1:10" ht="24.75" thickBot="1" x14ac:dyDescent="0.3">
      <c r="A1255" s="274" t="s">
        <v>102</v>
      </c>
      <c r="B1255" s="950"/>
      <c r="C1255" s="313" t="s">
        <v>36</v>
      </c>
      <c r="D1255" s="313"/>
      <c r="E1255" s="500">
        <v>229.99359999999999</v>
      </c>
      <c r="F1255" s="402">
        <f>IFERROR(E1255*'01 Prod Physique Boites'!H1249,"-")</f>
        <v>0</v>
      </c>
      <c r="G1255" s="403">
        <f>IFERROR(E1255*'01 Prod Physique Boites'!L1249,"-")</f>
        <v>0</v>
      </c>
      <c r="H1255" s="387"/>
      <c r="I1255" s="423">
        <f>IFERROR(H1255*(F1255/E1255),"-")</f>
        <v>0</v>
      </c>
      <c r="J1255" s="424">
        <f t="shared" si="712"/>
        <v>0</v>
      </c>
    </row>
    <row r="1256" spans="1:10" ht="23.25" thickBot="1" x14ac:dyDescent="0.3">
      <c r="A1256" s="274" t="s">
        <v>102</v>
      </c>
      <c r="B1256" s="946" t="s">
        <v>37</v>
      </c>
      <c r="C1256" s="947"/>
      <c r="D1256" s="948"/>
      <c r="E1256" s="390"/>
      <c r="F1256" s="406">
        <f t="shared" ref="F1256:G1256" si="713">SUM(F1252:F1255)</f>
        <v>0</v>
      </c>
      <c r="G1256" s="407">
        <f t="shared" si="713"/>
        <v>0</v>
      </c>
      <c r="H1256" s="391"/>
      <c r="I1256" s="406">
        <f>SUM(I1252:I1255)</f>
        <v>0</v>
      </c>
      <c r="J1256" s="425">
        <f>SUM(J1252:J1255)</f>
        <v>0</v>
      </c>
    </row>
    <row r="1257" spans="1:10" ht="24" x14ac:dyDescent="0.25">
      <c r="A1257" s="274" t="s">
        <v>102</v>
      </c>
      <c r="B1257" s="949" t="s">
        <v>402</v>
      </c>
      <c r="C1257" s="314" t="s">
        <v>116</v>
      </c>
      <c r="D1257" s="314"/>
      <c r="E1257" s="502">
        <v>195.2808</v>
      </c>
      <c r="F1257" s="402">
        <f>IFERROR(E1257*'01 Prod Physique Boites'!H1251,"-")</f>
        <v>0</v>
      </c>
      <c r="G1257" s="403">
        <f>IFERROR(E1257*'01 Prod Physique Boites'!L1251,"-")</f>
        <v>0</v>
      </c>
      <c r="H1257" s="681">
        <v>256.7</v>
      </c>
      <c r="I1257" s="419">
        <f>IFERROR(H1257*(F1257/E1257),"-")</f>
        <v>0</v>
      </c>
      <c r="J1257" s="420">
        <f t="shared" ref="J1257:J1258" si="714">IFERROR(H1257*(G1257/E1257),"-")</f>
        <v>0</v>
      </c>
    </row>
    <row r="1258" spans="1:10" ht="24.75" thickBot="1" x14ac:dyDescent="0.3">
      <c r="A1258" s="274" t="s">
        <v>102</v>
      </c>
      <c r="B1258" s="950"/>
      <c r="C1258" s="286" t="s">
        <v>132</v>
      </c>
      <c r="D1258" s="286"/>
      <c r="E1258" s="500">
        <v>189.91890000000001</v>
      </c>
      <c r="F1258" s="402">
        <f>IFERROR(E1258*'01 Prod Physique Boites'!H1252,"-")</f>
        <v>0</v>
      </c>
      <c r="G1258" s="403">
        <f>IFERROR(E1258*'01 Prod Physique Boites'!L1252,"-")</f>
        <v>4138332.8310000002</v>
      </c>
      <c r="H1258" s="387">
        <v>320.35000000000002</v>
      </c>
      <c r="I1258" s="423">
        <f>IFERROR(H1258*(F1258/E1258),"-")</f>
        <v>0</v>
      </c>
      <c r="J1258" s="424">
        <f t="shared" si="714"/>
        <v>6980426.5000000009</v>
      </c>
    </row>
    <row r="1259" spans="1:10" ht="23.25" thickBot="1" x14ac:dyDescent="0.3">
      <c r="A1259" s="909" t="s">
        <v>102</v>
      </c>
      <c r="B1259" s="946" t="s">
        <v>38</v>
      </c>
      <c r="C1259" s="947"/>
      <c r="D1259" s="948"/>
      <c r="E1259" s="390"/>
      <c r="F1259" s="406">
        <f>SUM(F1257:F1258)</f>
        <v>0</v>
      </c>
      <c r="G1259" s="407">
        <f t="shared" ref="G1259" si="715">SUM(G1257:G1258)</f>
        <v>4138332.8310000002</v>
      </c>
      <c r="H1259" s="391"/>
      <c r="I1259" s="406">
        <f t="shared" ref="I1259:J1259" si="716">SUM(I1257:I1258)</f>
        <v>0</v>
      </c>
      <c r="J1259" s="425">
        <f t="shared" si="716"/>
        <v>6980426.5000000009</v>
      </c>
    </row>
    <row r="1260" spans="1:10" ht="24" x14ac:dyDescent="0.25">
      <c r="A1260" s="274" t="s">
        <v>102</v>
      </c>
      <c r="B1260" s="949" t="s">
        <v>403</v>
      </c>
      <c r="C1260" s="269" t="s">
        <v>306</v>
      </c>
      <c r="D1260" s="269" t="s">
        <v>238</v>
      </c>
      <c r="E1260" s="504">
        <v>37.248699999999999</v>
      </c>
      <c r="F1260" s="402">
        <f>IFERROR(E1260*'01 Prod Physique Boites'!H1254,"-")</f>
        <v>1782573.7871999999</v>
      </c>
      <c r="G1260" s="403">
        <f>IFERROR(E1260*'01 Prod Physique Boites'!L1254,"-")</f>
        <v>11200088.1108</v>
      </c>
      <c r="H1260" s="381">
        <v>71.44</v>
      </c>
      <c r="I1260" s="419">
        <f>IFERROR(H1260*(F1260/E1260),"-")</f>
        <v>3418832.6399999997</v>
      </c>
      <c r="J1260" s="420">
        <f>IFERROR(H1260*(G1260/E1260),"-")</f>
        <v>21480864.960000001</v>
      </c>
    </row>
    <row r="1261" spans="1:10" ht="24" x14ac:dyDescent="0.25">
      <c r="A1261" s="274" t="s">
        <v>102</v>
      </c>
      <c r="B1261" s="951"/>
      <c r="C1261" s="269" t="s">
        <v>156</v>
      </c>
      <c r="D1261" s="275"/>
      <c r="E1261" s="504">
        <v>37.248699999999999</v>
      </c>
      <c r="F1261" s="402">
        <f>IFERROR(E1261*'01 Prod Physique Boites'!H1255,"-")</f>
        <v>0</v>
      </c>
      <c r="G1261" s="403">
        <f>IFERROR(E1261*'01 Prod Physique Boites'!L1255,"-")</f>
        <v>0</v>
      </c>
      <c r="H1261" s="385"/>
      <c r="I1261" s="421">
        <f>IFERROR(H1261*(F1261/E1261),"-")</f>
        <v>0</v>
      </c>
      <c r="J1261" s="422">
        <f t="shared" ref="J1261:J1263" si="717">IFERROR(H1261*(G1261/E1261),"-")</f>
        <v>0</v>
      </c>
    </row>
    <row r="1262" spans="1:10" ht="24" x14ac:dyDescent="0.25">
      <c r="A1262" s="274" t="s">
        <v>102</v>
      </c>
      <c r="B1262" s="951"/>
      <c r="C1262" s="275" t="s">
        <v>345</v>
      </c>
      <c r="D1262" s="269" t="s">
        <v>238</v>
      </c>
      <c r="E1262" s="504">
        <v>37.248699999999999</v>
      </c>
      <c r="F1262" s="402">
        <f>IFERROR(E1262*'01 Prod Physique Boites'!H1256,"-")</f>
        <v>0</v>
      </c>
      <c r="G1262" s="403">
        <f>IFERROR(E1262*'01 Prod Physique Boites'!L1256,"-")</f>
        <v>1826378.2583999999</v>
      </c>
      <c r="H1262" s="385">
        <v>71.44</v>
      </c>
      <c r="I1262" s="421">
        <f>IFERROR(H1262*(F1262/E1262),"-")</f>
        <v>0</v>
      </c>
      <c r="J1262" s="422">
        <f t="shared" si="717"/>
        <v>3502846.08</v>
      </c>
    </row>
    <row r="1263" spans="1:10" ht="24.75" thickBot="1" x14ac:dyDescent="0.3">
      <c r="A1263" s="274" t="s">
        <v>102</v>
      </c>
      <c r="B1263" s="951"/>
      <c r="C1263" s="275" t="s">
        <v>157</v>
      </c>
      <c r="D1263" s="275"/>
      <c r="E1263" s="505">
        <v>38.466099999999997</v>
      </c>
      <c r="F1263" s="402">
        <f>IFERROR(E1263*'01 Prod Physique Boites'!H1257,"-")</f>
        <v>0</v>
      </c>
      <c r="G1263" s="403">
        <f>IFERROR(E1263*'01 Prod Physique Boites'!L1257,"-")</f>
        <v>0</v>
      </c>
      <c r="H1263" s="385"/>
      <c r="I1263" s="421">
        <f>IFERROR(H1263*(F1263/E1263),"-")</f>
        <v>0</v>
      </c>
      <c r="J1263" s="422">
        <f t="shared" si="717"/>
        <v>0</v>
      </c>
    </row>
    <row r="1264" spans="1:10" ht="23.25" thickBot="1" x14ac:dyDescent="0.3">
      <c r="A1264" s="274" t="s">
        <v>102</v>
      </c>
      <c r="B1264" s="946" t="s">
        <v>39</v>
      </c>
      <c r="C1264" s="947"/>
      <c r="D1264" s="948"/>
      <c r="E1264" s="390"/>
      <c r="F1264" s="406">
        <f>SUM(F1260:F1263)</f>
        <v>1782573.7871999999</v>
      </c>
      <c r="G1264" s="407">
        <f>SUM(G1260:G1263)</f>
        <v>13026466.369200001</v>
      </c>
      <c r="H1264" s="391"/>
      <c r="I1264" s="406">
        <f>SUM(I1260:I1263)</f>
        <v>3418832.6399999997</v>
      </c>
      <c r="J1264" s="406">
        <f>SUM(J1260:J1263)</f>
        <v>24983711.039999999</v>
      </c>
    </row>
    <row r="1265" spans="1:10" ht="24" x14ac:dyDescent="0.25">
      <c r="A1265" s="274" t="s">
        <v>102</v>
      </c>
      <c r="B1265" s="949" t="s">
        <v>40</v>
      </c>
      <c r="C1265" s="269" t="s">
        <v>186</v>
      </c>
      <c r="D1265" s="269" t="s">
        <v>183</v>
      </c>
      <c r="E1265" s="504">
        <v>30.7499</v>
      </c>
      <c r="F1265" s="402">
        <f>IFERROR(E1265*'01 Prod Physique Boites'!H1260,"-")</f>
        <v>0</v>
      </c>
      <c r="G1265" s="402">
        <f>IFERROR(E1265*'01 Prod Physique Boites'!L1260,"-")</f>
        <v>0</v>
      </c>
      <c r="H1265" s="381"/>
      <c r="I1265" s="419">
        <f>IFERROR(H1265*(F1265/E1265),"-")</f>
        <v>0</v>
      </c>
      <c r="J1265" s="420">
        <f>IFERROR(H1265*(G1265/E1265),"-")</f>
        <v>0</v>
      </c>
    </row>
    <row r="1266" spans="1:10" ht="24" x14ac:dyDescent="0.25">
      <c r="A1266" s="274" t="s">
        <v>102</v>
      </c>
      <c r="B1266" s="951"/>
      <c r="C1266" s="275" t="s">
        <v>159</v>
      </c>
      <c r="D1266" s="275"/>
      <c r="E1266" s="684">
        <v>30.073599999999999</v>
      </c>
      <c r="F1266" s="402">
        <f>IFERROR(E1266*'01 Prod Physique Boites'!H1261,"-")</f>
        <v>0</v>
      </c>
      <c r="G1266" s="403">
        <f>IFERROR(E1266*'01 Prod Physique Boites'!L1261,"-")</f>
        <v>342839.03999999998</v>
      </c>
      <c r="H1266" s="385">
        <v>59.96</v>
      </c>
      <c r="I1266" s="421">
        <f>IFERROR(H1266*(F1266/E1266),"-")</f>
        <v>0</v>
      </c>
      <c r="J1266" s="422">
        <f t="shared" ref="J1266:J1267" si="718">IFERROR(H1266*(G1266/E1266),"-")</f>
        <v>683544</v>
      </c>
    </row>
    <row r="1267" spans="1:10" ht="24.75" thickBot="1" x14ac:dyDescent="0.3">
      <c r="A1267" s="274" t="s">
        <v>102</v>
      </c>
      <c r="B1267" s="950"/>
      <c r="C1267" s="279" t="s">
        <v>186</v>
      </c>
      <c r="D1267" s="279" t="s">
        <v>185</v>
      </c>
      <c r="E1267" s="501">
        <v>30.073599999999999</v>
      </c>
      <c r="F1267" s="402">
        <f>IFERROR(E1267*'01 Prod Physique Boites'!H1262,"-")</f>
        <v>0</v>
      </c>
      <c r="G1267" s="403">
        <f>IFERROR(E1267*'01 Prod Physique Boites'!L1262,"-")</f>
        <v>0</v>
      </c>
      <c r="H1267" s="387"/>
      <c r="I1267" s="423">
        <f>IFERROR(H1267*(F1267/E1267),"-")</f>
        <v>0</v>
      </c>
      <c r="J1267" s="424">
        <f t="shared" si="718"/>
        <v>0</v>
      </c>
    </row>
    <row r="1268" spans="1:10" ht="23.25" thickBot="1" x14ac:dyDescent="0.3">
      <c r="A1268" s="274" t="s">
        <v>102</v>
      </c>
      <c r="B1268" s="952" t="s">
        <v>41</v>
      </c>
      <c r="C1268" s="953"/>
      <c r="D1268" s="954"/>
      <c r="E1268" s="390"/>
      <c r="F1268" s="406">
        <f t="shared" ref="F1268:G1268" si="719">SUM(F1265:F1267)</f>
        <v>0</v>
      </c>
      <c r="G1268" s="407">
        <f t="shared" si="719"/>
        <v>342839.03999999998</v>
      </c>
      <c r="H1268" s="391"/>
      <c r="I1268" s="406">
        <f t="shared" ref="I1268:J1268" si="720">SUM(I1265:I1267)</f>
        <v>0</v>
      </c>
      <c r="J1268" s="425">
        <f t="shared" si="720"/>
        <v>683544</v>
      </c>
    </row>
    <row r="1269" spans="1:10" ht="24" x14ac:dyDescent="0.25">
      <c r="A1269" s="274" t="s">
        <v>102</v>
      </c>
      <c r="B1269" s="949" t="s">
        <v>42</v>
      </c>
      <c r="C1269" s="269" t="s">
        <v>160</v>
      </c>
      <c r="D1269" s="269"/>
      <c r="E1269" s="504">
        <v>36.684899999999999</v>
      </c>
      <c r="F1269" s="402">
        <f>IFERROR(E1269*'01 Prod Physique Boites'!H1264,"-")</f>
        <v>0</v>
      </c>
      <c r="G1269" s="402">
        <f>IFERROR(E1269*'01 Prod Physique Boites'!L1264,"-")</f>
        <v>0</v>
      </c>
      <c r="H1269" s="381"/>
      <c r="I1269" s="382" t="s">
        <v>190</v>
      </c>
      <c r="J1269" s="383" t="s">
        <v>190</v>
      </c>
    </row>
    <row r="1270" spans="1:10" ht="24.75" thickBot="1" x14ac:dyDescent="0.3">
      <c r="A1270" s="274" t="s">
        <v>102</v>
      </c>
      <c r="B1270" s="950"/>
      <c r="C1270" s="279" t="s">
        <v>161</v>
      </c>
      <c r="D1270" s="279"/>
      <c r="E1270" s="501">
        <v>37.002800000000001</v>
      </c>
      <c r="F1270" s="402">
        <f>IFERROR(E1270*'01 Prod Physique Boites'!H1265,"-")</f>
        <v>0</v>
      </c>
      <c r="G1270" s="402">
        <f>IFERROR(E1270*'01 Prod Physique Boites'!L1265,"-")</f>
        <v>0</v>
      </c>
      <c r="H1270" s="387"/>
      <c r="I1270" s="388" t="s">
        <v>190</v>
      </c>
      <c r="J1270" s="389" t="s">
        <v>190</v>
      </c>
    </row>
    <row r="1271" spans="1:10" ht="23.25" thickBot="1" x14ac:dyDescent="0.3">
      <c r="A1271" s="274" t="s">
        <v>102</v>
      </c>
      <c r="B1271" s="952" t="s">
        <v>43</v>
      </c>
      <c r="C1271" s="953"/>
      <c r="D1271" s="954"/>
      <c r="E1271" s="390"/>
      <c r="F1271" s="402">
        <f>IFERROR(E1271*'01 Prod Physique Boites'!H1265,"-")</f>
        <v>0</v>
      </c>
      <c r="G1271" s="407">
        <f>IFERROR(E1271*'01 Prod Physique Boites'!L1265,"-")</f>
        <v>0</v>
      </c>
      <c r="H1271" s="391"/>
      <c r="I1271" s="406">
        <f t="shared" ref="I1271:J1271" si="721">SUM(I1269:I1270)</f>
        <v>0</v>
      </c>
      <c r="J1271" s="425">
        <f t="shared" si="721"/>
        <v>0</v>
      </c>
    </row>
    <row r="1272" spans="1:10" ht="23.25" thickBot="1" x14ac:dyDescent="0.3">
      <c r="A1272" s="274" t="s">
        <v>102</v>
      </c>
      <c r="B1272" s="938" t="s">
        <v>25</v>
      </c>
      <c r="C1272" s="939"/>
      <c r="D1272" s="940"/>
      <c r="E1272" s="393"/>
      <c r="F1272" s="410">
        <f>+F1251+F1256+F1259+F1264+F1268+F1271</f>
        <v>1782573.7871999999</v>
      </c>
      <c r="G1272" s="411">
        <f>+G1251+G1256+G1259+G1264+G1268+G1271</f>
        <v>19762993.9113</v>
      </c>
      <c r="H1272" s="394"/>
      <c r="I1272" s="410">
        <f>+I1251+I1256+I1259+I1264+I1268+I1271</f>
        <v>3418832.6399999997</v>
      </c>
      <c r="J1272" s="428">
        <f>+J1251+J1256+J1259+J1264+J1268+J1271</f>
        <v>36581934.519999996</v>
      </c>
    </row>
    <row r="1273" spans="1:10" ht="23.25" thickBot="1" x14ac:dyDescent="0.3">
      <c r="A1273" s="318" t="s">
        <v>102</v>
      </c>
      <c r="B1273" s="941" t="s">
        <v>173</v>
      </c>
      <c r="C1273" s="941"/>
      <c r="D1273" s="942"/>
      <c r="E1273" s="395"/>
      <c r="F1273" s="412">
        <f t="shared" ref="F1273:G1273" si="722">+F1272</f>
        <v>1782573.7871999999</v>
      </c>
      <c r="G1273" s="413">
        <f t="shared" si="722"/>
        <v>19762993.9113</v>
      </c>
      <c r="H1273" s="396"/>
      <c r="I1273" s="412">
        <f t="shared" ref="I1273" si="723">+I1272</f>
        <v>3418832.6399999997</v>
      </c>
      <c r="J1273" s="429">
        <f>+J1272</f>
        <v>36581934.519999996</v>
      </c>
    </row>
    <row r="1274" spans="1:10" ht="26.25" thickBot="1" x14ac:dyDescent="0.3">
      <c r="A1274" s="319"/>
      <c r="B1274" s="943" t="s">
        <v>174</v>
      </c>
      <c r="C1274" s="944"/>
      <c r="D1274" s="945"/>
      <c r="E1274" s="401"/>
      <c r="F1274" s="418">
        <f>+F1212+F1247+F1273</f>
        <v>9022627.2331999987</v>
      </c>
      <c r="G1274" s="418">
        <f>+G1212+G1247+G1273</f>
        <v>74573499.455699995</v>
      </c>
      <c r="H1274" s="401"/>
      <c r="I1274" s="418">
        <f>+I1212+I1247+I1273</f>
        <v>12061488</v>
      </c>
      <c r="J1274" s="432">
        <f>+J1212+J1247+J1273</f>
        <v>102990219</v>
      </c>
    </row>
    <row r="1275" spans="1:10" ht="22.5" x14ac:dyDescent="0.25">
      <c r="A1275" s="978" t="s">
        <v>1</v>
      </c>
      <c r="B1275" s="981" t="s">
        <v>2</v>
      </c>
      <c r="C1275" s="984" t="s">
        <v>396</v>
      </c>
      <c r="D1275" s="984" t="s">
        <v>397</v>
      </c>
      <c r="E1275" s="1011" t="s">
        <v>405</v>
      </c>
      <c r="F1275" s="1012"/>
      <c r="G1275" s="1012"/>
      <c r="H1275" s="442"/>
      <c r="I1275" s="442"/>
      <c r="J1275" s="443"/>
    </row>
    <row r="1276" spans="1:10" ht="22.5" x14ac:dyDescent="0.25">
      <c r="A1276" s="979"/>
      <c r="B1276" s="982"/>
      <c r="C1276" s="985"/>
      <c r="D1276" s="985"/>
      <c r="E1276" s="1013" t="s">
        <v>408</v>
      </c>
      <c r="F1276" s="1014"/>
      <c r="G1276" s="1015"/>
      <c r="H1276" s="1013" t="s">
        <v>168</v>
      </c>
      <c r="I1276" s="1014"/>
      <c r="J1276" s="1015"/>
    </row>
    <row r="1277" spans="1:10" ht="45" x14ac:dyDescent="0.25">
      <c r="A1277" s="980"/>
      <c r="B1277" s="1009"/>
      <c r="C1277" s="1010"/>
      <c r="D1277" s="1010"/>
      <c r="E1277" s="379" t="s">
        <v>170</v>
      </c>
      <c r="F1277" s="924" t="s">
        <v>407</v>
      </c>
      <c r="G1277" s="925" t="s">
        <v>406</v>
      </c>
      <c r="H1277" s="1016" t="s">
        <v>170</v>
      </c>
      <c r="I1277" s="1018" t="s">
        <v>137</v>
      </c>
      <c r="J1277" s="1020" t="s">
        <v>406</v>
      </c>
    </row>
    <row r="1278" spans="1:10" ht="23.25" thickBot="1" x14ac:dyDescent="0.3">
      <c r="A1278" s="980"/>
      <c r="B1278" s="983"/>
      <c r="C1278" s="986"/>
      <c r="D1278" s="986"/>
      <c r="E1278" s="1022" t="s">
        <v>556</v>
      </c>
      <c r="F1278" s="1023"/>
      <c r="G1278" s="1024"/>
      <c r="H1278" s="1017"/>
      <c r="I1278" s="1019"/>
      <c r="J1278" s="1021"/>
    </row>
    <row r="1279" spans="1:10" ht="24" x14ac:dyDescent="0.25">
      <c r="A1279" s="268" t="s">
        <v>103</v>
      </c>
      <c r="B1279" s="965" t="s">
        <v>16</v>
      </c>
      <c r="C1279" s="269" t="s">
        <v>368</v>
      </c>
      <c r="D1279" s="269" t="s">
        <v>369</v>
      </c>
      <c r="E1279" s="705">
        <v>81.360699999999994</v>
      </c>
      <c r="F1279" s="402">
        <f>IFERROR(E1279*'01 Prod Physique Boites'!H1273,"-")</f>
        <v>598814.75199999998</v>
      </c>
      <c r="G1279" s="402">
        <f>IFERROR(E1279*'01 Prod Physique Boites'!L1273,"-")</f>
        <v>1223664.9279999998</v>
      </c>
      <c r="H1279" s="706">
        <v>143.28</v>
      </c>
      <c r="I1279" s="419">
        <f>IFERROR(H1279*(F1279/E1279),"-")</f>
        <v>1054540.8</v>
      </c>
      <c r="J1279" s="420">
        <f t="shared" ref="J1279:J1281" si="724">IFERROR(H1279*(G1279/E1279),"-")</f>
        <v>2154931.2000000002</v>
      </c>
    </row>
    <row r="1280" spans="1:10" ht="24" x14ac:dyDescent="0.25">
      <c r="A1280" s="713"/>
      <c r="B1280" s="966"/>
      <c r="C1280" s="275" t="s">
        <v>470</v>
      </c>
      <c r="D1280" s="275" t="s">
        <v>375</v>
      </c>
      <c r="E1280" s="505">
        <v>81.360699999999994</v>
      </c>
      <c r="F1280" s="402">
        <f>IFERROR(E1280*'01 Prod Physique Boites'!H1274,"-")</f>
        <v>0</v>
      </c>
      <c r="G1280" s="402">
        <f>IFERROR(E1280*'01 Prod Physique Boites'!L1274,"-")</f>
        <v>0</v>
      </c>
      <c r="H1280" s="708">
        <v>143.28</v>
      </c>
      <c r="I1280" s="419">
        <f>IFERROR(H1280*(F1280/E1280),"-")</f>
        <v>0</v>
      </c>
      <c r="J1280" s="420">
        <f t="shared" si="724"/>
        <v>0</v>
      </c>
    </row>
    <row r="1281" spans="1:10" ht="24" x14ac:dyDescent="0.25">
      <c r="A1281" s="274" t="s">
        <v>103</v>
      </c>
      <c r="B1281" s="966"/>
      <c r="C1281" s="275" t="s">
        <v>430</v>
      </c>
      <c r="D1281" s="275" t="s">
        <v>384</v>
      </c>
      <c r="E1281" s="684">
        <v>77.170400000000001</v>
      </c>
      <c r="F1281" s="402">
        <f>IFERROR(E1281*'01 Prod Physique Boites'!H1275,"-")</f>
        <v>0</v>
      </c>
      <c r="G1281" s="402">
        <f>IFERROR(E1281*'01 Prod Physique Boites'!L1275,"-")</f>
        <v>617363.19999999995</v>
      </c>
      <c r="H1281" s="385">
        <v>0</v>
      </c>
      <c r="I1281" s="419">
        <f>IFERROR(H1281*(F1281/E1281),"-")</f>
        <v>0</v>
      </c>
      <c r="J1281" s="420">
        <f t="shared" si="724"/>
        <v>0</v>
      </c>
    </row>
    <row r="1282" spans="1:10" ht="24.75" thickBot="1" x14ac:dyDescent="0.3">
      <c r="A1282" s="274" t="s">
        <v>103</v>
      </c>
      <c r="B1282" s="967"/>
      <c r="C1282" s="279" t="s">
        <v>262</v>
      </c>
      <c r="D1282" s="279" t="s">
        <v>231</v>
      </c>
      <c r="E1282" s="501">
        <v>60.703499999999998</v>
      </c>
      <c r="F1282" s="402">
        <f>IFERROR(E1282*'01 Prod Physique Boites'!H1276,"-")</f>
        <v>0</v>
      </c>
      <c r="G1282" s="402">
        <f>IFERROR(E1282*'01 Prod Physique Boites'!L1276,"-")</f>
        <v>0</v>
      </c>
      <c r="H1282" s="387">
        <v>111.09</v>
      </c>
      <c r="I1282" s="419">
        <f>IFERROR(H1282*(F1282/E1282),"-")</f>
        <v>0</v>
      </c>
      <c r="J1282" s="420">
        <f>IFERROR(H1282*(G1282/E1282),"-")</f>
        <v>0</v>
      </c>
    </row>
    <row r="1283" spans="1:10" ht="23.25" thickBot="1" x14ac:dyDescent="0.3">
      <c r="A1283" s="274" t="s">
        <v>103</v>
      </c>
      <c r="B1283" s="946" t="s">
        <v>44</v>
      </c>
      <c r="C1283" s="947"/>
      <c r="D1283" s="948"/>
      <c r="E1283" s="390"/>
      <c r="F1283" s="406">
        <f t="shared" ref="F1283" si="725">SUM(F1279:F1282)</f>
        <v>598814.75199999998</v>
      </c>
      <c r="G1283" s="407">
        <f>SUM(G1279:G1282)</f>
        <v>1841028.1279999998</v>
      </c>
      <c r="H1283" s="391"/>
      <c r="I1283" s="406">
        <f t="shared" ref="I1283:J1283" si="726">SUM(I1279:I1282)</f>
        <v>1054540.8</v>
      </c>
      <c r="J1283" s="425">
        <f t="shared" si="726"/>
        <v>2154931.2000000002</v>
      </c>
    </row>
    <row r="1284" spans="1:10" ht="24" x14ac:dyDescent="0.25">
      <c r="A1284" s="274" t="s">
        <v>103</v>
      </c>
      <c r="B1284" s="965" t="s">
        <v>17</v>
      </c>
      <c r="C1284" s="269" t="s">
        <v>294</v>
      </c>
      <c r="D1284" s="269"/>
      <c r="E1284" s="504">
        <v>12.5275</v>
      </c>
      <c r="F1284" s="402">
        <f>IFERROR(E1284*'01 Prod Physique Boites'!H1278,"-")</f>
        <v>0</v>
      </c>
      <c r="G1284" s="402">
        <f>IFERROR(E1284*'01 Prod Physique Boites'!L1278,"-")</f>
        <v>0</v>
      </c>
      <c r="H1284" s="681">
        <v>18.836400000000001</v>
      </c>
      <c r="I1284" s="419">
        <f t="shared" ref="I1284:I1290" si="727">IFERROR(H1284*(F1284/E1284),"-")</f>
        <v>0</v>
      </c>
      <c r="J1284" s="420">
        <f t="shared" ref="J1284:J1289" si="728">IFERROR(H1284*(G1284/E1284),"-")</f>
        <v>0</v>
      </c>
    </row>
    <row r="1285" spans="1:10" ht="24" x14ac:dyDescent="0.25">
      <c r="A1285" s="274" t="s">
        <v>103</v>
      </c>
      <c r="B1285" s="966"/>
      <c r="C1285" s="275" t="s">
        <v>344</v>
      </c>
      <c r="D1285" s="275" t="s">
        <v>232</v>
      </c>
      <c r="E1285" s="677">
        <v>13.002700000000001</v>
      </c>
      <c r="F1285" s="402">
        <f>IFERROR(E1285*'01 Prod Physique Boites'!H1279,"-")</f>
        <v>0</v>
      </c>
      <c r="G1285" s="402">
        <f>IFERROR(E1285*'01 Prod Physique Boites'!L1279,"-")</f>
        <v>77756.146000000008</v>
      </c>
      <c r="H1285" s="385">
        <v>21.18</v>
      </c>
      <c r="I1285" s="421">
        <f t="shared" si="727"/>
        <v>0</v>
      </c>
      <c r="J1285" s="422">
        <f t="shared" si="728"/>
        <v>126656.4</v>
      </c>
    </row>
    <row r="1286" spans="1:10" ht="24" x14ac:dyDescent="0.25">
      <c r="A1286" s="274" t="s">
        <v>103</v>
      </c>
      <c r="B1286" s="966"/>
      <c r="C1286" s="275" t="s">
        <v>351</v>
      </c>
      <c r="D1286" s="275" t="s">
        <v>187</v>
      </c>
      <c r="E1286" s="677">
        <v>12.9049</v>
      </c>
      <c r="F1286" s="402">
        <f>IFERROR(E1286*'01 Prod Physique Boites'!H1280,"-")</f>
        <v>789779.88</v>
      </c>
      <c r="G1286" s="402">
        <f>IFERROR(E1286*'01 Prod Physique Boites'!L1280,"-")</f>
        <v>11846698.199999999</v>
      </c>
      <c r="H1286" s="385">
        <v>20.5</v>
      </c>
      <c r="I1286" s="421">
        <f t="shared" si="727"/>
        <v>1254600</v>
      </c>
      <c r="J1286" s="422">
        <f t="shared" si="728"/>
        <v>18819000</v>
      </c>
    </row>
    <row r="1287" spans="1:10" ht="24" x14ac:dyDescent="0.25">
      <c r="A1287" s="274" t="s">
        <v>103</v>
      </c>
      <c r="B1287" s="966"/>
      <c r="C1287" s="275" t="s">
        <v>530</v>
      </c>
      <c r="D1287" s="275" t="s">
        <v>529</v>
      </c>
      <c r="E1287" s="505">
        <v>13.1958</v>
      </c>
      <c r="F1287" s="402">
        <f>IFERROR(E1287*'01 Prod Physique Boites'!H1281,"-")</f>
        <v>0</v>
      </c>
      <c r="G1287" s="402">
        <f>IFERROR(E1287*'01 Prod Physique Boites'!L1281,"-")</f>
        <v>545646.32999999996</v>
      </c>
      <c r="H1287" s="708">
        <v>21.28</v>
      </c>
      <c r="I1287" s="421">
        <f t="shared" si="727"/>
        <v>0</v>
      </c>
      <c r="J1287" s="422">
        <f t="shared" si="728"/>
        <v>879927.99999999988</v>
      </c>
    </row>
    <row r="1288" spans="1:10" ht="24" x14ac:dyDescent="0.25">
      <c r="A1288" s="274" t="s">
        <v>103</v>
      </c>
      <c r="B1288" s="966"/>
      <c r="C1288" s="275" t="s">
        <v>323</v>
      </c>
      <c r="D1288" s="275" t="s">
        <v>318</v>
      </c>
      <c r="E1288" s="505">
        <v>13.1958</v>
      </c>
      <c r="F1288" s="402">
        <f>IFERROR(E1288*'01 Prod Physique Boites'!H1282,"-")</f>
        <v>0</v>
      </c>
      <c r="G1288" s="402">
        <f>IFERROR(E1288*'01 Prod Physique Boites'!L1282,"-")</f>
        <v>0</v>
      </c>
      <c r="H1288" s="385">
        <v>21.28</v>
      </c>
      <c r="I1288" s="421">
        <f t="shared" si="727"/>
        <v>0</v>
      </c>
      <c r="J1288" s="422">
        <f t="shared" si="728"/>
        <v>0</v>
      </c>
    </row>
    <row r="1289" spans="1:10" ht="24" x14ac:dyDescent="0.25">
      <c r="A1289" s="274">
        <v>1</v>
      </c>
      <c r="B1289" s="966"/>
      <c r="C1289" s="275" t="s">
        <v>528</v>
      </c>
      <c r="D1289" s="275" t="s">
        <v>189</v>
      </c>
      <c r="E1289" s="677">
        <v>13.1958</v>
      </c>
      <c r="F1289" s="402">
        <f>IFERROR(E1289*'01 Prod Physique Boites'!H1283,"-")</f>
        <v>0</v>
      </c>
      <c r="G1289" s="402">
        <f>IFERROR(E1289*'01 Prod Physique Boites'!L1283,"-")</f>
        <v>445490.20799999998</v>
      </c>
      <c r="H1289" s="664">
        <v>21.28</v>
      </c>
      <c r="I1289" s="421">
        <f t="shared" si="727"/>
        <v>0</v>
      </c>
      <c r="J1289" s="422">
        <f t="shared" si="728"/>
        <v>718412.80000000005</v>
      </c>
    </row>
    <row r="1290" spans="1:10" ht="24.75" thickBot="1" x14ac:dyDescent="0.3">
      <c r="A1290" s="274" t="s">
        <v>103</v>
      </c>
      <c r="B1290" s="967"/>
      <c r="C1290" s="279" t="s">
        <v>341</v>
      </c>
      <c r="D1290" s="279" t="s">
        <v>175</v>
      </c>
      <c r="E1290" s="501">
        <v>13.6509</v>
      </c>
      <c r="F1290" s="402">
        <f>IFERROR(E1290*'01 Prod Physique Boites'!H1284,"-")</f>
        <v>0</v>
      </c>
      <c r="G1290" s="402">
        <f>IFERROR(E1290*'01 Prod Physique Boites'!L1284,"-")</f>
        <v>0</v>
      </c>
      <c r="H1290" s="387">
        <v>21.18</v>
      </c>
      <c r="I1290" s="423">
        <f t="shared" si="727"/>
        <v>0</v>
      </c>
      <c r="J1290" s="424">
        <f>IFERROR(H1290*(G1290/E1290),"-")</f>
        <v>0</v>
      </c>
    </row>
    <row r="1291" spans="1:10" ht="23.25" thickBot="1" x14ac:dyDescent="0.3">
      <c r="A1291" s="274" t="s">
        <v>103</v>
      </c>
      <c r="B1291" s="946" t="s">
        <v>45</v>
      </c>
      <c r="C1291" s="947"/>
      <c r="D1291" s="948"/>
      <c r="E1291" s="390"/>
      <c r="F1291" s="406">
        <f t="shared" ref="F1291" si="729">SUM(F1284:F1290)</f>
        <v>789779.88</v>
      </c>
      <c r="G1291" s="407">
        <f>SUM(G1284:G1290)</f>
        <v>12915590.884</v>
      </c>
      <c r="H1291" s="391"/>
      <c r="I1291" s="406">
        <f t="shared" ref="I1291" si="730">SUM(I1284:I1290)</f>
        <v>1254600</v>
      </c>
      <c r="J1291" s="425">
        <f>SUM(J1284:J1290)</f>
        <v>20543997.199999999</v>
      </c>
    </row>
    <row r="1292" spans="1:10" ht="24" x14ac:dyDescent="0.25">
      <c r="A1292" s="274" t="s">
        <v>103</v>
      </c>
      <c r="B1292" s="965" t="s">
        <v>18</v>
      </c>
      <c r="C1292" s="269" t="s">
        <v>312</v>
      </c>
      <c r="D1292" s="269" t="s">
        <v>92</v>
      </c>
      <c r="E1292" s="504">
        <v>17.8202</v>
      </c>
      <c r="F1292" s="402">
        <f>IFERROR(E1292*'01 Prod Physique Boites'!H1286,"-")</f>
        <v>0</v>
      </c>
      <c r="G1292" s="403">
        <f>IFERROR(E1292*'01 Prod Physique Boites'!L1286,"-")</f>
        <v>0</v>
      </c>
      <c r="H1292" s="381">
        <v>24.93</v>
      </c>
      <c r="I1292" s="419">
        <f t="shared" ref="I1292:I1298" si="731">IFERROR(H1292*(F1292/E1292),"-")</f>
        <v>0</v>
      </c>
      <c r="J1292" s="420">
        <f t="shared" ref="J1292:J1294" si="732">IFERROR(H1292*(G1292/E1292),"-")</f>
        <v>0</v>
      </c>
    </row>
    <row r="1293" spans="1:10" ht="24" x14ac:dyDescent="0.25">
      <c r="A1293" s="274" t="s">
        <v>103</v>
      </c>
      <c r="B1293" s="966"/>
      <c r="C1293" s="275" t="s">
        <v>130</v>
      </c>
      <c r="D1293" s="275"/>
      <c r="E1293" s="505">
        <v>17.8202</v>
      </c>
      <c r="F1293" s="402">
        <f>IFERROR(E1293*'01 Prod Physique Boites'!H1287,"-")</f>
        <v>0</v>
      </c>
      <c r="G1293" s="403">
        <f>IFERROR(E1293*'01 Prod Physique Boites'!L1287,"-")</f>
        <v>0</v>
      </c>
      <c r="H1293" s="385">
        <v>0</v>
      </c>
      <c r="I1293" s="421">
        <f t="shared" si="731"/>
        <v>0</v>
      </c>
      <c r="J1293" s="422">
        <f t="shared" si="732"/>
        <v>0</v>
      </c>
    </row>
    <row r="1294" spans="1:10" ht="24" x14ac:dyDescent="0.25">
      <c r="A1294" s="274" t="s">
        <v>103</v>
      </c>
      <c r="B1294" s="966"/>
      <c r="C1294" s="275" t="s">
        <v>115</v>
      </c>
      <c r="D1294" s="275"/>
      <c r="E1294" s="505">
        <v>16.4071</v>
      </c>
      <c r="F1294" s="402">
        <f>IFERROR(E1294*'01 Prod Physique Boites'!H1288,"-")</f>
        <v>0</v>
      </c>
      <c r="G1294" s="403">
        <f>IFERROR(E1294*'01 Prod Physique Boites'!L1288,"-")</f>
        <v>0</v>
      </c>
      <c r="H1294" s="385">
        <v>0</v>
      </c>
      <c r="I1294" s="421">
        <f t="shared" si="731"/>
        <v>0</v>
      </c>
      <c r="J1294" s="422">
        <f t="shared" si="732"/>
        <v>0</v>
      </c>
    </row>
    <row r="1295" spans="1:10" ht="24" x14ac:dyDescent="0.25">
      <c r="A1295" s="274" t="s">
        <v>103</v>
      </c>
      <c r="B1295" s="966"/>
      <c r="C1295" s="275" t="s">
        <v>122</v>
      </c>
      <c r="D1295" s="275"/>
      <c r="E1295" s="505">
        <v>17.8202</v>
      </c>
      <c r="F1295" s="402">
        <f>IFERROR(E1295*'01 Prod Physique Boites'!H1289,"-")</f>
        <v>0</v>
      </c>
      <c r="G1295" s="403">
        <f>IFERROR(E1295*'01 Prod Physique Boites'!L1289,"-")</f>
        <v>0</v>
      </c>
      <c r="H1295" s="385">
        <v>0</v>
      </c>
      <c r="I1295" s="421">
        <f t="shared" si="731"/>
        <v>0</v>
      </c>
      <c r="J1295" s="422">
        <f>IFERROR(H1295*(G1295/E1295),"-")</f>
        <v>0</v>
      </c>
    </row>
    <row r="1296" spans="1:10" ht="24" x14ac:dyDescent="0.25">
      <c r="A1296" s="274" t="s">
        <v>103</v>
      </c>
      <c r="B1296" s="966"/>
      <c r="C1296" s="275" t="s">
        <v>176</v>
      </c>
      <c r="D1296" s="275" t="s">
        <v>177</v>
      </c>
      <c r="E1296" s="505">
        <v>17.8202</v>
      </c>
      <c r="F1296" s="402">
        <f>IFERROR(E1296*'01 Prod Physique Boites'!H1290,"-")</f>
        <v>0</v>
      </c>
      <c r="G1296" s="403">
        <f>IFERROR(E1296*'01 Prod Physique Boites'!L1290,"-")</f>
        <v>0</v>
      </c>
      <c r="H1296" s="385">
        <v>0</v>
      </c>
      <c r="I1296" s="421">
        <f t="shared" si="731"/>
        <v>0</v>
      </c>
      <c r="J1296" s="422">
        <f t="shared" ref="J1296:J1298" si="733">IFERROR(H1296*(G1296/E1296),"-")</f>
        <v>0</v>
      </c>
    </row>
    <row r="1297" spans="1:10" ht="24" x14ac:dyDescent="0.25">
      <c r="A1297" s="274" t="s">
        <v>103</v>
      </c>
      <c r="B1297" s="966"/>
      <c r="C1297" s="275" t="s">
        <v>179</v>
      </c>
      <c r="D1297" s="275" t="s">
        <v>178</v>
      </c>
      <c r="E1297" s="505">
        <v>16.7288</v>
      </c>
      <c r="F1297" s="402">
        <f>IFERROR(E1297*'01 Prod Physique Boites'!H1291,"-")</f>
        <v>0</v>
      </c>
      <c r="G1297" s="403">
        <f>IFERROR(E1297*'01 Prod Physique Boites'!L1291,"-")</f>
        <v>0</v>
      </c>
      <c r="H1297" s="385">
        <v>0</v>
      </c>
      <c r="I1297" s="421">
        <f t="shared" si="731"/>
        <v>0</v>
      </c>
      <c r="J1297" s="422">
        <f t="shared" si="733"/>
        <v>0</v>
      </c>
    </row>
    <row r="1298" spans="1:10" ht="24.75" thickBot="1" x14ac:dyDescent="0.3">
      <c r="A1298" s="274" t="s">
        <v>103</v>
      </c>
      <c r="B1298" s="967"/>
      <c r="C1298" s="286" t="s">
        <v>180</v>
      </c>
      <c r="D1298" s="286" t="s">
        <v>107</v>
      </c>
      <c r="E1298" s="501">
        <v>17.8202</v>
      </c>
      <c r="F1298" s="402">
        <f>IFERROR(E1298*'01 Prod Physique Boites'!H1292,"-")</f>
        <v>0</v>
      </c>
      <c r="G1298" s="403">
        <f>IFERROR(E1298*'01 Prod Physique Boites'!L1292,"-")</f>
        <v>0</v>
      </c>
      <c r="H1298" s="385">
        <v>0</v>
      </c>
      <c r="I1298" s="423">
        <f t="shared" si="731"/>
        <v>0</v>
      </c>
      <c r="J1298" s="424">
        <f t="shared" si="733"/>
        <v>0</v>
      </c>
    </row>
    <row r="1299" spans="1:10" ht="23.25" thickBot="1" x14ac:dyDescent="0.3">
      <c r="A1299" s="274" t="s">
        <v>103</v>
      </c>
      <c r="B1299" s="946" t="s">
        <v>29</v>
      </c>
      <c r="C1299" s="970"/>
      <c r="D1299" s="971"/>
      <c r="E1299" s="841"/>
      <c r="F1299" s="856">
        <f t="shared" ref="F1299:G1299" si="734">SUM(F1292:F1298)</f>
        <v>0</v>
      </c>
      <c r="G1299" s="415">
        <f t="shared" si="734"/>
        <v>0</v>
      </c>
      <c r="H1299" s="391"/>
      <c r="I1299" s="406">
        <f t="shared" ref="I1299:J1299" si="735">SUM(I1292:I1298)</f>
        <v>0</v>
      </c>
      <c r="J1299" s="425">
        <f t="shared" si="735"/>
        <v>0</v>
      </c>
    </row>
    <row r="1300" spans="1:10" ht="24" x14ac:dyDescent="0.25">
      <c r="A1300" s="274"/>
      <c r="B1300" s="972" t="s">
        <v>19</v>
      </c>
      <c r="C1300" s="669" t="s">
        <v>235</v>
      </c>
      <c r="D1300" s="669" t="s">
        <v>177</v>
      </c>
      <c r="E1300" s="850">
        <v>12.2659</v>
      </c>
      <c r="F1300" s="658">
        <f>IFERROR(E1300*'01 Prod Physique Boites'!H1294,"-")</f>
        <v>1554334.848</v>
      </c>
      <c r="G1300" s="659">
        <f>IFERROR(E1300*'01 Prod Physique Boites'!L1294,"-")</f>
        <v>1554334.848</v>
      </c>
      <c r="H1300" s="653">
        <v>14.79</v>
      </c>
      <c r="I1300" s="638">
        <f t="shared" ref="I1300:I1306" si="736">IFERROR(H1300*(F1300/E1300),"-")</f>
        <v>1874188.7999999998</v>
      </c>
      <c r="J1300" s="638">
        <f>IFERROR(H1300*(G1300/E1300),"-")</f>
        <v>1874188.7999999998</v>
      </c>
    </row>
    <row r="1301" spans="1:10" ht="24" x14ac:dyDescent="0.25">
      <c r="A1301" s="274"/>
      <c r="B1301" s="973"/>
      <c r="C1301" s="840" t="s">
        <v>359</v>
      </c>
      <c r="D1301" s="840" t="s">
        <v>423</v>
      </c>
      <c r="E1301" s="851">
        <v>12.2659</v>
      </c>
      <c r="F1301" s="643">
        <f>IFERROR(E1301*'01 Prod Physique Boites'!H1295,"-")</f>
        <v>0</v>
      </c>
      <c r="G1301" s="633">
        <f>IFERROR(E1301*'01 Prod Physique Boites'!L1295,"-")</f>
        <v>7046317.9775999999</v>
      </c>
      <c r="H1301" s="654">
        <v>14.55</v>
      </c>
      <c r="I1301" s="643">
        <f t="shared" si="736"/>
        <v>0</v>
      </c>
      <c r="J1301" s="643">
        <f>IFERROR(H1301*(G1301/E1301),"-")</f>
        <v>8358451.2000000002</v>
      </c>
    </row>
    <row r="1302" spans="1:10" ht="24" x14ac:dyDescent="0.25">
      <c r="A1302" s="274"/>
      <c r="B1302" s="973"/>
      <c r="C1302" s="840" t="s">
        <v>235</v>
      </c>
      <c r="D1302" s="840" t="s">
        <v>522</v>
      </c>
      <c r="E1302" s="851">
        <v>12.2659</v>
      </c>
      <c r="F1302" s="643">
        <f>IFERROR(E1302*'01 Prod Physique Boites'!H1296,"-")</f>
        <v>0</v>
      </c>
      <c r="G1302" s="633">
        <f>IFERROR(E1302*'01 Prod Physique Boites'!L1296,"-")</f>
        <v>2621370.0208000001</v>
      </c>
      <c r="H1302" s="860">
        <v>0</v>
      </c>
      <c r="I1302" s="643">
        <f t="shared" si="736"/>
        <v>0</v>
      </c>
      <c r="J1302" s="643">
        <f t="shared" ref="J1302:J1305" si="737">IFERROR(H1302*(G1302/E1302),"-")</f>
        <v>0</v>
      </c>
    </row>
    <row r="1303" spans="1:10" ht="24" x14ac:dyDescent="0.25">
      <c r="A1303" s="274"/>
      <c r="B1303" s="973"/>
      <c r="C1303" s="840" t="s">
        <v>377</v>
      </c>
      <c r="D1303" s="840" t="s">
        <v>522</v>
      </c>
      <c r="E1303" s="851">
        <v>12.2659</v>
      </c>
      <c r="F1303" s="643">
        <f>IFERROR(E1303*'01 Prod Physique Boites'!H1297,"-")</f>
        <v>0</v>
      </c>
      <c r="G1303" s="633">
        <f>IFERROR(E1303*'01 Prod Physique Boites'!L1297,"-")</f>
        <v>3523158.9887999999</v>
      </c>
      <c r="H1303" s="860">
        <v>0</v>
      </c>
      <c r="I1303" s="643">
        <f t="shared" si="736"/>
        <v>0</v>
      </c>
      <c r="J1303" s="643">
        <f t="shared" si="737"/>
        <v>0</v>
      </c>
    </row>
    <row r="1304" spans="1:10" ht="24" x14ac:dyDescent="0.25">
      <c r="A1304" s="274"/>
      <c r="B1304" s="973"/>
      <c r="C1304" s="840" t="s">
        <v>536</v>
      </c>
      <c r="D1304" s="840" t="s">
        <v>522</v>
      </c>
      <c r="E1304" s="851">
        <v>12.2659</v>
      </c>
      <c r="F1304" s="643">
        <f>IFERROR(E1304*'01 Prod Physique Boites'!H1298,"-")</f>
        <v>77716.742400000003</v>
      </c>
      <c r="G1304" s="633">
        <f>IFERROR(E1304*'01 Prod Physique Boites'!L1298,"-")</f>
        <v>1839296.2368000001</v>
      </c>
      <c r="H1304" s="860">
        <v>0</v>
      </c>
      <c r="I1304" s="643">
        <f t="shared" si="736"/>
        <v>0</v>
      </c>
      <c r="J1304" s="643">
        <f t="shared" si="737"/>
        <v>0</v>
      </c>
    </row>
    <row r="1305" spans="1:10" ht="24" x14ac:dyDescent="0.25">
      <c r="A1305" s="274"/>
      <c r="B1305" s="973"/>
      <c r="C1305" s="840"/>
      <c r="D1305" s="840"/>
      <c r="E1305" s="851">
        <v>12.2659</v>
      </c>
      <c r="F1305" s="643">
        <f>IFERROR(E1305*'01 Prod Physique Boites'!H1299,"-")</f>
        <v>0</v>
      </c>
      <c r="G1305" s="633">
        <f>IFERROR(E1305*'01 Prod Physique Boites'!L1299,"-")</f>
        <v>0</v>
      </c>
      <c r="H1305" s="910">
        <v>14.55</v>
      </c>
      <c r="I1305" s="643">
        <f t="shared" si="736"/>
        <v>0</v>
      </c>
      <c r="J1305" s="643">
        <f t="shared" si="737"/>
        <v>0</v>
      </c>
    </row>
    <row r="1306" spans="1:10" ht="24.75" thickBot="1" x14ac:dyDescent="0.3">
      <c r="A1306" s="926" t="s">
        <v>103</v>
      </c>
      <c r="B1306" s="974"/>
      <c r="C1306" s="670" t="s">
        <v>342</v>
      </c>
      <c r="D1306" s="670"/>
      <c r="E1306" s="852">
        <v>0</v>
      </c>
      <c r="F1306" s="927">
        <f>IFERROR(E1306*'01 Prod Physique Boites'!H1300,"-")</f>
        <v>0</v>
      </c>
      <c r="G1306" s="858">
        <f>IFERROR(E1306*'01 Prod Physique Boites'!L1300,"-")</f>
        <v>0</v>
      </c>
      <c r="H1306" s="655">
        <v>0</v>
      </c>
      <c r="I1306" s="643" t="str">
        <f t="shared" si="736"/>
        <v>-</v>
      </c>
      <c r="J1306" s="427" t="str">
        <f t="shared" ref="J1306" si="738">IFERROR(I1306*(G1306/F1306),"-")</f>
        <v>-</v>
      </c>
    </row>
    <row r="1307" spans="1:10" ht="23.25" thickBot="1" x14ac:dyDescent="0.3">
      <c r="A1307" s="274" t="s">
        <v>103</v>
      </c>
      <c r="B1307" s="946" t="s">
        <v>46</v>
      </c>
      <c r="C1307" s="976"/>
      <c r="D1307" s="977"/>
      <c r="E1307" s="842"/>
      <c r="F1307" s="523">
        <f>SUM(F1300:F1306)</f>
        <v>1632051.5904000001</v>
      </c>
      <c r="G1307" s="523">
        <f>SUM(G1300:G1306)</f>
        <v>16584478.072000001</v>
      </c>
      <c r="H1307" s="391"/>
      <c r="I1307" s="406">
        <f>SUM(I1300:I1306)</f>
        <v>1874188.7999999998</v>
      </c>
      <c r="J1307" s="425">
        <f>SUM(J1300:J1306)</f>
        <v>10232640</v>
      </c>
    </row>
    <row r="1308" spans="1:10" ht="24" x14ac:dyDescent="0.25">
      <c r="A1308" s="274" t="s">
        <v>103</v>
      </c>
      <c r="B1308" s="965" t="s">
        <v>20</v>
      </c>
      <c r="C1308" s="291" t="s">
        <v>317</v>
      </c>
      <c r="D1308" s="291" t="s">
        <v>289</v>
      </c>
      <c r="E1308" s="504">
        <v>26.032900000000001</v>
      </c>
      <c r="F1308" s="402">
        <f>IFERROR(E1308*'01 Prod Physique Boites'!H1302,"-")</f>
        <v>0</v>
      </c>
      <c r="G1308" s="403">
        <f>IFERROR(E1308*'01 Prod Physique Boites'!L1302,"-")</f>
        <v>0</v>
      </c>
      <c r="H1308" s="381">
        <v>36.44</v>
      </c>
      <c r="I1308" s="419">
        <f>IFERROR(H1308*(F1308/E1308),"-")</f>
        <v>0</v>
      </c>
      <c r="J1308" s="420">
        <f t="shared" ref="J1308:J1310" si="739">IFERROR(H1308*(G1308/E1308),"-")</f>
        <v>0</v>
      </c>
    </row>
    <row r="1309" spans="1:10" ht="24" x14ac:dyDescent="0.25">
      <c r="A1309" s="274" t="s">
        <v>103</v>
      </c>
      <c r="B1309" s="966"/>
      <c r="C1309" s="292" t="s">
        <v>114</v>
      </c>
      <c r="D1309" s="292"/>
      <c r="E1309" s="384">
        <v>24.2607</v>
      </c>
      <c r="F1309" s="402">
        <f>IFERROR(E1309*'01 Prod Physique Boites'!H1303,"-")</f>
        <v>0</v>
      </c>
      <c r="G1309" s="403">
        <f>IFERROR(E1309*'01 Prod Physique Boites'!L1303,"-")</f>
        <v>0</v>
      </c>
      <c r="H1309" s="385">
        <v>37.369999999999997</v>
      </c>
      <c r="I1309" s="421">
        <f>IFERROR(H1309*(F1309/E1309),"-")</f>
        <v>0</v>
      </c>
      <c r="J1309" s="422">
        <f t="shared" si="739"/>
        <v>0</v>
      </c>
    </row>
    <row r="1310" spans="1:10" ht="24.75" thickBot="1" x14ac:dyDescent="0.3">
      <c r="A1310" s="274" t="s">
        <v>103</v>
      </c>
      <c r="B1310" s="967"/>
      <c r="C1310" s="293" t="s">
        <v>120</v>
      </c>
      <c r="D1310" s="293"/>
      <c r="E1310" s="386">
        <v>26.035799999999998</v>
      </c>
      <c r="F1310" s="402">
        <f>IFERROR(E1310*'01 Prod Physique Boites'!H1304,"-")</f>
        <v>0</v>
      </c>
      <c r="G1310" s="403">
        <f>IFERROR(E1310*'01 Prod Physique Boites'!L1304,"-")</f>
        <v>0</v>
      </c>
      <c r="H1310" s="387">
        <v>37.11</v>
      </c>
      <c r="I1310" s="423">
        <f>IFERROR(H1310*(F1310/E1310),"-")</f>
        <v>0</v>
      </c>
      <c r="J1310" s="424">
        <f t="shared" si="739"/>
        <v>0</v>
      </c>
    </row>
    <row r="1311" spans="1:10" ht="23.25" thickBot="1" x14ac:dyDescent="0.3">
      <c r="A1311" s="274" t="s">
        <v>103</v>
      </c>
      <c r="B1311" s="947" t="s">
        <v>47</v>
      </c>
      <c r="C1311" s="947"/>
      <c r="D1311" s="964"/>
      <c r="E1311" s="390"/>
      <c r="F1311" s="406">
        <f t="shared" ref="F1311:G1311" si="740">SUM(F1308:F1310)</f>
        <v>0</v>
      </c>
      <c r="G1311" s="407">
        <f t="shared" si="740"/>
        <v>0</v>
      </c>
      <c r="H1311" s="391"/>
      <c r="I1311" s="406">
        <f t="shared" ref="I1311:J1311" si="741">SUM(I1308:I1310)</f>
        <v>0</v>
      </c>
      <c r="J1311" s="425">
        <f t="shared" si="741"/>
        <v>0</v>
      </c>
    </row>
    <row r="1312" spans="1:10" ht="23.25" thickBot="1" x14ac:dyDescent="0.3">
      <c r="A1312" s="274" t="s">
        <v>103</v>
      </c>
      <c r="B1312" s="960" t="s">
        <v>21</v>
      </c>
      <c r="C1312" s="961"/>
      <c r="D1312" s="962"/>
      <c r="E1312" s="393"/>
      <c r="F1312" s="410">
        <f>+F1283+F1291+F1299+F1307+F1311</f>
        <v>3020646.2224000003</v>
      </c>
      <c r="G1312" s="411">
        <f>+G1283+G1291+G1299+G1307+G1311</f>
        <v>31341097.083999999</v>
      </c>
      <c r="H1312" s="394"/>
      <c r="I1312" s="410">
        <f>+I1283+I1291+I1299+I1307+I1311</f>
        <v>4183329.5999999996</v>
      </c>
      <c r="J1312" s="428">
        <f>+J1283+J1291+J1299+J1307+J1311</f>
        <v>32931568.399999999</v>
      </c>
    </row>
    <row r="1313" spans="1:10" ht="24" x14ac:dyDescent="0.25">
      <c r="A1313" s="274" t="s">
        <v>103</v>
      </c>
      <c r="B1313" s="965" t="s">
        <v>400</v>
      </c>
      <c r="C1313" s="269" t="s">
        <v>125</v>
      </c>
      <c r="D1313" s="269"/>
      <c r="E1313" s="380">
        <v>22.820599999999999</v>
      </c>
      <c r="F1313" s="402">
        <f>IFERROR(E1313*'01 Prod Physique Boites'!H1307,"-")</f>
        <v>0</v>
      </c>
      <c r="G1313" s="403">
        <f>IFERROR(E1313*'01 Prod Physique Boites'!L1307,"-")</f>
        <v>0</v>
      </c>
      <c r="H1313" s="381">
        <v>27.5</v>
      </c>
      <c r="I1313" s="419">
        <f>IFERROR(H1313*(F1313/E1313),"-")</f>
        <v>0</v>
      </c>
      <c r="J1313" s="420">
        <f t="shared" ref="J1313:J1316" si="742">IFERROR(H1313*(G1313/E1313),"-")</f>
        <v>0</v>
      </c>
    </row>
    <row r="1314" spans="1:10" ht="24" x14ac:dyDescent="0.25">
      <c r="A1314" s="274" t="s">
        <v>103</v>
      </c>
      <c r="B1314" s="966"/>
      <c r="C1314" s="295" t="s">
        <v>263</v>
      </c>
      <c r="D1314" s="295" t="s">
        <v>181</v>
      </c>
      <c r="E1314" s="384">
        <v>23.570699999999999</v>
      </c>
      <c r="F1314" s="402">
        <f>IFERROR(E1314*'01 Prod Physique Boites'!H1308,"-")</f>
        <v>0</v>
      </c>
      <c r="G1314" s="403">
        <f>IFERROR(E1314*'01 Prod Physique Boites'!L1308,"-")</f>
        <v>0</v>
      </c>
      <c r="H1314" s="385">
        <v>27.5</v>
      </c>
      <c r="I1314" s="421">
        <f>IFERROR(H1314*(F1314/E1314),"-")</f>
        <v>0</v>
      </c>
      <c r="J1314" s="422">
        <f t="shared" si="742"/>
        <v>0</v>
      </c>
    </row>
    <row r="1315" spans="1:10" ht="24" x14ac:dyDescent="0.25">
      <c r="A1315" s="274" t="s">
        <v>103</v>
      </c>
      <c r="B1315" s="966"/>
      <c r="C1315" s="295" t="s">
        <v>362</v>
      </c>
      <c r="D1315" s="295" t="s">
        <v>181</v>
      </c>
      <c r="E1315" s="384">
        <v>22.820599999999999</v>
      </c>
      <c r="F1315" s="402">
        <f>IFERROR(E1315*'01 Prod Physique Boites'!H1309,"-")</f>
        <v>0</v>
      </c>
      <c r="G1315" s="403">
        <f>IFERROR(E1315*'01 Prod Physique Boites'!L1309,"-")</f>
        <v>0</v>
      </c>
      <c r="H1315" s="385">
        <v>27.5</v>
      </c>
      <c r="I1315" s="421">
        <f>IFERROR(H1315*(F1315/E1315),"-")</f>
        <v>0</v>
      </c>
      <c r="J1315" s="422">
        <f t="shared" si="742"/>
        <v>0</v>
      </c>
    </row>
    <row r="1316" spans="1:10" ht="24.75" thickBot="1" x14ac:dyDescent="0.3">
      <c r="A1316" s="274" t="s">
        <v>103</v>
      </c>
      <c r="B1316" s="967"/>
      <c r="C1316" s="279" t="s">
        <v>182</v>
      </c>
      <c r="D1316" s="279" t="s">
        <v>93</v>
      </c>
      <c r="E1316" s="386">
        <v>22.238499999999998</v>
      </c>
      <c r="F1316" s="402">
        <f>IFERROR(E1316*'01 Prod Physique Boites'!H1310,"-")</f>
        <v>748547.90999999992</v>
      </c>
      <c r="G1316" s="403">
        <f>IFERROR(E1316*'01 Prod Physique Boites'!L1310,"-")</f>
        <v>2641933.7999999998</v>
      </c>
      <c r="H1316" s="387">
        <v>27</v>
      </c>
      <c r="I1316" s="423">
        <f>IFERROR(H1316*(F1316/E1316),"-")</f>
        <v>908820</v>
      </c>
      <c r="J1316" s="424">
        <f t="shared" si="742"/>
        <v>3207600</v>
      </c>
    </row>
    <row r="1317" spans="1:10" ht="23.25" thickBot="1" x14ac:dyDescent="0.3">
      <c r="A1317" s="274" t="s">
        <v>103</v>
      </c>
      <c r="B1317" s="946" t="s">
        <v>48</v>
      </c>
      <c r="C1317" s="947"/>
      <c r="D1317" s="948"/>
      <c r="E1317" s="390"/>
      <c r="F1317" s="406">
        <f t="shared" ref="F1317:G1317" si="743">SUM(F1313:F1316)</f>
        <v>748547.90999999992</v>
      </c>
      <c r="G1317" s="407">
        <f t="shared" si="743"/>
        <v>2641933.7999999998</v>
      </c>
      <c r="H1317" s="391"/>
      <c r="I1317" s="406">
        <f t="shared" ref="I1317:J1317" si="744">SUM(I1313:I1316)</f>
        <v>908820</v>
      </c>
      <c r="J1317" s="425">
        <f t="shared" si="744"/>
        <v>3207600</v>
      </c>
    </row>
    <row r="1318" spans="1:10" ht="24" x14ac:dyDescent="0.25">
      <c r="A1318" s="274" t="s">
        <v>103</v>
      </c>
      <c r="B1318" s="965" t="s">
        <v>23</v>
      </c>
      <c r="C1318" s="275" t="s">
        <v>500</v>
      </c>
      <c r="D1318" s="296" t="s">
        <v>238</v>
      </c>
      <c r="E1318" s="380">
        <v>101.4935</v>
      </c>
      <c r="F1318" s="402">
        <f>IFERROR(E1318*'01 Prod Physique Boites'!H1312,"-")</f>
        <v>0</v>
      </c>
      <c r="G1318" s="403">
        <f>IFERROR(E1318*'01 Prod Physique Boites'!L1312,"-")</f>
        <v>0</v>
      </c>
      <c r="H1318" s="385">
        <v>160.44999999999999</v>
      </c>
      <c r="I1318" s="419">
        <f t="shared" ref="I1318:I1326" si="745">IFERROR(H1318*(F1318/E1318),"-")</f>
        <v>0</v>
      </c>
      <c r="J1318" s="420">
        <f t="shared" ref="J1318:J1326" si="746">IFERROR(H1318*(G1318/E1318),"-")</f>
        <v>0</v>
      </c>
    </row>
    <row r="1319" spans="1:10" ht="24" x14ac:dyDescent="0.25">
      <c r="A1319" s="274" t="s">
        <v>103</v>
      </c>
      <c r="B1319" s="966"/>
      <c r="C1319" s="275" t="s">
        <v>24</v>
      </c>
      <c r="D1319" s="275" t="s">
        <v>238</v>
      </c>
      <c r="E1319" s="384">
        <v>101.4935</v>
      </c>
      <c r="F1319" s="402">
        <f>IFERROR(E1319*'01 Prod Physique Boites'!H1313,"-")</f>
        <v>0</v>
      </c>
      <c r="G1319" s="403">
        <f>IFERROR(E1319*'01 Prod Physique Boites'!L1313,"-")</f>
        <v>0</v>
      </c>
      <c r="H1319" s="385">
        <v>160.44999999999999</v>
      </c>
      <c r="I1319" s="421">
        <f t="shared" si="745"/>
        <v>0</v>
      </c>
      <c r="J1319" s="422">
        <f t="shared" si="746"/>
        <v>0</v>
      </c>
    </row>
    <row r="1320" spans="1:10" ht="24" x14ac:dyDescent="0.25">
      <c r="A1320" s="274" t="s">
        <v>103</v>
      </c>
      <c r="B1320" s="966"/>
      <c r="C1320" s="275" t="s">
        <v>236</v>
      </c>
      <c r="D1320" s="275" t="s">
        <v>238</v>
      </c>
      <c r="E1320" s="384">
        <v>101.4935</v>
      </c>
      <c r="F1320" s="402">
        <f>IFERROR(E1320*'01 Prod Physique Boites'!H1314,"-")</f>
        <v>0</v>
      </c>
      <c r="G1320" s="403">
        <f>IFERROR(E1320*'01 Prod Physique Boites'!L1314,"-")</f>
        <v>0</v>
      </c>
      <c r="H1320" s="385">
        <v>160.44999999999999</v>
      </c>
      <c r="I1320" s="421">
        <f t="shared" si="745"/>
        <v>0</v>
      </c>
      <c r="J1320" s="422">
        <f t="shared" si="746"/>
        <v>0</v>
      </c>
    </row>
    <row r="1321" spans="1:10" ht="24" x14ac:dyDescent="0.25">
      <c r="A1321" s="274" t="s">
        <v>103</v>
      </c>
      <c r="B1321" s="966"/>
      <c r="C1321" s="275" t="s">
        <v>239</v>
      </c>
      <c r="D1321" s="275" t="s">
        <v>238</v>
      </c>
      <c r="E1321" s="384">
        <v>101.4935</v>
      </c>
      <c r="F1321" s="402">
        <f>IFERROR(E1321*'01 Prod Physique Boites'!H1315,"-")</f>
        <v>0</v>
      </c>
      <c r="G1321" s="403">
        <f>IFERROR(E1321*'01 Prod Physique Boites'!L1315,"-")</f>
        <v>0</v>
      </c>
      <c r="H1321" s="385">
        <v>160.44999999999999</v>
      </c>
      <c r="I1321" s="421">
        <f t="shared" si="745"/>
        <v>0</v>
      </c>
      <c r="J1321" s="422">
        <f t="shared" si="746"/>
        <v>0</v>
      </c>
    </row>
    <row r="1322" spans="1:10" ht="24" x14ac:dyDescent="0.25">
      <c r="A1322" s="274" t="s">
        <v>103</v>
      </c>
      <c r="B1322" s="966"/>
      <c r="C1322" s="295" t="s">
        <v>394</v>
      </c>
      <c r="D1322" s="275" t="s">
        <v>238</v>
      </c>
      <c r="E1322" s="384">
        <v>101.4935</v>
      </c>
      <c r="F1322" s="402">
        <f>IFERROR(E1322*'01 Prod Physique Boites'!H1316,"-")</f>
        <v>0</v>
      </c>
      <c r="G1322" s="403">
        <f>IFERROR(E1322*'01 Prod Physique Boites'!L1316,"-")</f>
        <v>0</v>
      </c>
      <c r="H1322" s="385">
        <v>160.44999999999999</v>
      </c>
      <c r="I1322" s="421">
        <f t="shared" si="745"/>
        <v>0</v>
      </c>
      <c r="J1322" s="422">
        <f t="shared" si="746"/>
        <v>0</v>
      </c>
    </row>
    <row r="1323" spans="1:10" ht="24" x14ac:dyDescent="0.25">
      <c r="A1323" s="274" t="s">
        <v>103</v>
      </c>
      <c r="B1323" s="966"/>
      <c r="C1323" s="295" t="s">
        <v>422</v>
      </c>
      <c r="D1323" s="275" t="s">
        <v>238</v>
      </c>
      <c r="E1323" s="384">
        <v>101.4935</v>
      </c>
      <c r="F1323" s="402">
        <f>IFERROR(E1323*'01 Prod Physique Boites'!H1317,"-")</f>
        <v>0</v>
      </c>
      <c r="G1323" s="403">
        <f>IFERROR(E1323*'01 Prod Physique Boites'!L1317,"-")</f>
        <v>0</v>
      </c>
      <c r="H1323" s="385">
        <v>160.44999999999999</v>
      </c>
      <c r="I1323" s="421">
        <f t="shared" si="745"/>
        <v>0</v>
      </c>
      <c r="J1323" s="422">
        <f t="shared" si="746"/>
        <v>0</v>
      </c>
    </row>
    <row r="1324" spans="1:10" ht="24" x14ac:dyDescent="0.25">
      <c r="A1324" s="274" t="s">
        <v>103</v>
      </c>
      <c r="B1324" s="966"/>
      <c r="C1324" s="295" t="s">
        <v>241</v>
      </c>
      <c r="D1324" s="275" t="s">
        <v>547</v>
      </c>
      <c r="E1324" s="384">
        <v>101.4935</v>
      </c>
      <c r="F1324" s="402">
        <f>IFERROR(E1324*'01 Prod Physique Boites'!H1318,"-")</f>
        <v>0</v>
      </c>
      <c r="G1324" s="403">
        <f>IFERROR(E1324*'01 Prod Physique Boites'!L1318,"-")</f>
        <v>0</v>
      </c>
      <c r="H1324" s="385">
        <v>160.44999999999999</v>
      </c>
      <c r="I1324" s="421">
        <f t="shared" si="745"/>
        <v>0</v>
      </c>
      <c r="J1324" s="422">
        <f t="shared" si="746"/>
        <v>0</v>
      </c>
    </row>
    <row r="1325" spans="1:10" ht="24" x14ac:dyDescent="0.25">
      <c r="A1325" s="274"/>
      <c r="B1325" s="967"/>
      <c r="C1325" s="295" t="s">
        <v>546</v>
      </c>
      <c r="D1325" s="275" t="s">
        <v>238</v>
      </c>
      <c r="E1325" s="386">
        <v>101.49</v>
      </c>
      <c r="F1325" s="402">
        <f>IFERROR(E1325*'01 Prod Physique Boites'!H1319,"-")</f>
        <v>0</v>
      </c>
      <c r="G1325" s="403">
        <f>IFERROR(E1325*'01 Prod Physique Boites'!L1319,"-")</f>
        <v>0</v>
      </c>
      <c r="H1325" s="385">
        <v>160.44999999999999</v>
      </c>
      <c r="I1325" s="421">
        <f t="shared" si="745"/>
        <v>0</v>
      </c>
      <c r="J1325" s="422">
        <f t="shared" si="746"/>
        <v>0</v>
      </c>
    </row>
    <row r="1326" spans="1:10" ht="24.75" thickBot="1" x14ac:dyDescent="0.3">
      <c r="A1326" s="274" t="s">
        <v>103</v>
      </c>
      <c r="B1326" s="967"/>
      <c r="C1326" s="295" t="s">
        <v>242</v>
      </c>
      <c r="D1326" s="275" t="s">
        <v>238</v>
      </c>
      <c r="E1326" s="386">
        <v>101.4935</v>
      </c>
      <c r="F1326" s="402">
        <f>IFERROR(E1326*'01 Prod Physique Boites'!H1320,"-")</f>
        <v>0</v>
      </c>
      <c r="G1326" s="403">
        <f>IFERROR(E1326*'01 Prod Physique Boites'!L1320,"-")</f>
        <v>0</v>
      </c>
      <c r="H1326" s="385">
        <v>160.44999999999999</v>
      </c>
      <c r="I1326" s="421">
        <f t="shared" si="745"/>
        <v>0</v>
      </c>
      <c r="J1326" s="424">
        <f t="shared" si="746"/>
        <v>0</v>
      </c>
    </row>
    <row r="1327" spans="1:10" ht="23.25" thickBot="1" x14ac:dyDescent="0.3">
      <c r="A1327" s="274" t="s">
        <v>103</v>
      </c>
      <c r="B1327" s="946" t="s">
        <v>49</v>
      </c>
      <c r="C1327" s="947"/>
      <c r="D1327" s="948"/>
      <c r="E1327" s="390"/>
      <c r="F1327" s="406">
        <f t="shared" ref="F1327" si="747">SUM(F1318:F1326)</f>
        <v>0</v>
      </c>
      <c r="G1327" s="407">
        <f>SUM(G1318:G1326)</f>
        <v>0</v>
      </c>
      <c r="H1327" s="391"/>
      <c r="I1327" s="406">
        <f t="shared" ref="I1327" si="748">SUM(I1318:I1326)</f>
        <v>0</v>
      </c>
      <c r="J1327" s="425">
        <f>SUM(J1318:J1326)</f>
        <v>0</v>
      </c>
    </row>
    <row r="1328" spans="1:10" ht="23.25" thickBot="1" x14ac:dyDescent="0.3">
      <c r="A1328" s="274" t="s">
        <v>103</v>
      </c>
      <c r="B1328" s="960" t="s">
        <v>25</v>
      </c>
      <c r="C1328" s="961"/>
      <c r="D1328" s="962"/>
      <c r="E1328" s="393"/>
      <c r="F1328" s="410">
        <f t="shared" ref="F1328" si="749">+F1317+F1327</f>
        <v>748547.90999999992</v>
      </c>
      <c r="G1328" s="411">
        <f>+G1317+G1327</f>
        <v>2641933.7999999998</v>
      </c>
      <c r="H1328" s="394"/>
      <c r="I1328" s="410">
        <f t="shared" ref="I1328:J1328" si="750">+I1317+I1327</f>
        <v>908820</v>
      </c>
      <c r="J1328" s="428">
        <f t="shared" si="750"/>
        <v>3207600</v>
      </c>
    </row>
    <row r="1329" spans="1:10" ht="23.25" thickBot="1" x14ac:dyDescent="0.3">
      <c r="A1329" s="274" t="s">
        <v>103</v>
      </c>
      <c r="B1329" s="963" t="s">
        <v>172</v>
      </c>
      <c r="C1329" s="941"/>
      <c r="D1329" s="942"/>
      <c r="E1329" s="395"/>
      <c r="F1329" s="412">
        <f t="shared" ref="F1329" si="751">+F1312+F1328</f>
        <v>3769194.1324000005</v>
      </c>
      <c r="G1329" s="413">
        <f>+G1312+G1328</f>
        <v>33983030.883999996</v>
      </c>
      <c r="H1329" s="396"/>
      <c r="I1329" s="412">
        <f t="shared" ref="I1329:J1329" si="752">+I1312+I1328</f>
        <v>5092149.5999999996</v>
      </c>
      <c r="J1329" s="429">
        <f t="shared" si="752"/>
        <v>36139168.399999999</v>
      </c>
    </row>
    <row r="1330" spans="1:10" ht="24" x14ac:dyDescent="0.25">
      <c r="A1330" s="268" t="s">
        <v>101</v>
      </c>
      <c r="B1330" s="956" t="s">
        <v>26</v>
      </c>
      <c r="C1330" s="893" t="s">
        <v>297</v>
      </c>
      <c r="D1330" s="898" t="s">
        <v>177</v>
      </c>
      <c r="E1330" s="504">
        <v>13.1272</v>
      </c>
      <c r="F1330" s="402">
        <f>IFERROR(E1330*'01 Prod Physique Boites'!H1324,"-")</f>
        <v>0</v>
      </c>
      <c r="G1330" s="403">
        <f>IFERROR(E1330*'01 Prod Physique Boites'!L1324,"-")</f>
        <v>0</v>
      </c>
      <c r="H1330" s="381">
        <v>20.76</v>
      </c>
      <c r="I1330" s="419">
        <f t="shared" ref="I1330:I1339" si="753">IFERROR(H1330*(F1330/E1330),"-")</f>
        <v>0</v>
      </c>
      <c r="J1330" s="632">
        <f t="shared" ref="J1330:J1339" si="754">IFERROR(H1330*(G1330/E1330),"-")</f>
        <v>0</v>
      </c>
    </row>
    <row r="1331" spans="1:10" ht="24" x14ac:dyDescent="0.25">
      <c r="A1331" s="274" t="s">
        <v>101</v>
      </c>
      <c r="B1331" s="956"/>
      <c r="C1331" s="253" t="s">
        <v>424</v>
      </c>
      <c r="D1331" s="899" t="s">
        <v>423</v>
      </c>
      <c r="E1331" s="505">
        <v>16.7288</v>
      </c>
      <c r="F1331" s="402">
        <f>IFERROR(E1331*'01 Prod Physique Boites'!H1325,"-")</f>
        <v>0</v>
      </c>
      <c r="G1331" s="403">
        <f>IFERROR(E1331*'01 Prod Physique Boites'!L1325,"-")</f>
        <v>4392112.9824000001</v>
      </c>
      <c r="H1331" s="385">
        <v>20.76</v>
      </c>
      <c r="I1331" s="421">
        <f t="shared" si="753"/>
        <v>0</v>
      </c>
      <c r="J1331" s="633">
        <f t="shared" si="754"/>
        <v>5450496.4800000004</v>
      </c>
    </row>
    <row r="1332" spans="1:10" ht="24" x14ac:dyDescent="0.25">
      <c r="A1332" s="274" t="s">
        <v>101</v>
      </c>
      <c r="B1332" s="956"/>
      <c r="C1332" s="813" t="s">
        <v>27</v>
      </c>
      <c r="D1332" s="899" t="s">
        <v>334</v>
      </c>
      <c r="E1332" s="501">
        <v>14.608000000000001</v>
      </c>
      <c r="F1332" s="402">
        <f>IFERROR(E1332*'01 Prod Physique Boites'!H1326,"-")</f>
        <v>116221.24800000001</v>
      </c>
      <c r="G1332" s="403">
        <f>IFERROR(E1332*'01 Prod Physique Boites'!L1326,"-")</f>
        <v>522995.61600000004</v>
      </c>
      <c r="H1332" s="385">
        <v>21.22</v>
      </c>
      <c r="I1332" s="643">
        <f t="shared" si="753"/>
        <v>168826.31999999998</v>
      </c>
      <c r="J1332" s="633">
        <f t="shared" si="754"/>
        <v>759718.44</v>
      </c>
    </row>
    <row r="1333" spans="1:10" ht="24" x14ac:dyDescent="0.25">
      <c r="A1333" s="274" t="s">
        <v>101</v>
      </c>
      <c r="B1333" s="956"/>
      <c r="C1333" s="813" t="s">
        <v>27</v>
      </c>
      <c r="D1333" s="900" t="s">
        <v>492</v>
      </c>
      <c r="E1333" s="501">
        <v>17.8202</v>
      </c>
      <c r="F1333" s="402">
        <f>IFERROR(E1333*'01 Prod Physique Boites'!H1327,"-")</f>
        <v>0</v>
      </c>
      <c r="G1333" s="403">
        <f>IFERROR(E1333*'01 Prod Physique Boites'!L1327,"-")</f>
        <v>4820435.3808000004</v>
      </c>
      <c r="H1333" s="385">
        <v>26.75</v>
      </c>
      <c r="I1333" s="643">
        <f t="shared" si="753"/>
        <v>0</v>
      </c>
      <c r="J1333" s="633">
        <f t="shared" si="754"/>
        <v>7235982</v>
      </c>
    </row>
    <row r="1334" spans="1:10" ht="24" x14ac:dyDescent="0.25">
      <c r="A1334" s="274" t="s">
        <v>101</v>
      </c>
      <c r="B1334" s="956"/>
      <c r="C1334" s="893" t="s">
        <v>521</v>
      </c>
      <c r="D1334" s="899" t="s">
        <v>234</v>
      </c>
      <c r="E1334" s="501">
        <v>14.608000000000001</v>
      </c>
      <c r="F1334" s="402">
        <f>IFERROR(E1334*'01 Prod Physique Boites'!H1328,"-")</f>
        <v>0</v>
      </c>
      <c r="G1334" s="403">
        <f>IFERROR(E1334*'01 Prod Physique Boites'!L1328,"-")</f>
        <v>813548.73600000003</v>
      </c>
      <c r="H1334" s="385">
        <v>24.93</v>
      </c>
      <c r="I1334" s="643">
        <f t="shared" si="753"/>
        <v>0</v>
      </c>
      <c r="J1334" s="633">
        <f t="shared" si="754"/>
        <v>1388401.56</v>
      </c>
    </row>
    <row r="1335" spans="1:10" ht="24" x14ac:dyDescent="0.25">
      <c r="A1335" s="274"/>
      <c r="B1335" s="956"/>
      <c r="C1335" s="813" t="s">
        <v>432</v>
      </c>
      <c r="D1335" s="899" t="s">
        <v>178</v>
      </c>
      <c r="E1335" s="501">
        <v>14.608000000000001</v>
      </c>
      <c r="F1335" s="402">
        <f>IFERROR(E1335*'01 Prod Physique Boites'!H1329,"-")</f>
        <v>0</v>
      </c>
      <c r="G1335" s="403">
        <f>IFERROR(E1335*'01 Prod Physique Boites'!L1329,"-")</f>
        <v>0</v>
      </c>
      <c r="H1335" s="387">
        <v>24.93</v>
      </c>
      <c r="I1335" s="643">
        <f t="shared" si="753"/>
        <v>0</v>
      </c>
      <c r="J1335" s="634">
        <f t="shared" si="754"/>
        <v>0</v>
      </c>
    </row>
    <row r="1336" spans="1:10" ht="24" x14ac:dyDescent="0.25">
      <c r="A1336" s="274"/>
      <c r="B1336" s="956"/>
      <c r="C1336" s="813" t="s">
        <v>333</v>
      </c>
      <c r="D1336" s="899" t="s">
        <v>94</v>
      </c>
      <c r="E1336" s="501">
        <v>17.8202</v>
      </c>
      <c r="F1336" s="724">
        <f>IFERROR(E1336*'01 Prod Physique Boites'!H1330,"-")</f>
        <v>0</v>
      </c>
      <c r="G1336" s="403">
        <f>IFERROR(E1336*'01 Prod Physique Boites'!L1330,"-")</f>
        <v>0</v>
      </c>
      <c r="H1336" s="387">
        <v>24.93</v>
      </c>
      <c r="I1336" s="730">
        <f t="shared" si="753"/>
        <v>0</v>
      </c>
      <c r="J1336" s="634">
        <f t="shared" si="754"/>
        <v>0</v>
      </c>
    </row>
    <row r="1337" spans="1:10" ht="24" x14ac:dyDescent="0.25">
      <c r="A1337" s="725"/>
      <c r="B1337" s="956"/>
      <c r="C1337" s="813" t="s">
        <v>433</v>
      </c>
      <c r="D1337" s="899" t="s">
        <v>540</v>
      </c>
      <c r="E1337" s="727">
        <v>16.7288</v>
      </c>
      <c r="F1337" s="724">
        <f>IFERROR(E1337*'01 Prod Physique Boites'!H1331,"-")</f>
        <v>0</v>
      </c>
      <c r="G1337" s="728">
        <f>IFERROR(E1337*'01 Prod Physique Boites'!L1331,"-")</f>
        <v>5922697.8096000003</v>
      </c>
      <c r="H1337" s="729">
        <v>25</v>
      </c>
      <c r="I1337" s="730">
        <f t="shared" si="753"/>
        <v>0</v>
      </c>
      <c r="J1337" s="634">
        <f t="shared" si="754"/>
        <v>8851050</v>
      </c>
    </row>
    <row r="1338" spans="1:10" ht="24" x14ac:dyDescent="0.25">
      <c r="A1338" s="725"/>
      <c r="B1338" s="956"/>
      <c r="C1338" s="813" t="s">
        <v>382</v>
      </c>
      <c r="D1338" s="899" t="s">
        <v>366</v>
      </c>
      <c r="E1338" s="727">
        <v>16.7288</v>
      </c>
      <c r="F1338" s="724">
        <f>IFERROR(E1338*'01 Prod Physique Boites'!H1332,"-")</f>
        <v>0</v>
      </c>
      <c r="G1338" s="728">
        <f>IFERROR(E1338*'01 Prod Physique Boites'!L1332,"-")</f>
        <v>0</v>
      </c>
      <c r="H1338" s="729">
        <v>25.49</v>
      </c>
      <c r="I1338" s="730">
        <f t="shared" si="753"/>
        <v>0</v>
      </c>
      <c r="J1338" s="634">
        <f t="shared" si="754"/>
        <v>0</v>
      </c>
    </row>
    <row r="1339" spans="1:10" ht="24.75" thickBot="1" x14ac:dyDescent="0.3">
      <c r="A1339" s="274" t="s">
        <v>101</v>
      </c>
      <c r="B1339" s="956"/>
      <c r="C1339" s="894" t="s">
        <v>290</v>
      </c>
      <c r="D1339" s="901" t="s">
        <v>289</v>
      </c>
      <c r="E1339" s="501">
        <v>12.6997</v>
      </c>
      <c r="F1339" s="402">
        <f>IFERROR(E1339*'01 Prod Physique Boites'!H1333,"-")</f>
        <v>0</v>
      </c>
      <c r="G1339" s="728">
        <f>IFERROR(E1339*'01 Prod Physique Boites'!L1333,"-")</f>
        <v>0</v>
      </c>
      <c r="H1339" s="387">
        <v>13.25</v>
      </c>
      <c r="I1339" s="730">
        <f t="shared" si="753"/>
        <v>0</v>
      </c>
      <c r="J1339" s="634">
        <f t="shared" si="754"/>
        <v>0</v>
      </c>
    </row>
    <row r="1340" spans="1:10" ht="23.25" thickBot="1" x14ac:dyDescent="0.3">
      <c r="A1340" s="274" t="s">
        <v>101</v>
      </c>
      <c r="B1340" s="969"/>
      <c r="C1340" s="301"/>
      <c r="D1340" s="302" t="s">
        <v>52</v>
      </c>
      <c r="E1340" s="390"/>
      <c r="F1340" s="406">
        <f>SUM(F1330:F1339)</f>
        <v>116221.24800000001</v>
      </c>
      <c r="G1340" s="407">
        <f>SUM(G1330:G1339)</f>
        <v>16471790.524800003</v>
      </c>
      <c r="H1340" s="391"/>
      <c r="I1340" s="406">
        <f>SUM(I1330:I1339)</f>
        <v>168826.31999999998</v>
      </c>
      <c r="J1340" s="425">
        <f>SUM(J1330:J1339)</f>
        <v>23685648.48</v>
      </c>
    </row>
    <row r="1341" spans="1:10" ht="24" x14ac:dyDescent="0.25">
      <c r="A1341" s="274" t="s">
        <v>101</v>
      </c>
      <c r="B1341" s="955" t="s">
        <v>28</v>
      </c>
      <c r="C1341" s="299" t="s">
        <v>27</v>
      </c>
      <c r="D1341" s="297" t="s">
        <v>492</v>
      </c>
      <c r="E1341" s="504">
        <v>17.8202</v>
      </c>
      <c r="F1341" s="402">
        <f>IFERROR(E1341*'01 Prod Physique Boites'!H1335,"-")</f>
        <v>0</v>
      </c>
      <c r="G1341" s="403">
        <f>IFERROR(E1341*'01 Prod Physique Boites'!L1335,"-")</f>
        <v>2977327.7352</v>
      </c>
      <c r="H1341" s="381">
        <v>26.75</v>
      </c>
      <c r="I1341" s="419">
        <f t="shared" ref="I1341:I1347" si="755">IFERROR(H1341*(F1341/E1341),"-")</f>
        <v>0</v>
      </c>
      <c r="J1341" s="632">
        <f t="shared" ref="J1341:J1342" si="756">IFERROR(H1341*(G1341/E1341),"-")</f>
        <v>4469283</v>
      </c>
    </row>
    <row r="1342" spans="1:10" ht="24" x14ac:dyDescent="0.25">
      <c r="A1342" s="274" t="s">
        <v>101</v>
      </c>
      <c r="B1342" s="956"/>
      <c r="C1342" s="299" t="s">
        <v>386</v>
      </c>
      <c r="D1342" s="299" t="s">
        <v>334</v>
      </c>
      <c r="E1342" s="711">
        <v>16.7288</v>
      </c>
      <c r="F1342" s="402">
        <f>IFERROR(E1342*'01 Prod Physique Boites'!H1336,"-")</f>
        <v>0</v>
      </c>
      <c r="G1342" s="728">
        <f>IFERROR(E1342*'01 Prod Physique Boites'!L1336,"-")</f>
        <v>1597131.9935999999</v>
      </c>
      <c r="H1342" s="708">
        <v>20.76</v>
      </c>
      <c r="I1342" s="421">
        <f t="shared" si="755"/>
        <v>0</v>
      </c>
      <c r="J1342" s="633">
        <f t="shared" si="756"/>
        <v>1981998.7200000002</v>
      </c>
    </row>
    <row r="1343" spans="1:10" ht="24" x14ac:dyDescent="0.25">
      <c r="A1343" s="274" t="s">
        <v>101</v>
      </c>
      <c r="B1343" s="956"/>
      <c r="C1343" s="299" t="s">
        <v>541</v>
      </c>
      <c r="D1343" s="299" t="s">
        <v>334</v>
      </c>
      <c r="E1343" s="501">
        <v>17.8202</v>
      </c>
      <c r="F1343" s="402">
        <f>IFERROR(E1343*'01 Prod Physique Boites'!H1337,"-")</f>
        <v>0</v>
      </c>
      <c r="G1343" s="403">
        <f>IFERROR(E1343*'01 Prod Physique Boites'!L1337,"-")</f>
        <v>0</v>
      </c>
      <c r="H1343" s="385">
        <v>21.22</v>
      </c>
      <c r="I1343" s="421">
        <f t="shared" si="755"/>
        <v>0</v>
      </c>
      <c r="J1343" s="633">
        <f>IFERROR(H1343*(G1343/E1343),"-")</f>
        <v>0</v>
      </c>
    </row>
    <row r="1344" spans="1:10" ht="24" x14ac:dyDescent="0.25">
      <c r="A1344" s="274"/>
      <c r="B1344" s="956"/>
      <c r="C1344" s="299" t="s">
        <v>460</v>
      </c>
      <c r="D1344" s="299" t="s">
        <v>334</v>
      </c>
      <c r="E1344" s="501">
        <v>14.608000000000001</v>
      </c>
      <c r="F1344" s="402">
        <f>IFERROR(E1344*'01 Prod Physique Boites'!H1338,"-")</f>
        <v>0</v>
      </c>
      <c r="G1344" s="403">
        <f>IFERROR(E1344*'01 Prod Physique Boites'!L1338,"-")</f>
        <v>58110.624000000003</v>
      </c>
      <c r="H1344" s="385">
        <v>21.22</v>
      </c>
      <c r="I1344" s="421">
        <f t="shared" si="755"/>
        <v>0</v>
      </c>
      <c r="J1344" s="633">
        <f>IFERROR(H1344*(G1344/E1344),"-")</f>
        <v>84413.159999999989</v>
      </c>
    </row>
    <row r="1345" spans="1:10" ht="24" x14ac:dyDescent="0.25">
      <c r="A1345" s="274"/>
      <c r="B1345" s="956"/>
      <c r="C1345" s="299" t="s">
        <v>433</v>
      </c>
      <c r="D1345" s="299" t="s">
        <v>540</v>
      </c>
      <c r="E1345" s="711">
        <v>16.7288</v>
      </c>
      <c r="F1345" s="402">
        <f>IFERROR(E1345*'01 Prod Physique Boites'!H1339,"-")</f>
        <v>0</v>
      </c>
      <c r="G1345" s="403">
        <f>IFERROR(E1345*'01 Prod Physique Boites'!L1339,"-")</f>
        <v>2129509.3248000001</v>
      </c>
      <c r="H1345" s="385">
        <v>25</v>
      </c>
      <c r="I1345" s="423">
        <f t="shared" si="755"/>
        <v>0</v>
      </c>
      <c r="J1345" s="634">
        <f t="shared" ref="J1345:J1347" si="757">IFERROR(H1345*(G1345/E1345),"-")</f>
        <v>3182400</v>
      </c>
    </row>
    <row r="1346" spans="1:10" ht="24" x14ac:dyDescent="0.25">
      <c r="A1346" s="274"/>
      <c r="B1346" s="956"/>
      <c r="C1346" s="299" t="s">
        <v>458</v>
      </c>
      <c r="D1346" s="300" t="s">
        <v>280</v>
      </c>
      <c r="E1346" s="711">
        <v>17.8202</v>
      </c>
      <c r="F1346" s="402">
        <f>IFERROR(E1346*'01 Prod Physique Boites'!H1340,"-")</f>
        <v>0</v>
      </c>
      <c r="G1346" s="403">
        <f>IFERROR(E1346*'01 Prod Physique Boites'!L1340,"-")</f>
        <v>0</v>
      </c>
      <c r="H1346" s="385">
        <v>24.93</v>
      </c>
      <c r="I1346" s="730">
        <f t="shared" si="755"/>
        <v>0</v>
      </c>
      <c r="J1346" s="634">
        <f t="shared" si="757"/>
        <v>0</v>
      </c>
    </row>
    <row r="1347" spans="1:10" ht="24.75" thickBot="1" x14ac:dyDescent="0.3">
      <c r="A1347" s="274" t="s">
        <v>101</v>
      </c>
      <c r="B1347" s="956"/>
      <c r="C1347" s="299" t="s">
        <v>27</v>
      </c>
      <c r="D1347" s="300" t="s">
        <v>234</v>
      </c>
      <c r="E1347" s="501">
        <v>17.8202</v>
      </c>
      <c r="F1347" s="402">
        <f>IFERROR(E1347*'01 Prod Physique Boites'!H1341,"-")</f>
        <v>0</v>
      </c>
      <c r="G1347" s="403">
        <f>IFERROR(E1347*'01 Prod Physique Boites'!L1341,"-")</f>
        <v>0</v>
      </c>
      <c r="H1347" s="385">
        <v>24.93</v>
      </c>
      <c r="I1347" s="423">
        <f t="shared" si="755"/>
        <v>0</v>
      </c>
      <c r="J1347" s="634">
        <f t="shared" si="757"/>
        <v>0</v>
      </c>
    </row>
    <row r="1348" spans="1:10" ht="23.25" thickBot="1" x14ac:dyDescent="0.3">
      <c r="A1348" s="274" t="s">
        <v>101</v>
      </c>
      <c r="B1348" s="956"/>
      <c r="C1348" s="304"/>
      <c r="D1348" s="305" t="s">
        <v>52</v>
      </c>
      <c r="E1348" s="397"/>
      <c r="F1348" s="414">
        <f t="shared" ref="F1348:G1348" si="758">SUM(F1341:F1347)</f>
        <v>0</v>
      </c>
      <c r="G1348" s="415">
        <f t="shared" si="758"/>
        <v>6762079.6776000001</v>
      </c>
      <c r="H1348" s="398"/>
      <c r="I1348" s="414">
        <f t="shared" ref="I1348:J1348" si="759">SUM(I1341:I1347)</f>
        <v>0</v>
      </c>
      <c r="J1348" s="430">
        <f t="shared" si="759"/>
        <v>9718094.8800000008</v>
      </c>
    </row>
    <row r="1349" spans="1:10" ht="23.25" thickBot="1" x14ac:dyDescent="0.3">
      <c r="A1349" s="926" t="s">
        <v>101</v>
      </c>
      <c r="B1349" s="957" t="s">
        <v>162</v>
      </c>
      <c r="C1349" s="958"/>
      <c r="D1349" s="959"/>
      <c r="E1349" s="399"/>
      <c r="F1349" s="416">
        <f t="shared" ref="F1349:G1349" si="760">+F1340+F1348</f>
        <v>116221.24800000001</v>
      </c>
      <c r="G1349" s="417">
        <f t="shared" si="760"/>
        <v>23233870.202400003</v>
      </c>
      <c r="H1349" s="400"/>
      <c r="I1349" s="416">
        <f t="shared" ref="I1349:J1349" si="761">+I1340+I1348</f>
        <v>168826.31999999998</v>
      </c>
      <c r="J1349" s="431">
        <f t="shared" si="761"/>
        <v>33403743.359999999</v>
      </c>
    </row>
    <row r="1350" spans="1:10" ht="24" x14ac:dyDescent="0.25">
      <c r="A1350" s="274" t="s">
        <v>101</v>
      </c>
      <c r="B1350" s="956" t="s">
        <v>30</v>
      </c>
      <c r="C1350" s="303" t="s">
        <v>446</v>
      </c>
      <c r="D1350" s="299" t="s">
        <v>522</v>
      </c>
      <c r="E1350" s="736">
        <v>27.917000000000002</v>
      </c>
      <c r="F1350" s="402">
        <f>IFERROR(E1350*'01 Prod Physique Boites'!H1344,"-")</f>
        <v>0</v>
      </c>
      <c r="G1350" s="728">
        <f>IFERROR(E1350*'01 Prod Physique Boites'!L1344,"-")</f>
        <v>0</v>
      </c>
      <c r="H1350" s="734">
        <v>33.299999999999997</v>
      </c>
      <c r="I1350" s="419">
        <f>IFERROR(H1350*(F1350/E1350),"-")</f>
        <v>0</v>
      </c>
      <c r="J1350" s="420">
        <f t="shared" ref="J1350:J1352" si="762">IFERROR(H1350*(G1350/E1350),"-")</f>
        <v>0</v>
      </c>
    </row>
    <row r="1351" spans="1:10" ht="24" x14ac:dyDescent="0.25">
      <c r="A1351" s="274" t="s">
        <v>101</v>
      </c>
      <c r="B1351" s="956"/>
      <c r="C1351" s="300" t="s">
        <v>548</v>
      </c>
      <c r="D1351" s="303" t="s">
        <v>522</v>
      </c>
      <c r="E1351" s="733">
        <v>28.526700000000002</v>
      </c>
      <c r="F1351" s="402">
        <f>IFERROR(E1351*'01 Prod Physique Boites'!H1345,"-")</f>
        <v>0</v>
      </c>
      <c r="G1351" s="728">
        <f>IFERROR(E1351*'01 Prod Physique Boites'!L1345,"-")</f>
        <v>0</v>
      </c>
      <c r="H1351" s="735">
        <v>37.89</v>
      </c>
      <c r="I1351" s="421">
        <f>IFERROR(H1351*(F1351/E1351),"-")</f>
        <v>0</v>
      </c>
      <c r="J1351" s="422">
        <f t="shared" si="762"/>
        <v>0</v>
      </c>
    </row>
    <row r="1352" spans="1:10" ht="24.75" thickBot="1" x14ac:dyDescent="0.3">
      <c r="A1352" s="274" t="s">
        <v>101</v>
      </c>
      <c r="B1352" s="956"/>
      <c r="C1352" s="300" t="s">
        <v>291</v>
      </c>
      <c r="D1352" s="300" t="s">
        <v>366</v>
      </c>
      <c r="E1352" s="501">
        <v>25.751300000000001</v>
      </c>
      <c r="F1352" s="724">
        <f>IFERROR(E1352*'01 Prod Physique Boites'!H1346,"-")</f>
        <v>0</v>
      </c>
      <c r="G1352" s="728">
        <f>IFERROR(E1352*'01 Prod Physique Boites'!L1346,"-")</f>
        <v>1301573.7072000001</v>
      </c>
      <c r="H1352" s="387">
        <v>37.89</v>
      </c>
      <c r="I1352" s="423">
        <f>IFERROR(H1352*(F1352/E1352),"-")</f>
        <v>0</v>
      </c>
      <c r="J1352" s="424">
        <f t="shared" si="762"/>
        <v>1915112.16</v>
      </c>
    </row>
    <row r="1353" spans="1:10" ht="23.25" thickBot="1" x14ac:dyDescent="0.3">
      <c r="A1353" s="274" t="s">
        <v>101</v>
      </c>
      <c r="B1353" s="956"/>
      <c r="C1353" s="301"/>
      <c r="D1353" s="302" t="s">
        <v>50</v>
      </c>
      <c r="E1353" s="390"/>
      <c r="F1353" s="406">
        <f t="shared" ref="F1353:G1353" si="763">SUM(F1350:F1352)</f>
        <v>0</v>
      </c>
      <c r="G1353" s="407">
        <f t="shared" si="763"/>
        <v>1301573.7072000001</v>
      </c>
      <c r="H1353" s="391"/>
      <c r="I1353" s="406">
        <f t="shared" ref="I1353" si="764">SUM(I1350:I1352)</f>
        <v>0</v>
      </c>
      <c r="J1353" s="425">
        <f>SUM(J1350:J1352)</f>
        <v>1915112.16</v>
      </c>
    </row>
    <row r="1354" spans="1:10" ht="24" x14ac:dyDescent="0.25">
      <c r="A1354" s="274" t="s">
        <v>101</v>
      </c>
      <c r="B1354" s="956"/>
      <c r="C1354" s="297" t="s">
        <v>439</v>
      </c>
      <c r="D1354" s="297" t="s">
        <v>92</v>
      </c>
      <c r="E1354" s="504">
        <v>24.2607</v>
      </c>
      <c r="F1354" s="402">
        <f>IFERROR(E1354*'01 Prod Physique Boites'!H1348,"-")</f>
        <v>0</v>
      </c>
      <c r="G1354" s="728">
        <f>IFERROR(E1354*'01 Prod Physique Boites'!L1348,"-")</f>
        <v>0</v>
      </c>
      <c r="H1354" s="381">
        <v>28.31</v>
      </c>
      <c r="I1354" s="638">
        <f>IFERROR(H1354*(F1354/E1354),"-")</f>
        <v>0</v>
      </c>
      <c r="J1354" s="420">
        <f t="shared" ref="J1354:J1359" si="765">IFERROR(H1354*(G1354/E1354),"-")</f>
        <v>0</v>
      </c>
    </row>
    <row r="1355" spans="1:10" ht="24" x14ac:dyDescent="0.25">
      <c r="A1355" s="274"/>
      <c r="B1355" s="956"/>
      <c r="C1355" s="303" t="s">
        <v>449</v>
      </c>
      <c r="D1355" s="299" t="s">
        <v>334</v>
      </c>
      <c r="E1355" s="504">
        <v>24.2607</v>
      </c>
      <c r="F1355" s="402">
        <f>IFERROR(E1355*'01 Prod Physique Boites'!H1349,"-")</f>
        <v>0</v>
      </c>
      <c r="G1355" s="728">
        <f>IFERROR(E1355*'01 Prod Physique Boites'!L1349,"-")</f>
        <v>0</v>
      </c>
      <c r="H1355" s="381">
        <v>28.88</v>
      </c>
      <c r="I1355" s="638">
        <f t="shared" ref="I1355:I1359" si="766">IFERROR(H1355*(F1355/E1355),"-")</f>
        <v>0</v>
      </c>
      <c r="J1355" s="420">
        <f t="shared" si="765"/>
        <v>0</v>
      </c>
    </row>
    <row r="1356" spans="1:10" ht="24" x14ac:dyDescent="0.25">
      <c r="A1356" s="274"/>
      <c r="B1356" s="956"/>
      <c r="C1356" s="303" t="s">
        <v>452</v>
      </c>
      <c r="D1356" s="299" t="s">
        <v>334</v>
      </c>
      <c r="E1356" s="504">
        <v>25.4041</v>
      </c>
      <c r="F1356" s="402">
        <f>IFERROR(E1356*'01 Prod Physique Boites'!H1350,"-")</f>
        <v>0</v>
      </c>
      <c r="G1356" s="728">
        <f>IFERROR(E1356*'01 Prod Physique Boites'!L1350,"-")</f>
        <v>0</v>
      </c>
      <c r="H1356" s="381">
        <v>28.21</v>
      </c>
      <c r="I1356" s="638">
        <f t="shared" si="766"/>
        <v>0</v>
      </c>
      <c r="J1356" s="420">
        <f t="shared" si="765"/>
        <v>0</v>
      </c>
    </row>
    <row r="1357" spans="1:10" ht="24" x14ac:dyDescent="0.25">
      <c r="A1357" s="274" t="s">
        <v>101</v>
      </c>
      <c r="B1357" s="956"/>
      <c r="C1357" s="303" t="s">
        <v>501</v>
      </c>
      <c r="D1357" s="300" t="s">
        <v>423</v>
      </c>
      <c r="E1357" s="505">
        <v>23.697399999999998</v>
      </c>
      <c r="F1357" s="724">
        <f>IFERROR(E1357*'01 Prod Physique Boites'!H1351,"-")</f>
        <v>0</v>
      </c>
      <c r="G1357" s="728">
        <f>IFERROR(E1357*'01 Prod Physique Boites'!L1351,"-")</f>
        <v>177446.13119999997</v>
      </c>
      <c r="H1357" s="385">
        <v>28.21</v>
      </c>
      <c r="I1357" s="638">
        <f t="shared" si="766"/>
        <v>0</v>
      </c>
      <c r="J1357" s="420">
        <f t="shared" si="765"/>
        <v>211236.47999999998</v>
      </c>
    </row>
    <row r="1358" spans="1:10" ht="24" x14ac:dyDescent="0.25">
      <c r="A1358" s="274"/>
      <c r="B1358" s="956"/>
      <c r="C1358" s="300" t="s">
        <v>459</v>
      </c>
      <c r="D1358" s="300" t="s">
        <v>366</v>
      </c>
      <c r="E1358" s="501">
        <v>22.094999999999999</v>
      </c>
      <c r="F1358" s="724">
        <f>IFERROR(E1358*'01 Prod Physique Boites'!H1352,"-")</f>
        <v>1116769.68</v>
      </c>
      <c r="G1358" s="728">
        <f>IFERROR(E1358*'01 Prod Physique Boites'!L1352,"-")</f>
        <v>1116769.68</v>
      </c>
      <c r="H1358" s="745">
        <v>37.11</v>
      </c>
      <c r="I1358" s="638">
        <f t="shared" si="766"/>
        <v>1875687.84</v>
      </c>
      <c r="J1358" s="420">
        <f t="shared" si="765"/>
        <v>1875687.84</v>
      </c>
    </row>
    <row r="1359" spans="1:10" ht="24.75" thickBot="1" x14ac:dyDescent="0.3">
      <c r="A1359" s="274" t="s">
        <v>101</v>
      </c>
      <c r="B1359" s="956"/>
      <c r="C1359" s="300" t="s">
        <v>438</v>
      </c>
      <c r="D1359" s="300" t="s">
        <v>423</v>
      </c>
      <c r="E1359" s="501">
        <v>23.697399999999998</v>
      </c>
      <c r="F1359" s="402">
        <f>IFERROR(E1359*'01 Prod Physique Boites'!H1353,"-")</f>
        <v>0</v>
      </c>
      <c r="G1359" s="403">
        <f>IFERROR(E1359*'01 Prod Physique Boites'!L1353,"-")</f>
        <v>0</v>
      </c>
      <c r="H1359" s="387">
        <v>28.21</v>
      </c>
      <c r="I1359" s="638">
        <f t="shared" si="766"/>
        <v>0</v>
      </c>
      <c r="J1359" s="420">
        <f t="shared" si="765"/>
        <v>0</v>
      </c>
    </row>
    <row r="1360" spans="1:10" ht="23.25" thickBot="1" x14ac:dyDescent="0.3">
      <c r="A1360" s="274" t="s">
        <v>101</v>
      </c>
      <c r="B1360" s="956"/>
      <c r="C1360" s="304"/>
      <c r="D1360" s="305" t="s">
        <v>51</v>
      </c>
      <c r="E1360" s="397"/>
      <c r="F1360" s="414">
        <f t="shared" ref="F1360:G1360" si="767">SUM(F1354:F1359)</f>
        <v>1116769.68</v>
      </c>
      <c r="G1360" s="415">
        <f t="shared" si="767"/>
        <v>1294215.8111999999</v>
      </c>
      <c r="H1360" s="398"/>
      <c r="I1360" s="414">
        <f t="shared" ref="I1360" si="768">SUM(I1354:I1359)</f>
        <v>1875687.84</v>
      </c>
      <c r="J1360" s="430">
        <f>SUM(J1354:J1359)</f>
        <v>2086924.32</v>
      </c>
    </row>
    <row r="1361" spans="1:10" ht="23.25" thickBot="1" x14ac:dyDescent="0.3">
      <c r="A1361" s="274" t="s">
        <v>101</v>
      </c>
      <c r="B1361" s="957" t="s">
        <v>163</v>
      </c>
      <c r="C1361" s="958"/>
      <c r="D1361" s="959"/>
      <c r="E1361" s="399"/>
      <c r="F1361" s="416">
        <f t="shared" ref="F1361:G1361" si="769">+F1353+F1360</f>
        <v>1116769.68</v>
      </c>
      <c r="G1361" s="417">
        <f t="shared" si="769"/>
        <v>2595789.5183999999</v>
      </c>
      <c r="H1361" s="400"/>
      <c r="I1361" s="416">
        <f t="shared" ref="I1361:J1361" si="770">+I1353+I1360</f>
        <v>1875687.84</v>
      </c>
      <c r="J1361" s="431">
        <f t="shared" si="770"/>
        <v>4002036.48</v>
      </c>
    </row>
    <row r="1362" spans="1:10" ht="24.75" thickBot="1" x14ac:dyDescent="0.3">
      <c r="A1362" s="274" t="s">
        <v>101</v>
      </c>
      <c r="B1362" s="599" t="s">
        <v>32</v>
      </c>
      <c r="C1362" s="922"/>
      <c r="D1362" s="310"/>
      <c r="E1362" s="506">
        <v>12.2659</v>
      </c>
      <c r="F1362" s="408">
        <f>IFERROR(E1362*'01 Prod Physique Boites'!H1356,"-")</f>
        <v>0</v>
      </c>
      <c r="G1362" s="409">
        <f>IFERROR(E1362*'01 Prod Physique Boites'!L1356,"-")</f>
        <v>0</v>
      </c>
      <c r="H1362" s="392"/>
      <c r="I1362" s="426">
        <f>IFERROR(H1362*(F1362/E1362),"-")</f>
        <v>0</v>
      </c>
      <c r="J1362" s="427">
        <f>IFERROR(H1362*(G1362/E1362),"-")</f>
        <v>0</v>
      </c>
    </row>
    <row r="1363" spans="1:10" ht="23.25" thickBot="1" x14ac:dyDescent="0.3">
      <c r="A1363" s="274" t="s">
        <v>101</v>
      </c>
      <c r="B1363" s="960" t="s">
        <v>21</v>
      </c>
      <c r="C1363" s="961"/>
      <c r="D1363" s="962"/>
      <c r="E1363" s="393"/>
      <c r="F1363" s="410">
        <f t="shared" ref="F1363" si="771">+F1349+F1361+F1362</f>
        <v>1232990.9279999998</v>
      </c>
      <c r="G1363" s="411">
        <f>+G1349+G1361+G1362</f>
        <v>25829659.720800001</v>
      </c>
      <c r="H1363" s="394"/>
      <c r="I1363" s="410">
        <f t="shared" ref="I1363:J1363" si="772">+I1349+I1361+I1362</f>
        <v>2044514.1600000001</v>
      </c>
      <c r="J1363" s="428">
        <f t="shared" si="772"/>
        <v>37405779.839999996</v>
      </c>
    </row>
    <row r="1364" spans="1:10" ht="23.25" thickBot="1" x14ac:dyDescent="0.3">
      <c r="A1364" s="274" t="s">
        <v>101</v>
      </c>
      <c r="B1364" s="963" t="s">
        <v>171</v>
      </c>
      <c r="C1364" s="941"/>
      <c r="D1364" s="942"/>
      <c r="E1364" s="395"/>
      <c r="F1364" s="412">
        <f t="shared" ref="F1364:G1364" si="773">+F1363</f>
        <v>1232990.9279999998</v>
      </c>
      <c r="G1364" s="413">
        <f t="shared" si="773"/>
        <v>25829659.720800001</v>
      </c>
      <c r="H1364" s="396"/>
      <c r="I1364" s="412">
        <f t="shared" ref="I1364:J1364" si="774">+I1363</f>
        <v>2044514.1600000001</v>
      </c>
      <c r="J1364" s="429">
        <f t="shared" si="774"/>
        <v>37405779.839999996</v>
      </c>
    </row>
    <row r="1365" spans="1:10" ht="24" x14ac:dyDescent="0.25">
      <c r="A1365" s="268" t="s">
        <v>102</v>
      </c>
      <c r="B1365" s="949" t="s">
        <v>401</v>
      </c>
      <c r="C1365" s="311" t="s">
        <v>113</v>
      </c>
      <c r="D1365" s="311"/>
      <c r="E1365" s="709">
        <v>254.89750000000001</v>
      </c>
      <c r="F1365" s="402">
        <f>IFERROR(E1365*'01 Prod Physique Boites'!H1359,"-")</f>
        <v>0</v>
      </c>
      <c r="G1365" s="403">
        <f>IFERROR(E1365*'01 Prod Physique Boites'!L1359,"-")</f>
        <v>0</v>
      </c>
      <c r="H1365" s="381">
        <v>445.38</v>
      </c>
      <c r="I1365" s="419">
        <f>IFERROR(H1365*(F1365/E1365),"-")</f>
        <v>0</v>
      </c>
      <c r="J1365" s="420">
        <f t="shared" ref="J1365:J1367" si="775">IFERROR(H1365*(G1365/E1365),"-")</f>
        <v>0</v>
      </c>
    </row>
    <row r="1366" spans="1:10" ht="24" x14ac:dyDescent="0.25">
      <c r="A1366" s="274" t="s">
        <v>102</v>
      </c>
      <c r="B1366" s="951"/>
      <c r="C1366" s="312" t="s">
        <v>247</v>
      </c>
      <c r="D1366" s="312"/>
      <c r="E1366" s="503">
        <v>246.51390000000001</v>
      </c>
      <c r="F1366" s="402">
        <f>IFERROR(E1366*'01 Prod Physique Boites'!H1360,"-")</f>
        <v>0</v>
      </c>
      <c r="G1366" s="403">
        <f>IFERROR(E1366*'01 Prod Physique Boites'!L1360,"-")</f>
        <v>2255355.6710999999</v>
      </c>
      <c r="H1366" s="385">
        <v>430.02</v>
      </c>
      <c r="I1366" s="421">
        <f>IFERROR(H1366*(F1366/E1366),"-")</f>
        <v>0</v>
      </c>
      <c r="J1366" s="422">
        <f t="shared" si="775"/>
        <v>3934252.98</v>
      </c>
    </row>
    <row r="1367" spans="1:10" ht="24.75" thickBot="1" x14ac:dyDescent="0.3">
      <c r="A1367" s="274" t="s">
        <v>102</v>
      </c>
      <c r="B1367" s="950"/>
      <c r="C1367" s="313" t="s">
        <v>33</v>
      </c>
      <c r="D1367" s="313"/>
      <c r="E1367" s="500">
        <v>225.7713</v>
      </c>
      <c r="F1367" s="402">
        <f>IFERROR(E1367*'01 Prod Physique Boites'!H1361,"-")</f>
        <v>0</v>
      </c>
      <c r="G1367" s="403">
        <f>IFERROR(E1367*'01 Prod Physique Boites'!L1361,"-")</f>
        <v>0</v>
      </c>
      <c r="H1367" s="387"/>
      <c r="I1367" s="423">
        <f>IFERROR(H1367*(F1367/E1367),"-")</f>
        <v>0</v>
      </c>
      <c r="J1367" s="424">
        <f t="shared" si="775"/>
        <v>0</v>
      </c>
    </row>
    <row r="1368" spans="1:10" ht="23.25" thickBot="1" x14ac:dyDescent="0.3">
      <c r="A1368" s="274" t="s">
        <v>102</v>
      </c>
      <c r="B1368" s="946" t="s">
        <v>34</v>
      </c>
      <c r="C1368" s="947"/>
      <c r="D1368" s="948"/>
      <c r="E1368" s="390"/>
      <c r="F1368" s="406">
        <f t="shared" ref="F1368:G1368" si="776">SUM(F1365:F1367)</f>
        <v>0</v>
      </c>
      <c r="G1368" s="407">
        <f t="shared" si="776"/>
        <v>2255355.6710999999</v>
      </c>
      <c r="H1368" s="391"/>
      <c r="I1368" s="406">
        <f t="shared" ref="I1368:J1368" si="777">SUM(I1365:I1367)</f>
        <v>0</v>
      </c>
      <c r="J1368" s="425">
        <f t="shared" si="777"/>
        <v>3934252.98</v>
      </c>
    </row>
    <row r="1369" spans="1:10" ht="24" x14ac:dyDescent="0.25">
      <c r="A1369" s="274" t="s">
        <v>102</v>
      </c>
      <c r="B1369" s="949" t="s">
        <v>35</v>
      </c>
      <c r="C1369" s="311" t="s">
        <v>113</v>
      </c>
      <c r="D1369" s="311"/>
      <c r="E1369" s="502">
        <v>254.89750000000001</v>
      </c>
      <c r="F1369" s="402">
        <f>IFERROR(E1369*'01 Prod Physique Boites'!H1363,"-")</f>
        <v>0</v>
      </c>
      <c r="G1369" s="403">
        <f>IFERROR(E1369*'01 Prod Physique Boites'!L1363,"-")</f>
        <v>0</v>
      </c>
      <c r="H1369" s="381">
        <v>445.38</v>
      </c>
      <c r="I1369" s="419">
        <f>IFERROR(H1369*(F1369/E1369),"-")</f>
        <v>0</v>
      </c>
      <c r="J1369" s="420">
        <f t="shared" ref="J1369:J1372" si="778">IFERROR(H1369*(G1369/E1369),"-")</f>
        <v>0</v>
      </c>
    </row>
    <row r="1370" spans="1:10" ht="24" x14ac:dyDescent="0.25">
      <c r="A1370" s="274" t="s">
        <v>102</v>
      </c>
      <c r="B1370" s="951"/>
      <c r="C1370" s="312" t="s">
        <v>247</v>
      </c>
      <c r="D1370" s="312"/>
      <c r="E1370" s="503">
        <v>246.51390000000001</v>
      </c>
      <c r="F1370" s="402">
        <f>IFERROR(E1370*'01 Prod Physique Boites'!H1364,"-")</f>
        <v>0</v>
      </c>
      <c r="G1370" s="403">
        <f>IFERROR(E1370*'01 Prod Physique Boites'!L1364,"-")</f>
        <v>0</v>
      </c>
      <c r="H1370" s="385">
        <v>430.02</v>
      </c>
      <c r="I1370" s="421">
        <f>IFERROR(H1370*(F1370/E1370),"-")</f>
        <v>0</v>
      </c>
      <c r="J1370" s="422">
        <f t="shared" si="778"/>
        <v>0</v>
      </c>
    </row>
    <row r="1371" spans="1:10" ht="24" x14ac:dyDescent="0.25">
      <c r="A1371" s="274" t="s">
        <v>102</v>
      </c>
      <c r="B1371" s="951"/>
      <c r="C1371" s="312" t="s">
        <v>184</v>
      </c>
      <c r="D1371" s="312" t="s">
        <v>183</v>
      </c>
      <c r="E1371" s="503">
        <v>254.89750000000001</v>
      </c>
      <c r="F1371" s="402">
        <f>IFERROR(E1371*'01 Prod Physique Boites'!H1365,"-")</f>
        <v>0</v>
      </c>
      <c r="G1371" s="403">
        <f>IFERROR(E1371*'01 Prod Physique Boites'!L1365,"-")</f>
        <v>0</v>
      </c>
      <c r="H1371" s="385"/>
      <c r="I1371" s="421">
        <f>IFERROR(H1371*(F1371/E1371),"-")</f>
        <v>0</v>
      </c>
      <c r="J1371" s="422">
        <f t="shared" si="778"/>
        <v>0</v>
      </c>
    </row>
    <row r="1372" spans="1:10" ht="24.75" thickBot="1" x14ac:dyDescent="0.3">
      <c r="A1372" s="274" t="s">
        <v>102</v>
      </c>
      <c r="B1372" s="950"/>
      <c r="C1372" s="313" t="s">
        <v>36</v>
      </c>
      <c r="D1372" s="313"/>
      <c r="E1372" s="500">
        <v>229.99359999999999</v>
      </c>
      <c r="F1372" s="402">
        <f>IFERROR(E1372*'01 Prod Physique Boites'!H1366,"-")</f>
        <v>0</v>
      </c>
      <c r="G1372" s="403">
        <f>IFERROR(E1372*'01 Prod Physique Boites'!L1366,"-")</f>
        <v>0</v>
      </c>
      <c r="H1372" s="387"/>
      <c r="I1372" s="423">
        <f>IFERROR(H1372*(F1372/E1372),"-")</f>
        <v>0</v>
      </c>
      <c r="J1372" s="424">
        <f t="shared" si="778"/>
        <v>0</v>
      </c>
    </row>
    <row r="1373" spans="1:10" ht="23.25" thickBot="1" x14ac:dyDescent="0.3">
      <c r="A1373" s="274" t="s">
        <v>102</v>
      </c>
      <c r="B1373" s="946" t="s">
        <v>37</v>
      </c>
      <c r="C1373" s="947"/>
      <c r="D1373" s="948"/>
      <c r="E1373" s="390"/>
      <c r="F1373" s="406">
        <f t="shared" ref="F1373:G1373" si="779">SUM(F1369:F1372)</f>
        <v>0</v>
      </c>
      <c r="G1373" s="407">
        <f t="shared" si="779"/>
        <v>0</v>
      </c>
      <c r="H1373" s="391"/>
      <c r="I1373" s="406">
        <f>SUM(I1369:I1372)</f>
        <v>0</v>
      </c>
      <c r="J1373" s="425">
        <f>SUM(J1369:J1372)</f>
        <v>0</v>
      </c>
    </row>
    <row r="1374" spans="1:10" ht="24" x14ac:dyDescent="0.25">
      <c r="A1374" s="274" t="s">
        <v>102</v>
      </c>
      <c r="B1374" s="949" t="s">
        <v>402</v>
      </c>
      <c r="C1374" s="314" t="s">
        <v>116</v>
      </c>
      <c r="D1374" s="314"/>
      <c r="E1374" s="502">
        <v>195.2808</v>
      </c>
      <c r="F1374" s="402">
        <f>IFERROR(E1374*'01 Prod Physique Boites'!H1368,"-")</f>
        <v>0</v>
      </c>
      <c r="G1374" s="403">
        <f>IFERROR(E1374*'01 Prod Physique Boites'!L1368,"-")</f>
        <v>0</v>
      </c>
      <c r="H1374" s="681">
        <v>256.7</v>
      </c>
      <c r="I1374" s="419">
        <f>IFERROR(H1374*(F1374/E1374),"-")</f>
        <v>0</v>
      </c>
      <c r="J1374" s="420">
        <f t="shared" ref="J1374:J1375" si="780">IFERROR(H1374*(G1374/E1374),"-")</f>
        <v>0</v>
      </c>
    </row>
    <row r="1375" spans="1:10" ht="24.75" thickBot="1" x14ac:dyDescent="0.3">
      <c r="A1375" s="274" t="s">
        <v>102</v>
      </c>
      <c r="B1375" s="950"/>
      <c r="C1375" s="286" t="s">
        <v>132</v>
      </c>
      <c r="D1375" s="286"/>
      <c r="E1375" s="500">
        <v>189.91890000000001</v>
      </c>
      <c r="F1375" s="402">
        <f>IFERROR(E1375*'01 Prod Physique Boites'!H1369,"-")</f>
        <v>0</v>
      </c>
      <c r="G1375" s="403">
        <f>IFERROR(E1375*'01 Prod Physique Boites'!L1369,"-")</f>
        <v>4138332.8310000002</v>
      </c>
      <c r="H1375" s="387">
        <v>320.35000000000002</v>
      </c>
      <c r="I1375" s="423">
        <f>IFERROR(H1375*(F1375/E1375),"-")</f>
        <v>0</v>
      </c>
      <c r="J1375" s="424">
        <f t="shared" si="780"/>
        <v>6980426.5000000009</v>
      </c>
    </row>
    <row r="1376" spans="1:10" ht="23.25" thickBot="1" x14ac:dyDescent="0.3">
      <c r="A1376" s="926" t="s">
        <v>102</v>
      </c>
      <c r="B1376" s="946" t="s">
        <v>38</v>
      </c>
      <c r="C1376" s="947"/>
      <c r="D1376" s="948"/>
      <c r="E1376" s="390"/>
      <c r="F1376" s="406">
        <f>SUM(F1374:F1375)</f>
        <v>0</v>
      </c>
      <c r="G1376" s="407">
        <f t="shared" ref="G1376" si="781">SUM(G1374:G1375)</f>
        <v>4138332.8310000002</v>
      </c>
      <c r="H1376" s="391"/>
      <c r="I1376" s="406">
        <f t="shared" ref="I1376:J1376" si="782">SUM(I1374:I1375)</f>
        <v>0</v>
      </c>
      <c r="J1376" s="425">
        <f t="shared" si="782"/>
        <v>6980426.5000000009</v>
      </c>
    </row>
    <row r="1377" spans="1:10" ht="24" x14ac:dyDescent="0.25">
      <c r="A1377" s="274" t="s">
        <v>102</v>
      </c>
      <c r="B1377" s="949" t="s">
        <v>403</v>
      </c>
      <c r="C1377" s="269" t="s">
        <v>306</v>
      </c>
      <c r="D1377" s="269" t="s">
        <v>238</v>
      </c>
      <c r="E1377" s="504">
        <v>37.248699999999999</v>
      </c>
      <c r="F1377" s="402">
        <f>IFERROR(E1377*'01 Prod Physique Boites'!H1371,"-")</f>
        <v>1501867.584</v>
      </c>
      <c r="G1377" s="403">
        <f>IFERROR(E1377*'01 Prod Physique Boites'!L1371,"-")</f>
        <v>12701955.694800001</v>
      </c>
      <c r="H1377" s="381">
        <v>71.44</v>
      </c>
      <c r="I1377" s="419">
        <f>IFERROR(H1377*(F1377/E1377),"-")</f>
        <v>2880460.7999999998</v>
      </c>
      <c r="J1377" s="420">
        <f>IFERROR(H1377*(G1377/E1377),"-")</f>
        <v>24361325.759999998</v>
      </c>
    </row>
    <row r="1378" spans="1:10" ht="24" x14ac:dyDescent="0.25">
      <c r="A1378" s="274" t="s">
        <v>102</v>
      </c>
      <c r="B1378" s="951"/>
      <c r="C1378" s="269" t="s">
        <v>156</v>
      </c>
      <c r="D1378" s="275"/>
      <c r="E1378" s="504">
        <v>37.248699999999999</v>
      </c>
      <c r="F1378" s="402">
        <f>IFERROR(E1378*'01 Prod Physique Boites'!H1372,"-")</f>
        <v>0</v>
      </c>
      <c r="G1378" s="403">
        <f>IFERROR(E1378*'01 Prod Physique Boites'!L1372,"-")</f>
        <v>0</v>
      </c>
      <c r="H1378" s="385"/>
      <c r="I1378" s="421">
        <f>IFERROR(H1378*(F1378/E1378),"-")</f>
        <v>0</v>
      </c>
      <c r="J1378" s="422">
        <f t="shared" ref="J1378:J1380" si="783">IFERROR(H1378*(G1378/E1378),"-")</f>
        <v>0</v>
      </c>
    </row>
    <row r="1379" spans="1:10" ht="24" x14ac:dyDescent="0.25">
      <c r="A1379" s="274" t="s">
        <v>102</v>
      </c>
      <c r="B1379" s="951"/>
      <c r="C1379" s="275" t="s">
        <v>345</v>
      </c>
      <c r="D1379" s="269" t="s">
        <v>238</v>
      </c>
      <c r="E1379" s="504">
        <v>37.248699999999999</v>
      </c>
      <c r="F1379" s="402">
        <f>IFERROR(E1379*'01 Prod Physique Boites'!H1373,"-")</f>
        <v>0</v>
      </c>
      <c r="G1379" s="403">
        <f>IFERROR(E1379*'01 Prod Physique Boites'!L1373,"-")</f>
        <v>1826378.2583999999</v>
      </c>
      <c r="H1379" s="385">
        <v>71.44</v>
      </c>
      <c r="I1379" s="421">
        <f>IFERROR(H1379*(F1379/E1379),"-")</f>
        <v>0</v>
      </c>
      <c r="J1379" s="422">
        <f t="shared" si="783"/>
        <v>3502846.08</v>
      </c>
    </row>
    <row r="1380" spans="1:10" ht="24.75" thickBot="1" x14ac:dyDescent="0.3">
      <c r="A1380" s="274" t="s">
        <v>102</v>
      </c>
      <c r="B1380" s="951"/>
      <c r="C1380" s="275" t="s">
        <v>157</v>
      </c>
      <c r="D1380" s="275"/>
      <c r="E1380" s="505">
        <v>38.466099999999997</v>
      </c>
      <c r="F1380" s="402">
        <f>IFERROR(E1380*'01 Prod Physique Boites'!H1374,"-")</f>
        <v>0</v>
      </c>
      <c r="G1380" s="403">
        <f>IFERROR(E1380*'01 Prod Physique Boites'!L1374,"-")</f>
        <v>0</v>
      </c>
      <c r="H1380" s="385"/>
      <c r="I1380" s="421">
        <f>IFERROR(H1380*(F1380/E1380),"-")</f>
        <v>0</v>
      </c>
      <c r="J1380" s="422">
        <f t="shared" si="783"/>
        <v>0</v>
      </c>
    </row>
    <row r="1381" spans="1:10" ht="23.25" thickBot="1" x14ac:dyDescent="0.3">
      <c r="A1381" s="274" t="s">
        <v>102</v>
      </c>
      <c r="B1381" s="946" t="s">
        <v>39</v>
      </c>
      <c r="C1381" s="947"/>
      <c r="D1381" s="948"/>
      <c r="E1381" s="390"/>
      <c r="F1381" s="406">
        <f>SUM(F1377:F1380)</f>
        <v>1501867.584</v>
      </c>
      <c r="G1381" s="407">
        <f>SUM(G1377:G1380)</f>
        <v>14528333.953200001</v>
      </c>
      <c r="H1381" s="391"/>
      <c r="I1381" s="406">
        <f>SUM(I1377:I1380)</f>
        <v>2880460.7999999998</v>
      </c>
      <c r="J1381" s="406">
        <f>SUM(J1377:J1380)</f>
        <v>27864171.839999996</v>
      </c>
    </row>
    <row r="1382" spans="1:10" ht="24" x14ac:dyDescent="0.25">
      <c r="A1382" s="274" t="s">
        <v>102</v>
      </c>
      <c r="B1382" s="949" t="s">
        <v>40</v>
      </c>
      <c r="C1382" s="269" t="s">
        <v>186</v>
      </c>
      <c r="D1382" s="269" t="s">
        <v>183</v>
      </c>
      <c r="E1382" s="504">
        <v>30.7499</v>
      </c>
      <c r="F1382" s="402">
        <f>IFERROR(E1382*'01 Prod Physique Boites'!H1377,"-")</f>
        <v>0</v>
      </c>
      <c r="G1382" s="402">
        <f>IFERROR(E1382*'01 Prod Physique Boites'!L1377,"-")</f>
        <v>0</v>
      </c>
      <c r="H1382" s="381"/>
      <c r="I1382" s="419">
        <f>IFERROR(H1382*(F1382/E1382),"-")</f>
        <v>0</v>
      </c>
      <c r="J1382" s="420">
        <f>IFERROR(H1382*(G1382/E1382),"-")</f>
        <v>0</v>
      </c>
    </row>
    <row r="1383" spans="1:10" ht="24" x14ac:dyDescent="0.25">
      <c r="A1383" s="274" t="s">
        <v>102</v>
      </c>
      <c r="B1383" s="951"/>
      <c r="C1383" s="275" t="s">
        <v>159</v>
      </c>
      <c r="D1383" s="275"/>
      <c r="E1383" s="684">
        <v>30.073599999999999</v>
      </c>
      <c r="F1383" s="402">
        <f>IFERROR(E1383*'01 Prod Physique Boites'!H1378,"-")</f>
        <v>0</v>
      </c>
      <c r="G1383" s="403">
        <f>IFERROR(E1383*'01 Prod Physique Boites'!L1378,"-")</f>
        <v>342839.03999999998</v>
      </c>
      <c r="H1383" s="385">
        <v>59.96</v>
      </c>
      <c r="I1383" s="421">
        <f>IFERROR(H1383*(F1383/E1383),"-")</f>
        <v>0</v>
      </c>
      <c r="J1383" s="422">
        <f t="shared" ref="J1383:J1384" si="784">IFERROR(H1383*(G1383/E1383),"-")</f>
        <v>683544</v>
      </c>
    </row>
    <row r="1384" spans="1:10" ht="24.75" thickBot="1" x14ac:dyDescent="0.3">
      <c r="A1384" s="274" t="s">
        <v>102</v>
      </c>
      <c r="B1384" s="950"/>
      <c r="C1384" s="279" t="s">
        <v>186</v>
      </c>
      <c r="D1384" s="279" t="s">
        <v>185</v>
      </c>
      <c r="E1384" s="501">
        <v>30.073599999999999</v>
      </c>
      <c r="F1384" s="402">
        <f>IFERROR(E1384*'01 Prod Physique Boites'!H1379,"-")</f>
        <v>0</v>
      </c>
      <c r="G1384" s="403">
        <f>IFERROR(E1384*'01 Prod Physique Boites'!L1379,"-")</f>
        <v>0</v>
      </c>
      <c r="H1384" s="387"/>
      <c r="I1384" s="423">
        <f>IFERROR(H1384*(F1384/E1384),"-")</f>
        <v>0</v>
      </c>
      <c r="J1384" s="424">
        <f t="shared" si="784"/>
        <v>0</v>
      </c>
    </row>
    <row r="1385" spans="1:10" ht="23.25" thickBot="1" x14ac:dyDescent="0.3">
      <c r="A1385" s="274" t="s">
        <v>102</v>
      </c>
      <c r="B1385" s="952" t="s">
        <v>41</v>
      </c>
      <c r="C1385" s="953"/>
      <c r="D1385" s="954"/>
      <c r="E1385" s="390"/>
      <c r="F1385" s="406">
        <f t="shared" ref="F1385:G1385" si="785">SUM(F1382:F1384)</f>
        <v>0</v>
      </c>
      <c r="G1385" s="407">
        <f t="shared" si="785"/>
        <v>342839.03999999998</v>
      </c>
      <c r="H1385" s="391"/>
      <c r="I1385" s="406">
        <f t="shared" ref="I1385:J1385" si="786">SUM(I1382:I1384)</f>
        <v>0</v>
      </c>
      <c r="J1385" s="425">
        <f t="shared" si="786"/>
        <v>683544</v>
      </c>
    </row>
    <row r="1386" spans="1:10" ht="24" x14ac:dyDescent="0.25">
      <c r="A1386" s="274" t="s">
        <v>102</v>
      </c>
      <c r="B1386" s="949" t="s">
        <v>42</v>
      </c>
      <c r="C1386" s="269" t="s">
        <v>160</v>
      </c>
      <c r="D1386" s="269"/>
      <c r="E1386" s="504">
        <v>36.684899999999999</v>
      </c>
      <c r="F1386" s="402">
        <f>IFERROR(E1386*'01 Prod Physique Boites'!H1381,"-")</f>
        <v>0</v>
      </c>
      <c r="G1386" s="402">
        <f>IFERROR(E1386*'01 Prod Physique Boites'!L1381,"-")</f>
        <v>0</v>
      </c>
      <c r="H1386" s="381"/>
      <c r="I1386" s="382" t="s">
        <v>190</v>
      </c>
      <c r="J1386" s="383" t="s">
        <v>190</v>
      </c>
    </row>
    <row r="1387" spans="1:10" ht="24.75" thickBot="1" x14ac:dyDescent="0.3">
      <c r="A1387" s="274" t="s">
        <v>102</v>
      </c>
      <c r="B1387" s="950"/>
      <c r="C1387" s="279" t="s">
        <v>161</v>
      </c>
      <c r="D1387" s="279"/>
      <c r="E1387" s="501">
        <v>37.002800000000001</v>
      </c>
      <c r="F1387" s="402">
        <f>IFERROR(E1387*'01 Prod Physique Boites'!H1382,"-")</f>
        <v>0</v>
      </c>
      <c r="G1387" s="402">
        <f>IFERROR(E1387*'01 Prod Physique Boites'!L1382,"-")</f>
        <v>0</v>
      </c>
      <c r="H1387" s="387"/>
      <c r="I1387" s="388" t="s">
        <v>190</v>
      </c>
      <c r="J1387" s="389" t="s">
        <v>190</v>
      </c>
    </row>
    <row r="1388" spans="1:10" ht="23.25" thickBot="1" x14ac:dyDescent="0.3">
      <c r="A1388" s="274" t="s">
        <v>102</v>
      </c>
      <c r="B1388" s="952" t="s">
        <v>43</v>
      </c>
      <c r="C1388" s="953"/>
      <c r="D1388" s="954"/>
      <c r="E1388" s="390"/>
      <c r="F1388" s="402">
        <f>IFERROR(E1388*'01 Prod Physique Boites'!H1382,"-")</f>
        <v>0</v>
      </c>
      <c r="G1388" s="407">
        <f>IFERROR(E1388*'01 Prod Physique Boites'!L1382,"-")</f>
        <v>0</v>
      </c>
      <c r="H1388" s="391"/>
      <c r="I1388" s="406">
        <f t="shared" ref="I1388:J1388" si="787">SUM(I1386:I1387)</f>
        <v>0</v>
      </c>
      <c r="J1388" s="425">
        <f t="shared" si="787"/>
        <v>0</v>
      </c>
    </row>
    <row r="1389" spans="1:10" ht="23.25" thickBot="1" x14ac:dyDescent="0.3">
      <c r="A1389" s="274" t="s">
        <v>102</v>
      </c>
      <c r="B1389" s="938" t="s">
        <v>25</v>
      </c>
      <c r="C1389" s="939"/>
      <c r="D1389" s="940"/>
      <c r="E1389" s="393"/>
      <c r="F1389" s="410">
        <f>+F1368+F1373+F1376+F1381+F1385+F1388</f>
        <v>1501867.584</v>
      </c>
      <c r="G1389" s="411">
        <f>+G1368+G1373+G1376+G1381+G1385+G1388</f>
        <v>21264861.495300002</v>
      </c>
      <c r="H1389" s="394"/>
      <c r="I1389" s="410">
        <f>+I1368+I1373+I1376+I1381+I1385+I1388</f>
        <v>2880460.7999999998</v>
      </c>
      <c r="J1389" s="428">
        <f>+J1368+J1373+J1376+J1381+J1385+J1388</f>
        <v>39462395.319999993</v>
      </c>
    </row>
    <row r="1390" spans="1:10" ht="23.25" thickBot="1" x14ac:dyDescent="0.3">
      <c r="A1390" s="318" t="s">
        <v>102</v>
      </c>
      <c r="B1390" s="941" t="s">
        <v>173</v>
      </c>
      <c r="C1390" s="941"/>
      <c r="D1390" s="942"/>
      <c r="E1390" s="395"/>
      <c r="F1390" s="412">
        <f t="shared" ref="F1390:G1390" si="788">+F1389</f>
        <v>1501867.584</v>
      </c>
      <c r="G1390" s="413">
        <f t="shared" si="788"/>
        <v>21264861.495300002</v>
      </c>
      <c r="H1390" s="396"/>
      <c r="I1390" s="412">
        <f t="shared" ref="I1390" si="789">+I1389</f>
        <v>2880460.7999999998</v>
      </c>
      <c r="J1390" s="429">
        <f>+J1389</f>
        <v>39462395.319999993</v>
      </c>
    </row>
    <row r="1391" spans="1:10" ht="26.25" thickBot="1" x14ac:dyDescent="0.3">
      <c r="A1391" s="319"/>
      <c r="B1391" s="943" t="s">
        <v>174</v>
      </c>
      <c r="C1391" s="944"/>
      <c r="D1391" s="945"/>
      <c r="E1391" s="401"/>
      <c r="F1391" s="418">
        <f>+F1329+F1364+F1390</f>
        <v>6504052.6443999996</v>
      </c>
      <c r="G1391" s="418">
        <f>+G1329+G1364+G1390</f>
        <v>81077552.100100011</v>
      </c>
      <c r="H1391" s="401"/>
      <c r="I1391" s="418">
        <f>+I1329+I1364+I1390</f>
        <v>10017124.559999999</v>
      </c>
      <c r="J1391" s="432">
        <f>+J1329+J1364+J1390</f>
        <v>113007343.55999999</v>
      </c>
    </row>
  </sheetData>
  <mergeCells count="601">
    <mergeCell ref="B1155:D1155"/>
    <mergeCell ref="B1156:D1156"/>
    <mergeCell ref="B1157:D1157"/>
    <mergeCell ref="B1139:D1139"/>
    <mergeCell ref="B1140:B1141"/>
    <mergeCell ref="B1142:D1142"/>
    <mergeCell ref="B1143:B1146"/>
    <mergeCell ref="B1147:D1147"/>
    <mergeCell ref="B1148:B1150"/>
    <mergeCell ref="B1151:D1151"/>
    <mergeCell ref="B1152:B1153"/>
    <mergeCell ref="B1154:D1154"/>
    <mergeCell ref="B1107:B1114"/>
    <mergeCell ref="B1115:D1115"/>
    <mergeCell ref="B1116:B1126"/>
    <mergeCell ref="B1127:D1127"/>
    <mergeCell ref="B1129:D1129"/>
    <mergeCell ref="B1130:D1130"/>
    <mergeCell ref="B1131:B1133"/>
    <mergeCell ref="B1134:D1134"/>
    <mergeCell ref="B1135:B1138"/>
    <mergeCell ref="B1077:D1077"/>
    <mergeCell ref="B1078:D1078"/>
    <mergeCell ref="B1079:B1082"/>
    <mergeCell ref="B1083:D1083"/>
    <mergeCell ref="B1084:B1092"/>
    <mergeCell ref="B1093:D1093"/>
    <mergeCell ref="B1094:D1094"/>
    <mergeCell ref="B1095:D1095"/>
    <mergeCell ref="B1096:B1106"/>
    <mergeCell ref="B1045:B1048"/>
    <mergeCell ref="B1049:D1049"/>
    <mergeCell ref="B1050:B1056"/>
    <mergeCell ref="B1057:D1057"/>
    <mergeCell ref="B1058:B1064"/>
    <mergeCell ref="B1065:D1065"/>
    <mergeCell ref="B1066:B1072"/>
    <mergeCell ref="B1073:D1073"/>
    <mergeCell ref="B1074:B1076"/>
    <mergeCell ref="A1041:A1044"/>
    <mergeCell ref="B1041:B1044"/>
    <mergeCell ref="C1041:C1044"/>
    <mergeCell ref="D1041:D1044"/>
    <mergeCell ref="E1041:G1041"/>
    <mergeCell ref="E1042:G1042"/>
    <mergeCell ref="H1042:J1042"/>
    <mergeCell ref="H1043:H1044"/>
    <mergeCell ref="I1043:I1044"/>
    <mergeCell ref="J1043:J1044"/>
    <mergeCell ref="E1044:G1044"/>
    <mergeCell ref="B349:D349"/>
    <mergeCell ref="B350:D350"/>
    <mergeCell ref="B351:D351"/>
    <mergeCell ref="B333:D333"/>
    <mergeCell ref="B334:B335"/>
    <mergeCell ref="B336:D336"/>
    <mergeCell ref="B337:B340"/>
    <mergeCell ref="B341:D341"/>
    <mergeCell ref="B342:B344"/>
    <mergeCell ref="B345:D345"/>
    <mergeCell ref="B346:B347"/>
    <mergeCell ref="B348:D348"/>
    <mergeCell ref="B301:B308"/>
    <mergeCell ref="B309:D309"/>
    <mergeCell ref="B310:B320"/>
    <mergeCell ref="B321:D321"/>
    <mergeCell ref="B323:D323"/>
    <mergeCell ref="B324:D324"/>
    <mergeCell ref="B325:B327"/>
    <mergeCell ref="B328:D328"/>
    <mergeCell ref="B329:B332"/>
    <mergeCell ref="B271:D271"/>
    <mergeCell ref="B272:D272"/>
    <mergeCell ref="B273:B276"/>
    <mergeCell ref="B277:D277"/>
    <mergeCell ref="B278:B286"/>
    <mergeCell ref="B287:D287"/>
    <mergeCell ref="B288:D288"/>
    <mergeCell ref="B289:D289"/>
    <mergeCell ref="B290:B300"/>
    <mergeCell ref="B243:B246"/>
    <mergeCell ref="B247:D247"/>
    <mergeCell ref="B248:B254"/>
    <mergeCell ref="B255:D255"/>
    <mergeCell ref="B256:B262"/>
    <mergeCell ref="B263:D263"/>
    <mergeCell ref="B264:B266"/>
    <mergeCell ref="B267:D267"/>
    <mergeCell ref="B268:B270"/>
    <mergeCell ref="A239:A242"/>
    <mergeCell ref="B239:B242"/>
    <mergeCell ref="C239:C242"/>
    <mergeCell ref="D239:D242"/>
    <mergeCell ref="E239:G239"/>
    <mergeCell ref="E240:G240"/>
    <mergeCell ref="H240:J240"/>
    <mergeCell ref="H241:H242"/>
    <mergeCell ref="I241:I242"/>
    <mergeCell ref="J241:J242"/>
    <mergeCell ref="E242:G242"/>
    <mergeCell ref="B234:D234"/>
    <mergeCell ref="B235:D235"/>
    <mergeCell ref="B236:D236"/>
    <mergeCell ref="B237:D237"/>
    <mergeCell ref="B223:B226"/>
    <mergeCell ref="B227:D227"/>
    <mergeCell ref="B228:B230"/>
    <mergeCell ref="B231:D231"/>
    <mergeCell ref="B232:B233"/>
    <mergeCell ref="B214:D214"/>
    <mergeCell ref="B215:B218"/>
    <mergeCell ref="B219:D219"/>
    <mergeCell ref="B220:B221"/>
    <mergeCell ref="B222:D222"/>
    <mergeCell ref="B196:B206"/>
    <mergeCell ref="B207:D207"/>
    <mergeCell ref="B209:D209"/>
    <mergeCell ref="B210:D210"/>
    <mergeCell ref="B211:B213"/>
    <mergeCell ref="B174:D174"/>
    <mergeCell ref="B175:D175"/>
    <mergeCell ref="B176:B186"/>
    <mergeCell ref="B187:B194"/>
    <mergeCell ref="B195:D195"/>
    <mergeCell ref="B158:D158"/>
    <mergeCell ref="B159:B162"/>
    <mergeCell ref="B163:D163"/>
    <mergeCell ref="B164:B172"/>
    <mergeCell ref="B173:D173"/>
    <mergeCell ref="B149:D149"/>
    <mergeCell ref="B150:B152"/>
    <mergeCell ref="B153:D153"/>
    <mergeCell ref="B154:B156"/>
    <mergeCell ref="B157:D157"/>
    <mergeCell ref="B129:B132"/>
    <mergeCell ref="B133:D133"/>
    <mergeCell ref="B134:B140"/>
    <mergeCell ref="B141:D141"/>
    <mergeCell ref="B142:B148"/>
    <mergeCell ref="H126:J126"/>
    <mergeCell ref="H127:H128"/>
    <mergeCell ref="I127:I128"/>
    <mergeCell ref="J127:J128"/>
    <mergeCell ref="E128:G128"/>
    <mergeCell ref="A125:A128"/>
    <mergeCell ref="B125:B128"/>
    <mergeCell ref="C125:C128"/>
    <mergeCell ref="D125:D128"/>
    <mergeCell ref="E125:G125"/>
    <mergeCell ref="E126:G126"/>
    <mergeCell ref="A9:J9"/>
    <mergeCell ref="A11:A14"/>
    <mergeCell ref="B11:B14"/>
    <mergeCell ref="C11:C14"/>
    <mergeCell ref="D11:D14"/>
    <mergeCell ref="E11:G11"/>
    <mergeCell ref="E12:G12"/>
    <mergeCell ref="H12:J12"/>
    <mergeCell ref="H13:H14"/>
    <mergeCell ref="I13:I14"/>
    <mergeCell ref="J13:J14"/>
    <mergeCell ref="E14:G14"/>
    <mergeCell ref="B81:D81"/>
    <mergeCell ref="B44:D44"/>
    <mergeCell ref="B45:B48"/>
    <mergeCell ref="B49:D49"/>
    <mergeCell ref="B50:B58"/>
    <mergeCell ref="B59:D59"/>
    <mergeCell ref="B15:B18"/>
    <mergeCell ref="B19:D19"/>
    <mergeCell ref="B20:B26"/>
    <mergeCell ref="B27:D27"/>
    <mergeCell ref="B28:B34"/>
    <mergeCell ref="B35:D35"/>
    <mergeCell ref="B36:B38"/>
    <mergeCell ref="B39:D39"/>
    <mergeCell ref="B40:B42"/>
    <mergeCell ref="B122:D122"/>
    <mergeCell ref="B123:D123"/>
    <mergeCell ref="B117:D117"/>
    <mergeCell ref="B118:B119"/>
    <mergeCell ref="B120:D120"/>
    <mergeCell ref="B121:D121"/>
    <mergeCell ref="B43:D43"/>
    <mergeCell ref="B82:B92"/>
    <mergeCell ref="B93:D93"/>
    <mergeCell ref="B95:D95"/>
    <mergeCell ref="B96:D96"/>
    <mergeCell ref="B114:B116"/>
    <mergeCell ref="B105:D105"/>
    <mergeCell ref="B106:B107"/>
    <mergeCell ref="B108:D108"/>
    <mergeCell ref="B109:B112"/>
    <mergeCell ref="B113:D113"/>
    <mergeCell ref="B97:B99"/>
    <mergeCell ref="B100:D100"/>
    <mergeCell ref="B101:B104"/>
    <mergeCell ref="B60:D60"/>
    <mergeCell ref="B61:D61"/>
    <mergeCell ref="B62:B72"/>
    <mergeCell ref="B73:B80"/>
    <mergeCell ref="A353:A356"/>
    <mergeCell ref="B353:B356"/>
    <mergeCell ref="C353:C356"/>
    <mergeCell ref="D353:D356"/>
    <mergeCell ref="E353:G353"/>
    <mergeCell ref="E354:G354"/>
    <mergeCell ref="H354:J354"/>
    <mergeCell ref="H355:H356"/>
    <mergeCell ref="I355:I356"/>
    <mergeCell ref="J355:J356"/>
    <mergeCell ref="E356:G356"/>
    <mergeCell ref="B357:B360"/>
    <mergeCell ref="B361:D361"/>
    <mergeCell ref="B362:B368"/>
    <mergeCell ref="B369:D369"/>
    <mergeCell ref="B370:B376"/>
    <mergeCell ref="B377:D377"/>
    <mergeCell ref="B378:B380"/>
    <mergeCell ref="B381:D381"/>
    <mergeCell ref="B382:B384"/>
    <mergeCell ref="B385:D385"/>
    <mergeCell ref="B386:D386"/>
    <mergeCell ref="B387:B390"/>
    <mergeCell ref="B391:D391"/>
    <mergeCell ref="B392:B400"/>
    <mergeCell ref="B401:D401"/>
    <mergeCell ref="B402:D402"/>
    <mergeCell ref="B403:D403"/>
    <mergeCell ref="B404:B414"/>
    <mergeCell ref="B415:B422"/>
    <mergeCell ref="B423:D423"/>
    <mergeCell ref="B424:B434"/>
    <mergeCell ref="B435:D435"/>
    <mergeCell ref="B437:D437"/>
    <mergeCell ref="B438:D438"/>
    <mergeCell ref="B439:B441"/>
    <mergeCell ref="B442:D442"/>
    <mergeCell ref="B443:B446"/>
    <mergeCell ref="B463:D463"/>
    <mergeCell ref="B464:D464"/>
    <mergeCell ref="B465:D465"/>
    <mergeCell ref="B447:D447"/>
    <mergeCell ref="B448:B449"/>
    <mergeCell ref="B450:D450"/>
    <mergeCell ref="B451:B454"/>
    <mergeCell ref="B455:D455"/>
    <mergeCell ref="B456:B458"/>
    <mergeCell ref="B459:D459"/>
    <mergeCell ref="B460:B461"/>
    <mergeCell ref="B462:D462"/>
    <mergeCell ref="A467:A470"/>
    <mergeCell ref="B467:B470"/>
    <mergeCell ref="C467:C470"/>
    <mergeCell ref="D467:D470"/>
    <mergeCell ref="E467:G467"/>
    <mergeCell ref="E468:G468"/>
    <mergeCell ref="H468:J468"/>
    <mergeCell ref="H469:H470"/>
    <mergeCell ref="I469:I470"/>
    <mergeCell ref="J469:J470"/>
    <mergeCell ref="E470:G470"/>
    <mergeCell ref="B471:B474"/>
    <mergeCell ref="B475:D475"/>
    <mergeCell ref="B476:B482"/>
    <mergeCell ref="B483:D483"/>
    <mergeCell ref="B484:B490"/>
    <mergeCell ref="B491:D491"/>
    <mergeCell ref="B492:B494"/>
    <mergeCell ref="B495:D495"/>
    <mergeCell ref="B496:B498"/>
    <mergeCell ref="B499:D499"/>
    <mergeCell ref="B500:D500"/>
    <mergeCell ref="B501:B504"/>
    <mergeCell ref="B505:D505"/>
    <mergeCell ref="B506:B514"/>
    <mergeCell ref="B515:D515"/>
    <mergeCell ref="B516:D516"/>
    <mergeCell ref="B517:D517"/>
    <mergeCell ref="B518:B528"/>
    <mergeCell ref="B529:B536"/>
    <mergeCell ref="B537:D537"/>
    <mergeCell ref="B538:B548"/>
    <mergeCell ref="B549:D549"/>
    <mergeCell ref="B551:D551"/>
    <mergeCell ref="B552:D552"/>
    <mergeCell ref="B553:B555"/>
    <mergeCell ref="B556:D556"/>
    <mergeCell ref="B557:B560"/>
    <mergeCell ref="B577:D577"/>
    <mergeCell ref="B578:D578"/>
    <mergeCell ref="B579:D579"/>
    <mergeCell ref="B561:D561"/>
    <mergeCell ref="B562:B563"/>
    <mergeCell ref="B564:D564"/>
    <mergeCell ref="B565:B568"/>
    <mergeCell ref="B569:D569"/>
    <mergeCell ref="B570:B572"/>
    <mergeCell ref="B573:D573"/>
    <mergeCell ref="B574:B575"/>
    <mergeCell ref="B576:D576"/>
    <mergeCell ref="A580:A583"/>
    <mergeCell ref="B580:B583"/>
    <mergeCell ref="C580:C583"/>
    <mergeCell ref="D580:D583"/>
    <mergeCell ref="E580:G580"/>
    <mergeCell ref="E581:G581"/>
    <mergeCell ref="H581:J581"/>
    <mergeCell ref="H582:H583"/>
    <mergeCell ref="I582:I583"/>
    <mergeCell ref="J582:J583"/>
    <mergeCell ref="E583:G583"/>
    <mergeCell ref="B584:B587"/>
    <mergeCell ref="B588:D588"/>
    <mergeCell ref="B589:B595"/>
    <mergeCell ref="B596:D596"/>
    <mergeCell ref="B597:B603"/>
    <mergeCell ref="B604:D604"/>
    <mergeCell ref="B605:B609"/>
    <mergeCell ref="B610:D610"/>
    <mergeCell ref="B611:B613"/>
    <mergeCell ref="B614:D614"/>
    <mergeCell ref="B615:D615"/>
    <mergeCell ref="B616:B619"/>
    <mergeCell ref="B620:D620"/>
    <mergeCell ref="B621:B629"/>
    <mergeCell ref="B630:D630"/>
    <mergeCell ref="B631:D631"/>
    <mergeCell ref="B632:D632"/>
    <mergeCell ref="B633:B643"/>
    <mergeCell ref="B644:B651"/>
    <mergeCell ref="B652:D652"/>
    <mergeCell ref="B653:B663"/>
    <mergeCell ref="B664:D664"/>
    <mergeCell ref="B666:D666"/>
    <mergeCell ref="B667:D667"/>
    <mergeCell ref="B668:B670"/>
    <mergeCell ref="B671:D671"/>
    <mergeCell ref="B672:B675"/>
    <mergeCell ref="B692:D692"/>
    <mergeCell ref="B693:D693"/>
    <mergeCell ref="B694:D694"/>
    <mergeCell ref="B676:D676"/>
    <mergeCell ref="B677:B678"/>
    <mergeCell ref="B679:D679"/>
    <mergeCell ref="B680:B683"/>
    <mergeCell ref="B684:D684"/>
    <mergeCell ref="B685:B687"/>
    <mergeCell ref="B688:D688"/>
    <mergeCell ref="B689:B690"/>
    <mergeCell ref="B691:D691"/>
    <mergeCell ref="A695:A698"/>
    <mergeCell ref="B695:B698"/>
    <mergeCell ref="C695:C698"/>
    <mergeCell ref="D695:D698"/>
    <mergeCell ref="E695:G695"/>
    <mergeCell ref="E696:G696"/>
    <mergeCell ref="H696:J696"/>
    <mergeCell ref="H697:H698"/>
    <mergeCell ref="I697:I698"/>
    <mergeCell ref="J697:J698"/>
    <mergeCell ref="E698:G698"/>
    <mergeCell ref="B699:B702"/>
    <mergeCell ref="B703:D703"/>
    <mergeCell ref="B704:B710"/>
    <mergeCell ref="B711:D711"/>
    <mergeCell ref="B712:B718"/>
    <mergeCell ref="B719:D719"/>
    <mergeCell ref="B720:B724"/>
    <mergeCell ref="B725:D725"/>
    <mergeCell ref="B726:B728"/>
    <mergeCell ref="B729:D729"/>
    <mergeCell ref="B730:D730"/>
    <mergeCell ref="B731:B734"/>
    <mergeCell ref="B735:D735"/>
    <mergeCell ref="B736:B744"/>
    <mergeCell ref="B745:D745"/>
    <mergeCell ref="B746:D746"/>
    <mergeCell ref="B747:D747"/>
    <mergeCell ref="B748:B758"/>
    <mergeCell ref="B759:B766"/>
    <mergeCell ref="B767:D767"/>
    <mergeCell ref="B768:B778"/>
    <mergeCell ref="B779:D779"/>
    <mergeCell ref="B781:D781"/>
    <mergeCell ref="B782:D782"/>
    <mergeCell ref="B783:B785"/>
    <mergeCell ref="B786:D786"/>
    <mergeCell ref="B787:B790"/>
    <mergeCell ref="B807:D807"/>
    <mergeCell ref="B808:D808"/>
    <mergeCell ref="B809:D809"/>
    <mergeCell ref="B791:D791"/>
    <mergeCell ref="B792:B793"/>
    <mergeCell ref="B794:D794"/>
    <mergeCell ref="B795:B798"/>
    <mergeCell ref="B799:D799"/>
    <mergeCell ref="B800:B802"/>
    <mergeCell ref="B803:D803"/>
    <mergeCell ref="B804:B805"/>
    <mergeCell ref="B806:D806"/>
    <mergeCell ref="A810:A813"/>
    <mergeCell ref="B810:B813"/>
    <mergeCell ref="C810:C813"/>
    <mergeCell ref="D810:D813"/>
    <mergeCell ref="E810:G810"/>
    <mergeCell ref="E811:G811"/>
    <mergeCell ref="H811:J811"/>
    <mergeCell ref="H812:H813"/>
    <mergeCell ref="I812:I813"/>
    <mergeCell ref="J812:J813"/>
    <mergeCell ref="E813:G813"/>
    <mergeCell ref="B814:B817"/>
    <mergeCell ref="B818:D818"/>
    <mergeCell ref="B819:B825"/>
    <mergeCell ref="B826:D826"/>
    <mergeCell ref="B827:B833"/>
    <mergeCell ref="B834:D834"/>
    <mergeCell ref="B835:B839"/>
    <mergeCell ref="B840:D840"/>
    <mergeCell ref="B841:B843"/>
    <mergeCell ref="B844:D844"/>
    <mergeCell ref="B845:D845"/>
    <mergeCell ref="B846:B849"/>
    <mergeCell ref="B850:D850"/>
    <mergeCell ref="B851:B859"/>
    <mergeCell ref="B860:D860"/>
    <mergeCell ref="B861:D861"/>
    <mergeCell ref="B862:D862"/>
    <mergeCell ref="B863:B873"/>
    <mergeCell ref="B874:B881"/>
    <mergeCell ref="B882:D882"/>
    <mergeCell ref="B883:B893"/>
    <mergeCell ref="B894:D894"/>
    <mergeCell ref="B896:D896"/>
    <mergeCell ref="B897:D897"/>
    <mergeCell ref="B898:B900"/>
    <mergeCell ref="B901:D901"/>
    <mergeCell ref="B902:B905"/>
    <mergeCell ref="B922:D922"/>
    <mergeCell ref="B923:D923"/>
    <mergeCell ref="B924:D924"/>
    <mergeCell ref="B906:D906"/>
    <mergeCell ref="B907:B908"/>
    <mergeCell ref="B909:D909"/>
    <mergeCell ref="B910:B913"/>
    <mergeCell ref="B914:D914"/>
    <mergeCell ref="B915:B917"/>
    <mergeCell ref="B918:D918"/>
    <mergeCell ref="B919:B920"/>
    <mergeCell ref="B921:D921"/>
    <mergeCell ref="A925:A928"/>
    <mergeCell ref="B925:B928"/>
    <mergeCell ref="C925:C928"/>
    <mergeCell ref="D925:D928"/>
    <mergeCell ref="E925:G925"/>
    <mergeCell ref="E926:G926"/>
    <mergeCell ref="H926:J926"/>
    <mergeCell ref="H927:H928"/>
    <mergeCell ref="I927:I928"/>
    <mergeCell ref="J927:J928"/>
    <mergeCell ref="E928:G928"/>
    <mergeCell ref="B929:B932"/>
    <mergeCell ref="B933:D933"/>
    <mergeCell ref="B934:B940"/>
    <mergeCell ref="B941:D941"/>
    <mergeCell ref="B942:B948"/>
    <mergeCell ref="B949:D949"/>
    <mergeCell ref="B950:B955"/>
    <mergeCell ref="B956:D956"/>
    <mergeCell ref="B957:B959"/>
    <mergeCell ref="B960:D960"/>
    <mergeCell ref="B961:D961"/>
    <mergeCell ref="B962:B965"/>
    <mergeCell ref="B966:D966"/>
    <mergeCell ref="B967:B975"/>
    <mergeCell ref="B976:D976"/>
    <mergeCell ref="B977:D977"/>
    <mergeCell ref="B978:D978"/>
    <mergeCell ref="B979:B989"/>
    <mergeCell ref="B990:B997"/>
    <mergeCell ref="B998:D998"/>
    <mergeCell ref="B999:B1009"/>
    <mergeCell ref="B1010:D1010"/>
    <mergeCell ref="B1012:D1012"/>
    <mergeCell ref="B1013:D1013"/>
    <mergeCell ref="B1014:B1016"/>
    <mergeCell ref="B1017:D1017"/>
    <mergeCell ref="B1018:B1021"/>
    <mergeCell ref="B1038:D1038"/>
    <mergeCell ref="B1039:D1039"/>
    <mergeCell ref="B1040:D1040"/>
    <mergeCell ref="B1022:D1022"/>
    <mergeCell ref="B1023:B1024"/>
    <mergeCell ref="B1025:D1025"/>
    <mergeCell ref="B1026:B1029"/>
    <mergeCell ref="B1030:D1030"/>
    <mergeCell ref="B1031:B1033"/>
    <mergeCell ref="B1034:D1034"/>
    <mergeCell ref="B1035:B1036"/>
    <mergeCell ref="B1037:D1037"/>
    <mergeCell ref="A1158:A1161"/>
    <mergeCell ref="B1158:B1161"/>
    <mergeCell ref="C1158:C1161"/>
    <mergeCell ref="D1158:D1161"/>
    <mergeCell ref="E1158:G1158"/>
    <mergeCell ref="E1159:G1159"/>
    <mergeCell ref="H1159:J1159"/>
    <mergeCell ref="H1160:H1161"/>
    <mergeCell ref="I1160:I1161"/>
    <mergeCell ref="J1160:J1161"/>
    <mergeCell ref="E1161:G1161"/>
    <mergeCell ref="B1162:B1165"/>
    <mergeCell ref="B1166:D1166"/>
    <mergeCell ref="B1167:B1173"/>
    <mergeCell ref="B1174:D1174"/>
    <mergeCell ref="B1175:B1181"/>
    <mergeCell ref="B1182:D1182"/>
    <mergeCell ref="B1183:B1189"/>
    <mergeCell ref="B1190:D1190"/>
    <mergeCell ref="B1191:B1193"/>
    <mergeCell ref="B1194:D1194"/>
    <mergeCell ref="B1195:D1195"/>
    <mergeCell ref="B1196:B1199"/>
    <mergeCell ref="B1200:D1200"/>
    <mergeCell ref="B1201:B1209"/>
    <mergeCell ref="B1210:D1210"/>
    <mergeCell ref="B1211:D1211"/>
    <mergeCell ref="B1212:D1212"/>
    <mergeCell ref="B1213:B1223"/>
    <mergeCell ref="B1224:B1231"/>
    <mergeCell ref="B1232:D1232"/>
    <mergeCell ref="B1233:B1243"/>
    <mergeCell ref="B1244:D1244"/>
    <mergeCell ref="B1246:D1246"/>
    <mergeCell ref="B1247:D1247"/>
    <mergeCell ref="B1248:B1250"/>
    <mergeCell ref="B1251:D1251"/>
    <mergeCell ref="B1252:B1255"/>
    <mergeCell ref="B1272:D1272"/>
    <mergeCell ref="B1273:D1273"/>
    <mergeCell ref="B1274:D1274"/>
    <mergeCell ref="B1256:D1256"/>
    <mergeCell ref="B1257:B1258"/>
    <mergeCell ref="B1259:D1259"/>
    <mergeCell ref="B1260:B1263"/>
    <mergeCell ref="B1264:D1264"/>
    <mergeCell ref="B1265:B1267"/>
    <mergeCell ref="B1268:D1268"/>
    <mergeCell ref="B1269:B1270"/>
    <mergeCell ref="B1271:D1271"/>
    <mergeCell ref="A1275:A1278"/>
    <mergeCell ref="B1275:B1278"/>
    <mergeCell ref="C1275:C1278"/>
    <mergeCell ref="D1275:D1278"/>
    <mergeCell ref="E1275:G1275"/>
    <mergeCell ref="E1276:G1276"/>
    <mergeCell ref="H1276:J1276"/>
    <mergeCell ref="H1277:H1278"/>
    <mergeCell ref="I1277:I1278"/>
    <mergeCell ref="J1277:J1278"/>
    <mergeCell ref="E1278:G1278"/>
    <mergeCell ref="B1279:B1282"/>
    <mergeCell ref="B1283:D1283"/>
    <mergeCell ref="B1284:B1290"/>
    <mergeCell ref="B1291:D1291"/>
    <mergeCell ref="B1292:B1298"/>
    <mergeCell ref="B1299:D1299"/>
    <mergeCell ref="B1300:B1306"/>
    <mergeCell ref="B1307:D1307"/>
    <mergeCell ref="B1308:B1310"/>
    <mergeCell ref="B1311:D1311"/>
    <mergeCell ref="B1312:D1312"/>
    <mergeCell ref="B1313:B1316"/>
    <mergeCell ref="B1317:D1317"/>
    <mergeCell ref="B1318:B1326"/>
    <mergeCell ref="B1327:D1327"/>
    <mergeCell ref="B1328:D1328"/>
    <mergeCell ref="B1329:D1329"/>
    <mergeCell ref="B1330:B1340"/>
    <mergeCell ref="B1341:B1348"/>
    <mergeCell ref="B1349:D1349"/>
    <mergeCell ref="B1350:B1360"/>
    <mergeCell ref="B1361:D1361"/>
    <mergeCell ref="B1363:D1363"/>
    <mergeCell ref="B1364:D1364"/>
    <mergeCell ref="B1365:B1367"/>
    <mergeCell ref="B1368:D1368"/>
    <mergeCell ref="B1369:B1372"/>
    <mergeCell ref="B1389:D1389"/>
    <mergeCell ref="B1390:D1390"/>
    <mergeCell ref="B1391:D1391"/>
    <mergeCell ref="B1373:D1373"/>
    <mergeCell ref="B1374:B1375"/>
    <mergeCell ref="B1376:D1376"/>
    <mergeCell ref="B1377:B1380"/>
    <mergeCell ref="B1381:D1381"/>
    <mergeCell ref="B1382:B1384"/>
    <mergeCell ref="B1385:D1385"/>
    <mergeCell ref="B1386:B1387"/>
    <mergeCell ref="B1388:D1388"/>
  </mergeCells>
  <pageMargins left="0.19685039370078741" right="0.19685039370078741" top="0.19685039370078741" bottom="0.19685039370078741" header="0.19685039370078741" footer="0.19685039370078741"/>
  <pageSetup paperSize="9" scale="27" orientation="portrait" verticalDpi="300" r:id="rId1"/>
  <rowBreaks count="11" manualBreakCount="11">
    <brk id="123" max="9" man="1"/>
    <brk id="237" max="9" man="1"/>
    <brk id="351" max="9" man="1"/>
    <brk id="465" max="9" man="1"/>
    <brk id="579" max="9" man="1"/>
    <brk id="694" max="9" man="1"/>
    <brk id="809" max="9" man="1"/>
    <brk id="924" max="9" man="1"/>
    <brk id="1040" max="9" man="1"/>
    <brk id="1157" max="9" man="1"/>
    <brk id="1274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7:Q765"/>
  <sheetViews>
    <sheetView view="pageBreakPreview" topLeftCell="A706" zoomScale="50" zoomScaleNormal="70" zoomScaleSheetLayoutView="50" workbookViewId="0">
      <selection activeCell="G716" sqref="G716"/>
    </sheetView>
  </sheetViews>
  <sheetFormatPr baseColWidth="10" defaultColWidth="9.140625" defaultRowHeight="16.5" x14ac:dyDescent="0.25"/>
  <cols>
    <col min="1" max="1" width="10.140625" style="229" customWidth="1"/>
    <col min="2" max="2" width="25" style="266" customWidth="1"/>
    <col min="3" max="3" width="70.5703125" style="266" customWidth="1"/>
    <col min="4" max="4" width="15.7109375" style="222" customWidth="1"/>
    <col min="5" max="5" width="18" style="222" customWidth="1"/>
    <col min="6" max="6" width="15.7109375" style="223" customWidth="1"/>
    <col min="7" max="7" width="17.42578125" style="222" customWidth="1"/>
    <col min="8" max="8" width="15.7109375" style="222" customWidth="1"/>
    <col min="9" max="9" width="18.42578125" style="224" customWidth="1"/>
    <col min="10" max="10" width="19" style="223" customWidth="1"/>
    <col min="11" max="11" width="19.140625" style="222" customWidth="1"/>
    <col min="12" max="12" width="15.7109375" style="222" customWidth="1"/>
    <col min="13" max="13" width="14.7109375" style="224" customWidth="1"/>
    <col min="14" max="14" width="17.5703125" style="224" customWidth="1"/>
    <col min="15" max="15" width="14.7109375" style="229" customWidth="1"/>
    <col min="16" max="17" width="33.140625" style="229" customWidth="1"/>
    <col min="18" max="16384" width="9.140625" style="229"/>
  </cols>
  <sheetData>
    <row r="7" spans="1:17" ht="67.150000000000006" customHeight="1" x14ac:dyDescent="0.25">
      <c r="A7" s="220" t="s">
        <v>0</v>
      </c>
    </row>
    <row r="9" spans="1:17" ht="81" customHeight="1" x14ac:dyDescent="0.25">
      <c r="A9" s="1007" t="s">
        <v>480</v>
      </c>
      <c r="B9" s="1007"/>
      <c r="C9" s="1007"/>
      <c r="D9" s="1007"/>
      <c r="E9" s="1007"/>
      <c r="F9" s="1007"/>
      <c r="G9" s="1007"/>
      <c r="H9" s="1007"/>
      <c r="I9" s="1007"/>
      <c r="J9" s="1007"/>
      <c r="K9" s="1007"/>
      <c r="L9" s="1007"/>
      <c r="M9" s="1007"/>
      <c r="N9" s="1007"/>
      <c r="O9" s="1007"/>
      <c r="P9" s="1007"/>
      <c r="Q9" s="1007"/>
    </row>
    <row r="10" spans="1:17" ht="24.6" customHeight="1" thickBot="1" x14ac:dyDescent="0.3">
      <c r="A10" s="230"/>
      <c r="B10" s="230"/>
      <c r="C10" s="230"/>
      <c r="D10" s="232"/>
      <c r="E10" s="232"/>
      <c r="F10" s="232"/>
      <c r="G10" s="267"/>
      <c r="H10" s="267"/>
      <c r="I10" s="234"/>
      <c r="J10" s="232"/>
      <c r="K10" s="232"/>
      <c r="L10" s="232"/>
      <c r="M10" s="234"/>
      <c r="N10" s="234"/>
    </row>
    <row r="11" spans="1:17" ht="22.5" customHeight="1" x14ac:dyDescent="0.25">
      <c r="A11" s="1033" t="s">
        <v>1</v>
      </c>
      <c r="B11" s="1036" t="s">
        <v>2</v>
      </c>
      <c r="C11" s="1039" t="s">
        <v>396</v>
      </c>
      <c r="D11" s="987" t="s">
        <v>4</v>
      </c>
      <c r="E11" s="988"/>
      <c r="F11" s="988"/>
      <c r="G11" s="988"/>
      <c r="H11" s="988"/>
      <c r="I11" s="988"/>
      <c r="J11" s="988"/>
      <c r="K11" s="988"/>
      <c r="L11" s="988"/>
      <c r="M11" s="988"/>
      <c r="N11" s="989"/>
      <c r="O11" s="1011" t="s">
        <v>167</v>
      </c>
      <c r="P11" s="1012"/>
      <c r="Q11" s="1042"/>
    </row>
    <row r="12" spans="1:17" ht="22.5" customHeight="1" x14ac:dyDescent="0.25">
      <c r="A12" s="1034"/>
      <c r="B12" s="1037"/>
      <c r="C12" s="1040"/>
      <c r="D12" s="990" t="s">
        <v>7</v>
      </c>
      <c r="E12" s="992" t="s">
        <v>108</v>
      </c>
      <c r="F12" s="1043" t="s">
        <v>475</v>
      </c>
      <c r="G12" s="995"/>
      <c r="H12" s="995"/>
      <c r="I12" s="996"/>
      <c r="J12" s="997" t="s">
        <v>8</v>
      </c>
      <c r="K12" s="998"/>
      <c r="L12" s="999"/>
      <c r="M12" s="1000" t="s">
        <v>165</v>
      </c>
      <c r="N12" s="1002" t="s">
        <v>164</v>
      </c>
      <c r="O12" s="1044" t="s">
        <v>169</v>
      </c>
      <c r="P12" s="1045"/>
      <c r="Q12" s="1046"/>
    </row>
    <row r="13" spans="1:17" ht="45.75" thickBot="1" x14ac:dyDescent="0.3">
      <c r="A13" s="1035"/>
      <c r="B13" s="1038"/>
      <c r="C13" s="1041"/>
      <c r="D13" s="991"/>
      <c r="E13" s="993"/>
      <c r="F13" s="452" t="s">
        <v>13</v>
      </c>
      <c r="G13" s="453" t="s">
        <v>14</v>
      </c>
      <c r="H13" s="453" t="s">
        <v>15</v>
      </c>
      <c r="I13" s="454" t="s">
        <v>166</v>
      </c>
      <c r="J13" s="680" t="s">
        <v>13</v>
      </c>
      <c r="K13" s="678" t="s">
        <v>14</v>
      </c>
      <c r="L13" s="679" t="s">
        <v>15</v>
      </c>
      <c r="M13" s="1001"/>
      <c r="N13" s="1003"/>
      <c r="O13" s="444" t="s">
        <v>170</v>
      </c>
      <c r="P13" s="445" t="s">
        <v>11</v>
      </c>
      <c r="Q13" s="446" t="s">
        <v>12</v>
      </c>
    </row>
    <row r="14" spans="1:17" ht="24" x14ac:dyDescent="0.25">
      <c r="A14" s="268" t="s">
        <v>103</v>
      </c>
      <c r="B14" s="439"/>
      <c r="C14" s="269" t="s">
        <v>246</v>
      </c>
      <c r="D14" s="270"/>
      <c r="E14" s="271"/>
      <c r="F14" s="332">
        <f>+G14+H14</f>
        <v>0</v>
      </c>
      <c r="G14" s="272"/>
      <c r="H14" s="272"/>
      <c r="I14" s="351" t="str">
        <f>IFERROR(F14/#REF!,"-")</f>
        <v>-</v>
      </c>
      <c r="J14" s="457">
        <f>+K14+L14</f>
        <v>0</v>
      </c>
      <c r="K14" s="458">
        <f>+G14</f>
        <v>0</v>
      </c>
      <c r="L14" s="459">
        <f>+H14</f>
        <v>0</v>
      </c>
      <c r="M14" s="336" t="str">
        <f>IFERROR(J14/D14,"-")</f>
        <v>-</v>
      </c>
      <c r="N14" s="343" t="str">
        <f t="shared" ref="N14:N15" si="0">IFERROR(L14/J14,"-")</f>
        <v>-</v>
      </c>
      <c r="O14" s="507">
        <v>1.5669</v>
      </c>
      <c r="P14" s="402">
        <f>+O14*G14</f>
        <v>0</v>
      </c>
      <c r="Q14" s="447">
        <f>+O14*K14</f>
        <v>0</v>
      </c>
    </row>
    <row r="15" spans="1:17" ht="24" x14ac:dyDescent="0.25">
      <c r="A15" s="274" t="s">
        <v>103</v>
      </c>
      <c r="B15" s="438"/>
      <c r="C15" s="275" t="s">
        <v>245</v>
      </c>
      <c r="D15" s="276"/>
      <c r="E15" s="277"/>
      <c r="F15" s="333">
        <f t="shared" ref="F15:F18" si="1">+G15+H15</f>
        <v>0</v>
      </c>
      <c r="G15" s="719"/>
      <c r="H15" s="719"/>
      <c r="I15" s="352" t="str">
        <f>IFERROR(F15/#REF!,"-")</f>
        <v>-</v>
      </c>
      <c r="J15" s="333">
        <f t="shared" ref="J15:J18" si="2">+K15+L15</f>
        <v>0</v>
      </c>
      <c r="K15" s="278">
        <f t="shared" ref="K15:K18" si="3">+G15</f>
        <v>0</v>
      </c>
      <c r="L15" s="436">
        <f t="shared" ref="L15:L18" si="4">+H15</f>
        <v>0</v>
      </c>
      <c r="M15" s="337" t="str">
        <f t="shared" ref="M15:M18" si="5">IFERROR(J15/D15,"-")</f>
        <v>-</v>
      </c>
      <c r="N15" s="265" t="str">
        <f t="shared" si="0"/>
        <v>-</v>
      </c>
      <c r="O15" s="508">
        <v>2.3978999999999999</v>
      </c>
      <c r="P15" s="404">
        <f>+O15*G15</f>
        <v>0</v>
      </c>
      <c r="Q15" s="449">
        <f>+O15*K15</f>
        <v>0</v>
      </c>
    </row>
    <row r="16" spans="1:17" ht="24" x14ac:dyDescent="0.25">
      <c r="A16" s="274" t="s">
        <v>103</v>
      </c>
      <c r="B16" s="438"/>
      <c r="C16" s="275" t="s">
        <v>395</v>
      </c>
      <c r="D16" s="276"/>
      <c r="E16" s="277"/>
      <c r="F16" s="333">
        <f t="shared" si="1"/>
        <v>100594</v>
      </c>
      <c r="G16" s="278">
        <v>99500</v>
      </c>
      <c r="H16" s="719">
        <v>1094</v>
      </c>
      <c r="I16" s="352" t="str">
        <f>IFERROR(F16/#REF!,"-")</f>
        <v>-</v>
      </c>
      <c r="J16" s="333">
        <f t="shared" si="2"/>
        <v>100594</v>
      </c>
      <c r="K16" s="278">
        <f t="shared" si="3"/>
        <v>99500</v>
      </c>
      <c r="L16" s="436">
        <f t="shared" si="4"/>
        <v>1094</v>
      </c>
      <c r="M16" s="337" t="str">
        <f t="shared" si="5"/>
        <v>-</v>
      </c>
      <c r="N16" s="716">
        <f>IFERROR(L16/J16,"-")</f>
        <v>1.0875400123267789E-2</v>
      </c>
      <c r="O16" s="718">
        <v>3.6777000000000002</v>
      </c>
      <c r="P16" s="404">
        <f t="shared" ref="P16:P18" si="6">+O16*G16</f>
        <v>365931.15</v>
      </c>
      <c r="Q16" s="449">
        <f t="shared" ref="Q16:Q18" si="7">+O16*K16</f>
        <v>365931.15</v>
      </c>
    </row>
    <row r="17" spans="1:17" ht="24" x14ac:dyDescent="0.25">
      <c r="A17" s="274"/>
      <c r="B17" s="451"/>
      <c r="C17" s="275" t="s">
        <v>319</v>
      </c>
      <c r="D17" s="280"/>
      <c r="E17" s="281"/>
      <c r="F17" s="333">
        <f t="shared" si="1"/>
        <v>8030</v>
      </c>
      <c r="G17" s="282">
        <v>7800</v>
      </c>
      <c r="H17" s="282">
        <v>230</v>
      </c>
      <c r="I17" s="352" t="str">
        <f>IFERROR(F17/#REF!,"-")</f>
        <v>-</v>
      </c>
      <c r="J17" s="333">
        <f t="shared" si="2"/>
        <v>8030</v>
      </c>
      <c r="K17" s="278">
        <f t="shared" si="3"/>
        <v>7800</v>
      </c>
      <c r="L17" s="436">
        <f t="shared" si="4"/>
        <v>230</v>
      </c>
      <c r="M17" s="337" t="str">
        <f t="shared" si="5"/>
        <v>-</v>
      </c>
      <c r="N17" s="265">
        <f>IFERROR(L17/J17,"-")</f>
        <v>2.8642590286425903E-2</v>
      </c>
      <c r="O17" s="509">
        <v>12.284700000000001</v>
      </c>
      <c r="P17" s="404">
        <f t="shared" si="6"/>
        <v>95820.66</v>
      </c>
      <c r="Q17" s="449">
        <f t="shared" si="7"/>
        <v>95820.66</v>
      </c>
    </row>
    <row r="18" spans="1:17" ht="24.75" thickBot="1" x14ac:dyDescent="0.3">
      <c r="A18" s="274" t="s">
        <v>103</v>
      </c>
      <c r="B18" s="451"/>
      <c r="C18" s="275" t="s">
        <v>365</v>
      </c>
      <c r="D18" s="280"/>
      <c r="E18" s="281"/>
      <c r="F18" s="334">
        <f t="shared" si="1"/>
        <v>45034</v>
      </c>
      <c r="G18" s="282">
        <v>44250</v>
      </c>
      <c r="H18" s="282">
        <v>784</v>
      </c>
      <c r="I18" s="353" t="str">
        <f>IFERROR(F18/#REF!,"-")</f>
        <v>-</v>
      </c>
      <c r="J18" s="460">
        <f t="shared" si="2"/>
        <v>45034</v>
      </c>
      <c r="K18" s="461">
        <f t="shared" si="3"/>
        <v>44250</v>
      </c>
      <c r="L18" s="462">
        <f t="shared" si="4"/>
        <v>784</v>
      </c>
      <c r="M18" s="338" t="str">
        <f t="shared" si="5"/>
        <v>-</v>
      </c>
      <c r="N18" s="344">
        <f t="shared" ref="N18:N30" si="8">IFERROR(L18/J18,"-")</f>
        <v>1.7409068703646134E-2</v>
      </c>
      <c r="O18" s="718">
        <v>7.0612000000000004</v>
      </c>
      <c r="P18" s="405">
        <f t="shared" si="6"/>
        <v>312458.10000000003</v>
      </c>
      <c r="Q18" s="450">
        <f t="shared" si="7"/>
        <v>312458.10000000003</v>
      </c>
    </row>
    <row r="19" spans="1:17" ht="23.25" customHeight="1" thickBot="1" x14ac:dyDescent="0.3">
      <c r="A19" s="274" t="s">
        <v>103</v>
      </c>
      <c r="B19" s="1028" t="s">
        <v>21</v>
      </c>
      <c r="C19" s="964"/>
      <c r="D19" s="320">
        <f>SUM(D14:D18)</f>
        <v>0</v>
      </c>
      <c r="E19" s="285">
        <v>15000</v>
      </c>
      <c r="F19" s="320">
        <f>SUM(F14:F18)</f>
        <v>153658</v>
      </c>
      <c r="G19" s="321">
        <f>SUM(G14:G18)</f>
        <v>151550</v>
      </c>
      <c r="H19" s="321">
        <f>SUM(H14:H18)</f>
        <v>2108</v>
      </c>
      <c r="I19" s="345" t="str">
        <f>IFERROR(F19/#REF!,"-")</f>
        <v>-</v>
      </c>
      <c r="J19" s="320">
        <f>SUM(J14:J18)</f>
        <v>153658</v>
      </c>
      <c r="K19" s="321">
        <f>SUM(K14:K18)</f>
        <v>151550</v>
      </c>
      <c r="L19" s="322">
        <f>SUM(L14:L18)</f>
        <v>2108</v>
      </c>
      <c r="M19" s="339" t="str">
        <f>IFERROR(J19/D19,"-")</f>
        <v>-</v>
      </c>
      <c r="N19" s="345">
        <f t="shared" si="8"/>
        <v>1.3718778065574198E-2</v>
      </c>
      <c r="O19" s="391"/>
      <c r="P19" s="406">
        <f>SUM(P14:P18)</f>
        <v>774209.91000000015</v>
      </c>
      <c r="Q19" s="425">
        <f>SUM(Q14:Q18)</f>
        <v>774209.91000000015</v>
      </c>
    </row>
    <row r="20" spans="1:17" ht="24" x14ac:dyDescent="0.25">
      <c r="A20" s="274" t="s">
        <v>103</v>
      </c>
      <c r="B20" s="439"/>
      <c r="C20" s="269" t="s">
        <v>244</v>
      </c>
      <c r="D20" s="270"/>
      <c r="E20" s="271"/>
      <c r="F20" s="332">
        <f t="shared" ref="F20:F26" si="9">+G20+H20</f>
        <v>0</v>
      </c>
      <c r="G20" s="272"/>
      <c r="H20" s="272"/>
      <c r="I20" s="351" t="str">
        <f>IFERROR(F20/#REF!,"-")</f>
        <v>-</v>
      </c>
      <c r="J20" s="457">
        <f t="shared" ref="J20:J26" si="10">+K20+L20</f>
        <v>0</v>
      </c>
      <c r="K20" s="458">
        <f t="shared" ref="K20:K26" si="11">+G20</f>
        <v>0</v>
      </c>
      <c r="L20" s="459">
        <f t="shared" ref="L20:L26" si="12">+H20</f>
        <v>0</v>
      </c>
      <c r="M20" s="336" t="str">
        <f t="shared" ref="M20:M28" si="13">IFERROR(J20/D20,"-")</f>
        <v>-</v>
      </c>
      <c r="N20" s="346" t="str">
        <f t="shared" si="8"/>
        <v>-</v>
      </c>
      <c r="O20" s="507">
        <v>18.2316</v>
      </c>
      <c r="P20" s="402">
        <f t="shared" ref="P20:P26" si="14">+O20*G20</f>
        <v>0</v>
      </c>
      <c r="Q20" s="447">
        <f t="shared" ref="Q20:Q26" si="15">+O20*K20</f>
        <v>0</v>
      </c>
    </row>
    <row r="21" spans="1:17" ht="24" x14ac:dyDescent="0.25">
      <c r="A21" s="274" t="s">
        <v>103</v>
      </c>
      <c r="B21" s="438"/>
      <c r="C21" s="275" t="s">
        <v>89</v>
      </c>
      <c r="D21" s="276"/>
      <c r="E21" s="277"/>
      <c r="F21" s="333">
        <f t="shared" si="9"/>
        <v>0</v>
      </c>
      <c r="G21" s="278"/>
      <c r="H21" s="278"/>
      <c r="I21" s="352" t="str">
        <f>IFERROR(F21/#REF!,"-")</f>
        <v>-</v>
      </c>
      <c r="J21" s="333">
        <f t="shared" si="10"/>
        <v>0</v>
      </c>
      <c r="K21" s="278">
        <f t="shared" si="11"/>
        <v>0</v>
      </c>
      <c r="L21" s="436">
        <f t="shared" si="12"/>
        <v>0</v>
      </c>
      <c r="M21" s="337" t="str">
        <f t="shared" si="13"/>
        <v>-</v>
      </c>
      <c r="N21" s="263" t="str">
        <f t="shared" si="8"/>
        <v>-</v>
      </c>
      <c r="O21" s="508">
        <v>1.2824</v>
      </c>
      <c r="P21" s="404">
        <f t="shared" si="14"/>
        <v>0</v>
      </c>
      <c r="Q21" s="449">
        <f t="shared" si="15"/>
        <v>0</v>
      </c>
    </row>
    <row r="22" spans="1:17" ht="24" x14ac:dyDescent="0.25">
      <c r="A22" s="274" t="s">
        <v>103</v>
      </c>
      <c r="B22" s="438"/>
      <c r="C22" s="275" t="s">
        <v>300</v>
      </c>
      <c r="D22" s="276"/>
      <c r="E22" s="277"/>
      <c r="F22" s="333">
        <f t="shared" si="9"/>
        <v>0</v>
      </c>
      <c r="G22" s="278"/>
      <c r="H22" s="278"/>
      <c r="I22" s="352" t="str">
        <f>IFERROR(F22/#REF!,"-")</f>
        <v>-</v>
      </c>
      <c r="J22" s="333">
        <f t="shared" si="10"/>
        <v>0</v>
      </c>
      <c r="K22" s="278">
        <f t="shared" si="11"/>
        <v>0</v>
      </c>
      <c r="L22" s="436">
        <f t="shared" si="12"/>
        <v>0</v>
      </c>
      <c r="M22" s="337" t="str">
        <f t="shared" si="13"/>
        <v>-</v>
      </c>
      <c r="N22" s="263" t="str">
        <f t="shared" si="8"/>
        <v>-</v>
      </c>
      <c r="O22" s="710">
        <v>5.7342000000000004</v>
      </c>
      <c r="P22" s="404">
        <f t="shared" si="14"/>
        <v>0</v>
      </c>
      <c r="Q22" s="449">
        <f t="shared" si="15"/>
        <v>0</v>
      </c>
    </row>
    <row r="23" spans="1:17" ht="24" x14ac:dyDescent="0.25">
      <c r="A23" s="274" t="s">
        <v>103</v>
      </c>
      <c r="B23" s="438"/>
      <c r="C23" s="275" t="s">
        <v>314</v>
      </c>
      <c r="D23" s="276"/>
      <c r="E23" s="277"/>
      <c r="F23" s="333">
        <f t="shared" si="9"/>
        <v>0</v>
      </c>
      <c r="G23" s="278"/>
      <c r="H23" s="278"/>
      <c r="I23" s="352" t="str">
        <f>IFERROR(F23/#REF!,"-")</f>
        <v>-</v>
      </c>
      <c r="J23" s="333">
        <f t="shared" si="10"/>
        <v>0</v>
      </c>
      <c r="K23" s="278">
        <f t="shared" si="11"/>
        <v>0</v>
      </c>
      <c r="L23" s="436">
        <f t="shared" si="12"/>
        <v>0</v>
      </c>
      <c r="M23" s="337" t="str">
        <f t="shared" si="13"/>
        <v>-</v>
      </c>
      <c r="N23" s="263" t="str">
        <f t="shared" si="8"/>
        <v>-</v>
      </c>
      <c r="O23" s="508"/>
      <c r="P23" s="404">
        <f t="shared" si="14"/>
        <v>0</v>
      </c>
      <c r="Q23" s="449">
        <f t="shared" si="15"/>
        <v>0</v>
      </c>
    </row>
    <row r="24" spans="1:17" ht="24" x14ac:dyDescent="0.25">
      <c r="A24" s="274" t="s">
        <v>103</v>
      </c>
      <c r="B24" s="438"/>
      <c r="C24" s="275" t="s">
        <v>320</v>
      </c>
      <c r="D24" s="276"/>
      <c r="E24" s="277"/>
      <c r="F24" s="333">
        <f t="shared" si="9"/>
        <v>0</v>
      </c>
      <c r="G24" s="278"/>
      <c r="H24" s="278"/>
      <c r="I24" s="352" t="str">
        <f>IFERROR(F24/#REF!,"-")</f>
        <v>-</v>
      </c>
      <c r="J24" s="333">
        <f t="shared" si="10"/>
        <v>0</v>
      </c>
      <c r="K24" s="278">
        <f t="shared" si="11"/>
        <v>0</v>
      </c>
      <c r="L24" s="436">
        <f t="shared" si="12"/>
        <v>0</v>
      </c>
      <c r="M24" s="337" t="str">
        <f t="shared" si="13"/>
        <v>-</v>
      </c>
      <c r="N24" s="263" t="str">
        <f t="shared" si="8"/>
        <v>-</v>
      </c>
      <c r="O24" s="508">
        <v>12.029500000000001</v>
      </c>
      <c r="P24" s="404">
        <f t="shared" si="14"/>
        <v>0</v>
      </c>
      <c r="Q24" s="449">
        <f t="shared" si="15"/>
        <v>0</v>
      </c>
    </row>
    <row r="25" spans="1:17" ht="24" x14ac:dyDescent="0.25">
      <c r="A25" s="274" t="s">
        <v>103</v>
      </c>
      <c r="B25" s="438"/>
      <c r="C25" s="275"/>
      <c r="D25" s="276"/>
      <c r="E25" s="277"/>
      <c r="F25" s="333">
        <f t="shared" si="9"/>
        <v>0</v>
      </c>
      <c r="G25" s="278"/>
      <c r="H25" s="278"/>
      <c r="I25" s="352" t="str">
        <f>IFERROR(F25/#REF!,"-")</f>
        <v>-</v>
      </c>
      <c r="J25" s="333">
        <f t="shared" si="10"/>
        <v>0</v>
      </c>
      <c r="K25" s="278">
        <f t="shared" si="11"/>
        <v>0</v>
      </c>
      <c r="L25" s="436">
        <f t="shared" si="12"/>
        <v>0</v>
      </c>
      <c r="M25" s="337" t="str">
        <f t="shared" si="13"/>
        <v>-</v>
      </c>
      <c r="N25" s="263" t="str">
        <f t="shared" si="8"/>
        <v>-</v>
      </c>
      <c r="O25" s="508"/>
      <c r="P25" s="404">
        <f t="shared" si="14"/>
        <v>0</v>
      </c>
      <c r="Q25" s="449">
        <f t="shared" si="15"/>
        <v>0</v>
      </c>
    </row>
    <row r="26" spans="1:17" ht="24.75" thickBot="1" x14ac:dyDescent="0.3">
      <c r="A26" s="274" t="s">
        <v>103</v>
      </c>
      <c r="B26" s="451"/>
      <c r="C26" s="279"/>
      <c r="D26" s="280">
        <v>0</v>
      </c>
      <c r="E26" s="281"/>
      <c r="F26" s="334">
        <f t="shared" si="9"/>
        <v>0</v>
      </c>
      <c r="G26" s="282"/>
      <c r="H26" s="282"/>
      <c r="I26" s="353" t="str">
        <f>IFERROR(F26/#REF!,"-")</f>
        <v>-</v>
      </c>
      <c r="J26" s="460">
        <f t="shared" si="10"/>
        <v>0</v>
      </c>
      <c r="K26" s="461">
        <f t="shared" si="11"/>
        <v>0</v>
      </c>
      <c r="L26" s="462">
        <f t="shared" si="12"/>
        <v>0</v>
      </c>
      <c r="M26" s="338" t="str">
        <f t="shared" si="13"/>
        <v>-</v>
      </c>
      <c r="N26" s="347" t="str">
        <f t="shared" si="8"/>
        <v>-</v>
      </c>
      <c r="O26" s="509"/>
      <c r="P26" s="405">
        <f t="shared" si="14"/>
        <v>0</v>
      </c>
      <c r="Q26" s="450">
        <f t="shared" si="15"/>
        <v>0</v>
      </c>
    </row>
    <row r="27" spans="1:17" ht="23.25" customHeight="1" thickBot="1" x14ac:dyDescent="0.3">
      <c r="A27" s="274" t="s">
        <v>103</v>
      </c>
      <c r="B27" s="1028" t="s">
        <v>25</v>
      </c>
      <c r="C27" s="964"/>
      <c r="D27" s="320">
        <f t="shared" ref="D27" si="16">SUM(D20:D26)</f>
        <v>0</v>
      </c>
      <c r="E27" s="285">
        <v>100000</v>
      </c>
      <c r="F27" s="320">
        <f>SUM(F20:F26)</f>
        <v>0</v>
      </c>
      <c r="G27" s="321">
        <f t="shared" ref="G27:H27" si="17">SUM(G20:G26)</f>
        <v>0</v>
      </c>
      <c r="H27" s="321">
        <f t="shared" si="17"/>
        <v>0</v>
      </c>
      <c r="I27" s="345" t="str">
        <f>IFERROR(F27/#REF!,"-")</f>
        <v>-</v>
      </c>
      <c r="J27" s="320">
        <f t="shared" ref="J27:L27" si="18">SUM(J20:J26)</f>
        <v>0</v>
      </c>
      <c r="K27" s="321">
        <f t="shared" si="18"/>
        <v>0</v>
      </c>
      <c r="L27" s="322">
        <f t="shared" si="18"/>
        <v>0</v>
      </c>
      <c r="M27" s="339" t="str">
        <f t="shared" si="13"/>
        <v>-</v>
      </c>
      <c r="N27" s="345" t="str">
        <f t="shared" si="8"/>
        <v>-</v>
      </c>
      <c r="O27" s="391"/>
      <c r="P27" s="406">
        <f t="shared" ref="P27:Q27" si="19">SUM(P20:P26)</f>
        <v>0</v>
      </c>
      <c r="Q27" s="425">
        <f t="shared" si="19"/>
        <v>0</v>
      </c>
    </row>
    <row r="28" spans="1:17" ht="23.25" customHeight="1" thickBot="1" x14ac:dyDescent="0.3">
      <c r="A28" s="274" t="s">
        <v>103</v>
      </c>
      <c r="B28" s="1029" t="s">
        <v>172</v>
      </c>
      <c r="C28" s="1030"/>
      <c r="D28" s="326">
        <f>+D19+D27</f>
        <v>0</v>
      </c>
      <c r="E28" s="327">
        <f t="shared" ref="E28:H28" si="20">+E19+E27</f>
        <v>115000</v>
      </c>
      <c r="F28" s="326">
        <f t="shared" si="20"/>
        <v>153658</v>
      </c>
      <c r="G28" s="324">
        <f t="shared" si="20"/>
        <v>151550</v>
      </c>
      <c r="H28" s="324">
        <f t="shared" si="20"/>
        <v>2108</v>
      </c>
      <c r="I28" s="349" t="str">
        <f>IFERROR(F28/#REF!,"-")</f>
        <v>-</v>
      </c>
      <c r="J28" s="326">
        <f t="shared" ref="J28:L28" si="21">+J19+J27</f>
        <v>153658</v>
      </c>
      <c r="K28" s="324">
        <f t="shared" si="21"/>
        <v>151550</v>
      </c>
      <c r="L28" s="325">
        <f t="shared" si="21"/>
        <v>2108</v>
      </c>
      <c r="M28" s="341" t="str">
        <f t="shared" si="13"/>
        <v>-</v>
      </c>
      <c r="N28" s="349">
        <f t="shared" si="8"/>
        <v>1.3718778065574198E-2</v>
      </c>
      <c r="O28" s="394"/>
      <c r="P28" s="410">
        <f t="shared" ref="P28:Q28" si="22">+P19+P27</f>
        <v>774209.91000000015</v>
      </c>
      <c r="Q28" s="428">
        <f t="shared" si="22"/>
        <v>774209.91000000015</v>
      </c>
    </row>
    <row r="29" spans="1:17" ht="24" x14ac:dyDescent="0.25">
      <c r="A29" s="244" t="s">
        <v>101</v>
      </c>
      <c r="B29" s="581"/>
      <c r="C29" s="582" t="s">
        <v>283</v>
      </c>
      <c r="D29" s="527"/>
      <c r="E29" s="459"/>
      <c r="F29" s="457">
        <f>+G29+H29</f>
        <v>0</v>
      </c>
      <c r="G29" s="458"/>
      <c r="H29" s="458"/>
      <c r="I29" s="531" t="str">
        <f>IFERROR(F29/#REF!,"-")</f>
        <v>-</v>
      </c>
      <c r="J29" s="457">
        <f>+K29+L29</f>
        <v>0</v>
      </c>
      <c r="K29" s="458">
        <f t="shared" ref="K29:K35" si="23">+G29</f>
        <v>0</v>
      </c>
      <c r="L29" s="459">
        <f t="shared" ref="L29:L35" si="24">+H29</f>
        <v>0</v>
      </c>
      <c r="M29" s="586" t="str">
        <f>IFERROR(J29/D29,"-")</f>
        <v>-</v>
      </c>
      <c r="N29" s="533" t="str">
        <f t="shared" si="8"/>
        <v>-</v>
      </c>
      <c r="O29" s="628">
        <v>4.8285999999999998</v>
      </c>
      <c r="P29" s="534">
        <f t="shared" ref="P29:P35" si="25">+O29*G29</f>
        <v>0</v>
      </c>
      <c r="Q29" s="535">
        <f t="shared" ref="Q29:Q35" si="26">+O29*K29</f>
        <v>0</v>
      </c>
    </row>
    <row r="30" spans="1:17" ht="24" x14ac:dyDescent="0.25">
      <c r="A30" s="248" t="s">
        <v>101</v>
      </c>
      <c r="B30" s="583"/>
      <c r="C30" s="275" t="s">
        <v>284</v>
      </c>
      <c r="D30" s="276"/>
      <c r="E30" s="436"/>
      <c r="F30" s="333">
        <f t="shared" ref="F30:F35" si="27">+G30+H30</f>
        <v>0</v>
      </c>
      <c r="G30" s="278"/>
      <c r="H30" s="278"/>
      <c r="I30" s="352" t="str">
        <f>IFERROR(F30/#REF!,"-")</f>
        <v>-</v>
      </c>
      <c r="J30" s="333">
        <f t="shared" ref="J30:J35" si="28">+K30+L30</f>
        <v>0</v>
      </c>
      <c r="K30" s="278">
        <f t="shared" si="23"/>
        <v>0</v>
      </c>
      <c r="L30" s="436">
        <f t="shared" si="24"/>
        <v>0</v>
      </c>
      <c r="M30" s="337" t="str">
        <f t="shared" ref="M30:M32" si="29">IFERROR(J30/D30,"-")</f>
        <v>-</v>
      </c>
      <c r="N30" s="265" t="str">
        <f t="shared" si="8"/>
        <v>-</v>
      </c>
      <c r="O30" s="629">
        <v>1.4086000000000001</v>
      </c>
      <c r="P30" s="404">
        <f t="shared" si="25"/>
        <v>0</v>
      </c>
      <c r="Q30" s="449">
        <f t="shared" si="26"/>
        <v>0</v>
      </c>
    </row>
    <row r="31" spans="1:17" ht="24" x14ac:dyDescent="0.25">
      <c r="A31" s="248" t="s">
        <v>101</v>
      </c>
      <c r="B31" s="583"/>
      <c r="C31" s="275" t="s">
        <v>315</v>
      </c>
      <c r="D31" s="276"/>
      <c r="E31" s="436"/>
      <c r="F31" s="333">
        <f t="shared" si="27"/>
        <v>0</v>
      </c>
      <c r="G31" s="278"/>
      <c r="H31" s="278"/>
      <c r="I31" s="352" t="str">
        <f>IFERROR(F31/#REF!,"-")</f>
        <v>-</v>
      </c>
      <c r="J31" s="333">
        <f t="shared" si="28"/>
        <v>0</v>
      </c>
      <c r="K31" s="278">
        <f t="shared" si="23"/>
        <v>0</v>
      </c>
      <c r="L31" s="436">
        <f t="shared" si="24"/>
        <v>0</v>
      </c>
      <c r="M31" s="337" t="str">
        <f t="shared" si="29"/>
        <v>-</v>
      </c>
      <c r="N31" s="265" t="str">
        <f>IFERROR(L31/J31,"-")</f>
        <v>-</v>
      </c>
      <c r="O31" s="629">
        <v>2.2141000000000002</v>
      </c>
      <c r="P31" s="404">
        <f t="shared" si="25"/>
        <v>0</v>
      </c>
      <c r="Q31" s="449">
        <f t="shared" si="26"/>
        <v>0</v>
      </c>
    </row>
    <row r="32" spans="1:17" ht="24" x14ac:dyDescent="0.25">
      <c r="A32" s="248" t="s">
        <v>101</v>
      </c>
      <c r="B32" s="584"/>
      <c r="C32" s="275" t="s">
        <v>447</v>
      </c>
      <c r="D32" s="280"/>
      <c r="E32" s="528"/>
      <c r="F32" s="334">
        <f t="shared" si="27"/>
        <v>101250</v>
      </c>
      <c r="G32" s="282">
        <v>100000</v>
      </c>
      <c r="H32" s="282">
        <v>1250</v>
      </c>
      <c r="I32" s="353" t="str">
        <f>IFERROR(F32/#REF!,"-")</f>
        <v>-</v>
      </c>
      <c r="J32" s="333">
        <f t="shared" si="28"/>
        <v>101250</v>
      </c>
      <c r="K32" s="278">
        <f t="shared" si="23"/>
        <v>100000</v>
      </c>
      <c r="L32" s="436">
        <f t="shared" si="24"/>
        <v>1250</v>
      </c>
      <c r="M32" s="338" t="str">
        <f t="shared" si="29"/>
        <v>-</v>
      </c>
      <c r="N32" s="344">
        <f t="shared" ref="N32:N39" si="30">IFERROR(L32/J32,"-")</f>
        <v>1.2345679012345678E-2</v>
      </c>
      <c r="O32" s="629">
        <v>2.2141000000000002</v>
      </c>
      <c r="P32" s="405">
        <f t="shared" si="25"/>
        <v>221410.00000000003</v>
      </c>
      <c r="Q32" s="450">
        <f t="shared" si="26"/>
        <v>221410.00000000003</v>
      </c>
    </row>
    <row r="33" spans="1:17" ht="24" x14ac:dyDescent="0.25">
      <c r="A33" s="248" t="s">
        <v>101</v>
      </c>
      <c r="B33" s="440"/>
      <c r="C33" s="627" t="s">
        <v>353</v>
      </c>
      <c r="D33" s="510"/>
      <c r="E33" s="529"/>
      <c r="F33" s="333">
        <f t="shared" si="27"/>
        <v>0</v>
      </c>
      <c r="G33" s="547"/>
      <c r="H33" s="547"/>
      <c r="I33" s="352" t="str">
        <f>IFERROR(F33/#REF!,"-")</f>
        <v>-</v>
      </c>
      <c r="J33" s="333">
        <f t="shared" si="28"/>
        <v>0</v>
      </c>
      <c r="K33" s="278">
        <f t="shared" si="23"/>
        <v>0</v>
      </c>
      <c r="L33" s="436">
        <f t="shared" si="24"/>
        <v>0</v>
      </c>
      <c r="M33" s="682"/>
      <c r="N33" s="265" t="str">
        <f t="shared" si="30"/>
        <v>-</v>
      </c>
      <c r="O33" s="540">
        <v>4.8285999999999998</v>
      </c>
      <c r="P33" s="404">
        <f t="shared" si="25"/>
        <v>0</v>
      </c>
      <c r="Q33" s="449">
        <f t="shared" si="26"/>
        <v>0</v>
      </c>
    </row>
    <row r="34" spans="1:17" ht="24" x14ac:dyDescent="0.25">
      <c r="A34" s="248" t="s">
        <v>101</v>
      </c>
      <c r="B34" s="585"/>
      <c r="C34" s="627" t="s">
        <v>349</v>
      </c>
      <c r="D34" s="270"/>
      <c r="E34" s="435"/>
      <c r="F34" s="332">
        <f t="shared" si="27"/>
        <v>0</v>
      </c>
      <c r="G34" s="272"/>
      <c r="H34" s="272"/>
      <c r="I34" s="351" t="str">
        <f>IFERROR(F34/#REF!,"-")</f>
        <v>-</v>
      </c>
      <c r="J34" s="333">
        <f t="shared" si="28"/>
        <v>0</v>
      </c>
      <c r="K34" s="278">
        <f t="shared" si="23"/>
        <v>0</v>
      </c>
      <c r="L34" s="436">
        <f t="shared" si="24"/>
        <v>0</v>
      </c>
      <c r="M34" s="336" t="str">
        <f t="shared" ref="M34:M35" si="31">IFERROR(J34/D34,"-")</f>
        <v>-</v>
      </c>
      <c r="N34" s="346" t="str">
        <f t="shared" si="30"/>
        <v>-</v>
      </c>
      <c r="O34" s="507">
        <v>4.1712999999999996</v>
      </c>
      <c r="P34" s="402">
        <f t="shared" si="25"/>
        <v>0</v>
      </c>
      <c r="Q34" s="447">
        <f t="shared" si="26"/>
        <v>0</v>
      </c>
    </row>
    <row r="35" spans="1:17" ht="24.75" thickBot="1" x14ac:dyDescent="0.3">
      <c r="A35" s="248" t="s">
        <v>101</v>
      </c>
      <c r="B35" s="583"/>
      <c r="C35" s="275"/>
      <c r="D35" s="276"/>
      <c r="E35" s="436"/>
      <c r="F35" s="333">
        <f t="shared" si="27"/>
        <v>0</v>
      </c>
      <c r="G35" s="278"/>
      <c r="H35" s="278"/>
      <c r="I35" s="352" t="str">
        <f>IFERROR(F35/#REF!,"-")</f>
        <v>-</v>
      </c>
      <c r="J35" s="460">
        <f t="shared" si="28"/>
        <v>0</v>
      </c>
      <c r="K35" s="461">
        <f t="shared" si="23"/>
        <v>0</v>
      </c>
      <c r="L35" s="462">
        <f t="shared" si="24"/>
        <v>0</v>
      </c>
      <c r="M35" s="337" t="str">
        <f t="shared" si="31"/>
        <v>-</v>
      </c>
      <c r="N35" s="263" t="str">
        <f t="shared" si="30"/>
        <v>-</v>
      </c>
      <c r="O35" s="448"/>
      <c r="P35" s="404">
        <f t="shared" si="25"/>
        <v>0</v>
      </c>
      <c r="Q35" s="449">
        <f t="shared" si="26"/>
        <v>0</v>
      </c>
    </row>
    <row r="36" spans="1:17" ht="23.25" customHeight="1" thickBot="1" x14ac:dyDescent="0.3">
      <c r="A36" s="274" t="s">
        <v>101</v>
      </c>
      <c r="B36" s="1028" t="s">
        <v>21</v>
      </c>
      <c r="C36" s="964"/>
      <c r="D36" s="320">
        <v>0</v>
      </c>
      <c r="E36" s="285">
        <v>15000</v>
      </c>
      <c r="F36" s="320">
        <f>SUM(F29:F35)</f>
        <v>101250</v>
      </c>
      <c r="G36" s="321">
        <f t="shared" ref="G36:H36" si="32">SUM(G29:G35)</f>
        <v>100000</v>
      </c>
      <c r="H36" s="321">
        <f t="shared" si="32"/>
        <v>1250</v>
      </c>
      <c r="I36" s="345" t="str">
        <f>IFERROR(F36/#REF!,"-")</f>
        <v>-</v>
      </c>
      <c r="J36" s="513">
        <f t="shared" ref="J36" si="33">SUM(J29:J35)</f>
        <v>101250</v>
      </c>
      <c r="K36" s="519">
        <f>SUM(K29:K35)</f>
        <v>100000</v>
      </c>
      <c r="L36" s="519">
        <f>SUM(L29:L35)</f>
        <v>1250</v>
      </c>
      <c r="M36" s="339" t="str">
        <f>IFERROR(J36/D36,"-")</f>
        <v>-</v>
      </c>
      <c r="N36" s="345">
        <f t="shared" si="30"/>
        <v>1.2345679012345678E-2</v>
      </c>
      <c r="O36" s="391"/>
      <c r="P36" s="406">
        <f>SUM(P29:P35)</f>
        <v>221410.00000000003</v>
      </c>
      <c r="Q36" s="425">
        <f>SUM(Q29:Q35)</f>
        <v>221410.00000000003</v>
      </c>
    </row>
    <row r="37" spans="1:17" ht="23.25" customHeight="1" thickBot="1" x14ac:dyDescent="0.3">
      <c r="A37" s="274" t="s">
        <v>101</v>
      </c>
      <c r="B37" s="1029" t="s">
        <v>248</v>
      </c>
      <c r="C37" s="1030"/>
      <c r="D37" s="512">
        <f>+D33+D36</f>
        <v>0</v>
      </c>
      <c r="E37" s="525">
        <f>+E33+E36</f>
        <v>15000</v>
      </c>
      <c r="F37" s="512">
        <f>+F33+F36</f>
        <v>101250</v>
      </c>
      <c r="G37" s="514">
        <f>+G33+G36</f>
        <v>100000</v>
      </c>
      <c r="H37" s="514">
        <f>+H33+H36</f>
        <v>1250</v>
      </c>
      <c r="I37" s="515" t="str">
        <f>IFERROR(F37/#REF!,"-")</f>
        <v>-</v>
      </c>
      <c r="J37" s="512">
        <f>+J33+J36</f>
        <v>101250</v>
      </c>
      <c r="K37" s="514">
        <f>+K36</f>
        <v>100000</v>
      </c>
      <c r="L37" s="514">
        <f>+L36</f>
        <v>1250</v>
      </c>
      <c r="M37" s="516" t="str">
        <f t="shared" ref="M37" si="34">IFERROR(J37/D37,"-")</f>
        <v>-</v>
      </c>
      <c r="N37" s="515">
        <f t="shared" si="30"/>
        <v>1.2345679012345678E-2</v>
      </c>
      <c r="O37" s="517"/>
      <c r="P37" s="518">
        <f>+P36</f>
        <v>221410.00000000003</v>
      </c>
      <c r="Q37" s="518">
        <f>+Q36</f>
        <v>221410.00000000003</v>
      </c>
    </row>
    <row r="38" spans="1:17" ht="24" x14ac:dyDescent="0.35">
      <c r="A38" s="244" t="s">
        <v>101</v>
      </c>
      <c r="B38" s="1025" t="s">
        <v>250</v>
      </c>
      <c r="C38" s="542" t="s">
        <v>71</v>
      </c>
      <c r="D38" s="527"/>
      <c r="E38" s="459"/>
      <c r="F38" s="457">
        <f>+G38+H38</f>
        <v>0</v>
      </c>
      <c r="G38" s="458"/>
      <c r="H38" s="458"/>
      <c r="I38" s="531" t="str">
        <f>IFERROR(F38/#REF!,"-")</f>
        <v>-</v>
      </c>
      <c r="J38" s="457">
        <f>+K38+L38</f>
        <v>0</v>
      </c>
      <c r="K38" s="458">
        <f t="shared" ref="K38:K69" si="35">+G38</f>
        <v>0</v>
      </c>
      <c r="L38" s="459">
        <f t="shared" ref="L38:L69" si="36">+H38</f>
        <v>0</v>
      </c>
      <c r="M38" s="586" t="str">
        <f>IFERROR(J38/D38,"-")</f>
        <v>-</v>
      </c>
      <c r="N38" s="533" t="str">
        <f t="shared" si="30"/>
        <v>-</v>
      </c>
      <c r="O38" s="538">
        <v>32.946300000000001</v>
      </c>
      <c r="P38" s="534">
        <f t="shared" ref="P38:P69" si="37">+O38*G38</f>
        <v>0</v>
      </c>
      <c r="Q38" s="535">
        <f t="shared" ref="Q38:Q69" si="38">+O38*K38</f>
        <v>0</v>
      </c>
    </row>
    <row r="39" spans="1:17" ht="24" x14ac:dyDescent="0.35">
      <c r="A39" s="248" t="s">
        <v>101</v>
      </c>
      <c r="B39" s="1026"/>
      <c r="C39" s="543" t="s">
        <v>72</v>
      </c>
      <c r="D39" s="511"/>
      <c r="E39" s="436"/>
      <c r="F39" s="333">
        <f t="shared" ref="F39:F69" si="39">+G39+H39</f>
        <v>1540</v>
      </c>
      <c r="G39" s="278">
        <v>1500</v>
      </c>
      <c r="H39" s="278">
        <v>40</v>
      </c>
      <c r="I39" s="352" t="str">
        <f>IFERROR(F39/#REF!,"-")</f>
        <v>-</v>
      </c>
      <c r="J39" s="333">
        <f t="shared" ref="J39:J69" si="40">+K39+L39</f>
        <v>1540</v>
      </c>
      <c r="K39" s="278">
        <f t="shared" si="35"/>
        <v>1500</v>
      </c>
      <c r="L39" s="436">
        <f t="shared" si="36"/>
        <v>40</v>
      </c>
      <c r="M39" s="337" t="str">
        <f t="shared" ref="M39:M41" si="41">IFERROR(J39/D39,"-")</f>
        <v>-</v>
      </c>
      <c r="N39" s="265">
        <f t="shared" si="30"/>
        <v>2.5974025974025976E-2</v>
      </c>
      <c r="O39" s="508">
        <v>35.398400000000002</v>
      </c>
      <c r="P39" s="404">
        <f t="shared" si="37"/>
        <v>53097.600000000006</v>
      </c>
      <c r="Q39" s="449">
        <f t="shared" si="38"/>
        <v>53097.600000000006</v>
      </c>
    </row>
    <row r="40" spans="1:17" ht="24.75" thickBot="1" x14ac:dyDescent="0.4">
      <c r="A40" s="248" t="s">
        <v>101</v>
      </c>
      <c r="B40" s="1027"/>
      <c r="C40" s="543" t="s">
        <v>455</v>
      </c>
      <c r="D40" s="276"/>
      <c r="E40" s="436"/>
      <c r="F40" s="333">
        <f t="shared" si="39"/>
        <v>0</v>
      </c>
      <c r="G40" s="278"/>
      <c r="H40" s="278"/>
      <c r="I40" s="352" t="str">
        <f>IFERROR(F40/#REF!,"-")</f>
        <v>-</v>
      </c>
      <c r="J40" s="333">
        <f t="shared" si="40"/>
        <v>0</v>
      </c>
      <c r="K40" s="278">
        <f t="shared" si="35"/>
        <v>0</v>
      </c>
      <c r="L40" s="436">
        <f t="shared" si="36"/>
        <v>0</v>
      </c>
      <c r="M40" s="337" t="str">
        <f t="shared" si="41"/>
        <v>-</v>
      </c>
      <c r="N40" s="265" t="str">
        <f>IFERROR(L40/J40,"-")</f>
        <v>-</v>
      </c>
      <c r="O40" s="508">
        <v>35.398400000000002</v>
      </c>
      <c r="P40" s="404">
        <f t="shared" si="37"/>
        <v>0</v>
      </c>
      <c r="Q40" s="449">
        <f t="shared" si="38"/>
        <v>0</v>
      </c>
    </row>
    <row r="41" spans="1:17" ht="24" x14ac:dyDescent="0.35">
      <c r="A41" s="248" t="s">
        <v>101</v>
      </c>
      <c r="B41" s="1025" t="s">
        <v>251</v>
      </c>
      <c r="C41" s="545" t="s">
        <v>75</v>
      </c>
      <c r="D41" s="276"/>
      <c r="E41" s="528"/>
      <c r="F41" s="334">
        <f t="shared" si="39"/>
        <v>2443</v>
      </c>
      <c r="G41" s="278">
        <v>2263</v>
      </c>
      <c r="H41" s="278">
        <v>180</v>
      </c>
      <c r="I41" s="352" t="str">
        <f>IFERROR(F41/#REF!,"-")</f>
        <v>-</v>
      </c>
      <c r="J41" s="333">
        <f t="shared" si="40"/>
        <v>2443</v>
      </c>
      <c r="K41" s="278">
        <f t="shared" si="35"/>
        <v>2263</v>
      </c>
      <c r="L41" s="436">
        <f t="shared" si="36"/>
        <v>180</v>
      </c>
      <c r="M41" s="337" t="str">
        <f t="shared" si="41"/>
        <v>-</v>
      </c>
      <c r="N41" s="265">
        <f t="shared" ref="N41" si="42">IFERROR(L41/J41,"-")</f>
        <v>7.3679901760130992E-2</v>
      </c>
      <c r="O41" s="508">
        <v>55.4758</v>
      </c>
      <c r="P41" s="404">
        <f t="shared" si="37"/>
        <v>125541.73540000001</v>
      </c>
      <c r="Q41" s="449">
        <f t="shared" si="38"/>
        <v>125541.73540000001</v>
      </c>
    </row>
    <row r="42" spans="1:17" ht="24" x14ac:dyDescent="0.35">
      <c r="A42" s="248" t="s">
        <v>101</v>
      </c>
      <c r="B42" s="1026"/>
      <c r="C42" s="545" t="s">
        <v>72</v>
      </c>
      <c r="D42" s="276"/>
      <c r="E42" s="529"/>
      <c r="F42" s="334">
        <f t="shared" si="39"/>
        <v>0</v>
      </c>
      <c r="G42" s="278"/>
      <c r="H42" s="278"/>
      <c r="I42" s="352" t="str">
        <f>IFERROR(F42/#REF!,"-")</f>
        <v>-</v>
      </c>
      <c r="J42" s="333">
        <f t="shared" si="40"/>
        <v>0</v>
      </c>
      <c r="K42" s="278">
        <f t="shared" si="35"/>
        <v>0</v>
      </c>
      <c r="L42" s="436">
        <f t="shared" si="36"/>
        <v>0</v>
      </c>
      <c r="M42" s="682"/>
      <c r="N42" s="372"/>
      <c r="O42" s="540">
        <v>58.836300000000001</v>
      </c>
      <c r="P42" s="404">
        <f t="shared" si="37"/>
        <v>0</v>
      </c>
      <c r="Q42" s="449">
        <f t="shared" si="38"/>
        <v>0</v>
      </c>
    </row>
    <row r="43" spans="1:17" ht="24" x14ac:dyDescent="0.35">
      <c r="A43" s="248" t="s">
        <v>101</v>
      </c>
      <c r="B43" s="1026"/>
      <c r="C43" s="545" t="s">
        <v>347</v>
      </c>
      <c r="D43" s="276"/>
      <c r="E43" s="435"/>
      <c r="F43" s="334">
        <f t="shared" si="39"/>
        <v>0</v>
      </c>
      <c r="G43" s="278"/>
      <c r="H43" s="278"/>
      <c r="I43" s="352" t="str">
        <f>IFERROR(F43/#REF!,"-")</f>
        <v>-</v>
      </c>
      <c r="J43" s="333">
        <f t="shared" si="40"/>
        <v>0</v>
      </c>
      <c r="K43" s="278">
        <f t="shared" si="35"/>
        <v>0</v>
      </c>
      <c r="L43" s="436">
        <f t="shared" si="36"/>
        <v>0</v>
      </c>
      <c r="M43" s="337" t="str">
        <f t="shared" ref="M43" si="43">IFERROR(J43/D43,"-")</f>
        <v>-</v>
      </c>
      <c r="N43" s="263" t="str">
        <f t="shared" ref="N43" si="44">IFERROR(L43/J43,"-")</f>
        <v>-</v>
      </c>
      <c r="O43" s="710">
        <v>58.836300000000001</v>
      </c>
      <c r="P43" s="404">
        <f t="shared" si="37"/>
        <v>0</v>
      </c>
      <c r="Q43" s="449">
        <f t="shared" si="38"/>
        <v>0</v>
      </c>
    </row>
    <row r="44" spans="1:17" ht="24.75" thickBot="1" x14ac:dyDescent="0.4">
      <c r="A44" s="248"/>
      <c r="B44" s="1027"/>
      <c r="C44" s="545" t="s">
        <v>361</v>
      </c>
      <c r="D44" s="276"/>
      <c r="E44" s="435"/>
      <c r="F44" s="334">
        <f t="shared" si="39"/>
        <v>0</v>
      </c>
      <c r="G44" s="278"/>
      <c r="H44" s="278"/>
      <c r="I44" s="352"/>
      <c r="J44" s="333">
        <f t="shared" si="40"/>
        <v>0</v>
      </c>
      <c r="K44" s="278">
        <f t="shared" si="35"/>
        <v>0</v>
      </c>
      <c r="L44" s="436">
        <f t="shared" si="36"/>
        <v>0</v>
      </c>
      <c r="M44" s="337"/>
      <c r="N44" s="263" t="str">
        <f>IFERROR(L44/J44,"-")</f>
        <v>-</v>
      </c>
      <c r="O44" s="508">
        <v>55.4758</v>
      </c>
      <c r="P44" s="404">
        <f t="shared" si="37"/>
        <v>0</v>
      </c>
      <c r="Q44" s="449">
        <f t="shared" si="38"/>
        <v>0</v>
      </c>
    </row>
    <row r="45" spans="1:17" ht="24" x14ac:dyDescent="0.35">
      <c r="A45" s="248" t="s">
        <v>101</v>
      </c>
      <c r="B45" s="1025" t="s">
        <v>409</v>
      </c>
      <c r="C45" s="543" t="s">
        <v>77</v>
      </c>
      <c r="D45" s="276"/>
      <c r="E45" s="436"/>
      <c r="F45" s="333">
        <f t="shared" si="39"/>
        <v>0</v>
      </c>
      <c r="G45" s="278"/>
      <c r="H45" s="278"/>
      <c r="I45" s="352" t="str">
        <f>IFERROR(F45/#REF!,"-")</f>
        <v>-</v>
      </c>
      <c r="J45" s="333">
        <f t="shared" si="40"/>
        <v>0</v>
      </c>
      <c r="K45" s="686">
        <f t="shared" si="35"/>
        <v>0</v>
      </c>
      <c r="L45" s="687">
        <f t="shared" si="36"/>
        <v>0</v>
      </c>
      <c r="M45" s="337" t="str">
        <f t="shared" ref="M45:M72" si="45">IFERROR(J45/D45,"-")</f>
        <v>-</v>
      </c>
      <c r="N45" s="263" t="str">
        <f t="shared" ref="N45:N71" si="46">IFERROR(L45/J45,"-")</f>
        <v>-</v>
      </c>
      <c r="O45" s="508">
        <v>25.687200000000001</v>
      </c>
      <c r="P45" s="404">
        <f t="shared" si="37"/>
        <v>0</v>
      </c>
      <c r="Q45" s="449">
        <f t="shared" si="38"/>
        <v>0</v>
      </c>
    </row>
    <row r="46" spans="1:17" ht="24.75" thickBot="1" x14ac:dyDescent="0.4">
      <c r="A46" s="248" t="s">
        <v>101</v>
      </c>
      <c r="B46" s="1027"/>
      <c r="C46" s="543" t="s">
        <v>117</v>
      </c>
      <c r="D46" s="276"/>
      <c r="E46" s="436"/>
      <c r="F46" s="333">
        <f t="shared" si="39"/>
        <v>0</v>
      </c>
      <c r="G46" s="278"/>
      <c r="H46" s="278"/>
      <c r="I46" s="352" t="str">
        <f>IFERROR(F46/#REF!,"-")</f>
        <v>-</v>
      </c>
      <c r="J46" s="333">
        <f t="shared" si="40"/>
        <v>0</v>
      </c>
      <c r="K46" s="278">
        <f t="shared" si="35"/>
        <v>0</v>
      </c>
      <c r="L46" s="436">
        <f t="shared" si="36"/>
        <v>0</v>
      </c>
      <c r="M46" s="337" t="str">
        <f t="shared" si="45"/>
        <v>-</v>
      </c>
      <c r="N46" s="263" t="str">
        <f t="shared" si="46"/>
        <v>-</v>
      </c>
      <c r="O46" s="508">
        <v>25.033899999999999</v>
      </c>
      <c r="P46" s="404">
        <f t="shared" si="37"/>
        <v>0</v>
      </c>
      <c r="Q46" s="449">
        <f t="shared" si="38"/>
        <v>0</v>
      </c>
    </row>
    <row r="47" spans="1:17" ht="24" x14ac:dyDescent="0.35">
      <c r="A47" s="248"/>
      <c r="B47" s="1025" t="s">
        <v>410</v>
      </c>
      <c r="C47" s="543" t="s">
        <v>79</v>
      </c>
      <c r="D47" s="276"/>
      <c r="E47" s="436"/>
      <c r="F47" s="333">
        <f t="shared" si="39"/>
        <v>0</v>
      </c>
      <c r="G47" s="278"/>
      <c r="H47" s="278"/>
      <c r="I47" s="352" t="str">
        <f>IFERROR(F47/#REF!,"-")</f>
        <v>-</v>
      </c>
      <c r="J47" s="333">
        <f t="shared" si="40"/>
        <v>0</v>
      </c>
      <c r="K47" s="278">
        <f t="shared" si="35"/>
        <v>0</v>
      </c>
      <c r="L47" s="436">
        <f t="shared" si="36"/>
        <v>0</v>
      </c>
      <c r="M47" s="337" t="str">
        <f t="shared" si="45"/>
        <v>-</v>
      </c>
      <c r="N47" s="263" t="str">
        <f t="shared" si="46"/>
        <v>-</v>
      </c>
      <c r="O47" s="508">
        <v>41.992699999999999</v>
      </c>
      <c r="P47" s="404">
        <f t="shared" si="37"/>
        <v>0</v>
      </c>
      <c r="Q47" s="449">
        <f t="shared" si="38"/>
        <v>0</v>
      </c>
    </row>
    <row r="48" spans="1:17" ht="24" x14ac:dyDescent="0.35">
      <c r="A48" s="248"/>
      <c r="B48" s="1026"/>
      <c r="C48" s="543" t="s">
        <v>72</v>
      </c>
      <c r="D48" s="276"/>
      <c r="E48" s="436"/>
      <c r="F48" s="333">
        <f t="shared" si="39"/>
        <v>0</v>
      </c>
      <c r="G48" s="278"/>
      <c r="H48" s="278"/>
      <c r="I48" s="352" t="str">
        <f>IFERROR(F48/#REF!,"-")</f>
        <v>-</v>
      </c>
      <c r="J48" s="333">
        <f t="shared" si="40"/>
        <v>0</v>
      </c>
      <c r="K48" s="278">
        <f t="shared" si="35"/>
        <v>0</v>
      </c>
      <c r="L48" s="436">
        <f t="shared" si="36"/>
        <v>0</v>
      </c>
      <c r="M48" s="337" t="str">
        <f t="shared" si="45"/>
        <v>-</v>
      </c>
      <c r="N48" s="263" t="str">
        <f t="shared" si="46"/>
        <v>-</v>
      </c>
      <c r="O48" s="508">
        <v>42.283799999999999</v>
      </c>
      <c r="P48" s="404">
        <f t="shared" si="37"/>
        <v>0</v>
      </c>
      <c r="Q48" s="449">
        <f t="shared" si="38"/>
        <v>0</v>
      </c>
    </row>
    <row r="49" spans="1:17" ht="24" x14ac:dyDescent="0.35">
      <c r="A49" s="248"/>
      <c r="B49" s="1026"/>
      <c r="C49" s="543" t="s">
        <v>380</v>
      </c>
      <c r="D49" s="276"/>
      <c r="E49" s="436"/>
      <c r="F49" s="333">
        <f t="shared" si="39"/>
        <v>0</v>
      </c>
      <c r="G49" s="278"/>
      <c r="H49" s="278"/>
      <c r="I49" s="352" t="str">
        <f>IFERROR(F49/#REF!,"-")</f>
        <v>-</v>
      </c>
      <c r="J49" s="333">
        <f t="shared" si="40"/>
        <v>0</v>
      </c>
      <c r="K49" s="278">
        <f t="shared" si="35"/>
        <v>0</v>
      </c>
      <c r="L49" s="436">
        <f t="shared" si="36"/>
        <v>0</v>
      </c>
      <c r="M49" s="337" t="str">
        <f t="shared" si="45"/>
        <v>-</v>
      </c>
      <c r="N49" s="263" t="str">
        <f t="shared" si="46"/>
        <v>-</v>
      </c>
      <c r="O49" s="710">
        <v>41.992699999999999</v>
      </c>
      <c r="P49" s="404">
        <f t="shared" si="37"/>
        <v>0</v>
      </c>
      <c r="Q49" s="449">
        <f t="shared" si="38"/>
        <v>0</v>
      </c>
    </row>
    <row r="50" spans="1:17" ht="24.75" thickBot="1" x14ac:dyDescent="0.4">
      <c r="A50" s="248"/>
      <c r="B50" s="1027"/>
      <c r="C50" s="543" t="s">
        <v>381</v>
      </c>
      <c r="D50" s="276"/>
      <c r="E50" s="436"/>
      <c r="F50" s="333">
        <f t="shared" si="39"/>
        <v>0</v>
      </c>
      <c r="G50" s="278"/>
      <c r="H50" s="278"/>
      <c r="I50" s="352" t="str">
        <f>IFERROR(F50/#REF!,"-")</f>
        <v>-</v>
      </c>
      <c r="J50" s="333">
        <f t="shared" si="40"/>
        <v>0</v>
      </c>
      <c r="K50" s="278">
        <f t="shared" si="35"/>
        <v>0</v>
      </c>
      <c r="L50" s="436">
        <f t="shared" si="36"/>
        <v>0</v>
      </c>
      <c r="M50" s="337" t="str">
        <f t="shared" si="45"/>
        <v>-</v>
      </c>
      <c r="N50" s="263" t="str">
        <f t="shared" si="46"/>
        <v>-</v>
      </c>
      <c r="O50" s="710">
        <v>42.283799999999999</v>
      </c>
      <c r="P50" s="404">
        <f t="shared" si="37"/>
        <v>0</v>
      </c>
      <c r="Q50" s="449">
        <f t="shared" si="38"/>
        <v>0</v>
      </c>
    </row>
    <row r="51" spans="1:17" ht="24.75" thickBot="1" x14ac:dyDescent="0.4">
      <c r="A51" s="248"/>
      <c r="B51" s="717" t="s">
        <v>80</v>
      </c>
      <c r="C51" s="543" t="s">
        <v>81</v>
      </c>
      <c r="D51" s="276"/>
      <c r="E51" s="436"/>
      <c r="F51" s="333">
        <f t="shared" si="39"/>
        <v>0</v>
      </c>
      <c r="G51" s="278"/>
      <c r="H51" s="278"/>
      <c r="I51" s="352" t="str">
        <f>IFERROR(F51/#REF!,"-")</f>
        <v>-</v>
      </c>
      <c r="J51" s="333">
        <f t="shared" si="40"/>
        <v>0</v>
      </c>
      <c r="K51" s="278">
        <f t="shared" si="35"/>
        <v>0</v>
      </c>
      <c r="L51" s="436">
        <f t="shared" si="36"/>
        <v>0</v>
      </c>
      <c r="M51" s="337" t="str">
        <f t="shared" si="45"/>
        <v>-</v>
      </c>
      <c r="N51" s="263" t="str">
        <f t="shared" si="46"/>
        <v>-</v>
      </c>
      <c r="O51" s="508">
        <v>4.3535000000000004</v>
      </c>
      <c r="P51" s="404">
        <f t="shared" si="37"/>
        <v>0</v>
      </c>
      <c r="Q51" s="449">
        <f t="shared" si="38"/>
        <v>0</v>
      </c>
    </row>
    <row r="52" spans="1:17" ht="24" x14ac:dyDescent="0.35">
      <c r="A52" s="248"/>
      <c r="B52" s="1025" t="s">
        <v>253</v>
      </c>
      <c r="C52" s="543" t="s">
        <v>77</v>
      </c>
      <c r="D52" s="276"/>
      <c r="E52" s="436"/>
      <c r="F52" s="333">
        <f t="shared" si="39"/>
        <v>40790</v>
      </c>
      <c r="G52" s="278">
        <v>40700</v>
      </c>
      <c r="H52" s="278">
        <v>90</v>
      </c>
      <c r="I52" s="352" t="str">
        <f>IFERROR(F52/#REF!,"-")</f>
        <v>-</v>
      </c>
      <c r="J52" s="333">
        <f t="shared" si="40"/>
        <v>40790</v>
      </c>
      <c r="K52" s="278">
        <f t="shared" si="35"/>
        <v>40700</v>
      </c>
      <c r="L52" s="436">
        <f t="shared" si="36"/>
        <v>90</v>
      </c>
      <c r="M52" s="337" t="str">
        <f t="shared" si="45"/>
        <v>-</v>
      </c>
      <c r="N52" s="263">
        <f t="shared" si="46"/>
        <v>2.2064231429271882E-3</v>
      </c>
      <c r="O52" s="508">
        <v>4.6184000000000003</v>
      </c>
      <c r="P52" s="404">
        <f t="shared" si="37"/>
        <v>187968.88</v>
      </c>
      <c r="Q52" s="449">
        <f t="shared" si="38"/>
        <v>187968.88</v>
      </c>
    </row>
    <row r="53" spans="1:17" ht="24" x14ac:dyDescent="0.35">
      <c r="A53" s="248"/>
      <c r="B53" s="1026"/>
      <c r="C53" s="543" t="s">
        <v>340</v>
      </c>
      <c r="D53" s="276"/>
      <c r="E53" s="436"/>
      <c r="F53" s="333">
        <f t="shared" si="39"/>
        <v>0</v>
      </c>
      <c r="G53" s="278"/>
      <c r="H53" s="278"/>
      <c r="I53" s="352" t="str">
        <f>IFERROR(F53/#REF!,"-")</f>
        <v>-</v>
      </c>
      <c r="J53" s="333">
        <f t="shared" si="40"/>
        <v>0</v>
      </c>
      <c r="K53" s="278">
        <f t="shared" si="35"/>
        <v>0</v>
      </c>
      <c r="L53" s="436">
        <f t="shared" si="36"/>
        <v>0</v>
      </c>
      <c r="M53" s="337" t="str">
        <f t="shared" si="45"/>
        <v>-</v>
      </c>
      <c r="N53" s="263" t="str">
        <f t="shared" si="46"/>
        <v>-</v>
      </c>
      <c r="O53" s="508">
        <v>4.6184000000000003</v>
      </c>
      <c r="P53" s="404">
        <f t="shared" si="37"/>
        <v>0</v>
      </c>
      <c r="Q53" s="449">
        <f t="shared" si="38"/>
        <v>0</v>
      </c>
    </row>
    <row r="54" spans="1:17" ht="24" x14ac:dyDescent="0.35">
      <c r="A54" s="248"/>
      <c r="B54" s="1026"/>
      <c r="C54" s="543" t="s">
        <v>252</v>
      </c>
      <c r="D54" s="276"/>
      <c r="E54" s="436"/>
      <c r="F54" s="333">
        <f t="shared" si="39"/>
        <v>0</v>
      </c>
      <c r="G54" s="278"/>
      <c r="H54" s="278"/>
      <c r="I54" s="352" t="str">
        <f>IFERROR(F54/#REF!,"-")</f>
        <v>-</v>
      </c>
      <c r="J54" s="333">
        <f t="shared" si="40"/>
        <v>0</v>
      </c>
      <c r="K54" s="278">
        <f t="shared" si="35"/>
        <v>0</v>
      </c>
      <c r="L54" s="436">
        <f t="shared" si="36"/>
        <v>0</v>
      </c>
      <c r="M54" s="337" t="str">
        <f t="shared" si="45"/>
        <v>-</v>
      </c>
      <c r="N54" s="263" t="str">
        <f t="shared" si="46"/>
        <v>-</v>
      </c>
      <c r="O54" s="508">
        <v>4.6184000000000003</v>
      </c>
      <c r="P54" s="404">
        <f t="shared" si="37"/>
        <v>0</v>
      </c>
      <c r="Q54" s="449">
        <f t="shared" si="38"/>
        <v>0</v>
      </c>
    </row>
    <row r="55" spans="1:17" ht="24" x14ac:dyDescent="0.35">
      <c r="A55" s="248"/>
      <c r="B55" s="1026"/>
      <c r="C55" s="543" t="s">
        <v>350</v>
      </c>
      <c r="D55" s="276"/>
      <c r="E55" s="436"/>
      <c r="F55" s="333">
        <f t="shared" si="39"/>
        <v>0</v>
      </c>
      <c r="G55" s="278"/>
      <c r="H55" s="278"/>
      <c r="I55" s="352" t="str">
        <f>IFERROR(F55/#REF!,"-")</f>
        <v>-</v>
      </c>
      <c r="J55" s="333">
        <f t="shared" si="40"/>
        <v>0</v>
      </c>
      <c r="K55" s="686">
        <f t="shared" si="35"/>
        <v>0</v>
      </c>
      <c r="L55" s="687">
        <f t="shared" si="36"/>
        <v>0</v>
      </c>
      <c r="M55" s="337" t="str">
        <f t="shared" si="45"/>
        <v>-</v>
      </c>
      <c r="N55" s="263" t="str">
        <f t="shared" si="46"/>
        <v>-</v>
      </c>
      <c r="O55" s="508">
        <v>4.7636000000000003</v>
      </c>
      <c r="P55" s="404">
        <f t="shared" si="37"/>
        <v>0</v>
      </c>
      <c r="Q55" s="449">
        <f t="shared" si="38"/>
        <v>0</v>
      </c>
    </row>
    <row r="56" spans="1:17" ht="24.75" thickBot="1" x14ac:dyDescent="0.4">
      <c r="A56" s="248"/>
      <c r="B56" s="1027"/>
      <c r="C56" s="543" t="s">
        <v>346</v>
      </c>
      <c r="D56" s="276"/>
      <c r="E56" s="436"/>
      <c r="F56" s="333">
        <f t="shared" si="39"/>
        <v>0</v>
      </c>
      <c r="G56" s="278"/>
      <c r="H56" s="278"/>
      <c r="I56" s="352" t="str">
        <f>IFERROR(F56/#REF!,"-")</f>
        <v>-</v>
      </c>
      <c r="J56" s="333">
        <f t="shared" si="40"/>
        <v>0</v>
      </c>
      <c r="K56" s="278">
        <f t="shared" si="35"/>
        <v>0</v>
      </c>
      <c r="L56" s="436">
        <f t="shared" si="36"/>
        <v>0</v>
      </c>
      <c r="M56" s="337" t="str">
        <f t="shared" si="45"/>
        <v>-</v>
      </c>
      <c r="N56" s="263" t="str">
        <f t="shared" si="46"/>
        <v>-</v>
      </c>
      <c r="O56" s="508">
        <v>4.8738000000000001</v>
      </c>
      <c r="P56" s="404">
        <f t="shared" si="37"/>
        <v>0</v>
      </c>
      <c r="Q56" s="449">
        <f t="shared" si="38"/>
        <v>0</v>
      </c>
    </row>
    <row r="57" spans="1:17" ht="24.75" thickBot="1" x14ac:dyDescent="0.4">
      <c r="A57" s="248"/>
      <c r="B57" s="717" t="s">
        <v>254</v>
      </c>
      <c r="C57" s="543" t="s">
        <v>124</v>
      </c>
      <c r="D57" s="276"/>
      <c r="E57" s="436"/>
      <c r="F57" s="333">
        <f t="shared" si="39"/>
        <v>0</v>
      </c>
      <c r="G57" s="278"/>
      <c r="H57" s="278"/>
      <c r="I57" s="352" t="str">
        <f>IFERROR(F57/#REF!,"-")</f>
        <v>-</v>
      </c>
      <c r="J57" s="333">
        <f t="shared" si="40"/>
        <v>0</v>
      </c>
      <c r="K57" s="278">
        <f t="shared" si="35"/>
        <v>0</v>
      </c>
      <c r="L57" s="436">
        <f t="shared" si="36"/>
        <v>0</v>
      </c>
      <c r="M57" s="337" t="str">
        <f t="shared" si="45"/>
        <v>-</v>
      </c>
      <c r="N57" s="263" t="str">
        <f t="shared" si="46"/>
        <v>-</v>
      </c>
      <c r="O57" s="508">
        <v>4.8738000000000001</v>
      </c>
      <c r="P57" s="404">
        <f t="shared" si="37"/>
        <v>0</v>
      </c>
      <c r="Q57" s="449">
        <f t="shared" si="38"/>
        <v>0</v>
      </c>
    </row>
    <row r="58" spans="1:17" ht="24" x14ac:dyDescent="0.35">
      <c r="A58" s="248"/>
      <c r="B58" s="1025" t="s">
        <v>256</v>
      </c>
      <c r="C58" s="543" t="s">
        <v>77</v>
      </c>
      <c r="D58" s="276"/>
      <c r="E58" s="436"/>
      <c r="F58" s="333">
        <f t="shared" si="39"/>
        <v>29960</v>
      </c>
      <c r="G58" s="278">
        <v>29820</v>
      </c>
      <c r="H58" s="278">
        <v>140</v>
      </c>
      <c r="I58" s="352" t="str">
        <f>IFERROR(F58/#REF!,"-")</f>
        <v>-</v>
      </c>
      <c r="J58" s="333">
        <f t="shared" si="40"/>
        <v>29960</v>
      </c>
      <c r="K58" s="686">
        <f t="shared" si="35"/>
        <v>29820</v>
      </c>
      <c r="L58" s="687">
        <f t="shared" si="36"/>
        <v>140</v>
      </c>
      <c r="M58" s="337" t="str">
        <f t="shared" si="45"/>
        <v>-</v>
      </c>
      <c r="N58" s="263">
        <f t="shared" si="46"/>
        <v>4.6728971962616819E-3</v>
      </c>
      <c r="O58" s="508">
        <v>4.9344999999999999</v>
      </c>
      <c r="P58" s="404">
        <f t="shared" si="37"/>
        <v>147146.79</v>
      </c>
      <c r="Q58" s="449">
        <f t="shared" si="38"/>
        <v>147146.79</v>
      </c>
    </row>
    <row r="59" spans="1:17" ht="24" x14ac:dyDescent="0.35">
      <c r="A59" s="248"/>
      <c r="B59" s="1026"/>
      <c r="C59" s="543" t="s">
        <v>135</v>
      </c>
      <c r="D59" s="276"/>
      <c r="E59" s="436"/>
      <c r="F59" s="333">
        <f t="shared" si="39"/>
        <v>0</v>
      </c>
      <c r="G59" s="278"/>
      <c r="H59" s="278"/>
      <c r="I59" s="352" t="str">
        <f>IFERROR(F59/#REF!,"-")</f>
        <v>-</v>
      </c>
      <c r="J59" s="333">
        <f t="shared" si="40"/>
        <v>0</v>
      </c>
      <c r="K59" s="278">
        <f t="shared" si="35"/>
        <v>0</v>
      </c>
      <c r="L59" s="436">
        <f t="shared" si="36"/>
        <v>0</v>
      </c>
      <c r="M59" s="337" t="str">
        <f t="shared" si="45"/>
        <v>-</v>
      </c>
      <c r="N59" s="263" t="str">
        <f t="shared" si="46"/>
        <v>-</v>
      </c>
      <c r="O59" s="508">
        <v>4.9344999999999999</v>
      </c>
      <c r="P59" s="404">
        <f t="shared" si="37"/>
        <v>0</v>
      </c>
      <c r="Q59" s="449">
        <f t="shared" si="38"/>
        <v>0</v>
      </c>
    </row>
    <row r="60" spans="1:17" ht="24" x14ac:dyDescent="0.35">
      <c r="A60" s="248"/>
      <c r="B60" s="1026"/>
      <c r="C60" s="543" t="s">
        <v>129</v>
      </c>
      <c r="D60" s="276"/>
      <c r="E60" s="436"/>
      <c r="F60" s="333">
        <f t="shared" si="39"/>
        <v>0</v>
      </c>
      <c r="G60" s="278"/>
      <c r="H60" s="278"/>
      <c r="I60" s="352" t="str">
        <f>IFERROR(F60/#REF!,"-")</f>
        <v>-</v>
      </c>
      <c r="J60" s="333">
        <f t="shared" si="40"/>
        <v>0</v>
      </c>
      <c r="K60" s="278">
        <f t="shared" si="35"/>
        <v>0</v>
      </c>
      <c r="L60" s="436">
        <f t="shared" si="36"/>
        <v>0</v>
      </c>
      <c r="M60" s="337" t="str">
        <f t="shared" si="45"/>
        <v>-</v>
      </c>
      <c r="N60" s="263" t="str">
        <f t="shared" si="46"/>
        <v>-</v>
      </c>
      <c r="O60" s="508">
        <v>4.9344999999999999</v>
      </c>
      <c r="P60" s="404">
        <f t="shared" si="37"/>
        <v>0</v>
      </c>
      <c r="Q60" s="449">
        <f t="shared" si="38"/>
        <v>0</v>
      </c>
    </row>
    <row r="61" spans="1:17" ht="24.75" thickBot="1" x14ac:dyDescent="0.4">
      <c r="A61" s="248"/>
      <c r="B61" s="1027"/>
      <c r="C61" s="543" t="s">
        <v>255</v>
      </c>
      <c r="D61" s="276"/>
      <c r="E61" s="436"/>
      <c r="F61" s="333">
        <f t="shared" si="39"/>
        <v>0</v>
      </c>
      <c r="G61" s="278"/>
      <c r="H61" s="278"/>
      <c r="I61" s="352" t="str">
        <f>IFERROR(F61/#REF!,"-")</f>
        <v>-</v>
      </c>
      <c r="J61" s="333">
        <f t="shared" si="40"/>
        <v>0</v>
      </c>
      <c r="K61" s="278">
        <f t="shared" si="35"/>
        <v>0</v>
      </c>
      <c r="L61" s="436">
        <f t="shared" si="36"/>
        <v>0</v>
      </c>
      <c r="M61" s="337" t="str">
        <f t="shared" si="45"/>
        <v>-</v>
      </c>
      <c r="N61" s="263" t="str">
        <f t="shared" si="46"/>
        <v>-</v>
      </c>
      <c r="O61" s="508">
        <v>5.5069999999999997</v>
      </c>
      <c r="P61" s="404">
        <f t="shared" si="37"/>
        <v>0</v>
      </c>
      <c r="Q61" s="449">
        <f t="shared" si="38"/>
        <v>0</v>
      </c>
    </row>
    <row r="62" spans="1:17" ht="24" x14ac:dyDescent="0.35">
      <c r="A62" s="248"/>
      <c r="B62" s="1025" t="s">
        <v>261</v>
      </c>
      <c r="C62" s="543" t="s">
        <v>257</v>
      </c>
      <c r="D62" s="276"/>
      <c r="E62" s="436"/>
      <c r="F62" s="333">
        <f t="shared" si="39"/>
        <v>25960</v>
      </c>
      <c r="G62" s="278">
        <v>25900</v>
      </c>
      <c r="H62" s="278">
        <v>60</v>
      </c>
      <c r="I62" s="352" t="str">
        <f>IFERROR(F62/#REF!,"-")</f>
        <v>-</v>
      </c>
      <c r="J62" s="333">
        <f t="shared" si="40"/>
        <v>25960</v>
      </c>
      <c r="K62" s="278">
        <f t="shared" si="35"/>
        <v>25900</v>
      </c>
      <c r="L62" s="436">
        <f t="shared" si="36"/>
        <v>60</v>
      </c>
      <c r="M62" s="337" t="str">
        <f t="shared" si="45"/>
        <v>-</v>
      </c>
      <c r="N62" s="263">
        <f t="shared" si="46"/>
        <v>2.3112480739599386E-3</v>
      </c>
      <c r="O62" s="710">
        <v>5.5069999999999997</v>
      </c>
      <c r="P62" s="404">
        <f t="shared" si="37"/>
        <v>142631.29999999999</v>
      </c>
      <c r="Q62" s="449">
        <f t="shared" si="38"/>
        <v>142631.29999999999</v>
      </c>
    </row>
    <row r="63" spans="1:17" ht="24" x14ac:dyDescent="0.35">
      <c r="A63" s="248"/>
      <c r="B63" s="1026"/>
      <c r="C63" s="543" t="s">
        <v>258</v>
      </c>
      <c r="D63" s="276"/>
      <c r="E63" s="436"/>
      <c r="F63" s="333">
        <f t="shared" si="39"/>
        <v>0</v>
      </c>
      <c r="G63" s="278"/>
      <c r="H63" s="278"/>
      <c r="I63" s="352" t="str">
        <f>IFERROR(F63/#REF!,"-")</f>
        <v>-</v>
      </c>
      <c r="J63" s="333">
        <f t="shared" si="40"/>
        <v>0</v>
      </c>
      <c r="K63" s="278">
        <f t="shared" si="35"/>
        <v>0</v>
      </c>
      <c r="L63" s="436">
        <f t="shared" si="36"/>
        <v>0</v>
      </c>
      <c r="M63" s="337" t="str">
        <f t="shared" si="45"/>
        <v>-</v>
      </c>
      <c r="N63" s="263" t="str">
        <f t="shared" si="46"/>
        <v>-</v>
      </c>
      <c r="O63" s="508">
        <v>5.6550000000000002</v>
      </c>
      <c r="P63" s="404">
        <f t="shared" si="37"/>
        <v>0</v>
      </c>
      <c r="Q63" s="449">
        <f t="shared" si="38"/>
        <v>0</v>
      </c>
    </row>
    <row r="64" spans="1:17" ht="24" x14ac:dyDescent="0.35">
      <c r="A64" s="248"/>
      <c r="B64" s="1026"/>
      <c r="C64" s="543" t="s">
        <v>321</v>
      </c>
      <c r="D64" s="276"/>
      <c r="E64" s="436"/>
      <c r="F64" s="333">
        <f t="shared" si="39"/>
        <v>0</v>
      </c>
      <c r="G64" s="278"/>
      <c r="H64" s="278"/>
      <c r="I64" s="352" t="str">
        <f>IFERROR(F64/#REF!,"-")</f>
        <v>-</v>
      </c>
      <c r="J64" s="333">
        <f t="shared" si="40"/>
        <v>0</v>
      </c>
      <c r="K64" s="686">
        <f t="shared" si="35"/>
        <v>0</v>
      </c>
      <c r="L64" s="687">
        <f t="shared" si="36"/>
        <v>0</v>
      </c>
      <c r="M64" s="337" t="str">
        <f t="shared" si="45"/>
        <v>-</v>
      </c>
      <c r="N64" s="263" t="str">
        <f t="shared" si="46"/>
        <v>-</v>
      </c>
      <c r="O64" s="508">
        <v>5.6550000000000002</v>
      </c>
      <c r="P64" s="404">
        <f t="shared" si="37"/>
        <v>0</v>
      </c>
      <c r="Q64" s="449">
        <f t="shared" si="38"/>
        <v>0</v>
      </c>
    </row>
    <row r="65" spans="1:17" ht="24" x14ac:dyDescent="0.35">
      <c r="A65" s="248"/>
      <c r="B65" s="1026"/>
      <c r="C65" s="543" t="s">
        <v>259</v>
      </c>
      <c r="D65" s="276"/>
      <c r="E65" s="436"/>
      <c r="F65" s="333">
        <f t="shared" si="39"/>
        <v>0</v>
      </c>
      <c r="G65" s="278"/>
      <c r="H65" s="278"/>
      <c r="I65" s="352" t="str">
        <f>IFERROR(F65/#REF!,"-")</f>
        <v>-</v>
      </c>
      <c r="J65" s="333">
        <f t="shared" si="40"/>
        <v>0</v>
      </c>
      <c r="K65" s="278">
        <f t="shared" si="35"/>
        <v>0</v>
      </c>
      <c r="L65" s="436">
        <f t="shared" si="36"/>
        <v>0</v>
      </c>
      <c r="M65" s="337" t="str">
        <f t="shared" si="45"/>
        <v>-</v>
      </c>
      <c r="N65" s="263" t="str">
        <f t="shared" si="46"/>
        <v>-</v>
      </c>
      <c r="O65" s="508">
        <v>5.6550000000000002</v>
      </c>
      <c r="P65" s="404">
        <f t="shared" si="37"/>
        <v>0</v>
      </c>
      <c r="Q65" s="449">
        <f t="shared" si="38"/>
        <v>0</v>
      </c>
    </row>
    <row r="66" spans="1:17" ht="24" x14ac:dyDescent="0.35">
      <c r="A66" s="248" t="s">
        <v>101</v>
      </c>
      <c r="B66" s="1026"/>
      <c r="C66" s="543" t="s">
        <v>260</v>
      </c>
      <c r="D66" s="276"/>
      <c r="E66" s="436"/>
      <c r="F66" s="333">
        <f t="shared" si="39"/>
        <v>0</v>
      </c>
      <c r="G66" s="278"/>
      <c r="H66" s="278"/>
      <c r="I66" s="352" t="str">
        <f>IFERROR(F66/#REF!,"-")</f>
        <v>-</v>
      </c>
      <c r="J66" s="333">
        <f t="shared" si="40"/>
        <v>0</v>
      </c>
      <c r="K66" s="278">
        <f t="shared" si="35"/>
        <v>0</v>
      </c>
      <c r="L66" s="436">
        <f t="shared" si="36"/>
        <v>0</v>
      </c>
      <c r="M66" s="337" t="str">
        <f t="shared" si="45"/>
        <v>-</v>
      </c>
      <c r="N66" s="263" t="str">
        <f t="shared" si="46"/>
        <v>-</v>
      </c>
      <c r="O66" s="508">
        <v>3.2963</v>
      </c>
      <c r="P66" s="404">
        <f t="shared" si="37"/>
        <v>0</v>
      </c>
      <c r="Q66" s="449">
        <f t="shared" si="38"/>
        <v>0</v>
      </c>
    </row>
    <row r="67" spans="1:17" ht="24.75" thickBot="1" x14ac:dyDescent="0.4">
      <c r="A67" s="248" t="s">
        <v>101</v>
      </c>
      <c r="B67" s="1027"/>
      <c r="C67" s="543" t="s">
        <v>255</v>
      </c>
      <c r="D67" s="276"/>
      <c r="E67" s="436"/>
      <c r="F67" s="333">
        <f t="shared" si="39"/>
        <v>0</v>
      </c>
      <c r="G67" s="278"/>
      <c r="H67" s="278"/>
      <c r="I67" s="352" t="str">
        <f>IFERROR(F67/#REF!,"-")</f>
        <v>-</v>
      </c>
      <c r="J67" s="333">
        <f t="shared" si="40"/>
        <v>0</v>
      </c>
      <c r="K67" s="278">
        <f t="shared" si="35"/>
        <v>0</v>
      </c>
      <c r="L67" s="436">
        <f t="shared" si="36"/>
        <v>0</v>
      </c>
      <c r="M67" s="337" t="str">
        <f t="shared" si="45"/>
        <v>-</v>
      </c>
      <c r="N67" s="263" t="str">
        <f t="shared" si="46"/>
        <v>-</v>
      </c>
      <c r="O67" s="508">
        <v>3.2963</v>
      </c>
      <c r="P67" s="404">
        <f t="shared" si="37"/>
        <v>0</v>
      </c>
      <c r="Q67" s="449">
        <f t="shared" si="38"/>
        <v>0</v>
      </c>
    </row>
    <row r="68" spans="1:17" ht="24" x14ac:dyDescent="0.35">
      <c r="A68" s="248" t="s">
        <v>101</v>
      </c>
      <c r="B68" s="546"/>
      <c r="C68" s="544" t="s">
        <v>89</v>
      </c>
      <c r="D68" s="511"/>
      <c r="E68" s="436"/>
      <c r="F68" s="333">
        <f t="shared" si="39"/>
        <v>0</v>
      </c>
      <c r="G68" s="278"/>
      <c r="H68" s="278"/>
      <c r="I68" s="352" t="str">
        <f>IFERROR(F68/#REF!,"-")</f>
        <v>-</v>
      </c>
      <c r="J68" s="333">
        <f t="shared" si="40"/>
        <v>0</v>
      </c>
      <c r="K68" s="278">
        <f t="shared" si="35"/>
        <v>0</v>
      </c>
      <c r="L68" s="436">
        <f t="shared" si="36"/>
        <v>0</v>
      </c>
      <c r="M68" s="337" t="str">
        <f t="shared" si="45"/>
        <v>-</v>
      </c>
      <c r="N68" s="263" t="str">
        <f t="shared" si="46"/>
        <v>-</v>
      </c>
      <c r="O68" s="508">
        <v>2.3201000000000001</v>
      </c>
      <c r="P68" s="404">
        <f t="shared" si="37"/>
        <v>0</v>
      </c>
      <c r="Q68" s="449">
        <f t="shared" si="38"/>
        <v>0</v>
      </c>
    </row>
    <row r="69" spans="1:17" ht="24.75" thickBot="1" x14ac:dyDescent="0.3">
      <c r="A69" s="248" t="s">
        <v>101</v>
      </c>
      <c r="B69" s="524"/>
      <c r="C69" s="541"/>
      <c r="D69" s="530"/>
      <c r="E69" s="462"/>
      <c r="F69" s="460">
        <f t="shared" si="39"/>
        <v>0</v>
      </c>
      <c r="G69" s="461"/>
      <c r="H69" s="461"/>
      <c r="I69" s="532" t="str">
        <f>IFERROR(F69/#REF!,"-")</f>
        <v>-</v>
      </c>
      <c r="J69" s="460">
        <f t="shared" si="40"/>
        <v>0</v>
      </c>
      <c r="K69" s="461">
        <f t="shared" si="35"/>
        <v>0</v>
      </c>
      <c r="L69" s="462">
        <f t="shared" si="36"/>
        <v>0</v>
      </c>
      <c r="M69" s="683" t="str">
        <f t="shared" si="45"/>
        <v>-</v>
      </c>
      <c r="N69" s="264" t="str">
        <f t="shared" si="46"/>
        <v>-</v>
      </c>
      <c r="O69" s="539"/>
      <c r="P69" s="536">
        <f t="shared" si="37"/>
        <v>0</v>
      </c>
      <c r="Q69" s="537">
        <f t="shared" si="38"/>
        <v>0</v>
      </c>
    </row>
    <row r="70" spans="1:17" ht="23.25" customHeight="1" thickBot="1" x14ac:dyDescent="0.3">
      <c r="A70" s="274" t="s">
        <v>101</v>
      </c>
      <c r="B70" s="1028" t="s">
        <v>25</v>
      </c>
      <c r="C70" s="964"/>
      <c r="D70" s="513">
        <f>SUM(D43:D69)</f>
        <v>0</v>
      </c>
      <c r="E70" s="526">
        <v>100000</v>
      </c>
      <c r="F70" s="519">
        <f>SUM(F38:F69)</f>
        <v>100693</v>
      </c>
      <c r="G70" s="519">
        <f>SUM(G38:G69)</f>
        <v>100183</v>
      </c>
      <c r="H70" s="519">
        <f>SUM(H38:H69)</f>
        <v>510</v>
      </c>
      <c r="I70" s="520" t="str">
        <f>IFERROR(F70/#REF!,"-")</f>
        <v>-</v>
      </c>
      <c r="J70" s="513">
        <f>SUM(J38:J69)</f>
        <v>100693</v>
      </c>
      <c r="K70" s="513">
        <f t="shared" ref="K70:L70" si="47">SUM(K38:K69)</f>
        <v>100183</v>
      </c>
      <c r="L70" s="513">
        <f t="shared" si="47"/>
        <v>510</v>
      </c>
      <c r="M70" s="521" t="str">
        <f t="shared" si="45"/>
        <v>-</v>
      </c>
      <c r="N70" s="520">
        <f t="shared" si="46"/>
        <v>5.0649002413276E-3</v>
      </c>
      <c r="O70" s="522"/>
      <c r="P70" s="523">
        <f>SUM(P38:P69)</f>
        <v>656386.30539999995</v>
      </c>
      <c r="Q70" s="523">
        <f>SUM(Q38:Q69)</f>
        <v>656386.30539999995</v>
      </c>
    </row>
    <row r="71" spans="1:17" ht="23.25" customHeight="1" thickBot="1" x14ac:dyDescent="0.3">
      <c r="A71" s="318" t="s">
        <v>101</v>
      </c>
      <c r="B71" s="1029" t="s">
        <v>249</v>
      </c>
      <c r="C71" s="1030"/>
      <c r="D71" s="326">
        <f>+D42+D70</f>
        <v>0</v>
      </c>
      <c r="E71" s="327">
        <f>+E42+E70</f>
        <v>100000</v>
      </c>
      <c r="F71" s="326">
        <f>+F70</f>
        <v>100693</v>
      </c>
      <c r="G71" s="326">
        <f t="shared" ref="G71:H71" si="48">+G70</f>
        <v>100183</v>
      </c>
      <c r="H71" s="326">
        <f t="shared" si="48"/>
        <v>510</v>
      </c>
      <c r="I71" s="349" t="str">
        <f>IFERROR(F71/#REF!,"-")</f>
        <v>-</v>
      </c>
      <c r="J71" s="326">
        <f>+J70</f>
        <v>100693</v>
      </c>
      <c r="K71" s="326">
        <f t="shared" ref="K71:L71" si="49">+K70</f>
        <v>100183</v>
      </c>
      <c r="L71" s="326">
        <f t="shared" si="49"/>
        <v>510</v>
      </c>
      <c r="M71" s="341" t="str">
        <f t="shared" si="45"/>
        <v>-</v>
      </c>
      <c r="N71" s="349">
        <f t="shared" si="46"/>
        <v>5.0649002413276E-3</v>
      </c>
      <c r="O71" s="394"/>
      <c r="P71" s="410">
        <f>+P70</f>
        <v>656386.30539999995</v>
      </c>
      <c r="Q71" s="428">
        <f>Q70</f>
        <v>656386.30539999995</v>
      </c>
    </row>
    <row r="72" spans="1:17" ht="26.25" thickBot="1" x14ac:dyDescent="0.3">
      <c r="A72" s="319"/>
      <c r="B72" s="1031" t="s">
        <v>174</v>
      </c>
      <c r="C72" s="1032"/>
      <c r="D72" s="374">
        <f>+D71+D37+D28</f>
        <v>0</v>
      </c>
      <c r="E72" s="374">
        <f>+E71+E37+E28</f>
        <v>230000</v>
      </c>
      <c r="F72" s="374">
        <f>+F71+F37+F28</f>
        <v>355601</v>
      </c>
      <c r="G72" s="374">
        <f>+G71+G37+G28</f>
        <v>351733</v>
      </c>
      <c r="H72" s="374">
        <f>+H71+H37+H28</f>
        <v>3868</v>
      </c>
      <c r="I72" s="375" t="str">
        <f>IFERROR(F72/#REF!,"-")</f>
        <v>-</v>
      </c>
      <c r="J72" s="374">
        <f>+J71+J37+J28</f>
        <v>355601</v>
      </c>
      <c r="K72" s="374">
        <f>+K71+K37+K28</f>
        <v>351733</v>
      </c>
      <c r="L72" s="374">
        <f>+L71+L37+L28</f>
        <v>3868</v>
      </c>
      <c r="M72" s="375" t="str">
        <f t="shared" si="45"/>
        <v>-</v>
      </c>
      <c r="N72" s="375">
        <f>IFERROR(L72/J72,"-")</f>
        <v>1.0877359737458556E-2</v>
      </c>
      <c r="O72" s="401"/>
      <c r="P72" s="418">
        <f>+P71+P37+P28</f>
        <v>1652006.2154000001</v>
      </c>
      <c r="Q72" s="418">
        <f>+Q71+Q37+Q28</f>
        <v>1652006.2154000001</v>
      </c>
    </row>
    <row r="73" spans="1:17" ht="24.6" customHeight="1" thickBot="1" x14ac:dyDescent="0.3">
      <c r="A73" s="230"/>
      <c r="B73" s="230"/>
      <c r="C73" s="230"/>
      <c r="D73" s="232"/>
      <c r="E73" s="232"/>
      <c r="F73" s="232"/>
      <c r="G73" s="267"/>
      <c r="H73" s="267"/>
      <c r="I73" s="234"/>
      <c r="J73" s="232"/>
      <c r="K73" s="232"/>
      <c r="L73" s="232"/>
      <c r="M73" s="234"/>
      <c r="N73" s="234"/>
    </row>
    <row r="74" spans="1:17" ht="22.5" customHeight="1" x14ac:dyDescent="0.25">
      <c r="A74" s="1033" t="s">
        <v>1</v>
      </c>
      <c r="B74" s="1036" t="s">
        <v>2</v>
      </c>
      <c r="C74" s="1039" t="s">
        <v>396</v>
      </c>
      <c r="D74" s="987" t="s">
        <v>4</v>
      </c>
      <c r="E74" s="988"/>
      <c r="F74" s="988"/>
      <c r="G74" s="988"/>
      <c r="H74" s="988"/>
      <c r="I74" s="988"/>
      <c r="J74" s="988"/>
      <c r="K74" s="988"/>
      <c r="L74" s="988"/>
      <c r="M74" s="988"/>
      <c r="N74" s="989"/>
      <c r="O74" s="1011" t="s">
        <v>167</v>
      </c>
      <c r="P74" s="1012"/>
      <c r="Q74" s="1042"/>
    </row>
    <row r="75" spans="1:17" ht="22.5" customHeight="1" x14ac:dyDescent="0.25">
      <c r="A75" s="1034"/>
      <c r="B75" s="1037"/>
      <c r="C75" s="1040"/>
      <c r="D75" s="990" t="s">
        <v>7</v>
      </c>
      <c r="E75" s="992" t="s">
        <v>108</v>
      </c>
      <c r="F75" s="1043" t="s">
        <v>484</v>
      </c>
      <c r="G75" s="995"/>
      <c r="H75" s="995"/>
      <c r="I75" s="996"/>
      <c r="J75" s="997" t="s">
        <v>8</v>
      </c>
      <c r="K75" s="998"/>
      <c r="L75" s="999"/>
      <c r="M75" s="1000" t="s">
        <v>165</v>
      </c>
      <c r="N75" s="1002" t="s">
        <v>164</v>
      </c>
      <c r="O75" s="1044" t="s">
        <v>169</v>
      </c>
      <c r="P75" s="1045"/>
      <c r="Q75" s="1046"/>
    </row>
    <row r="76" spans="1:17" ht="45.75" thickBot="1" x14ac:dyDescent="0.3">
      <c r="A76" s="1035"/>
      <c r="B76" s="1038"/>
      <c r="C76" s="1041"/>
      <c r="D76" s="991"/>
      <c r="E76" s="993"/>
      <c r="F76" s="452" t="s">
        <v>13</v>
      </c>
      <c r="G76" s="453" t="s">
        <v>14</v>
      </c>
      <c r="H76" s="453" t="s">
        <v>15</v>
      </c>
      <c r="I76" s="454" t="s">
        <v>166</v>
      </c>
      <c r="J76" s="680" t="s">
        <v>13</v>
      </c>
      <c r="K76" s="678" t="s">
        <v>14</v>
      </c>
      <c r="L76" s="679" t="s">
        <v>15</v>
      </c>
      <c r="M76" s="1001"/>
      <c r="N76" s="1003"/>
      <c r="O76" s="444" t="s">
        <v>170</v>
      </c>
      <c r="P76" s="445" t="s">
        <v>11</v>
      </c>
      <c r="Q76" s="446" t="s">
        <v>12</v>
      </c>
    </row>
    <row r="77" spans="1:17" ht="24" x14ac:dyDescent="0.25">
      <c r="A77" s="268" t="s">
        <v>103</v>
      </c>
      <c r="B77" s="439"/>
      <c r="C77" s="269" t="s">
        <v>246</v>
      </c>
      <c r="D77" s="270"/>
      <c r="E77" s="271"/>
      <c r="F77" s="332">
        <f>+G77+H77</f>
        <v>0</v>
      </c>
      <c r="G77" s="272"/>
      <c r="H77" s="272"/>
      <c r="I77" s="351" t="str">
        <f>IFERROR(F77/#REF!,"-")</f>
        <v>-</v>
      </c>
      <c r="J77" s="457">
        <f>+K77+L77</f>
        <v>0</v>
      </c>
      <c r="K77" s="458">
        <f>+G77+K14</f>
        <v>0</v>
      </c>
      <c r="L77" s="458">
        <f>+H77+L14</f>
        <v>0</v>
      </c>
      <c r="M77" s="336" t="str">
        <f>IFERROR(J77/D77,"-")</f>
        <v>-</v>
      </c>
      <c r="N77" s="343" t="str">
        <f t="shared" ref="N77:N78" si="50">IFERROR(L77/J77,"-")</f>
        <v>-</v>
      </c>
      <c r="O77" s="507">
        <v>1.5669</v>
      </c>
      <c r="P77" s="402">
        <f>+O77*G77</f>
        <v>0</v>
      </c>
      <c r="Q77" s="447">
        <f>+O77*K77</f>
        <v>0</v>
      </c>
    </row>
    <row r="78" spans="1:17" ht="24" x14ac:dyDescent="0.25">
      <c r="A78" s="274" t="s">
        <v>103</v>
      </c>
      <c r="B78" s="438"/>
      <c r="C78" s="275" t="s">
        <v>245</v>
      </c>
      <c r="D78" s="276"/>
      <c r="E78" s="277"/>
      <c r="F78" s="333">
        <f t="shared" ref="F78:F81" si="51">+G78+H78</f>
        <v>115874</v>
      </c>
      <c r="G78" s="719">
        <v>115000</v>
      </c>
      <c r="H78" s="719">
        <v>874</v>
      </c>
      <c r="I78" s="352" t="str">
        <f>IFERROR(F78/#REF!,"-")</f>
        <v>-</v>
      </c>
      <c r="J78" s="333">
        <f t="shared" ref="J78:J81" si="52">+K78+L78</f>
        <v>115874</v>
      </c>
      <c r="K78" s="278">
        <f t="shared" ref="K78:L78" si="53">+G78+K15</f>
        <v>115000</v>
      </c>
      <c r="L78" s="436">
        <f t="shared" si="53"/>
        <v>874</v>
      </c>
      <c r="M78" s="337" t="str">
        <f t="shared" ref="M78:M81" si="54">IFERROR(J78/D78,"-")</f>
        <v>-</v>
      </c>
      <c r="N78" s="265">
        <f t="shared" si="50"/>
        <v>7.5426756649464074E-3</v>
      </c>
      <c r="O78" s="508">
        <v>2.3978999999999999</v>
      </c>
      <c r="P78" s="404">
        <f>+O78*G78</f>
        <v>275758.5</v>
      </c>
      <c r="Q78" s="449">
        <f>+O78*K78</f>
        <v>275758.5</v>
      </c>
    </row>
    <row r="79" spans="1:17" ht="24" x14ac:dyDescent="0.25">
      <c r="A79" s="274" t="s">
        <v>103</v>
      </c>
      <c r="B79" s="438"/>
      <c r="C79" s="275" t="s">
        <v>395</v>
      </c>
      <c r="D79" s="276"/>
      <c r="E79" s="277"/>
      <c r="F79" s="333">
        <f t="shared" si="51"/>
        <v>0</v>
      </c>
      <c r="G79" s="278"/>
      <c r="H79" s="719"/>
      <c r="I79" s="352" t="str">
        <f>IFERROR(F79/#REF!,"-")</f>
        <v>-</v>
      </c>
      <c r="J79" s="333">
        <f t="shared" si="52"/>
        <v>100594</v>
      </c>
      <c r="K79" s="278">
        <f t="shared" ref="K79:L79" si="55">+G79+K16</f>
        <v>99500</v>
      </c>
      <c r="L79" s="436">
        <f t="shared" si="55"/>
        <v>1094</v>
      </c>
      <c r="M79" s="337" t="str">
        <f t="shared" si="54"/>
        <v>-</v>
      </c>
      <c r="N79" s="716">
        <f>IFERROR(L79/J79,"-")</f>
        <v>1.0875400123267789E-2</v>
      </c>
      <c r="O79" s="718">
        <v>3.6777000000000002</v>
      </c>
      <c r="P79" s="404">
        <f t="shared" ref="P79:P81" si="56">+O79*G79</f>
        <v>0</v>
      </c>
      <c r="Q79" s="449">
        <f t="shared" ref="Q79:Q81" si="57">+O79*K79</f>
        <v>365931.15</v>
      </c>
    </row>
    <row r="80" spans="1:17" ht="24" x14ac:dyDescent="0.25">
      <c r="A80" s="274"/>
      <c r="B80" s="451"/>
      <c r="C80" s="275" t="s">
        <v>319</v>
      </c>
      <c r="D80" s="280"/>
      <c r="E80" s="281"/>
      <c r="F80" s="333">
        <f t="shared" si="51"/>
        <v>38548</v>
      </c>
      <c r="G80" s="282">
        <v>38000</v>
      </c>
      <c r="H80" s="282">
        <v>548</v>
      </c>
      <c r="I80" s="352" t="str">
        <f>IFERROR(F80/#REF!,"-")</f>
        <v>-</v>
      </c>
      <c r="J80" s="333">
        <f t="shared" si="52"/>
        <v>46578</v>
      </c>
      <c r="K80" s="278">
        <f t="shared" ref="K80:L80" si="58">+G80+K17</f>
        <v>45800</v>
      </c>
      <c r="L80" s="436">
        <f t="shared" si="58"/>
        <v>778</v>
      </c>
      <c r="M80" s="337" t="str">
        <f t="shared" si="54"/>
        <v>-</v>
      </c>
      <c r="N80" s="265">
        <f>IFERROR(L80/J80,"-")</f>
        <v>1.6703164584138435E-2</v>
      </c>
      <c r="O80" s="509">
        <v>12.284700000000001</v>
      </c>
      <c r="P80" s="404">
        <f t="shared" si="56"/>
        <v>466818.60000000003</v>
      </c>
      <c r="Q80" s="449">
        <f t="shared" si="57"/>
        <v>562639.26</v>
      </c>
    </row>
    <row r="81" spans="1:17" ht="24.75" thickBot="1" x14ac:dyDescent="0.3">
      <c r="A81" s="274" t="s">
        <v>103</v>
      </c>
      <c r="B81" s="451"/>
      <c r="C81" s="275" t="s">
        <v>365</v>
      </c>
      <c r="D81" s="280"/>
      <c r="E81" s="281"/>
      <c r="F81" s="334">
        <f t="shared" si="51"/>
        <v>0</v>
      </c>
      <c r="G81" s="282"/>
      <c r="H81" s="282"/>
      <c r="I81" s="353" t="str">
        <f>IFERROR(F81/#REF!,"-")</f>
        <v>-</v>
      </c>
      <c r="J81" s="460">
        <f t="shared" si="52"/>
        <v>45034</v>
      </c>
      <c r="K81" s="461">
        <f t="shared" ref="K81:L81" si="59">+G81+K18</f>
        <v>44250</v>
      </c>
      <c r="L81" s="462">
        <f t="shared" si="59"/>
        <v>784</v>
      </c>
      <c r="M81" s="338" t="str">
        <f t="shared" si="54"/>
        <v>-</v>
      </c>
      <c r="N81" s="344">
        <f t="shared" ref="N81:N93" si="60">IFERROR(L81/J81,"-")</f>
        <v>1.7409068703646134E-2</v>
      </c>
      <c r="O81" s="718">
        <v>7.0612000000000004</v>
      </c>
      <c r="P81" s="405">
        <f t="shared" si="56"/>
        <v>0</v>
      </c>
      <c r="Q81" s="450">
        <f t="shared" si="57"/>
        <v>312458.10000000003</v>
      </c>
    </row>
    <row r="82" spans="1:17" ht="23.25" customHeight="1" thickBot="1" x14ac:dyDescent="0.3">
      <c r="A82" s="274" t="s">
        <v>103</v>
      </c>
      <c r="B82" s="1028" t="s">
        <v>21</v>
      </c>
      <c r="C82" s="964"/>
      <c r="D82" s="320">
        <f>SUM(D77:D81)</f>
        <v>0</v>
      </c>
      <c r="E82" s="285">
        <v>15000</v>
      </c>
      <c r="F82" s="320">
        <f>SUM(F77:F81)</f>
        <v>154422</v>
      </c>
      <c r="G82" s="321">
        <f>SUM(G77:G81)</f>
        <v>153000</v>
      </c>
      <c r="H82" s="321">
        <f>SUM(H77:H81)</f>
        <v>1422</v>
      </c>
      <c r="I82" s="345" t="str">
        <f>IFERROR(F82/#REF!,"-")</f>
        <v>-</v>
      </c>
      <c r="J82" s="320">
        <f>SUM(J77:J81)</f>
        <v>308080</v>
      </c>
      <c r="K82" s="321">
        <f>SUM(K77:K81)</f>
        <v>304550</v>
      </c>
      <c r="L82" s="322">
        <f>SUM(L77:L81)</f>
        <v>3530</v>
      </c>
      <c r="M82" s="339" t="str">
        <f>IFERROR(J82/D82,"-")</f>
        <v>-</v>
      </c>
      <c r="N82" s="345">
        <f t="shared" si="60"/>
        <v>1.1458062840820566E-2</v>
      </c>
      <c r="O82" s="391"/>
      <c r="P82" s="406">
        <f>SUM(P77:P81)</f>
        <v>742577.10000000009</v>
      </c>
      <c r="Q82" s="425">
        <f>SUM(Q77:Q81)</f>
        <v>1516787.0100000002</v>
      </c>
    </row>
    <row r="83" spans="1:17" ht="24" x14ac:dyDescent="0.25">
      <c r="A83" s="274" t="s">
        <v>103</v>
      </c>
      <c r="B83" s="439"/>
      <c r="C83" s="269" t="s">
        <v>244</v>
      </c>
      <c r="D83" s="270"/>
      <c r="E83" s="271"/>
      <c r="F83" s="332">
        <f t="shared" ref="F83:F89" si="61">+G83+H83</f>
        <v>0</v>
      </c>
      <c r="G83" s="272"/>
      <c r="H83" s="272"/>
      <c r="I83" s="351" t="str">
        <f>IFERROR(F83/#REF!,"-")</f>
        <v>-</v>
      </c>
      <c r="J83" s="457">
        <f t="shared" ref="J83:J89" si="62">+K83+L83</f>
        <v>0</v>
      </c>
      <c r="K83" s="458">
        <f t="shared" ref="K83:L83" si="63">+G83+K20</f>
        <v>0</v>
      </c>
      <c r="L83" s="459">
        <f t="shared" si="63"/>
        <v>0</v>
      </c>
      <c r="M83" s="336" t="str">
        <f t="shared" ref="M83:M91" si="64">IFERROR(J83/D83,"-")</f>
        <v>-</v>
      </c>
      <c r="N83" s="346" t="str">
        <f t="shared" si="60"/>
        <v>-</v>
      </c>
      <c r="O83" s="507">
        <v>18.2316</v>
      </c>
      <c r="P83" s="402">
        <f t="shared" ref="P83:P89" si="65">+O83*G83</f>
        <v>0</v>
      </c>
      <c r="Q83" s="447">
        <f t="shared" ref="Q83:Q89" si="66">+O83*K83</f>
        <v>0</v>
      </c>
    </row>
    <row r="84" spans="1:17" ht="24" x14ac:dyDescent="0.25">
      <c r="A84" s="274" t="s">
        <v>103</v>
      </c>
      <c r="B84" s="438"/>
      <c r="C84" s="275" t="s">
        <v>89</v>
      </c>
      <c r="D84" s="276"/>
      <c r="E84" s="277"/>
      <c r="F84" s="333">
        <f t="shared" si="61"/>
        <v>0</v>
      </c>
      <c r="G84" s="278"/>
      <c r="H84" s="278"/>
      <c r="I84" s="352" t="str">
        <f>IFERROR(F84/#REF!,"-")</f>
        <v>-</v>
      </c>
      <c r="J84" s="333">
        <f t="shared" si="62"/>
        <v>0</v>
      </c>
      <c r="K84" s="278">
        <f t="shared" ref="K84:L84" si="67">+G84+K21</f>
        <v>0</v>
      </c>
      <c r="L84" s="436">
        <f t="shared" si="67"/>
        <v>0</v>
      </c>
      <c r="M84" s="337" t="str">
        <f t="shared" si="64"/>
        <v>-</v>
      </c>
      <c r="N84" s="263" t="str">
        <f t="shared" si="60"/>
        <v>-</v>
      </c>
      <c r="O84" s="508">
        <v>1.2824</v>
      </c>
      <c r="P84" s="404">
        <f t="shared" si="65"/>
        <v>0</v>
      </c>
      <c r="Q84" s="449">
        <f t="shared" si="66"/>
        <v>0</v>
      </c>
    </row>
    <row r="85" spans="1:17" ht="24" x14ac:dyDescent="0.25">
      <c r="A85" s="274" t="s">
        <v>103</v>
      </c>
      <c r="B85" s="438"/>
      <c r="C85" s="275" t="s">
        <v>300</v>
      </c>
      <c r="D85" s="276"/>
      <c r="E85" s="277"/>
      <c r="F85" s="333">
        <f t="shared" si="61"/>
        <v>0</v>
      </c>
      <c r="G85" s="278"/>
      <c r="H85" s="278"/>
      <c r="I85" s="352" t="str">
        <f>IFERROR(F85/#REF!,"-")</f>
        <v>-</v>
      </c>
      <c r="J85" s="333">
        <f t="shared" si="62"/>
        <v>0</v>
      </c>
      <c r="K85" s="278">
        <f t="shared" ref="K85:L85" si="68">+G85+K22</f>
        <v>0</v>
      </c>
      <c r="L85" s="436">
        <f t="shared" si="68"/>
        <v>0</v>
      </c>
      <c r="M85" s="337" t="str">
        <f t="shared" si="64"/>
        <v>-</v>
      </c>
      <c r="N85" s="263" t="str">
        <f t="shared" si="60"/>
        <v>-</v>
      </c>
      <c r="O85" s="710">
        <v>5.7342000000000004</v>
      </c>
      <c r="P85" s="404">
        <f t="shared" si="65"/>
        <v>0</v>
      </c>
      <c r="Q85" s="449">
        <f t="shared" si="66"/>
        <v>0</v>
      </c>
    </row>
    <row r="86" spans="1:17" ht="24" x14ac:dyDescent="0.25">
      <c r="A86" s="274" t="s">
        <v>103</v>
      </c>
      <c r="B86" s="438"/>
      <c r="C86" s="275" t="s">
        <v>314</v>
      </c>
      <c r="D86" s="276"/>
      <c r="E86" s="277"/>
      <c r="F86" s="333">
        <f t="shared" si="61"/>
        <v>0</v>
      </c>
      <c r="G86" s="278"/>
      <c r="H86" s="278"/>
      <c r="I86" s="352" t="str">
        <f>IFERROR(F86/#REF!,"-")</f>
        <v>-</v>
      </c>
      <c r="J86" s="333">
        <f t="shared" si="62"/>
        <v>0</v>
      </c>
      <c r="K86" s="278">
        <f t="shared" ref="K86:L86" si="69">+G86+K23</f>
        <v>0</v>
      </c>
      <c r="L86" s="436">
        <f t="shared" si="69"/>
        <v>0</v>
      </c>
      <c r="M86" s="337" t="str">
        <f t="shared" si="64"/>
        <v>-</v>
      </c>
      <c r="N86" s="263" t="str">
        <f t="shared" si="60"/>
        <v>-</v>
      </c>
      <c r="O86" s="508"/>
      <c r="P86" s="404">
        <f t="shared" si="65"/>
        <v>0</v>
      </c>
      <c r="Q86" s="449">
        <f t="shared" si="66"/>
        <v>0</v>
      </c>
    </row>
    <row r="87" spans="1:17" ht="24" x14ac:dyDescent="0.25">
      <c r="A87" s="274" t="s">
        <v>103</v>
      </c>
      <c r="B87" s="438"/>
      <c r="C87" s="275" t="s">
        <v>320</v>
      </c>
      <c r="D87" s="276"/>
      <c r="E87" s="277"/>
      <c r="F87" s="333">
        <f t="shared" si="61"/>
        <v>0</v>
      </c>
      <c r="G87" s="278"/>
      <c r="H87" s="278"/>
      <c r="I87" s="352" t="str">
        <f>IFERROR(F87/#REF!,"-")</f>
        <v>-</v>
      </c>
      <c r="J87" s="333">
        <f t="shared" si="62"/>
        <v>0</v>
      </c>
      <c r="K87" s="278">
        <f t="shared" ref="K87:L87" si="70">+G87+K24</f>
        <v>0</v>
      </c>
      <c r="L87" s="436">
        <f t="shared" si="70"/>
        <v>0</v>
      </c>
      <c r="M87" s="337" t="str">
        <f t="shared" si="64"/>
        <v>-</v>
      </c>
      <c r="N87" s="263" t="str">
        <f t="shared" si="60"/>
        <v>-</v>
      </c>
      <c r="O87" s="508">
        <v>12.029500000000001</v>
      </c>
      <c r="P87" s="404">
        <f t="shared" si="65"/>
        <v>0</v>
      </c>
      <c r="Q87" s="449">
        <f t="shared" si="66"/>
        <v>0</v>
      </c>
    </row>
    <row r="88" spans="1:17" ht="24" x14ac:dyDescent="0.25">
      <c r="A88" s="274" t="s">
        <v>103</v>
      </c>
      <c r="B88" s="438"/>
      <c r="C88" s="275"/>
      <c r="D88" s="276"/>
      <c r="E88" s="277"/>
      <c r="F88" s="333">
        <f t="shared" si="61"/>
        <v>0</v>
      </c>
      <c r="G88" s="278"/>
      <c r="H88" s="278"/>
      <c r="I88" s="352" t="str">
        <f>IFERROR(F88/#REF!,"-")</f>
        <v>-</v>
      </c>
      <c r="J88" s="333">
        <f t="shared" si="62"/>
        <v>0</v>
      </c>
      <c r="K88" s="278">
        <f t="shared" ref="K88:L88" si="71">+G88+K25</f>
        <v>0</v>
      </c>
      <c r="L88" s="436">
        <f t="shared" si="71"/>
        <v>0</v>
      </c>
      <c r="M88" s="337" t="str">
        <f t="shared" si="64"/>
        <v>-</v>
      </c>
      <c r="N88" s="263" t="str">
        <f t="shared" si="60"/>
        <v>-</v>
      </c>
      <c r="O88" s="508"/>
      <c r="P88" s="404">
        <f t="shared" si="65"/>
        <v>0</v>
      </c>
      <c r="Q88" s="449">
        <f t="shared" si="66"/>
        <v>0</v>
      </c>
    </row>
    <row r="89" spans="1:17" ht="24.75" thickBot="1" x14ac:dyDescent="0.3">
      <c r="A89" s="274" t="s">
        <v>103</v>
      </c>
      <c r="B89" s="451"/>
      <c r="C89" s="279"/>
      <c r="D89" s="280">
        <v>0</v>
      </c>
      <c r="E89" s="281"/>
      <c r="F89" s="334">
        <f t="shared" si="61"/>
        <v>0</v>
      </c>
      <c r="G89" s="282"/>
      <c r="H89" s="282"/>
      <c r="I89" s="353" t="str">
        <f>IFERROR(F89/#REF!,"-")</f>
        <v>-</v>
      </c>
      <c r="J89" s="460">
        <f t="shared" si="62"/>
        <v>0</v>
      </c>
      <c r="K89" s="461">
        <f t="shared" ref="K89:L89" si="72">+G89+K26</f>
        <v>0</v>
      </c>
      <c r="L89" s="462">
        <f t="shared" si="72"/>
        <v>0</v>
      </c>
      <c r="M89" s="338" t="str">
        <f t="shared" si="64"/>
        <v>-</v>
      </c>
      <c r="N89" s="347" t="str">
        <f t="shared" si="60"/>
        <v>-</v>
      </c>
      <c r="O89" s="509"/>
      <c r="P89" s="405">
        <f t="shared" si="65"/>
        <v>0</v>
      </c>
      <c r="Q89" s="450">
        <f t="shared" si="66"/>
        <v>0</v>
      </c>
    </row>
    <row r="90" spans="1:17" ht="23.25" customHeight="1" thickBot="1" x14ac:dyDescent="0.3">
      <c r="A90" s="274" t="s">
        <v>103</v>
      </c>
      <c r="B90" s="1028" t="s">
        <v>25</v>
      </c>
      <c r="C90" s="964"/>
      <c r="D90" s="320">
        <f t="shared" ref="D90" si="73">SUM(D83:D89)</f>
        <v>0</v>
      </c>
      <c r="E90" s="285">
        <v>100000</v>
      </c>
      <c r="F90" s="320">
        <f>SUM(F83:F89)</f>
        <v>0</v>
      </c>
      <c r="G90" s="321">
        <f t="shared" ref="G90:H90" si="74">SUM(G83:G89)</f>
        <v>0</v>
      </c>
      <c r="H90" s="321">
        <f t="shared" si="74"/>
        <v>0</v>
      </c>
      <c r="I90" s="345" t="str">
        <f>IFERROR(F90/#REF!,"-")</f>
        <v>-</v>
      </c>
      <c r="J90" s="320">
        <f t="shared" ref="J90:L90" si="75">SUM(J83:J89)</f>
        <v>0</v>
      </c>
      <c r="K90" s="321">
        <f t="shared" si="75"/>
        <v>0</v>
      </c>
      <c r="L90" s="322">
        <f t="shared" si="75"/>
        <v>0</v>
      </c>
      <c r="M90" s="339" t="str">
        <f t="shared" si="64"/>
        <v>-</v>
      </c>
      <c r="N90" s="345" t="str">
        <f t="shared" si="60"/>
        <v>-</v>
      </c>
      <c r="O90" s="391"/>
      <c r="P90" s="406">
        <f t="shared" ref="P90:Q90" si="76">SUM(P83:P89)</f>
        <v>0</v>
      </c>
      <c r="Q90" s="425">
        <f t="shared" si="76"/>
        <v>0</v>
      </c>
    </row>
    <row r="91" spans="1:17" ht="23.25" customHeight="1" thickBot="1" x14ac:dyDescent="0.3">
      <c r="A91" s="274" t="s">
        <v>103</v>
      </c>
      <c r="B91" s="1029" t="s">
        <v>172</v>
      </c>
      <c r="C91" s="1030"/>
      <c r="D91" s="326">
        <f>+D82+D90</f>
        <v>0</v>
      </c>
      <c r="E91" s="327">
        <f t="shared" ref="E91:H91" si="77">+E82+E90</f>
        <v>115000</v>
      </c>
      <c r="F91" s="326">
        <f t="shared" si="77"/>
        <v>154422</v>
      </c>
      <c r="G91" s="324">
        <f t="shared" si="77"/>
        <v>153000</v>
      </c>
      <c r="H91" s="324">
        <f t="shared" si="77"/>
        <v>1422</v>
      </c>
      <c r="I91" s="349" t="str">
        <f>IFERROR(F91/#REF!,"-")</f>
        <v>-</v>
      </c>
      <c r="J91" s="326">
        <f t="shared" ref="J91:L91" si="78">+J82+J90</f>
        <v>308080</v>
      </c>
      <c r="K91" s="324">
        <f t="shared" si="78"/>
        <v>304550</v>
      </c>
      <c r="L91" s="325">
        <f t="shared" si="78"/>
        <v>3530</v>
      </c>
      <c r="M91" s="341" t="str">
        <f t="shared" si="64"/>
        <v>-</v>
      </c>
      <c r="N91" s="349">
        <f t="shared" si="60"/>
        <v>1.1458062840820566E-2</v>
      </c>
      <c r="O91" s="394"/>
      <c r="P91" s="410">
        <f t="shared" ref="P91:Q91" si="79">+P82+P90</f>
        <v>742577.10000000009</v>
      </c>
      <c r="Q91" s="428">
        <f t="shared" si="79"/>
        <v>1516787.0100000002</v>
      </c>
    </row>
    <row r="92" spans="1:17" ht="24" x14ac:dyDescent="0.25">
      <c r="A92" s="244" t="s">
        <v>101</v>
      </c>
      <c r="B92" s="581"/>
      <c r="C92" s="582" t="s">
        <v>283</v>
      </c>
      <c r="D92" s="527"/>
      <c r="E92" s="459"/>
      <c r="F92" s="457">
        <f>+G92+H92</f>
        <v>0</v>
      </c>
      <c r="G92" s="458"/>
      <c r="H92" s="458"/>
      <c r="I92" s="531" t="str">
        <f>IFERROR(F92/#REF!,"-")</f>
        <v>-</v>
      </c>
      <c r="J92" s="457">
        <f>+K92+L92</f>
        <v>0</v>
      </c>
      <c r="K92" s="458">
        <f t="shared" ref="K92:L92" si="80">+G92+K29</f>
        <v>0</v>
      </c>
      <c r="L92" s="459">
        <f t="shared" si="80"/>
        <v>0</v>
      </c>
      <c r="M92" s="586" t="str">
        <f>IFERROR(J92/D92,"-")</f>
        <v>-</v>
      </c>
      <c r="N92" s="533" t="str">
        <f t="shared" si="60"/>
        <v>-</v>
      </c>
      <c r="O92" s="628">
        <v>4.8285999999999998</v>
      </c>
      <c r="P92" s="534">
        <f t="shared" ref="P92:P98" si="81">+O92*G92</f>
        <v>0</v>
      </c>
      <c r="Q92" s="535">
        <f t="shared" ref="Q92:Q98" si="82">+O92*K92</f>
        <v>0</v>
      </c>
    </row>
    <row r="93" spans="1:17" ht="24" x14ac:dyDescent="0.25">
      <c r="A93" s="248" t="s">
        <v>101</v>
      </c>
      <c r="B93" s="583"/>
      <c r="C93" s="275" t="s">
        <v>284</v>
      </c>
      <c r="D93" s="276"/>
      <c r="E93" s="436"/>
      <c r="F93" s="333">
        <f t="shared" ref="F93:F98" si="83">+G93+H93</f>
        <v>0</v>
      </c>
      <c r="G93" s="278"/>
      <c r="H93" s="278"/>
      <c r="I93" s="352" t="str">
        <f>IFERROR(F93/#REF!,"-")</f>
        <v>-</v>
      </c>
      <c r="J93" s="333">
        <f t="shared" ref="J93:J98" si="84">+K93+L93</f>
        <v>0</v>
      </c>
      <c r="K93" s="278">
        <f t="shared" ref="K93:L93" si="85">+G93+K30</f>
        <v>0</v>
      </c>
      <c r="L93" s="436">
        <f t="shared" si="85"/>
        <v>0</v>
      </c>
      <c r="M93" s="337" t="str">
        <f t="shared" ref="M93:M95" si="86">IFERROR(J93/D93,"-")</f>
        <v>-</v>
      </c>
      <c r="N93" s="265" t="str">
        <f t="shared" si="60"/>
        <v>-</v>
      </c>
      <c r="O93" s="629">
        <v>1.4086000000000001</v>
      </c>
      <c r="P93" s="404">
        <f t="shared" si="81"/>
        <v>0</v>
      </c>
      <c r="Q93" s="449">
        <f t="shared" si="82"/>
        <v>0</v>
      </c>
    </row>
    <row r="94" spans="1:17" ht="24" x14ac:dyDescent="0.25">
      <c r="A94" s="248" t="s">
        <v>101</v>
      </c>
      <c r="B94" s="583"/>
      <c r="C94" s="275" t="s">
        <v>315</v>
      </c>
      <c r="D94" s="276"/>
      <c r="E94" s="436"/>
      <c r="F94" s="333">
        <f t="shared" si="83"/>
        <v>0</v>
      </c>
      <c r="G94" s="278"/>
      <c r="H94" s="278"/>
      <c r="I94" s="352" t="str">
        <f>IFERROR(F94/#REF!,"-")</f>
        <v>-</v>
      </c>
      <c r="J94" s="333">
        <f t="shared" si="84"/>
        <v>0</v>
      </c>
      <c r="K94" s="278">
        <f t="shared" ref="K94:L94" si="87">+G94+K31</f>
        <v>0</v>
      </c>
      <c r="L94" s="436">
        <f t="shared" si="87"/>
        <v>0</v>
      </c>
      <c r="M94" s="337" t="str">
        <f t="shared" si="86"/>
        <v>-</v>
      </c>
      <c r="N94" s="265" t="str">
        <f>IFERROR(L94/J94,"-")</f>
        <v>-</v>
      </c>
      <c r="O94" s="629">
        <v>2.2141000000000002</v>
      </c>
      <c r="P94" s="404">
        <f t="shared" si="81"/>
        <v>0</v>
      </c>
      <c r="Q94" s="449">
        <f t="shared" si="82"/>
        <v>0</v>
      </c>
    </row>
    <row r="95" spans="1:17" ht="24" x14ac:dyDescent="0.25">
      <c r="A95" s="248" t="s">
        <v>101</v>
      </c>
      <c r="B95" s="584"/>
      <c r="C95" s="275" t="s">
        <v>447</v>
      </c>
      <c r="D95" s="280"/>
      <c r="E95" s="528"/>
      <c r="F95" s="334">
        <f t="shared" si="83"/>
        <v>101288</v>
      </c>
      <c r="G95" s="282">
        <v>100000</v>
      </c>
      <c r="H95" s="282">
        <v>1288</v>
      </c>
      <c r="I95" s="353" t="str">
        <f>IFERROR(F95/#REF!,"-")</f>
        <v>-</v>
      </c>
      <c r="J95" s="333">
        <f t="shared" si="84"/>
        <v>202538</v>
      </c>
      <c r="K95" s="278">
        <f t="shared" ref="K95:L95" si="88">+G95+K32</f>
        <v>200000</v>
      </c>
      <c r="L95" s="436">
        <f t="shared" si="88"/>
        <v>2538</v>
      </c>
      <c r="M95" s="338" t="str">
        <f t="shared" si="86"/>
        <v>-</v>
      </c>
      <c r="N95" s="344">
        <f t="shared" ref="N95:N102" si="89">IFERROR(L95/J95,"-")</f>
        <v>1.2530981840444756E-2</v>
      </c>
      <c r="O95" s="629">
        <v>2.2141000000000002</v>
      </c>
      <c r="P95" s="405">
        <f t="shared" si="81"/>
        <v>221410.00000000003</v>
      </c>
      <c r="Q95" s="450">
        <f t="shared" si="82"/>
        <v>442820.00000000006</v>
      </c>
    </row>
    <row r="96" spans="1:17" ht="24" x14ac:dyDescent="0.25">
      <c r="A96" s="248" t="s">
        <v>101</v>
      </c>
      <c r="B96" s="440"/>
      <c r="C96" s="627" t="s">
        <v>353</v>
      </c>
      <c r="D96" s="510"/>
      <c r="E96" s="529"/>
      <c r="F96" s="333">
        <f t="shared" si="83"/>
        <v>0</v>
      </c>
      <c r="G96" s="547"/>
      <c r="H96" s="547"/>
      <c r="I96" s="352" t="str">
        <f>IFERROR(F96/#REF!,"-")</f>
        <v>-</v>
      </c>
      <c r="J96" s="333">
        <f t="shared" si="84"/>
        <v>0</v>
      </c>
      <c r="K96" s="278">
        <f t="shared" ref="K96:L96" si="90">+G96+K33</f>
        <v>0</v>
      </c>
      <c r="L96" s="436">
        <f t="shared" si="90"/>
        <v>0</v>
      </c>
      <c r="M96" s="682"/>
      <c r="N96" s="265" t="str">
        <f t="shared" si="89"/>
        <v>-</v>
      </c>
      <c r="O96" s="540">
        <v>4.8285999999999998</v>
      </c>
      <c r="P96" s="404">
        <f t="shared" si="81"/>
        <v>0</v>
      </c>
      <c r="Q96" s="449">
        <f t="shared" si="82"/>
        <v>0</v>
      </c>
    </row>
    <row r="97" spans="1:17" ht="24" x14ac:dyDescent="0.25">
      <c r="A97" s="248" t="s">
        <v>101</v>
      </c>
      <c r="B97" s="585"/>
      <c r="C97" s="627" t="s">
        <v>349</v>
      </c>
      <c r="D97" s="270"/>
      <c r="E97" s="435"/>
      <c r="F97" s="332">
        <f t="shared" si="83"/>
        <v>0</v>
      </c>
      <c r="G97" s="272"/>
      <c r="H97" s="272"/>
      <c r="I97" s="351" t="str">
        <f>IFERROR(F97/#REF!,"-")</f>
        <v>-</v>
      </c>
      <c r="J97" s="333">
        <f t="shared" si="84"/>
        <v>0</v>
      </c>
      <c r="K97" s="278">
        <f t="shared" ref="K97:L97" si="91">+G97+K34</f>
        <v>0</v>
      </c>
      <c r="L97" s="436">
        <f t="shared" si="91"/>
        <v>0</v>
      </c>
      <c r="M97" s="336" t="str">
        <f t="shared" ref="M97:M98" si="92">IFERROR(J97/D97,"-")</f>
        <v>-</v>
      </c>
      <c r="N97" s="346" t="str">
        <f t="shared" si="89"/>
        <v>-</v>
      </c>
      <c r="O97" s="507">
        <v>4.1712999999999996</v>
      </c>
      <c r="P97" s="402">
        <f t="shared" si="81"/>
        <v>0</v>
      </c>
      <c r="Q97" s="447">
        <f t="shared" si="82"/>
        <v>0</v>
      </c>
    </row>
    <row r="98" spans="1:17" ht="24.75" thickBot="1" x14ac:dyDescent="0.3">
      <c r="A98" s="248" t="s">
        <v>101</v>
      </c>
      <c r="B98" s="583"/>
      <c r="C98" s="275"/>
      <c r="D98" s="276"/>
      <c r="E98" s="436"/>
      <c r="F98" s="333">
        <f t="shared" si="83"/>
        <v>0</v>
      </c>
      <c r="G98" s="278"/>
      <c r="H98" s="278"/>
      <c r="I98" s="352" t="str">
        <f>IFERROR(F98/#REF!,"-")</f>
        <v>-</v>
      </c>
      <c r="J98" s="460">
        <f t="shared" si="84"/>
        <v>0</v>
      </c>
      <c r="K98" s="461">
        <f t="shared" ref="K98:L98" si="93">+G98+K35</f>
        <v>0</v>
      </c>
      <c r="L98" s="462">
        <f t="shared" si="93"/>
        <v>0</v>
      </c>
      <c r="M98" s="337" t="str">
        <f t="shared" si="92"/>
        <v>-</v>
      </c>
      <c r="N98" s="263" t="str">
        <f t="shared" si="89"/>
        <v>-</v>
      </c>
      <c r="O98" s="448"/>
      <c r="P98" s="404">
        <f t="shared" si="81"/>
        <v>0</v>
      </c>
      <c r="Q98" s="449">
        <f t="shared" si="82"/>
        <v>0</v>
      </c>
    </row>
    <row r="99" spans="1:17" ht="23.25" customHeight="1" thickBot="1" x14ac:dyDescent="0.3">
      <c r="A99" s="274" t="s">
        <v>101</v>
      </c>
      <c r="B99" s="1028" t="s">
        <v>21</v>
      </c>
      <c r="C99" s="964"/>
      <c r="D99" s="320">
        <v>0</v>
      </c>
      <c r="E99" s="285">
        <v>15000</v>
      </c>
      <c r="F99" s="320">
        <f>SUM(F92:F98)</f>
        <v>101288</v>
      </c>
      <c r="G99" s="321">
        <f t="shared" ref="G99:H99" si="94">SUM(G92:G98)</f>
        <v>100000</v>
      </c>
      <c r="H99" s="321">
        <f t="shared" si="94"/>
        <v>1288</v>
      </c>
      <c r="I99" s="345" t="str">
        <f>IFERROR(F99/#REF!,"-")</f>
        <v>-</v>
      </c>
      <c r="J99" s="513">
        <f t="shared" ref="J99" si="95">SUM(J92:J98)</f>
        <v>202538</v>
      </c>
      <c r="K99" s="519">
        <f>SUM(K92:K98)</f>
        <v>200000</v>
      </c>
      <c r="L99" s="519">
        <f>SUM(L92:L98)</f>
        <v>2538</v>
      </c>
      <c r="M99" s="339" t="str">
        <f>IFERROR(J99/D99,"-")</f>
        <v>-</v>
      </c>
      <c r="N99" s="345">
        <f t="shared" si="89"/>
        <v>1.2530981840444756E-2</v>
      </c>
      <c r="O99" s="391"/>
      <c r="P99" s="406">
        <f>SUM(P92:P98)</f>
        <v>221410.00000000003</v>
      </c>
      <c r="Q99" s="425">
        <f>SUM(Q92:Q98)</f>
        <v>442820.00000000006</v>
      </c>
    </row>
    <row r="100" spans="1:17" ht="23.25" customHeight="1" thickBot="1" x14ac:dyDescent="0.3">
      <c r="A100" s="274" t="s">
        <v>101</v>
      </c>
      <c r="B100" s="1029" t="s">
        <v>248</v>
      </c>
      <c r="C100" s="1030"/>
      <c r="D100" s="512">
        <f>+D96+D99</f>
        <v>0</v>
      </c>
      <c r="E100" s="525">
        <f>+E96+E99</f>
        <v>15000</v>
      </c>
      <c r="F100" s="512">
        <f>+F96+F99</f>
        <v>101288</v>
      </c>
      <c r="G100" s="514">
        <f>+G96+G99</f>
        <v>100000</v>
      </c>
      <c r="H100" s="514">
        <f>+H96+H99</f>
        <v>1288</v>
      </c>
      <c r="I100" s="515" t="str">
        <f>IFERROR(F100/#REF!,"-")</f>
        <v>-</v>
      </c>
      <c r="J100" s="512">
        <f>+J96+J99</f>
        <v>202538</v>
      </c>
      <c r="K100" s="514">
        <f>+K99</f>
        <v>200000</v>
      </c>
      <c r="L100" s="514">
        <f>+L99</f>
        <v>2538</v>
      </c>
      <c r="M100" s="516" t="str">
        <f t="shared" ref="M100" si="96">IFERROR(J100/D100,"-")</f>
        <v>-</v>
      </c>
      <c r="N100" s="515">
        <f t="shared" si="89"/>
        <v>1.2530981840444756E-2</v>
      </c>
      <c r="O100" s="517"/>
      <c r="P100" s="518">
        <f>+P99</f>
        <v>221410.00000000003</v>
      </c>
      <c r="Q100" s="518">
        <f>+Q99</f>
        <v>442820.00000000006</v>
      </c>
    </row>
    <row r="101" spans="1:17" ht="24" x14ac:dyDescent="0.35">
      <c r="A101" s="244" t="s">
        <v>101</v>
      </c>
      <c r="B101" s="1025" t="s">
        <v>250</v>
      </c>
      <c r="C101" s="542" t="s">
        <v>71</v>
      </c>
      <c r="D101" s="527"/>
      <c r="E101" s="459"/>
      <c r="F101" s="457">
        <f>+G101+H101</f>
        <v>0</v>
      </c>
      <c r="G101" s="458"/>
      <c r="H101" s="458"/>
      <c r="I101" s="531" t="str">
        <f>IFERROR(F101/#REF!,"-")</f>
        <v>-</v>
      </c>
      <c r="J101" s="457">
        <f>+K101+L101</f>
        <v>0</v>
      </c>
      <c r="K101" s="458">
        <f t="shared" ref="K101:L101" si="97">+G101+K38</f>
        <v>0</v>
      </c>
      <c r="L101" s="459">
        <f t="shared" si="97"/>
        <v>0</v>
      </c>
      <c r="M101" s="586" t="str">
        <f>IFERROR(J101/D101,"-")</f>
        <v>-</v>
      </c>
      <c r="N101" s="533" t="str">
        <f t="shared" si="89"/>
        <v>-</v>
      </c>
      <c r="O101" s="538">
        <v>32.946300000000001</v>
      </c>
      <c r="P101" s="534">
        <f t="shared" ref="P101:P132" si="98">+O101*G101</f>
        <v>0</v>
      </c>
      <c r="Q101" s="535">
        <f t="shared" ref="Q101:Q132" si="99">+O101*K101</f>
        <v>0</v>
      </c>
    </row>
    <row r="102" spans="1:17" ht="24" x14ac:dyDescent="0.35">
      <c r="A102" s="248" t="s">
        <v>101</v>
      </c>
      <c r="B102" s="1026"/>
      <c r="C102" s="543" t="s">
        <v>72</v>
      </c>
      <c r="D102" s="511"/>
      <c r="E102" s="436"/>
      <c r="F102" s="333">
        <f t="shared" ref="F102:F132" si="100">+G102+H102</f>
        <v>9055</v>
      </c>
      <c r="G102" s="278">
        <v>9000</v>
      </c>
      <c r="H102" s="278">
        <v>55</v>
      </c>
      <c r="I102" s="352" t="str">
        <f>IFERROR(F102/#REF!,"-")</f>
        <v>-</v>
      </c>
      <c r="J102" s="333">
        <f t="shared" ref="J102:J132" si="101">+K102+L102</f>
        <v>10595</v>
      </c>
      <c r="K102" s="278">
        <f t="shared" ref="K102:L102" si="102">+G102+K39</f>
        <v>10500</v>
      </c>
      <c r="L102" s="436">
        <f t="shared" si="102"/>
        <v>95</v>
      </c>
      <c r="M102" s="337" t="str">
        <f t="shared" ref="M102:M104" si="103">IFERROR(J102/D102,"-")</f>
        <v>-</v>
      </c>
      <c r="N102" s="265">
        <f t="shared" si="89"/>
        <v>8.9664936290703157E-3</v>
      </c>
      <c r="O102" s="508">
        <v>35.398400000000002</v>
      </c>
      <c r="P102" s="404">
        <f t="shared" si="98"/>
        <v>318585.60000000003</v>
      </c>
      <c r="Q102" s="449">
        <f t="shared" si="99"/>
        <v>371683.2</v>
      </c>
    </row>
    <row r="103" spans="1:17" ht="24.75" thickBot="1" x14ac:dyDescent="0.4">
      <c r="A103" s="248" t="s">
        <v>101</v>
      </c>
      <c r="B103" s="1027"/>
      <c r="C103" s="543" t="s">
        <v>455</v>
      </c>
      <c r="D103" s="276"/>
      <c r="E103" s="436"/>
      <c r="F103" s="333">
        <f t="shared" si="100"/>
        <v>0</v>
      </c>
      <c r="G103" s="278"/>
      <c r="H103" s="278"/>
      <c r="I103" s="352" t="str">
        <f>IFERROR(F103/#REF!,"-")</f>
        <v>-</v>
      </c>
      <c r="J103" s="333">
        <f t="shared" si="101"/>
        <v>0</v>
      </c>
      <c r="K103" s="278">
        <f t="shared" ref="K103:L103" si="104">+G103+K40</f>
        <v>0</v>
      </c>
      <c r="L103" s="436">
        <f t="shared" si="104"/>
        <v>0</v>
      </c>
      <c r="M103" s="337" t="str">
        <f t="shared" si="103"/>
        <v>-</v>
      </c>
      <c r="N103" s="265" t="str">
        <f>IFERROR(L103/J103,"-")</f>
        <v>-</v>
      </c>
      <c r="O103" s="508">
        <v>35.398400000000002</v>
      </c>
      <c r="P103" s="404">
        <f t="shared" si="98"/>
        <v>0</v>
      </c>
      <c r="Q103" s="449">
        <f t="shared" si="99"/>
        <v>0</v>
      </c>
    </row>
    <row r="104" spans="1:17" ht="24" x14ac:dyDescent="0.35">
      <c r="A104" s="248" t="s">
        <v>101</v>
      </c>
      <c r="B104" s="1025" t="s">
        <v>251</v>
      </c>
      <c r="C104" s="545" t="s">
        <v>75</v>
      </c>
      <c r="D104" s="276"/>
      <c r="E104" s="528"/>
      <c r="F104" s="334">
        <f t="shared" si="100"/>
        <v>4830</v>
      </c>
      <c r="G104" s="278">
        <v>4800</v>
      </c>
      <c r="H104" s="278">
        <v>30</v>
      </c>
      <c r="I104" s="352" t="str">
        <f>IFERROR(F104/#REF!,"-")</f>
        <v>-</v>
      </c>
      <c r="J104" s="333">
        <f t="shared" si="101"/>
        <v>7273</v>
      </c>
      <c r="K104" s="278">
        <f t="shared" ref="K104:L104" si="105">+G104+K41</f>
        <v>7063</v>
      </c>
      <c r="L104" s="436">
        <f t="shared" si="105"/>
        <v>210</v>
      </c>
      <c r="M104" s="337" t="str">
        <f t="shared" si="103"/>
        <v>-</v>
      </c>
      <c r="N104" s="265">
        <f t="shared" ref="N104" si="106">IFERROR(L104/J104,"-")</f>
        <v>2.8873917228103944E-2</v>
      </c>
      <c r="O104" s="508">
        <v>55.4758</v>
      </c>
      <c r="P104" s="404">
        <f t="shared" si="98"/>
        <v>266283.84000000003</v>
      </c>
      <c r="Q104" s="449">
        <f t="shared" si="99"/>
        <v>391825.57539999997</v>
      </c>
    </row>
    <row r="105" spans="1:17" ht="24" x14ac:dyDescent="0.35">
      <c r="A105" s="248" t="s">
        <v>101</v>
      </c>
      <c r="B105" s="1026"/>
      <c r="C105" s="545" t="s">
        <v>72</v>
      </c>
      <c r="D105" s="276"/>
      <c r="E105" s="529"/>
      <c r="F105" s="334">
        <f t="shared" si="100"/>
        <v>0</v>
      </c>
      <c r="G105" s="278"/>
      <c r="H105" s="278"/>
      <c r="I105" s="352" t="str">
        <f>IFERROR(F105/#REF!,"-")</f>
        <v>-</v>
      </c>
      <c r="J105" s="333">
        <f t="shared" si="101"/>
        <v>0</v>
      </c>
      <c r="K105" s="278">
        <f t="shared" ref="K105:L105" si="107">+G105+K42</f>
        <v>0</v>
      </c>
      <c r="L105" s="436">
        <f t="shared" si="107"/>
        <v>0</v>
      </c>
      <c r="M105" s="682"/>
      <c r="N105" s="372"/>
      <c r="O105" s="540">
        <v>58.836300000000001</v>
      </c>
      <c r="P105" s="404">
        <f t="shared" si="98"/>
        <v>0</v>
      </c>
      <c r="Q105" s="449">
        <f t="shared" si="99"/>
        <v>0</v>
      </c>
    </row>
    <row r="106" spans="1:17" ht="24" x14ac:dyDescent="0.35">
      <c r="A106" s="248" t="s">
        <v>101</v>
      </c>
      <c r="B106" s="1026"/>
      <c r="C106" s="545" t="s">
        <v>347</v>
      </c>
      <c r="D106" s="276"/>
      <c r="E106" s="435"/>
      <c r="F106" s="334">
        <f t="shared" si="100"/>
        <v>0</v>
      </c>
      <c r="G106" s="278"/>
      <c r="H106" s="278"/>
      <c r="I106" s="352" t="str">
        <f>IFERROR(F106/#REF!,"-")</f>
        <v>-</v>
      </c>
      <c r="J106" s="333">
        <f t="shared" si="101"/>
        <v>0</v>
      </c>
      <c r="K106" s="278">
        <f t="shared" ref="K106:L106" si="108">+G106+K43</f>
        <v>0</v>
      </c>
      <c r="L106" s="436">
        <f t="shared" si="108"/>
        <v>0</v>
      </c>
      <c r="M106" s="337" t="str">
        <f t="shared" ref="M106" si="109">IFERROR(J106/D106,"-")</f>
        <v>-</v>
      </c>
      <c r="N106" s="263" t="str">
        <f t="shared" ref="N106" si="110">IFERROR(L106/J106,"-")</f>
        <v>-</v>
      </c>
      <c r="O106" s="710">
        <v>58.836300000000001</v>
      </c>
      <c r="P106" s="404">
        <f t="shared" si="98"/>
        <v>0</v>
      </c>
      <c r="Q106" s="449">
        <f t="shared" si="99"/>
        <v>0</v>
      </c>
    </row>
    <row r="107" spans="1:17" ht="24.75" thickBot="1" x14ac:dyDescent="0.4">
      <c r="A107" s="248"/>
      <c r="B107" s="1027"/>
      <c r="C107" s="545" t="s">
        <v>361</v>
      </c>
      <c r="D107" s="276"/>
      <c r="E107" s="435"/>
      <c r="F107" s="334">
        <f t="shared" si="100"/>
        <v>0</v>
      </c>
      <c r="G107" s="278"/>
      <c r="H107" s="278"/>
      <c r="I107" s="352"/>
      <c r="J107" s="333">
        <f t="shared" si="101"/>
        <v>0</v>
      </c>
      <c r="K107" s="278">
        <f t="shared" ref="K107:L107" si="111">+G107+K44</f>
        <v>0</v>
      </c>
      <c r="L107" s="436">
        <f t="shared" si="111"/>
        <v>0</v>
      </c>
      <c r="M107" s="337"/>
      <c r="N107" s="263" t="str">
        <f>IFERROR(L107/J107,"-")</f>
        <v>-</v>
      </c>
      <c r="O107" s="508">
        <v>55.4758</v>
      </c>
      <c r="P107" s="404">
        <f t="shared" si="98"/>
        <v>0</v>
      </c>
      <c r="Q107" s="449">
        <f t="shared" si="99"/>
        <v>0</v>
      </c>
    </row>
    <row r="108" spans="1:17" ht="24" x14ac:dyDescent="0.35">
      <c r="A108" s="248" t="s">
        <v>101</v>
      </c>
      <c r="B108" s="1025" t="s">
        <v>409</v>
      </c>
      <c r="C108" s="543" t="s">
        <v>77</v>
      </c>
      <c r="D108" s="276"/>
      <c r="E108" s="436"/>
      <c r="F108" s="333">
        <f t="shared" si="100"/>
        <v>0</v>
      </c>
      <c r="G108" s="278"/>
      <c r="H108" s="278"/>
      <c r="I108" s="352" t="str">
        <f>IFERROR(F108/#REF!,"-")</f>
        <v>-</v>
      </c>
      <c r="J108" s="333">
        <f t="shared" si="101"/>
        <v>0</v>
      </c>
      <c r="K108" s="686">
        <f t="shared" ref="K108:L108" si="112">+G108+K45</f>
        <v>0</v>
      </c>
      <c r="L108" s="687">
        <f t="shared" si="112"/>
        <v>0</v>
      </c>
      <c r="M108" s="337" t="str">
        <f t="shared" ref="M108:M135" si="113">IFERROR(J108/D108,"-")</f>
        <v>-</v>
      </c>
      <c r="N108" s="263" t="str">
        <f t="shared" ref="N108:N134" si="114">IFERROR(L108/J108,"-")</f>
        <v>-</v>
      </c>
      <c r="O108" s="508">
        <v>25.687200000000001</v>
      </c>
      <c r="P108" s="404">
        <f t="shared" si="98"/>
        <v>0</v>
      </c>
      <c r="Q108" s="449">
        <f t="shared" si="99"/>
        <v>0</v>
      </c>
    </row>
    <row r="109" spans="1:17" ht="24.75" thickBot="1" x14ac:dyDescent="0.4">
      <c r="A109" s="248" t="s">
        <v>101</v>
      </c>
      <c r="B109" s="1027"/>
      <c r="C109" s="543" t="s">
        <v>117</v>
      </c>
      <c r="D109" s="276"/>
      <c r="E109" s="436"/>
      <c r="F109" s="333">
        <f t="shared" si="100"/>
        <v>0</v>
      </c>
      <c r="G109" s="278"/>
      <c r="H109" s="278"/>
      <c r="I109" s="352" t="str">
        <f>IFERROR(F109/#REF!,"-")</f>
        <v>-</v>
      </c>
      <c r="J109" s="333">
        <f t="shared" si="101"/>
        <v>0</v>
      </c>
      <c r="K109" s="278">
        <f t="shared" ref="K109:L109" si="115">+G109+K46</f>
        <v>0</v>
      </c>
      <c r="L109" s="436">
        <f t="shared" si="115"/>
        <v>0</v>
      </c>
      <c r="M109" s="337" t="str">
        <f t="shared" si="113"/>
        <v>-</v>
      </c>
      <c r="N109" s="263" t="str">
        <f t="shared" si="114"/>
        <v>-</v>
      </c>
      <c r="O109" s="508">
        <v>25.033899999999999</v>
      </c>
      <c r="P109" s="404">
        <f t="shared" si="98"/>
        <v>0</v>
      </c>
      <c r="Q109" s="449">
        <f t="shared" si="99"/>
        <v>0</v>
      </c>
    </row>
    <row r="110" spans="1:17" ht="24" x14ac:dyDescent="0.35">
      <c r="A110" s="248"/>
      <c r="B110" s="1025" t="s">
        <v>410</v>
      </c>
      <c r="C110" s="543" t="s">
        <v>79</v>
      </c>
      <c r="D110" s="276"/>
      <c r="E110" s="436"/>
      <c r="F110" s="333">
        <f t="shared" si="100"/>
        <v>0</v>
      </c>
      <c r="G110" s="278"/>
      <c r="H110" s="278"/>
      <c r="I110" s="352" t="str">
        <f>IFERROR(F110/#REF!,"-")</f>
        <v>-</v>
      </c>
      <c r="J110" s="333">
        <f t="shared" si="101"/>
        <v>0</v>
      </c>
      <c r="K110" s="278">
        <f t="shared" ref="K110:L110" si="116">+G110+K47</f>
        <v>0</v>
      </c>
      <c r="L110" s="436">
        <f t="shared" si="116"/>
        <v>0</v>
      </c>
      <c r="M110" s="337" t="str">
        <f t="shared" si="113"/>
        <v>-</v>
      </c>
      <c r="N110" s="263" t="str">
        <f t="shared" si="114"/>
        <v>-</v>
      </c>
      <c r="O110" s="508">
        <v>41.992699999999999</v>
      </c>
      <c r="P110" s="404">
        <f t="shared" si="98"/>
        <v>0</v>
      </c>
      <c r="Q110" s="449">
        <f t="shared" si="99"/>
        <v>0</v>
      </c>
    </row>
    <row r="111" spans="1:17" ht="24" x14ac:dyDescent="0.35">
      <c r="A111" s="248"/>
      <c r="B111" s="1026"/>
      <c r="C111" s="543" t="s">
        <v>72</v>
      </c>
      <c r="D111" s="276"/>
      <c r="E111" s="436"/>
      <c r="F111" s="333">
        <f t="shared" si="100"/>
        <v>0</v>
      </c>
      <c r="G111" s="278"/>
      <c r="H111" s="278"/>
      <c r="I111" s="352" t="str">
        <f>IFERROR(F111/#REF!,"-")</f>
        <v>-</v>
      </c>
      <c r="J111" s="333">
        <f t="shared" si="101"/>
        <v>0</v>
      </c>
      <c r="K111" s="278">
        <f t="shared" ref="K111:L111" si="117">+G111+K48</f>
        <v>0</v>
      </c>
      <c r="L111" s="436">
        <f t="shared" si="117"/>
        <v>0</v>
      </c>
      <c r="M111" s="337" t="str">
        <f t="shared" si="113"/>
        <v>-</v>
      </c>
      <c r="N111" s="263" t="str">
        <f t="shared" si="114"/>
        <v>-</v>
      </c>
      <c r="O111" s="508">
        <v>42.283799999999999</v>
      </c>
      <c r="P111" s="404">
        <f t="shared" si="98"/>
        <v>0</v>
      </c>
      <c r="Q111" s="449">
        <f t="shared" si="99"/>
        <v>0</v>
      </c>
    </row>
    <row r="112" spans="1:17" ht="24" x14ac:dyDescent="0.35">
      <c r="A112" s="248"/>
      <c r="B112" s="1026"/>
      <c r="C112" s="543" t="s">
        <v>380</v>
      </c>
      <c r="D112" s="276"/>
      <c r="E112" s="436"/>
      <c r="F112" s="333">
        <f t="shared" si="100"/>
        <v>0</v>
      </c>
      <c r="G112" s="278"/>
      <c r="H112" s="278"/>
      <c r="I112" s="352" t="str">
        <f>IFERROR(F112/#REF!,"-")</f>
        <v>-</v>
      </c>
      <c r="J112" s="333">
        <f t="shared" si="101"/>
        <v>0</v>
      </c>
      <c r="K112" s="278">
        <f t="shared" ref="K112:L112" si="118">+G112+K49</f>
        <v>0</v>
      </c>
      <c r="L112" s="436">
        <f t="shared" si="118"/>
        <v>0</v>
      </c>
      <c r="M112" s="337" t="str">
        <f t="shared" si="113"/>
        <v>-</v>
      </c>
      <c r="N112" s="263" t="str">
        <f t="shared" si="114"/>
        <v>-</v>
      </c>
      <c r="O112" s="710">
        <v>41.992699999999999</v>
      </c>
      <c r="P112" s="404">
        <f t="shared" si="98"/>
        <v>0</v>
      </c>
      <c r="Q112" s="449">
        <f t="shared" si="99"/>
        <v>0</v>
      </c>
    </row>
    <row r="113" spans="1:17" ht="24.75" thickBot="1" x14ac:dyDescent="0.4">
      <c r="A113" s="248"/>
      <c r="B113" s="1027"/>
      <c r="C113" s="543" t="s">
        <v>381</v>
      </c>
      <c r="D113" s="276"/>
      <c r="E113" s="436"/>
      <c r="F113" s="333">
        <f t="shared" si="100"/>
        <v>0</v>
      </c>
      <c r="G113" s="278"/>
      <c r="H113" s="278"/>
      <c r="I113" s="352" t="str">
        <f>IFERROR(F113/#REF!,"-")</f>
        <v>-</v>
      </c>
      <c r="J113" s="333">
        <f t="shared" si="101"/>
        <v>0</v>
      </c>
      <c r="K113" s="278">
        <f t="shared" ref="K113:L113" si="119">+G113+K50</f>
        <v>0</v>
      </c>
      <c r="L113" s="436">
        <f t="shared" si="119"/>
        <v>0</v>
      </c>
      <c r="M113" s="337" t="str">
        <f t="shared" si="113"/>
        <v>-</v>
      </c>
      <c r="N113" s="263" t="str">
        <f t="shared" si="114"/>
        <v>-</v>
      </c>
      <c r="O113" s="710">
        <v>42.283799999999999</v>
      </c>
      <c r="P113" s="404">
        <f t="shared" si="98"/>
        <v>0</v>
      </c>
      <c r="Q113" s="449">
        <f t="shared" si="99"/>
        <v>0</v>
      </c>
    </row>
    <row r="114" spans="1:17" ht="24.75" thickBot="1" x14ac:dyDescent="0.4">
      <c r="A114" s="248"/>
      <c r="B114" s="717" t="s">
        <v>80</v>
      </c>
      <c r="C114" s="543" t="s">
        <v>81</v>
      </c>
      <c r="D114" s="276"/>
      <c r="E114" s="436"/>
      <c r="F114" s="333">
        <f t="shared" si="100"/>
        <v>0</v>
      </c>
      <c r="G114" s="278"/>
      <c r="H114" s="278"/>
      <c r="I114" s="352" t="str">
        <f>IFERROR(F114/#REF!,"-")</f>
        <v>-</v>
      </c>
      <c r="J114" s="333">
        <f t="shared" si="101"/>
        <v>0</v>
      </c>
      <c r="K114" s="278">
        <f t="shared" ref="K114:L114" si="120">+G114+K51</f>
        <v>0</v>
      </c>
      <c r="L114" s="436">
        <f t="shared" si="120"/>
        <v>0</v>
      </c>
      <c r="M114" s="337" t="str">
        <f t="shared" si="113"/>
        <v>-</v>
      </c>
      <c r="N114" s="263" t="str">
        <f t="shared" si="114"/>
        <v>-</v>
      </c>
      <c r="O114" s="508">
        <v>4.3535000000000004</v>
      </c>
      <c r="P114" s="404">
        <f t="shared" si="98"/>
        <v>0</v>
      </c>
      <c r="Q114" s="449">
        <f t="shared" si="99"/>
        <v>0</v>
      </c>
    </row>
    <row r="115" spans="1:17" ht="24" x14ac:dyDescent="0.35">
      <c r="A115" s="248"/>
      <c r="B115" s="1025" t="s">
        <v>253</v>
      </c>
      <c r="C115" s="543" t="s">
        <v>77</v>
      </c>
      <c r="D115" s="276"/>
      <c r="E115" s="436"/>
      <c r="F115" s="333">
        <f t="shared" si="100"/>
        <v>49630</v>
      </c>
      <c r="G115" s="278">
        <v>49500</v>
      </c>
      <c r="H115" s="278">
        <v>130</v>
      </c>
      <c r="I115" s="352" t="str">
        <f>IFERROR(F115/#REF!,"-")</f>
        <v>-</v>
      </c>
      <c r="J115" s="333">
        <f t="shared" si="101"/>
        <v>90420</v>
      </c>
      <c r="K115" s="278">
        <f t="shared" ref="K115:L115" si="121">+G115+K52</f>
        <v>90200</v>
      </c>
      <c r="L115" s="436">
        <f t="shared" si="121"/>
        <v>220</v>
      </c>
      <c r="M115" s="337" t="str">
        <f t="shared" si="113"/>
        <v>-</v>
      </c>
      <c r="N115" s="263">
        <f t="shared" si="114"/>
        <v>2.4330900243309003E-3</v>
      </c>
      <c r="O115" s="508">
        <v>4.6184000000000003</v>
      </c>
      <c r="P115" s="404">
        <f t="shared" si="98"/>
        <v>228610.80000000002</v>
      </c>
      <c r="Q115" s="449">
        <f t="shared" si="99"/>
        <v>416579.68000000005</v>
      </c>
    </row>
    <row r="116" spans="1:17" ht="24" x14ac:dyDescent="0.35">
      <c r="A116" s="248"/>
      <c r="B116" s="1026"/>
      <c r="C116" s="543" t="s">
        <v>340</v>
      </c>
      <c r="D116" s="276"/>
      <c r="E116" s="436"/>
      <c r="F116" s="333">
        <f t="shared" si="100"/>
        <v>0</v>
      </c>
      <c r="G116" s="278"/>
      <c r="H116" s="278"/>
      <c r="I116" s="352" t="str">
        <f>IFERROR(F116/#REF!,"-")</f>
        <v>-</v>
      </c>
      <c r="J116" s="333">
        <f t="shared" si="101"/>
        <v>0</v>
      </c>
      <c r="K116" s="278">
        <f t="shared" ref="K116:L116" si="122">+G116+K53</f>
        <v>0</v>
      </c>
      <c r="L116" s="436">
        <f t="shared" si="122"/>
        <v>0</v>
      </c>
      <c r="M116" s="337" t="str">
        <f t="shared" si="113"/>
        <v>-</v>
      </c>
      <c r="N116" s="263" t="str">
        <f t="shared" si="114"/>
        <v>-</v>
      </c>
      <c r="O116" s="508">
        <v>4.6184000000000003</v>
      </c>
      <c r="P116" s="404">
        <f t="shared" si="98"/>
        <v>0</v>
      </c>
      <c r="Q116" s="449">
        <f t="shared" si="99"/>
        <v>0</v>
      </c>
    </row>
    <row r="117" spans="1:17" ht="24" x14ac:dyDescent="0.35">
      <c r="A117" s="248"/>
      <c r="B117" s="1026"/>
      <c r="C117" s="543" t="s">
        <v>252</v>
      </c>
      <c r="D117" s="276"/>
      <c r="E117" s="436"/>
      <c r="F117" s="333">
        <f t="shared" si="100"/>
        <v>0</v>
      </c>
      <c r="G117" s="278"/>
      <c r="H117" s="278"/>
      <c r="I117" s="352" t="str">
        <f>IFERROR(F117/#REF!,"-")</f>
        <v>-</v>
      </c>
      <c r="J117" s="333">
        <f t="shared" si="101"/>
        <v>0</v>
      </c>
      <c r="K117" s="278">
        <f t="shared" ref="K117:L117" si="123">+G117+K54</f>
        <v>0</v>
      </c>
      <c r="L117" s="436">
        <f t="shared" si="123"/>
        <v>0</v>
      </c>
      <c r="M117" s="337" t="str">
        <f t="shared" si="113"/>
        <v>-</v>
      </c>
      <c r="N117" s="263" t="str">
        <f t="shared" si="114"/>
        <v>-</v>
      </c>
      <c r="O117" s="508">
        <v>4.6184000000000003</v>
      </c>
      <c r="P117" s="404">
        <f t="shared" si="98"/>
        <v>0</v>
      </c>
      <c r="Q117" s="449">
        <f t="shared" si="99"/>
        <v>0</v>
      </c>
    </row>
    <row r="118" spans="1:17" ht="24" x14ac:dyDescent="0.35">
      <c r="A118" s="248"/>
      <c r="B118" s="1026"/>
      <c r="C118" s="543" t="s">
        <v>350</v>
      </c>
      <c r="D118" s="276"/>
      <c r="E118" s="436"/>
      <c r="F118" s="333">
        <f t="shared" si="100"/>
        <v>0</v>
      </c>
      <c r="G118" s="278"/>
      <c r="H118" s="278"/>
      <c r="I118" s="352" t="str">
        <f>IFERROR(F118/#REF!,"-")</f>
        <v>-</v>
      </c>
      <c r="J118" s="333">
        <f t="shared" si="101"/>
        <v>0</v>
      </c>
      <c r="K118" s="686">
        <f t="shared" ref="K118:L118" si="124">+G118+K55</f>
        <v>0</v>
      </c>
      <c r="L118" s="687">
        <f t="shared" si="124"/>
        <v>0</v>
      </c>
      <c r="M118" s="337" t="str">
        <f t="shared" si="113"/>
        <v>-</v>
      </c>
      <c r="N118" s="263" t="str">
        <f t="shared" si="114"/>
        <v>-</v>
      </c>
      <c r="O118" s="508">
        <v>4.7636000000000003</v>
      </c>
      <c r="P118" s="404">
        <f t="shared" si="98"/>
        <v>0</v>
      </c>
      <c r="Q118" s="449">
        <f t="shared" si="99"/>
        <v>0</v>
      </c>
    </row>
    <row r="119" spans="1:17" ht="24.75" thickBot="1" x14ac:dyDescent="0.4">
      <c r="A119" s="248"/>
      <c r="B119" s="1027"/>
      <c r="C119" s="543" t="s">
        <v>346</v>
      </c>
      <c r="D119" s="276"/>
      <c r="E119" s="436"/>
      <c r="F119" s="333">
        <f t="shared" si="100"/>
        <v>0</v>
      </c>
      <c r="G119" s="278"/>
      <c r="H119" s="278"/>
      <c r="I119" s="352" t="str">
        <f>IFERROR(F119/#REF!,"-")</f>
        <v>-</v>
      </c>
      <c r="J119" s="333">
        <f t="shared" si="101"/>
        <v>0</v>
      </c>
      <c r="K119" s="278">
        <f t="shared" ref="K119:L119" si="125">+G119+K56</f>
        <v>0</v>
      </c>
      <c r="L119" s="436">
        <f t="shared" si="125"/>
        <v>0</v>
      </c>
      <c r="M119" s="337" t="str">
        <f t="shared" si="113"/>
        <v>-</v>
      </c>
      <c r="N119" s="263" t="str">
        <f t="shared" si="114"/>
        <v>-</v>
      </c>
      <c r="O119" s="508">
        <v>4.8738000000000001</v>
      </c>
      <c r="P119" s="404">
        <f t="shared" si="98"/>
        <v>0</v>
      </c>
      <c r="Q119" s="449">
        <f t="shared" si="99"/>
        <v>0</v>
      </c>
    </row>
    <row r="120" spans="1:17" ht="24.75" thickBot="1" x14ac:dyDescent="0.4">
      <c r="A120" s="248"/>
      <c r="B120" s="717" t="s">
        <v>254</v>
      </c>
      <c r="C120" s="543" t="s">
        <v>124</v>
      </c>
      <c r="D120" s="276"/>
      <c r="E120" s="436"/>
      <c r="F120" s="333">
        <f t="shared" si="100"/>
        <v>0</v>
      </c>
      <c r="G120" s="278"/>
      <c r="H120" s="278"/>
      <c r="I120" s="352" t="str">
        <f>IFERROR(F120/#REF!,"-")</f>
        <v>-</v>
      </c>
      <c r="J120" s="333">
        <f t="shared" si="101"/>
        <v>0</v>
      </c>
      <c r="K120" s="278">
        <f t="shared" ref="K120:L120" si="126">+G120+K57</f>
        <v>0</v>
      </c>
      <c r="L120" s="436">
        <f t="shared" si="126"/>
        <v>0</v>
      </c>
      <c r="M120" s="337" t="str">
        <f t="shared" si="113"/>
        <v>-</v>
      </c>
      <c r="N120" s="263" t="str">
        <f t="shared" si="114"/>
        <v>-</v>
      </c>
      <c r="O120" s="508">
        <v>4.8738000000000001</v>
      </c>
      <c r="P120" s="404">
        <f t="shared" si="98"/>
        <v>0</v>
      </c>
      <c r="Q120" s="449">
        <f t="shared" si="99"/>
        <v>0</v>
      </c>
    </row>
    <row r="121" spans="1:17" ht="24" x14ac:dyDescent="0.35">
      <c r="A121" s="248"/>
      <c r="B121" s="1025" t="s">
        <v>256</v>
      </c>
      <c r="C121" s="543" t="s">
        <v>77</v>
      </c>
      <c r="D121" s="276"/>
      <c r="E121" s="436"/>
      <c r="F121" s="333">
        <f t="shared" si="100"/>
        <v>43640</v>
      </c>
      <c r="G121" s="278">
        <v>43120</v>
      </c>
      <c r="H121" s="278">
        <v>520</v>
      </c>
      <c r="I121" s="352" t="str">
        <f>IFERROR(F121/#REF!,"-")</f>
        <v>-</v>
      </c>
      <c r="J121" s="333">
        <f t="shared" si="101"/>
        <v>73600</v>
      </c>
      <c r="K121" s="686">
        <f t="shared" ref="K121:L121" si="127">+G121+K58</f>
        <v>72940</v>
      </c>
      <c r="L121" s="687">
        <f t="shared" si="127"/>
        <v>660</v>
      </c>
      <c r="M121" s="337" t="str">
        <f t="shared" si="113"/>
        <v>-</v>
      </c>
      <c r="N121" s="263">
        <f t="shared" si="114"/>
        <v>8.9673913043478264E-3</v>
      </c>
      <c r="O121" s="508">
        <v>4.9344999999999999</v>
      </c>
      <c r="P121" s="404">
        <f t="shared" si="98"/>
        <v>212775.63999999998</v>
      </c>
      <c r="Q121" s="449">
        <f t="shared" si="99"/>
        <v>359922.43</v>
      </c>
    </row>
    <row r="122" spans="1:17" ht="24" x14ac:dyDescent="0.35">
      <c r="A122" s="248"/>
      <c r="B122" s="1026"/>
      <c r="C122" s="543" t="s">
        <v>135</v>
      </c>
      <c r="D122" s="276"/>
      <c r="E122" s="436"/>
      <c r="F122" s="333">
        <f t="shared" si="100"/>
        <v>0</v>
      </c>
      <c r="G122" s="278"/>
      <c r="H122" s="278"/>
      <c r="I122" s="352" t="str">
        <f>IFERROR(F122/#REF!,"-")</f>
        <v>-</v>
      </c>
      <c r="J122" s="333">
        <f t="shared" si="101"/>
        <v>0</v>
      </c>
      <c r="K122" s="278">
        <f t="shared" ref="K122:L122" si="128">+G122+K59</f>
        <v>0</v>
      </c>
      <c r="L122" s="436">
        <f t="shared" si="128"/>
        <v>0</v>
      </c>
      <c r="M122" s="337" t="str">
        <f t="shared" si="113"/>
        <v>-</v>
      </c>
      <c r="N122" s="263" t="str">
        <f t="shared" si="114"/>
        <v>-</v>
      </c>
      <c r="O122" s="508">
        <v>4.9344999999999999</v>
      </c>
      <c r="P122" s="404">
        <f t="shared" si="98"/>
        <v>0</v>
      </c>
      <c r="Q122" s="449">
        <f t="shared" si="99"/>
        <v>0</v>
      </c>
    </row>
    <row r="123" spans="1:17" ht="24" x14ac:dyDescent="0.35">
      <c r="A123" s="248"/>
      <c r="B123" s="1026"/>
      <c r="C123" s="543" t="s">
        <v>129</v>
      </c>
      <c r="D123" s="276"/>
      <c r="E123" s="436"/>
      <c r="F123" s="333">
        <f t="shared" si="100"/>
        <v>0</v>
      </c>
      <c r="G123" s="278"/>
      <c r="H123" s="278"/>
      <c r="I123" s="352" t="str">
        <f>IFERROR(F123/#REF!,"-")</f>
        <v>-</v>
      </c>
      <c r="J123" s="333">
        <f t="shared" si="101"/>
        <v>0</v>
      </c>
      <c r="K123" s="278">
        <f t="shared" ref="K123:L123" si="129">+G123+K60</f>
        <v>0</v>
      </c>
      <c r="L123" s="436">
        <f t="shared" si="129"/>
        <v>0</v>
      </c>
      <c r="M123" s="337" t="str">
        <f t="shared" si="113"/>
        <v>-</v>
      </c>
      <c r="N123" s="263" t="str">
        <f t="shared" si="114"/>
        <v>-</v>
      </c>
      <c r="O123" s="508">
        <v>4.9344999999999999</v>
      </c>
      <c r="P123" s="404">
        <f t="shared" si="98"/>
        <v>0</v>
      </c>
      <c r="Q123" s="449">
        <f t="shared" si="99"/>
        <v>0</v>
      </c>
    </row>
    <row r="124" spans="1:17" ht="24.75" thickBot="1" x14ac:dyDescent="0.4">
      <c r="A124" s="248"/>
      <c r="B124" s="1027"/>
      <c r="C124" s="543" t="s">
        <v>255</v>
      </c>
      <c r="D124" s="276"/>
      <c r="E124" s="436"/>
      <c r="F124" s="333">
        <f t="shared" si="100"/>
        <v>0</v>
      </c>
      <c r="G124" s="278"/>
      <c r="H124" s="278"/>
      <c r="I124" s="352" t="str">
        <f>IFERROR(F124/#REF!,"-")</f>
        <v>-</v>
      </c>
      <c r="J124" s="333">
        <f t="shared" si="101"/>
        <v>0</v>
      </c>
      <c r="K124" s="278">
        <f t="shared" ref="K124:L124" si="130">+G124+K61</f>
        <v>0</v>
      </c>
      <c r="L124" s="436">
        <f t="shared" si="130"/>
        <v>0</v>
      </c>
      <c r="M124" s="337" t="str">
        <f t="shared" si="113"/>
        <v>-</v>
      </c>
      <c r="N124" s="263" t="str">
        <f t="shared" si="114"/>
        <v>-</v>
      </c>
      <c r="O124" s="508">
        <v>5.5069999999999997</v>
      </c>
      <c r="P124" s="404">
        <f t="shared" si="98"/>
        <v>0</v>
      </c>
      <c r="Q124" s="449">
        <f t="shared" si="99"/>
        <v>0</v>
      </c>
    </row>
    <row r="125" spans="1:17" ht="24" x14ac:dyDescent="0.35">
      <c r="A125" s="248"/>
      <c r="B125" s="1025" t="s">
        <v>261</v>
      </c>
      <c r="C125" s="543" t="s">
        <v>257</v>
      </c>
      <c r="D125" s="276"/>
      <c r="E125" s="436"/>
      <c r="F125" s="333">
        <f t="shared" si="100"/>
        <v>28075</v>
      </c>
      <c r="G125" s="278">
        <v>28000</v>
      </c>
      <c r="H125" s="278">
        <v>75</v>
      </c>
      <c r="I125" s="352" t="str">
        <f>IFERROR(F125/#REF!,"-")</f>
        <v>-</v>
      </c>
      <c r="J125" s="333">
        <f t="shared" si="101"/>
        <v>54035</v>
      </c>
      <c r="K125" s="278">
        <f t="shared" ref="K125:L125" si="131">+G125+K62</f>
        <v>53900</v>
      </c>
      <c r="L125" s="436">
        <f t="shared" si="131"/>
        <v>135</v>
      </c>
      <c r="M125" s="337" t="str">
        <f t="shared" si="113"/>
        <v>-</v>
      </c>
      <c r="N125" s="263">
        <f t="shared" si="114"/>
        <v>2.4983806791894145E-3</v>
      </c>
      <c r="O125" s="710">
        <v>5.5069999999999997</v>
      </c>
      <c r="P125" s="404">
        <f t="shared" si="98"/>
        <v>154196</v>
      </c>
      <c r="Q125" s="449">
        <f t="shared" si="99"/>
        <v>296827.3</v>
      </c>
    </row>
    <row r="126" spans="1:17" ht="24" x14ac:dyDescent="0.35">
      <c r="A126" s="248"/>
      <c r="B126" s="1026"/>
      <c r="C126" s="543" t="s">
        <v>258</v>
      </c>
      <c r="D126" s="276"/>
      <c r="E126" s="436"/>
      <c r="F126" s="333">
        <f t="shared" si="100"/>
        <v>0</v>
      </c>
      <c r="G126" s="278"/>
      <c r="H126" s="278"/>
      <c r="I126" s="352" t="str">
        <f>IFERROR(F126/#REF!,"-")</f>
        <v>-</v>
      </c>
      <c r="J126" s="333">
        <f t="shared" si="101"/>
        <v>0</v>
      </c>
      <c r="K126" s="278">
        <f t="shared" ref="K126:L126" si="132">+G126+K63</f>
        <v>0</v>
      </c>
      <c r="L126" s="436">
        <f t="shared" si="132"/>
        <v>0</v>
      </c>
      <c r="M126" s="337" t="str">
        <f t="shared" si="113"/>
        <v>-</v>
      </c>
      <c r="N126" s="263" t="str">
        <f t="shared" si="114"/>
        <v>-</v>
      </c>
      <c r="O126" s="508">
        <v>5.6550000000000002</v>
      </c>
      <c r="P126" s="404">
        <f t="shared" si="98"/>
        <v>0</v>
      </c>
      <c r="Q126" s="449">
        <f t="shared" si="99"/>
        <v>0</v>
      </c>
    </row>
    <row r="127" spans="1:17" ht="24" x14ac:dyDescent="0.35">
      <c r="A127" s="248"/>
      <c r="B127" s="1026"/>
      <c r="C127" s="543" t="s">
        <v>321</v>
      </c>
      <c r="D127" s="276"/>
      <c r="E127" s="436"/>
      <c r="F127" s="333">
        <f t="shared" si="100"/>
        <v>0</v>
      </c>
      <c r="G127" s="278"/>
      <c r="H127" s="278"/>
      <c r="I127" s="352" t="str">
        <f>IFERROR(F127/#REF!,"-")</f>
        <v>-</v>
      </c>
      <c r="J127" s="333">
        <f t="shared" si="101"/>
        <v>0</v>
      </c>
      <c r="K127" s="686">
        <f t="shared" ref="K127:L127" si="133">+G127+K64</f>
        <v>0</v>
      </c>
      <c r="L127" s="687">
        <f t="shared" si="133"/>
        <v>0</v>
      </c>
      <c r="M127" s="337" t="str">
        <f t="shared" si="113"/>
        <v>-</v>
      </c>
      <c r="N127" s="263" t="str">
        <f t="shared" si="114"/>
        <v>-</v>
      </c>
      <c r="O127" s="508">
        <v>5.6550000000000002</v>
      </c>
      <c r="P127" s="404">
        <f t="shared" si="98"/>
        <v>0</v>
      </c>
      <c r="Q127" s="449">
        <f t="shared" si="99"/>
        <v>0</v>
      </c>
    </row>
    <row r="128" spans="1:17" ht="24" x14ac:dyDescent="0.35">
      <c r="A128" s="248"/>
      <c r="B128" s="1026"/>
      <c r="C128" s="543" t="s">
        <v>259</v>
      </c>
      <c r="D128" s="276"/>
      <c r="E128" s="436"/>
      <c r="F128" s="333">
        <f t="shared" si="100"/>
        <v>0</v>
      </c>
      <c r="G128" s="278"/>
      <c r="H128" s="278"/>
      <c r="I128" s="352" t="str">
        <f>IFERROR(F128/#REF!,"-")</f>
        <v>-</v>
      </c>
      <c r="J128" s="333">
        <f t="shared" si="101"/>
        <v>0</v>
      </c>
      <c r="K128" s="278">
        <f t="shared" ref="K128:L128" si="134">+G128+K65</f>
        <v>0</v>
      </c>
      <c r="L128" s="436">
        <f t="shared" si="134"/>
        <v>0</v>
      </c>
      <c r="M128" s="337" t="str">
        <f t="shared" si="113"/>
        <v>-</v>
      </c>
      <c r="N128" s="263" t="str">
        <f t="shared" si="114"/>
        <v>-</v>
      </c>
      <c r="O128" s="508">
        <v>5.6550000000000002</v>
      </c>
      <c r="P128" s="404">
        <f t="shared" si="98"/>
        <v>0</v>
      </c>
      <c r="Q128" s="449">
        <f t="shared" si="99"/>
        <v>0</v>
      </c>
    </row>
    <row r="129" spans="1:17" ht="24" x14ac:dyDescent="0.35">
      <c r="A129" s="248" t="s">
        <v>101</v>
      </c>
      <c r="B129" s="1026"/>
      <c r="C129" s="543" t="s">
        <v>260</v>
      </c>
      <c r="D129" s="276"/>
      <c r="E129" s="436"/>
      <c r="F129" s="333">
        <f t="shared" si="100"/>
        <v>0</v>
      </c>
      <c r="G129" s="278"/>
      <c r="H129" s="278"/>
      <c r="I129" s="352" t="str">
        <f>IFERROR(F129/#REF!,"-")</f>
        <v>-</v>
      </c>
      <c r="J129" s="333">
        <f t="shared" si="101"/>
        <v>0</v>
      </c>
      <c r="K129" s="278">
        <f t="shared" ref="K129:L129" si="135">+G129+K66</f>
        <v>0</v>
      </c>
      <c r="L129" s="436">
        <f t="shared" si="135"/>
        <v>0</v>
      </c>
      <c r="M129" s="337" t="str">
        <f t="shared" si="113"/>
        <v>-</v>
      </c>
      <c r="N129" s="263" t="str">
        <f t="shared" si="114"/>
        <v>-</v>
      </c>
      <c r="O129" s="508">
        <v>3.2963</v>
      </c>
      <c r="P129" s="404">
        <f t="shared" si="98"/>
        <v>0</v>
      </c>
      <c r="Q129" s="449">
        <f t="shared" si="99"/>
        <v>0</v>
      </c>
    </row>
    <row r="130" spans="1:17" ht="24.75" thickBot="1" x14ac:dyDescent="0.4">
      <c r="A130" s="248" t="s">
        <v>101</v>
      </c>
      <c r="B130" s="1027"/>
      <c r="C130" s="543" t="s">
        <v>255</v>
      </c>
      <c r="D130" s="276"/>
      <c r="E130" s="436"/>
      <c r="F130" s="333">
        <f t="shared" si="100"/>
        <v>0</v>
      </c>
      <c r="G130" s="278"/>
      <c r="H130" s="278"/>
      <c r="I130" s="352" t="str">
        <f>IFERROR(F130/#REF!,"-")</f>
        <v>-</v>
      </c>
      <c r="J130" s="333">
        <f t="shared" si="101"/>
        <v>0</v>
      </c>
      <c r="K130" s="278">
        <f t="shared" ref="K130:L130" si="136">+G130+K67</f>
        <v>0</v>
      </c>
      <c r="L130" s="436">
        <f t="shared" si="136"/>
        <v>0</v>
      </c>
      <c r="M130" s="337" t="str">
        <f t="shared" si="113"/>
        <v>-</v>
      </c>
      <c r="N130" s="263" t="str">
        <f t="shared" si="114"/>
        <v>-</v>
      </c>
      <c r="O130" s="508">
        <v>3.2963</v>
      </c>
      <c r="P130" s="404">
        <f t="shared" si="98"/>
        <v>0</v>
      </c>
      <c r="Q130" s="449">
        <f t="shared" si="99"/>
        <v>0</v>
      </c>
    </row>
    <row r="131" spans="1:17" ht="24" x14ac:dyDescent="0.35">
      <c r="A131" s="248" t="s">
        <v>101</v>
      </c>
      <c r="B131" s="546"/>
      <c r="C131" s="544" t="s">
        <v>89</v>
      </c>
      <c r="D131" s="511"/>
      <c r="E131" s="436"/>
      <c r="F131" s="333">
        <f t="shared" si="100"/>
        <v>0</v>
      </c>
      <c r="G131" s="278"/>
      <c r="H131" s="278"/>
      <c r="I131" s="352" t="str">
        <f>IFERROR(F131/#REF!,"-")</f>
        <v>-</v>
      </c>
      <c r="J131" s="333">
        <f t="shared" si="101"/>
        <v>0</v>
      </c>
      <c r="K131" s="278">
        <f t="shared" ref="K131:L131" si="137">+G131+K68</f>
        <v>0</v>
      </c>
      <c r="L131" s="436">
        <f t="shared" si="137"/>
        <v>0</v>
      </c>
      <c r="M131" s="337" t="str">
        <f t="shared" si="113"/>
        <v>-</v>
      </c>
      <c r="N131" s="263" t="str">
        <f t="shared" si="114"/>
        <v>-</v>
      </c>
      <c r="O131" s="508">
        <v>2.3201000000000001</v>
      </c>
      <c r="P131" s="404">
        <f t="shared" si="98"/>
        <v>0</v>
      </c>
      <c r="Q131" s="449">
        <f t="shared" si="99"/>
        <v>0</v>
      </c>
    </row>
    <row r="132" spans="1:17" ht="24.75" thickBot="1" x14ac:dyDescent="0.3">
      <c r="A132" s="248" t="s">
        <v>101</v>
      </c>
      <c r="B132" s="524"/>
      <c r="C132" s="541"/>
      <c r="D132" s="530"/>
      <c r="E132" s="462"/>
      <c r="F132" s="460">
        <f t="shared" si="100"/>
        <v>0</v>
      </c>
      <c r="G132" s="461"/>
      <c r="H132" s="461"/>
      <c r="I132" s="532" t="str">
        <f>IFERROR(F132/#REF!,"-")</f>
        <v>-</v>
      </c>
      <c r="J132" s="460">
        <f t="shared" si="101"/>
        <v>0</v>
      </c>
      <c r="K132" s="461">
        <f t="shared" ref="K132:L132" si="138">+G132+K69</f>
        <v>0</v>
      </c>
      <c r="L132" s="462">
        <f t="shared" si="138"/>
        <v>0</v>
      </c>
      <c r="M132" s="683" t="str">
        <f t="shared" si="113"/>
        <v>-</v>
      </c>
      <c r="N132" s="264" t="str">
        <f t="shared" si="114"/>
        <v>-</v>
      </c>
      <c r="O132" s="539"/>
      <c r="P132" s="536">
        <f t="shared" si="98"/>
        <v>0</v>
      </c>
      <c r="Q132" s="537">
        <f t="shared" si="99"/>
        <v>0</v>
      </c>
    </row>
    <row r="133" spans="1:17" ht="23.25" customHeight="1" thickBot="1" x14ac:dyDescent="0.3">
      <c r="A133" s="274" t="s">
        <v>101</v>
      </c>
      <c r="B133" s="1028" t="s">
        <v>25</v>
      </c>
      <c r="C133" s="964"/>
      <c r="D133" s="513">
        <f>SUM(D106:D132)</f>
        <v>0</v>
      </c>
      <c r="E133" s="526">
        <v>100000</v>
      </c>
      <c r="F133" s="519">
        <f>SUM(F101:F132)</f>
        <v>135230</v>
      </c>
      <c r="G133" s="519">
        <f>SUM(G101:G132)</f>
        <v>134420</v>
      </c>
      <c r="H133" s="519">
        <f>SUM(H101:H132)</f>
        <v>810</v>
      </c>
      <c r="I133" s="520" t="str">
        <f>IFERROR(F133/#REF!,"-")</f>
        <v>-</v>
      </c>
      <c r="J133" s="513">
        <f>SUM(J101:J132)</f>
        <v>235923</v>
      </c>
      <c r="K133" s="513">
        <f t="shared" ref="K133:L133" si="139">SUM(K101:K132)</f>
        <v>234603</v>
      </c>
      <c r="L133" s="513">
        <f t="shared" si="139"/>
        <v>1320</v>
      </c>
      <c r="M133" s="521" t="str">
        <f t="shared" si="113"/>
        <v>-</v>
      </c>
      <c r="N133" s="520">
        <f t="shared" si="114"/>
        <v>5.5950458412278581E-3</v>
      </c>
      <c r="O133" s="522"/>
      <c r="P133" s="523">
        <f>SUM(P101:P132)</f>
        <v>1180451.8800000001</v>
      </c>
      <c r="Q133" s="523">
        <f>SUM(Q101:Q132)</f>
        <v>1836838.1853999998</v>
      </c>
    </row>
    <row r="134" spans="1:17" ht="23.25" customHeight="1" thickBot="1" x14ac:dyDescent="0.3">
      <c r="A134" s="318" t="s">
        <v>101</v>
      </c>
      <c r="B134" s="1029" t="s">
        <v>249</v>
      </c>
      <c r="C134" s="1030"/>
      <c r="D134" s="326">
        <f>+D105+D133</f>
        <v>0</v>
      </c>
      <c r="E134" s="327">
        <f>+E105+E133</f>
        <v>100000</v>
      </c>
      <c r="F134" s="326">
        <f>+F133</f>
        <v>135230</v>
      </c>
      <c r="G134" s="326">
        <f t="shared" ref="G134:H134" si="140">+G133</f>
        <v>134420</v>
      </c>
      <c r="H134" s="326">
        <f t="shared" si="140"/>
        <v>810</v>
      </c>
      <c r="I134" s="349" t="str">
        <f>IFERROR(F134/#REF!,"-")</f>
        <v>-</v>
      </c>
      <c r="J134" s="326">
        <f>+J133</f>
        <v>235923</v>
      </c>
      <c r="K134" s="326">
        <f t="shared" ref="K134:L134" si="141">+K133</f>
        <v>234603</v>
      </c>
      <c r="L134" s="326">
        <f t="shared" si="141"/>
        <v>1320</v>
      </c>
      <c r="M134" s="341" t="str">
        <f t="shared" si="113"/>
        <v>-</v>
      </c>
      <c r="N134" s="349">
        <f t="shared" si="114"/>
        <v>5.5950458412278581E-3</v>
      </c>
      <c r="O134" s="394"/>
      <c r="P134" s="410">
        <f>+P133</f>
        <v>1180451.8800000001</v>
      </c>
      <c r="Q134" s="428">
        <f>Q133</f>
        <v>1836838.1853999998</v>
      </c>
    </row>
    <row r="135" spans="1:17" ht="26.25" thickBot="1" x14ac:dyDescent="0.3">
      <c r="A135" s="319"/>
      <c r="B135" s="1031" t="s">
        <v>174</v>
      </c>
      <c r="C135" s="1032"/>
      <c r="D135" s="374">
        <f>+D134+D100+D91</f>
        <v>0</v>
      </c>
      <c r="E135" s="374">
        <f>+E134+E100+E91</f>
        <v>230000</v>
      </c>
      <c r="F135" s="374">
        <f>+F134+F100+F91</f>
        <v>390940</v>
      </c>
      <c r="G135" s="374">
        <f>+G134+G100+G91</f>
        <v>387420</v>
      </c>
      <c r="H135" s="374">
        <f>+H134+H100+H91</f>
        <v>3520</v>
      </c>
      <c r="I135" s="375" t="str">
        <f>IFERROR(F135/#REF!,"-")</f>
        <v>-</v>
      </c>
      <c r="J135" s="374">
        <f>+J134+J100+J91</f>
        <v>746541</v>
      </c>
      <c r="K135" s="374">
        <f>+K134+K100+K91</f>
        <v>739153</v>
      </c>
      <c r="L135" s="374">
        <f>+L134+L100+L91</f>
        <v>7388</v>
      </c>
      <c r="M135" s="375" t="str">
        <f t="shared" si="113"/>
        <v>-</v>
      </c>
      <c r="N135" s="375">
        <f>IFERROR(L135/J135,"-")</f>
        <v>9.8963084411974687E-3</v>
      </c>
      <c r="O135" s="401"/>
      <c r="P135" s="418">
        <f>+P134+P100+P91</f>
        <v>2144438.9800000004</v>
      </c>
      <c r="Q135" s="418">
        <f>+Q134+Q100+Q91</f>
        <v>3796445.1954000001</v>
      </c>
    </row>
    <row r="136" spans="1:17" ht="24.6" customHeight="1" thickBot="1" x14ac:dyDescent="0.3">
      <c r="A136" s="230"/>
      <c r="B136" s="230"/>
      <c r="C136" s="230"/>
      <c r="D136" s="232"/>
      <c r="E136" s="232"/>
      <c r="F136" s="232"/>
      <c r="G136" s="267"/>
      <c r="H136" s="267"/>
      <c r="I136" s="234"/>
      <c r="J136" s="232"/>
      <c r="K136" s="232"/>
      <c r="L136" s="232"/>
      <c r="M136" s="234"/>
      <c r="N136" s="234"/>
    </row>
    <row r="137" spans="1:17" ht="22.5" customHeight="1" x14ac:dyDescent="0.25">
      <c r="A137" s="1033" t="s">
        <v>1</v>
      </c>
      <c r="B137" s="1036" t="s">
        <v>2</v>
      </c>
      <c r="C137" s="1039" t="s">
        <v>396</v>
      </c>
      <c r="D137" s="987" t="s">
        <v>4</v>
      </c>
      <c r="E137" s="988"/>
      <c r="F137" s="988"/>
      <c r="G137" s="988"/>
      <c r="H137" s="988"/>
      <c r="I137" s="988"/>
      <c r="J137" s="988"/>
      <c r="K137" s="988"/>
      <c r="L137" s="988"/>
      <c r="M137" s="988"/>
      <c r="N137" s="989"/>
      <c r="O137" s="1011" t="s">
        <v>167</v>
      </c>
      <c r="P137" s="1012"/>
      <c r="Q137" s="1042"/>
    </row>
    <row r="138" spans="1:17" ht="22.5" customHeight="1" x14ac:dyDescent="0.25">
      <c r="A138" s="1034"/>
      <c r="B138" s="1037"/>
      <c r="C138" s="1040"/>
      <c r="D138" s="990" t="s">
        <v>7</v>
      </c>
      <c r="E138" s="992" t="s">
        <v>108</v>
      </c>
      <c r="F138" s="1043" t="s">
        <v>489</v>
      </c>
      <c r="G138" s="995"/>
      <c r="H138" s="995"/>
      <c r="I138" s="996"/>
      <c r="J138" s="997" t="s">
        <v>8</v>
      </c>
      <c r="K138" s="998"/>
      <c r="L138" s="999"/>
      <c r="M138" s="1000" t="s">
        <v>165</v>
      </c>
      <c r="N138" s="1002" t="s">
        <v>164</v>
      </c>
      <c r="O138" s="1044" t="s">
        <v>169</v>
      </c>
      <c r="P138" s="1045"/>
      <c r="Q138" s="1046"/>
    </row>
    <row r="139" spans="1:17" ht="45.75" thickBot="1" x14ac:dyDescent="0.3">
      <c r="A139" s="1035"/>
      <c r="B139" s="1038"/>
      <c r="C139" s="1041"/>
      <c r="D139" s="991"/>
      <c r="E139" s="993"/>
      <c r="F139" s="452" t="s">
        <v>13</v>
      </c>
      <c r="G139" s="453" t="s">
        <v>14</v>
      </c>
      <c r="H139" s="453" t="s">
        <v>15</v>
      </c>
      <c r="I139" s="454" t="s">
        <v>166</v>
      </c>
      <c r="J139" s="680" t="s">
        <v>13</v>
      </c>
      <c r="K139" s="678" t="s">
        <v>14</v>
      </c>
      <c r="L139" s="679" t="s">
        <v>15</v>
      </c>
      <c r="M139" s="1001"/>
      <c r="N139" s="1003"/>
      <c r="O139" s="444" t="s">
        <v>170</v>
      </c>
      <c r="P139" s="445" t="s">
        <v>11</v>
      </c>
      <c r="Q139" s="446" t="s">
        <v>12</v>
      </c>
    </row>
    <row r="140" spans="1:17" ht="24" x14ac:dyDescent="0.25">
      <c r="A140" s="268" t="s">
        <v>103</v>
      </c>
      <c r="B140" s="439"/>
      <c r="C140" s="269" t="s">
        <v>246</v>
      </c>
      <c r="D140" s="270"/>
      <c r="E140" s="271"/>
      <c r="F140" s="332">
        <f>+G140+H140</f>
        <v>0</v>
      </c>
      <c r="G140" s="272"/>
      <c r="H140" s="272"/>
      <c r="I140" s="351" t="str">
        <f>IFERROR(F140/#REF!,"-")</f>
        <v>-</v>
      </c>
      <c r="J140" s="457">
        <f>+K140+L140</f>
        <v>0</v>
      </c>
      <c r="K140" s="458">
        <f>+G140+K77</f>
        <v>0</v>
      </c>
      <c r="L140" s="458">
        <f>+H140+L77</f>
        <v>0</v>
      </c>
      <c r="M140" s="336" t="str">
        <f>IFERROR(J140/D140,"-")</f>
        <v>-</v>
      </c>
      <c r="N140" s="343" t="str">
        <f t="shared" ref="N140:N141" si="142">IFERROR(L140/J140,"-")</f>
        <v>-</v>
      </c>
      <c r="O140" s="507">
        <v>1.5669</v>
      </c>
      <c r="P140" s="402">
        <f>+O140*G140</f>
        <v>0</v>
      </c>
      <c r="Q140" s="447">
        <f>+O140*K140</f>
        <v>0</v>
      </c>
    </row>
    <row r="141" spans="1:17" ht="24" x14ac:dyDescent="0.25">
      <c r="A141" s="274" t="s">
        <v>103</v>
      </c>
      <c r="B141" s="438"/>
      <c r="C141" s="275" t="s">
        <v>245</v>
      </c>
      <c r="D141" s="276"/>
      <c r="E141" s="277"/>
      <c r="F141" s="333">
        <f t="shared" ref="F141:F144" si="143">+G141+H141</f>
        <v>0</v>
      </c>
      <c r="G141" s="719"/>
      <c r="H141" s="719"/>
      <c r="I141" s="352" t="str">
        <f>IFERROR(F141/#REF!,"-")</f>
        <v>-</v>
      </c>
      <c r="J141" s="333">
        <f t="shared" ref="J141:J144" si="144">+K141+L141</f>
        <v>115874</v>
      </c>
      <c r="K141" s="278">
        <f t="shared" ref="K141:K144" si="145">+G141+K78</f>
        <v>115000</v>
      </c>
      <c r="L141" s="436">
        <f t="shared" ref="L141:L144" si="146">+H141+L78</f>
        <v>874</v>
      </c>
      <c r="M141" s="337" t="str">
        <f t="shared" ref="M141:M144" si="147">IFERROR(J141/D141,"-")</f>
        <v>-</v>
      </c>
      <c r="N141" s="265">
        <f t="shared" si="142"/>
        <v>7.5426756649464074E-3</v>
      </c>
      <c r="O141" s="508">
        <v>2.3978999999999999</v>
      </c>
      <c r="P141" s="404">
        <f>+O141*G141</f>
        <v>0</v>
      </c>
      <c r="Q141" s="449">
        <f>+O141*K141</f>
        <v>275758.5</v>
      </c>
    </row>
    <row r="142" spans="1:17" ht="24" x14ac:dyDescent="0.25">
      <c r="A142" s="274" t="s">
        <v>103</v>
      </c>
      <c r="B142" s="438"/>
      <c r="C142" s="275" t="s">
        <v>395</v>
      </c>
      <c r="D142" s="276"/>
      <c r="E142" s="277"/>
      <c r="F142" s="333">
        <f t="shared" si="143"/>
        <v>58134</v>
      </c>
      <c r="G142" s="278">
        <v>57500</v>
      </c>
      <c r="H142" s="719">
        <v>634</v>
      </c>
      <c r="I142" s="352" t="str">
        <f>IFERROR(F142/#REF!,"-")</f>
        <v>-</v>
      </c>
      <c r="J142" s="333">
        <f t="shared" si="144"/>
        <v>158728</v>
      </c>
      <c r="K142" s="278">
        <f t="shared" si="145"/>
        <v>157000</v>
      </c>
      <c r="L142" s="436">
        <f t="shared" si="146"/>
        <v>1728</v>
      </c>
      <c r="M142" s="337" t="str">
        <f t="shared" si="147"/>
        <v>-</v>
      </c>
      <c r="N142" s="716">
        <f>IFERROR(L142/J142,"-")</f>
        <v>1.0886548057053577E-2</v>
      </c>
      <c r="O142" s="718">
        <v>3.6777000000000002</v>
      </c>
      <c r="P142" s="404">
        <f t="shared" ref="P142:P144" si="148">+O142*G142</f>
        <v>211467.75</v>
      </c>
      <c r="Q142" s="449">
        <f t="shared" ref="Q142:Q144" si="149">+O142*K142</f>
        <v>577398.9</v>
      </c>
    </row>
    <row r="143" spans="1:17" ht="24" x14ac:dyDescent="0.25">
      <c r="A143" s="274"/>
      <c r="B143" s="451"/>
      <c r="C143" s="275" t="s">
        <v>319</v>
      </c>
      <c r="D143" s="280"/>
      <c r="E143" s="281"/>
      <c r="F143" s="333">
        <f t="shared" si="143"/>
        <v>44474</v>
      </c>
      <c r="G143" s="282">
        <v>44000</v>
      </c>
      <c r="H143" s="282">
        <v>474</v>
      </c>
      <c r="I143" s="352" t="str">
        <f>IFERROR(F143/#REF!,"-")</f>
        <v>-</v>
      </c>
      <c r="J143" s="333">
        <f t="shared" si="144"/>
        <v>91052</v>
      </c>
      <c r="K143" s="278">
        <f t="shared" si="145"/>
        <v>89800</v>
      </c>
      <c r="L143" s="436">
        <f t="shared" si="146"/>
        <v>1252</v>
      </c>
      <c r="M143" s="337" t="str">
        <f t="shared" si="147"/>
        <v>-</v>
      </c>
      <c r="N143" s="265">
        <f>IFERROR(L143/J143,"-")</f>
        <v>1.3750384395729913E-2</v>
      </c>
      <c r="O143" s="509">
        <v>12.284700000000001</v>
      </c>
      <c r="P143" s="404">
        <f t="shared" si="148"/>
        <v>540526.80000000005</v>
      </c>
      <c r="Q143" s="449">
        <f t="shared" si="149"/>
        <v>1103166.06</v>
      </c>
    </row>
    <row r="144" spans="1:17" ht="24.75" thickBot="1" x14ac:dyDescent="0.3">
      <c r="A144" s="274" t="s">
        <v>103</v>
      </c>
      <c r="B144" s="451"/>
      <c r="C144" s="275" t="s">
        <v>365</v>
      </c>
      <c r="D144" s="280"/>
      <c r="E144" s="281"/>
      <c r="F144" s="334">
        <f t="shared" si="143"/>
        <v>0</v>
      </c>
      <c r="G144" s="282"/>
      <c r="H144" s="282"/>
      <c r="I144" s="353" t="str">
        <f>IFERROR(F144/#REF!,"-")</f>
        <v>-</v>
      </c>
      <c r="J144" s="460">
        <f t="shared" si="144"/>
        <v>45034</v>
      </c>
      <c r="K144" s="461">
        <f t="shared" si="145"/>
        <v>44250</v>
      </c>
      <c r="L144" s="462">
        <f t="shared" si="146"/>
        <v>784</v>
      </c>
      <c r="M144" s="338" t="str">
        <f t="shared" si="147"/>
        <v>-</v>
      </c>
      <c r="N144" s="344">
        <f t="shared" ref="N144:N156" si="150">IFERROR(L144/J144,"-")</f>
        <v>1.7409068703646134E-2</v>
      </c>
      <c r="O144" s="718">
        <v>7.0612000000000004</v>
      </c>
      <c r="P144" s="405">
        <f t="shared" si="148"/>
        <v>0</v>
      </c>
      <c r="Q144" s="450">
        <f t="shared" si="149"/>
        <v>312458.10000000003</v>
      </c>
    </row>
    <row r="145" spans="1:17" ht="23.25" customHeight="1" thickBot="1" x14ac:dyDescent="0.3">
      <c r="A145" s="274" t="s">
        <v>103</v>
      </c>
      <c r="B145" s="1028" t="s">
        <v>21</v>
      </c>
      <c r="C145" s="964"/>
      <c r="D145" s="320">
        <f>SUM(D140:D144)</f>
        <v>0</v>
      </c>
      <c r="E145" s="285">
        <v>15000</v>
      </c>
      <c r="F145" s="320">
        <f>SUM(F140:F144)</f>
        <v>102608</v>
      </c>
      <c r="G145" s="321">
        <f>SUM(G140:G144)</f>
        <v>101500</v>
      </c>
      <c r="H145" s="321">
        <f>SUM(H140:H144)</f>
        <v>1108</v>
      </c>
      <c r="I145" s="345" t="str">
        <f>IFERROR(F145/#REF!,"-")</f>
        <v>-</v>
      </c>
      <c r="J145" s="320">
        <f>SUM(J140:J144)</f>
        <v>410688</v>
      </c>
      <c r="K145" s="321">
        <f>SUM(K140:K144)</f>
        <v>406050</v>
      </c>
      <c r="L145" s="322">
        <f>SUM(L140:L144)</f>
        <v>4638</v>
      </c>
      <c r="M145" s="339" t="str">
        <f>IFERROR(J145/D145,"-")</f>
        <v>-</v>
      </c>
      <c r="N145" s="345">
        <f t="shared" si="150"/>
        <v>1.1293244506778868E-2</v>
      </c>
      <c r="O145" s="391"/>
      <c r="P145" s="406">
        <f>SUM(P140:P144)</f>
        <v>751994.55</v>
      </c>
      <c r="Q145" s="425">
        <f>SUM(Q140:Q144)</f>
        <v>2268781.56</v>
      </c>
    </row>
    <row r="146" spans="1:17" ht="24" x14ac:dyDescent="0.25">
      <c r="A146" s="274" t="s">
        <v>103</v>
      </c>
      <c r="B146" s="439"/>
      <c r="C146" s="269" t="s">
        <v>244</v>
      </c>
      <c r="D146" s="270"/>
      <c r="E146" s="271"/>
      <c r="F146" s="332">
        <f t="shared" ref="F146:F152" si="151">+G146+H146</f>
        <v>0</v>
      </c>
      <c r="G146" s="272"/>
      <c r="H146" s="272"/>
      <c r="I146" s="351" t="str">
        <f>IFERROR(F146/#REF!,"-")</f>
        <v>-</v>
      </c>
      <c r="J146" s="457">
        <f t="shared" ref="J146:J152" si="152">+K146+L146</f>
        <v>0</v>
      </c>
      <c r="K146" s="458">
        <f t="shared" ref="K146:K152" si="153">+G146+K83</f>
        <v>0</v>
      </c>
      <c r="L146" s="459">
        <f t="shared" ref="L146:L152" si="154">+H146+L83</f>
        <v>0</v>
      </c>
      <c r="M146" s="336" t="str">
        <f t="shared" ref="M146:M154" si="155">IFERROR(J146/D146,"-")</f>
        <v>-</v>
      </c>
      <c r="N146" s="346" t="str">
        <f t="shared" si="150"/>
        <v>-</v>
      </c>
      <c r="O146" s="507">
        <v>18.2316</v>
      </c>
      <c r="P146" s="402">
        <f t="shared" ref="P146:P152" si="156">+O146*G146</f>
        <v>0</v>
      </c>
      <c r="Q146" s="447">
        <f t="shared" ref="Q146:Q152" si="157">+O146*K146</f>
        <v>0</v>
      </c>
    </row>
    <row r="147" spans="1:17" ht="24" x14ac:dyDescent="0.25">
      <c r="A147" s="274" t="s">
        <v>103</v>
      </c>
      <c r="B147" s="438"/>
      <c r="C147" s="275" t="s">
        <v>89</v>
      </c>
      <c r="D147" s="276"/>
      <c r="E147" s="277"/>
      <c r="F147" s="333">
        <f t="shared" si="151"/>
        <v>60000</v>
      </c>
      <c r="G147" s="278">
        <v>60000</v>
      </c>
      <c r="H147" s="278"/>
      <c r="I147" s="352" t="str">
        <f>IFERROR(F147/#REF!,"-")</f>
        <v>-</v>
      </c>
      <c r="J147" s="333">
        <f t="shared" si="152"/>
        <v>60000</v>
      </c>
      <c r="K147" s="278">
        <f t="shared" si="153"/>
        <v>60000</v>
      </c>
      <c r="L147" s="436">
        <f t="shared" si="154"/>
        <v>0</v>
      </c>
      <c r="M147" s="337" t="str">
        <f t="shared" si="155"/>
        <v>-</v>
      </c>
      <c r="N147" s="263">
        <f t="shared" si="150"/>
        <v>0</v>
      </c>
      <c r="O147" s="508">
        <v>1.2824</v>
      </c>
      <c r="P147" s="404">
        <f t="shared" si="156"/>
        <v>76944</v>
      </c>
      <c r="Q147" s="449">
        <f t="shared" si="157"/>
        <v>76944</v>
      </c>
    </row>
    <row r="148" spans="1:17" ht="24" x14ac:dyDescent="0.25">
      <c r="A148" s="274" t="s">
        <v>103</v>
      </c>
      <c r="B148" s="438"/>
      <c r="C148" s="275" t="s">
        <v>300</v>
      </c>
      <c r="D148" s="276"/>
      <c r="E148" s="277"/>
      <c r="F148" s="333">
        <f t="shared" si="151"/>
        <v>0</v>
      </c>
      <c r="G148" s="278"/>
      <c r="H148" s="278"/>
      <c r="I148" s="352" t="str">
        <f>IFERROR(F148/#REF!,"-")</f>
        <v>-</v>
      </c>
      <c r="J148" s="333">
        <f t="shared" si="152"/>
        <v>0</v>
      </c>
      <c r="K148" s="278">
        <f t="shared" si="153"/>
        <v>0</v>
      </c>
      <c r="L148" s="436">
        <f t="shared" si="154"/>
        <v>0</v>
      </c>
      <c r="M148" s="337" t="str">
        <f t="shared" si="155"/>
        <v>-</v>
      </c>
      <c r="N148" s="263" t="str">
        <f t="shared" si="150"/>
        <v>-</v>
      </c>
      <c r="O148" s="710">
        <v>5.7342000000000004</v>
      </c>
      <c r="P148" s="404">
        <f t="shared" si="156"/>
        <v>0</v>
      </c>
      <c r="Q148" s="449">
        <f t="shared" si="157"/>
        <v>0</v>
      </c>
    </row>
    <row r="149" spans="1:17" ht="24" x14ac:dyDescent="0.25">
      <c r="A149" s="274" t="s">
        <v>103</v>
      </c>
      <c r="B149" s="438"/>
      <c r="C149" s="275" t="s">
        <v>314</v>
      </c>
      <c r="D149" s="276"/>
      <c r="E149" s="277"/>
      <c r="F149" s="333">
        <f t="shared" si="151"/>
        <v>0</v>
      </c>
      <c r="G149" s="278"/>
      <c r="H149" s="278"/>
      <c r="I149" s="352" t="str">
        <f>IFERROR(F149/#REF!,"-")</f>
        <v>-</v>
      </c>
      <c r="J149" s="333">
        <f t="shared" si="152"/>
        <v>0</v>
      </c>
      <c r="K149" s="278">
        <f t="shared" si="153"/>
        <v>0</v>
      </c>
      <c r="L149" s="436">
        <f t="shared" si="154"/>
        <v>0</v>
      </c>
      <c r="M149" s="337" t="str">
        <f t="shared" si="155"/>
        <v>-</v>
      </c>
      <c r="N149" s="263" t="str">
        <f t="shared" si="150"/>
        <v>-</v>
      </c>
      <c r="O149" s="508"/>
      <c r="P149" s="404">
        <f t="shared" si="156"/>
        <v>0</v>
      </c>
      <c r="Q149" s="449">
        <f t="shared" si="157"/>
        <v>0</v>
      </c>
    </row>
    <row r="150" spans="1:17" ht="24" x14ac:dyDescent="0.25">
      <c r="A150" s="274" t="s">
        <v>103</v>
      </c>
      <c r="B150" s="438"/>
      <c r="C150" s="275" t="s">
        <v>320</v>
      </c>
      <c r="D150" s="276"/>
      <c r="E150" s="277"/>
      <c r="F150" s="333">
        <f t="shared" si="151"/>
        <v>18045</v>
      </c>
      <c r="G150" s="278">
        <v>18000</v>
      </c>
      <c r="H150" s="278">
        <v>45</v>
      </c>
      <c r="I150" s="352" t="str">
        <f>IFERROR(F150/#REF!,"-")</f>
        <v>-</v>
      </c>
      <c r="J150" s="333">
        <f t="shared" si="152"/>
        <v>18045</v>
      </c>
      <c r="K150" s="278">
        <f t="shared" si="153"/>
        <v>18000</v>
      </c>
      <c r="L150" s="436">
        <f t="shared" si="154"/>
        <v>45</v>
      </c>
      <c r="M150" s="337" t="str">
        <f t="shared" si="155"/>
        <v>-</v>
      </c>
      <c r="N150" s="263">
        <f t="shared" si="150"/>
        <v>2.4937655860349127E-3</v>
      </c>
      <c r="O150" s="508">
        <v>12.029500000000001</v>
      </c>
      <c r="P150" s="404">
        <f t="shared" si="156"/>
        <v>216531</v>
      </c>
      <c r="Q150" s="449">
        <f t="shared" si="157"/>
        <v>216531</v>
      </c>
    </row>
    <row r="151" spans="1:17" ht="24" x14ac:dyDescent="0.25">
      <c r="A151" s="274" t="s">
        <v>103</v>
      </c>
      <c r="B151" s="438"/>
      <c r="C151" s="275"/>
      <c r="D151" s="276"/>
      <c r="E151" s="277"/>
      <c r="F151" s="333">
        <f t="shared" si="151"/>
        <v>0</v>
      </c>
      <c r="G151" s="278"/>
      <c r="H151" s="278"/>
      <c r="I151" s="352" t="str">
        <f>IFERROR(F151/#REF!,"-")</f>
        <v>-</v>
      </c>
      <c r="J151" s="333">
        <f t="shared" si="152"/>
        <v>0</v>
      </c>
      <c r="K151" s="278">
        <f t="shared" si="153"/>
        <v>0</v>
      </c>
      <c r="L151" s="436">
        <f t="shared" si="154"/>
        <v>0</v>
      </c>
      <c r="M151" s="337" t="str">
        <f t="shared" si="155"/>
        <v>-</v>
      </c>
      <c r="N151" s="263" t="str">
        <f t="shared" si="150"/>
        <v>-</v>
      </c>
      <c r="O151" s="508"/>
      <c r="P151" s="404">
        <f t="shared" si="156"/>
        <v>0</v>
      </c>
      <c r="Q151" s="449">
        <f t="shared" si="157"/>
        <v>0</v>
      </c>
    </row>
    <row r="152" spans="1:17" ht="24.75" thickBot="1" x14ac:dyDescent="0.3">
      <c r="A152" s="274" t="s">
        <v>103</v>
      </c>
      <c r="B152" s="451"/>
      <c r="C152" s="279"/>
      <c r="D152" s="280">
        <v>0</v>
      </c>
      <c r="E152" s="281"/>
      <c r="F152" s="334">
        <f t="shared" si="151"/>
        <v>0</v>
      </c>
      <c r="G152" s="282"/>
      <c r="H152" s="282"/>
      <c r="I152" s="353" t="str">
        <f>IFERROR(F152/#REF!,"-")</f>
        <v>-</v>
      </c>
      <c r="J152" s="460">
        <f t="shared" si="152"/>
        <v>0</v>
      </c>
      <c r="K152" s="461">
        <f t="shared" si="153"/>
        <v>0</v>
      </c>
      <c r="L152" s="462">
        <f t="shared" si="154"/>
        <v>0</v>
      </c>
      <c r="M152" s="338" t="str">
        <f t="shared" si="155"/>
        <v>-</v>
      </c>
      <c r="N152" s="347" t="str">
        <f t="shared" si="150"/>
        <v>-</v>
      </c>
      <c r="O152" s="509"/>
      <c r="P152" s="405">
        <f t="shared" si="156"/>
        <v>0</v>
      </c>
      <c r="Q152" s="450">
        <f t="shared" si="157"/>
        <v>0</v>
      </c>
    </row>
    <row r="153" spans="1:17" ht="23.25" customHeight="1" thickBot="1" x14ac:dyDescent="0.3">
      <c r="A153" s="274" t="s">
        <v>103</v>
      </c>
      <c r="B153" s="1028" t="s">
        <v>25</v>
      </c>
      <c r="C153" s="964"/>
      <c r="D153" s="320">
        <f t="shared" ref="D153" si="158">SUM(D146:D152)</f>
        <v>0</v>
      </c>
      <c r="E153" s="285">
        <v>100000</v>
      </c>
      <c r="F153" s="320">
        <f>SUM(F146:F152)</f>
        <v>78045</v>
      </c>
      <c r="G153" s="321">
        <f t="shared" ref="G153:H153" si="159">SUM(G146:G152)</f>
        <v>78000</v>
      </c>
      <c r="H153" s="321">
        <f t="shared" si="159"/>
        <v>45</v>
      </c>
      <c r="I153" s="345" t="str">
        <f>IFERROR(F153/#REF!,"-")</f>
        <v>-</v>
      </c>
      <c r="J153" s="320">
        <f t="shared" ref="J153:L153" si="160">SUM(J146:J152)</f>
        <v>78045</v>
      </c>
      <c r="K153" s="321">
        <f t="shared" si="160"/>
        <v>78000</v>
      </c>
      <c r="L153" s="322">
        <f t="shared" si="160"/>
        <v>45</v>
      </c>
      <c r="M153" s="339" t="str">
        <f t="shared" si="155"/>
        <v>-</v>
      </c>
      <c r="N153" s="345">
        <f t="shared" si="150"/>
        <v>5.7659042859888531E-4</v>
      </c>
      <c r="O153" s="391"/>
      <c r="P153" s="406">
        <f t="shared" ref="P153:Q153" si="161">SUM(P146:P152)</f>
        <v>293475</v>
      </c>
      <c r="Q153" s="425">
        <f t="shared" si="161"/>
        <v>293475</v>
      </c>
    </row>
    <row r="154" spans="1:17" ht="23.25" customHeight="1" thickBot="1" x14ac:dyDescent="0.3">
      <c r="A154" s="274" t="s">
        <v>103</v>
      </c>
      <c r="B154" s="1029" t="s">
        <v>172</v>
      </c>
      <c r="C154" s="1030"/>
      <c r="D154" s="326">
        <f>+D145+D153</f>
        <v>0</v>
      </c>
      <c r="E154" s="327">
        <f t="shared" ref="E154:H154" si="162">+E145+E153</f>
        <v>115000</v>
      </c>
      <c r="F154" s="326">
        <f t="shared" si="162"/>
        <v>180653</v>
      </c>
      <c r="G154" s="324">
        <f t="shared" si="162"/>
        <v>179500</v>
      </c>
      <c r="H154" s="324">
        <f t="shared" si="162"/>
        <v>1153</v>
      </c>
      <c r="I154" s="349" t="str">
        <f>IFERROR(F154/#REF!,"-")</f>
        <v>-</v>
      </c>
      <c r="J154" s="326">
        <f t="shared" ref="J154:L154" si="163">+J145+J153</f>
        <v>488733</v>
      </c>
      <c r="K154" s="324">
        <f t="shared" si="163"/>
        <v>484050</v>
      </c>
      <c r="L154" s="325">
        <f t="shared" si="163"/>
        <v>4683</v>
      </c>
      <c r="M154" s="341" t="str">
        <f t="shared" si="155"/>
        <v>-</v>
      </c>
      <c r="N154" s="349">
        <f t="shared" si="150"/>
        <v>9.5819189618871654E-3</v>
      </c>
      <c r="O154" s="394"/>
      <c r="P154" s="410">
        <f t="shared" ref="P154:Q154" si="164">+P145+P153</f>
        <v>1045469.55</v>
      </c>
      <c r="Q154" s="428">
        <f t="shared" si="164"/>
        <v>2562256.56</v>
      </c>
    </row>
    <row r="155" spans="1:17" ht="24" x14ac:dyDescent="0.25">
      <c r="A155" s="244" t="s">
        <v>101</v>
      </c>
      <c r="B155" s="581"/>
      <c r="C155" s="582" t="s">
        <v>283</v>
      </c>
      <c r="D155" s="527"/>
      <c r="E155" s="459"/>
      <c r="F155" s="457">
        <f>+G155+H155</f>
        <v>0</v>
      </c>
      <c r="G155" s="458"/>
      <c r="H155" s="458"/>
      <c r="I155" s="531" t="str">
        <f>IFERROR(F155/#REF!,"-")</f>
        <v>-</v>
      </c>
      <c r="J155" s="457">
        <f>+K155+L155</f>
        <v>0</v>
      </c>
      <c r="K155" s="458">
        <f t="shared" ref="K155:K161" si="165">+G155+K92</f>
        <v>0</v>
      </c>
      <c r="L155" s="459">
        <f t="shared" ref="L155:L161" si="166">+H155+L92</f>
        <v>0</v>
      </c>
      <c r="M155" s="586" t="str">
        <f>IFERROR(J155/D155,"-")</f>
        <v>-</v>
      </c>
      <c r="N155" s="533" t="str">
        <f t="shared" si="150"/>
        <v>-</v>
      </c>
      <c r="O155" s="628">
        <v>4.8285999999999998</v>
      </c>
      <c r="P155" s="534">
        <f t="shared" ref="P155:P161" si="167">+O155*G155</f>
        <v>0</v>
      </c>
      <c r="Q155" s="535">
        <f t="shared" ref="Q155:Q161" si="168">+O155*K155</f>
        <v>0</v>
      </c>
    </row>
    <row r="156" spans="1:17" ht="24" x14ac:dyDescent="0.25">
      <c r="A156" s="248" t="s">
        <v>101</v>
      </c>
      <c r="B156" s="583"/>
      <c r="C156" s="275" t="s">
        <v>284</v>
      </c>
      <c r="D156" s="276"/>
      <c r="E156" s="436"/>
      <c r="F156" s="333">
        <f t="shared" ref="F156:F161" si="169">+G156+H156</f>
        <v>0</v>
      </c>
      <c r="G156" s="278"/>
      <c r="H156" s="278"/>
      <c r="I156" s="352" t="str">
        <f>IFERROR(F156/#REF!,"-")</f>
        <v>-</v>
      </c>
      <c r="J156" s="333">
        <f t="shared" ref="J156:J161" si="170">+K156+L156</f>
        <v>0</v>
      </c>
      <c r="K156" s="278">
        <f t="shared" si="165"/>
        <v>0</v>
      </c>
      <c r="L156" s="436">
        <f t="shared" si="166"/>
        <v>0</v>
      </c>
      <c r="M156" s="337" t="str">
        <f t="shared" ref="M156:M158" si="171">IFERROR(J156/D156,"-")</f>
        <v>-</v>
      </c>
      <c r="N156" s="265" t="str">
        <f t="shared" si="150"/>
        <v>-</v>
      </c>
      <c r="O156" s="629">
        <v>1.4086000000000001</v>
      </c>
      <c r="P156" s="404">
        <f t="shared" si="167"/>
        <v>0</v>
      </c>
      <c r="Q156" s="449">
        <f t="shared" si="168"/>
        <v>0</v>
      </c>
    </row>
    <row r="157" spans="1:17" ht="24" x14ac:dyDescent="0.25">
      <c r="A157" s="248" t="s">
        <v>101</v>
      </c>
      <c r="B157" s="583"/>
      <c r="C157" s="275" t="s">
        <v>315</v>
      </c>
      <c r="D157" s="276"/>
      <c r="E157" s="436"/>
      <c r="F157" s="333">
        <f t="shared" si="169"/>
        <v>0</v>
      </c>
      <c r="G157" s="278"/>
      <c r="H157" s="278"/>
      <c r="I157" s="352" t="str">
        <f>IFERROR(F157/#REF!,"-")</f>
        <v>-</v>
      </c>
      <c r="J157" s="333">
        <f t="shared" si="170"/>
        <v>0</v>
      </c>
      <c r="K157" s="278">
        <f t="shared" si="165"/>
        <v>0</v>
      </c>
      <c r="L157" s="436">
        <f t="shared" si="166"/>
        <v>0</v>
      </c>
      <c r="M157" s="337" t="str">
        <f t="shared" si="171"/>
        <v>-</v>
      </c>
      <c r="N157" s="265" t="str">
        <f>IFERROR(L157/J157,"-")</f>
        <v>-</v>
      </c>
      <c r="O157" s="629">
        <v>2.2141000000000002</v>
      </c>
      <c r="P157" s="404">
        <f t="shared" si="167"/>
        <v>0</v>
      </c>
      <c r="Q157" s="449">
        <f t="shared" si="168"/>
        <v>0</v>
      </c>
    </row>
    <row r="158" spans="1:17" ht="24" x14ac:dyDescent="0.25">
      <c r="A158" s="248" t="s">
        <v>101</v>
      </c>
      <c r="B158" s="584"/>
      <c r="C158" s="275" t="s">
        <v>447</v>
      </c>
      <c r="D158" s="280"/>
      <c r="E158" s="528"/>
      <c r="F158" s="334">
        <f t="shared" si="169"/>
        <v>93810</v>
      </c>
      <c r="G158" s="282">
        <v>93000</v>
      </c>
      <c r="H158" s="282">
        <v>810</v>
      </c>
      <c r="I158" s="353" t="str">
        <f>IFERROR(F158/#REF!,"-")</f>
        <v>-</v>
      </c>
      <c r="J158" s="333">
        <f t="shared" si="170"/>
        <v>296348</v>
      </c>
      <c r="K158" s="278">
        <f t="shared" si="165"/>
        <v>293000</v>
      </c>
      <c r="L158" s="436">
        <f t="shared" si="166"/>
        <v>3348</v>
      </c>
      <c r="M158" s="338" t="str">
        <f t="shared" si="171"/>
        <v>-</v>
      </c>
      <c r="N158" s="344">
        <f t="shared" ref="N158:N165" si="172">IFERROR(L158/J158,"-")</f>
        <v>1.129752858126257E-2</v>
      </c>
      <c r="O158" s="629">
        <v>2.2141000000000002</v>
      </c>
      <c r="P158" s="405">
        <f t="shared" si="167"/>
        <v>205911.30000000002</v>
      </c>
      <c r="Q158" s="450">
        <f t="shared" si="168"/>
        <v>648731.30000000005</v>
      </c>
    </row>
    <row r="159" spans="1:17" ht="24" x14ac:dyDescent="0.25">
      <c r="A159" s="248" t="s">
        <v>101</v>
      </c>
      <c r="B159" s="440"/>
      <c r="C159" s="627" t="s">
        <v>353</v>
      </c>
      <c r="D159" s="510"/>
      <c r="E159" s="529"/>
      <c r="F159" s="333">
        <f t="shared" si="169"/>
        <v>0</v>
      </c>
      <c r="G159" s="547"/>
      <c r="H159" s="547"/>
      <c r="I159" s="352" t="str">
        <f>IFERROR(F159/#REF!,"-")</f>
        <v>-</v>
      </c>
      <c r="J159" s="333">
        <f t="shared" si="170"/>
        <v>0</v>
      </c>
      <c r="K159" s="278">
        <f t="shared" si="165"/>
        <v>0</v>
      </c>
      <c r="L159" s="436">
        <f t="shared" si="166"/>
        <v>0</v>
      </c>
      <c r="M159" s="682"/>
      <c r="N159" s="265" t="str">
        <f t="shared" si="172"/>
        <v>-</v>
      </c>
      <c r="O159" s="540">
        <v>4.8285999999999998</v>
      </c>
      <c r="P159" s="404">
        <f t="shared" si="167"/>
        <v>0</v>
      </c>
      <c r="Q159" s="449">
        <f t="shared" si="168"/>
        <v>0</v>
      </c>
    </row>
    <row r="160" spans="1:17" ht="24" x14ac:dyDescent="0.25">
      <c r="A160" s="248" t="s">
        <v>101</v>
      </c>
      <c r="B160" s="585"/>
      <c r="C160" s="627" t="s">
        <v>349</v>
      </c>
      <c r="D160" s="270"/>
      <c r="E160" s="435"/>
      <c r="F160" s="332">
        <f t="shared" si="169"/>
        <v>0</v>
      </c>
      <c r="G160" s="272"/>
      <c r="H160" s="272"/>
      <c r="I160" s="351" t="str">
        <f>IFERROR(F160/#REF!,"-")</f>
        <v>-</v>
      </c>
      <c r="J160" s="333">
        <f t="shared" si="170"/>
        <v>0</v>
      </c>
      <c r="K160" s="278">
        <f t="shared" si="165"/>
        <v>0</v>
      </c>
      <c r="L160" s="436">
        <f t="shared" si="166"/>
        <v>0</v>
      </c>
      <c r="M160" s="336" t="str">
        <f t="shared" ref="M160:M161" si="173">IFERROR(J160/D160,"-")</f>
        <v>-</v>
      </c>
      <c r="N160" s="346" t="str">
        <f t="shared" si="172"/>
        <v>-</v>
      </c>
      <c r="O160" s="507">
        <v>4.1712999999999996</v>
      </c>
      <c r="P160" s="402">
        <f t="shared" si="167"/>
        <v>0</v>
      </c>
      <c r="Q160" s="447">
        <f t="shared" si="168"/>
        <v>0</v>
      </c>
    </row>
    <row r="161" spans="1:17" ht="24.75" thickBot="1" x14ac:dyDescent="0.3">
      <c r="A161" s="248" t="s">
        <v>101</v>
      </c>
      <c r="B161" s="583"/>
      <c r="C161" s="275"/>
      <c r="D161" s="276"/>
      <c r="E161" s="436"/>
      <c r="F161" s="333">
        <f t="shared" si="169"/>
        <v>0</v>
      </c>
      <c r="G161" s="278"/>
      <c r="H161" s="278"/>
      <c r="I161" s="352" t="str">
        <f>IFERROR(F161/#REF!,"-")</f>
        <v>-</v>
      </c>
      <c r="J161" s="460">
        <f t="shared" si="170"/>
        <v>0</v>
      </c>
      <c r="K161" s="461">
        <f t="shared" si="165"/>
        <v>0</v>
      </c>
      <c r="L161" s="462">
        <f t="shared" si="166"/>
        <v>0</v>
      </c>
      <c r="M161" s="337" t="str">
        <f t="shared" si="173"/>
        <v>-</v>
      </c>
      <c r="N161" s="263" t="str">
        <f t="shared" si="172"/>
        <v>-</v>
      </c>
      <c r="O161" s="448"/>
      <c r="P161" s="404">
        <f t="shared" si="167"/>
        <v>0</v>
      </c>
      <c r="Q161" s="449">
        <f t="shared" si="168"/>
        <v>0</v>
      </c>
    </row>
    <row r="162" spans="1:17" ht="23.25" customHeight="1" thickBot="1" x14ac:dyDescent="0.3">
      <c r="A162" s="274" t="s">
        <v>101</v>
      </c>
      <c r="B162" s="1028" t="s">
        <v>21</v>
      </c>
      <c r="C162" s="964"/>
      <c r="D162" s="320">
        <v>0</v>
      </c>
      <c r="E162" s="285">
        <v>15000</v>
      </c>
      <c r="F162" s="320">
        <f>SUM(F155:F161)</f>
        <v>93810</v>
      </c>
      <c r="G162" s="321">
        <f t="shared" ref="G162:H162" si="174">SUM(G155:G161)</f>
        <v>93000</v>
      </c>
      <c r="H162" s="321">
        <f t="shared" si="174"/>
        <v>810</v>
      </c>
      <c r="I162" s="345" t="str">
        <f>IFERROR(F162/#REF!,"-")</f>
        <v>-</v>
      </c>
      <c r="J162" s="513">
        <f t="shared" ref="J162" si="175">SUM(J155:J161)</f>
        <v>296348</v>
      </c>
      <c r="K162" s="519">
        <f>SUM(K155:K161)</f>
        <v>293000</v>
      </c>
      <c r="L162" s="519">
        <f>SUM(L155:L161)</f>
        <v>3348</v>
      </c>
      <c r="M162" s="339" t="str">
        <f>IFERROR(J162/D162,"-")</f>
        <v>-</v>
      </c>
      <c r="N162" s="345">
        <f t="shared" si="172"/>
        <v>1.129752858126257E-2</v>
      </c>
      <c r="O162" s="391"/>
      <c r="P162" s="406">
        <f>SUM(P155:P161)</f>
        <v>205911.30000000002</v>
      </c>
      <c r="Q162" s="425">
        <f>SUM(Q155:Q161)</f>
        <v>648731.30000000005</v>
      </c>
    </row>
    <row r="163" spans="1:17" ht="23.25" customHeight="1" thickBot="1" x14ac:dyDescent="0.3">
      <c r="A163" s="274" t="s">
        <v>101</v>
      </c>
      <c r="B163" s="1029" t="s">
        <v>248</v>
      </c>
      <c r="C163" s="1030"/>
      <c r="D163" s="512">
        <f>+D159+D162</f>
        <v>0</v>
      </c>
      <c r="E163" s="525">
        <f>+E159+E162</f>
        <v>15000</v>
      </c>
      <c r="F163" s="512">
        <f>+F159+F162</f>
        <v>93810</v>
      </c>
      <c r="G163" s="514">
        <f>+G159+G162</f>
        <v>93000</v>
      </c>
      <c r="H163" s="514">
        <f>+H159+H162</f>
        <v>810</v>
      </c>
      <c r="I163" s="515" t="str">
        <f>IFERROR(F163/#REF!,"-")</f>
        <v>-</v>
      </c>
      <c r="J163" s="512">
        <f>+J159+J162</f>
        <v>296348</v>
      </c>
      <c r="K163" s="514">
        <f>+K162</f>
        <v>293000</v>
      </c>
      <c r="L163" s="514">
        <f>+L162</f>
        <v>3348</v>
      </c>
      <c r="M163" s="516" t="str">
        <f t="shared" ref="M163" si="176">IFERROR(J163/D163,"-")</f>
        <v>-</v>
      </c>
      <c r="N163" s="515">
        <f t="shared" si="172"/>
        <v>1.129752858126257E-2</v>
      </c>
      <c r="O163" s="517"/>
      <c r="P163" s="518">
        <f>+P162</f>
        <v>205911.30000000002</v>
      </c>
      <c r="Q163" s="518">
        <f>+Q162</f>
        <v>648731.30000000005</v>
      </c>
    </row>
    <row r="164" spans="1:17" ht="24" x14ac:dyDescent="0.35">
      <c r="A164" s="244" t="s">
        <v>101</v>
      </c>
      <c r="B164" s="1025" t="s">
        <v>250</v>
      </c>
      <c r="C164" s="542" t="s">
        <v>71</v>
      </c>
      <c r="D164" s="527"/>
      <c r="E164" s="459"/>
      <c r="F164" s="457">
        <f>+G164+H164</f>
        <v>0</v>
      </c>
      <c r="G164" s="458"/>
      <c r="H164" s="458"/>
      <c r="I164" s="531" t="str">
        <f>IFERROR(F164/#REF!,"-")</f>
        <v>-</v>
      </c>
      <c r="J164" s="457">
        <f>+K164+L164</f>
        <v>0</v>
      </c>
      <c r="K164" s="458">
        <f t="shared" ref="K164:K195" si="177">+G164+K101</f>
        <v>0</v>
      </c>
      <c r="L164" s="459">
        <f t="shared" ref="L164:L195" si="178">+H164+L101</f>
        <v>0</v>
      </c>
      <c r="M164" s="586" t="str">
        <f>IFERROR(J164/D164,"-")</f>
        <v>-</v>
      </c>
      <c r="N164" s="533" t="str">
        <f t="shared" si="172"/>
        <v>-</v>
      </c>
      <c r="O164" s="538">
        <v>32.946300000000001</v>
      </c>
      <c r="P164" s="534">
        <f t="shared" ref="P164:P195" si="179">+O164*G164</f>
        <v>0</v>
      </c>
      <c r="Q164" s="535">
        <f t="shared" ref="Q164:Q195" si="180">+O164*K164</f>
        <v>0</v>
      </c>
    </row>
    <row r="165" spans="1:17" ht="24" x14ac:dyDescent="0.35">
      <c r="A165" s="248" t="s">
        <v>101</v>
      </c>
      <c r="B165" s="1026"/>
      <c r="C165" s="543" t="s">
        <v>72</v>
      </c>
      <c r="D165" s="511"/>
      <c r="E165" s="436"/>
      <c r="F165" s="333">
        <f t="shared" ref="F165:F195" si="181">+G165+H165</f>
        <v>0</v>
      </c>
      <c r="G165" s="278"/>
      <c r="H165" s="278"/>
      <c r="I165" s="352" t="str">
        <f>IFERROR(F165/#REF!,"-")</f>
        <v>-</v>
      </c>
      <c r="J165" s="333">
        <f t="shared" ref="J165:J195" si="182">+K165+L165</f>
        <v>10595</v>
      </c>
      <c r="K165" s="278">
        <f t="shared" si="177"/>
        <v>10500</v>
      </c>
      <c r="L165" s="436">
        <f t="shared" si="178"/>
        <v>95</v>
      </c>
      <c r="M165" s="337" t="str">
        <f t="shared" ref="M165:M167" si="183">IFERROR(J165/D165,"-")</f>
        <v>-</v>
      </c>
      <c r="N165" s="265">
        <f t="shared" si="172"/>
        <v>8.9664936290703157E-3</v>
      </c>
      <c r="O165" s="508">
        <v>35.398400000000002</v>
      </c>
      <c r="P165" s="404">
        <f t="shared" si="179"/>
        <v>0</v>
      </c>
      <c r="Q165" s="449">
        <f t="shared" si="180"/>
        <v>371683.2</v>
      </c>
    </row>
    <row r="166" spans="1:17" ht="24.75" thickBot="1" x14ac:dyDescent="0.4">
      <c r="A166" s="248" t="s">
        <v>101</v>
      </c>
      <c r="B166" s="1027"/>
      <c r="C166" s="543" t="s">
        <v>455</v>
      </c>
      <c r="D166" s="276"/>
      <c r="E166" s="436"/>
      <c r="F166" s="333">
        <f t="shared" si="181"/>
        <v>2550</v>
      </c>
      <c r="G166" s="278">
        <v>2500</v>
      </c>
      <c r="H166" s="278">
        <v>50</v>
      </c>
      <c r="I166" s="352" t="str">
        <f>IFERROR(F166/#REF!,"-")</f>
        <v>-</v>
      </c>
      <c r="J166" s="333">
        <f t="shared" si="182"/>
        <v>2550</v>
      </c>
      <c r="K166" s="278">
        <f t="shared" si="177"/>
        <v>2500</v>
      </c>
      <c r="L166" s="436">
        <f t="shared" si="178"/>
        <v>50</v>
      </c>
      <c r="M166" s="337" t="str">
        <f t="shared" si="183"/>
        <v>-</v>
      </c>
      <c r="N166" s="265">
        <f>IFERROR(L166/J166,"-")</f>
        <v>1.9607843137254902E-2</v>
      </c>
      <c r="O166" s="508">
        <v>35.398400000000002</v>
      </c>
      <c r="P166" s="404">
        <f t="shared" si="179"/>
        <v>88496</v>
      </c>
      <c r="Q166" s="449">
        <f t="shared" si="180"/>
        <v>88496</v>
      </c>
    </row>
    <row r="167" spans="1:17" ht="24" x14ac:dyDescent="0.35">
      <c r="A167" s="248" t="s">
        <v>101</v>
      </c>
      <c r="B167" s="1025" t="s">
        <v>251</v>
      </c>
      <c r="C167" s="545" t="s">
        <v>75</v>
      </c>
      <c r="D167" s="276"/>
      <c r="E167" s="528"/>
      <c r="F167" s="334">
        <f t="shared" si="181"/>
        <v>0</v>
      </c>
      <c r="G167" s="278"/>
      <c r="H167" s="278"/>
      <c r="I167" s="352" t="str">
        <f>IFERROR(F167/#REF!,"-")</f>
        <v>-</v>
      </c>
      <c r="J167" s="333">
        <f t="shared" si="182"/>
        <v>7273</v>
      </c>
      <c r="K167" s="278">
        <f t="shared" si="177"/>
        <v>7063</v>
      </c>
      <c r="L167" s="436">
        <f t="shared" si="178"/>
        <v>210</v>
      </c>
      <c r="M167" s="337" t="str">
        <f t="shared" si="183"/>
        <v>-</v>
      </c>
      <c r="N167" s="265">
        <f t="shared" ref="N167" si="184">IFERROR(L167/J167,"-")</f>
        <v>2.8873917228103944E-2</v>
      </c>
      <c r="O167" s="508">
        <v>55.4758</v>
      </c>
      <c r="P167" s="404">
        <f t="shared" si="179"/>
        <v>0</v>
      </c>
      <c r="Q167" s="449">
        <f t="shared" si="180"/>
        <v>391825.57539999997</v>
      </c>
    </row>
    <row r="168" spans="1:17" ht="24" x14ac:dyDescent="0.35">
      <c r="A168" s="248" t="s">
        <v>101</v>
      </c>
      <c r="B168" s="1026"/>
      <c r="C168" s="545" t="s">
        <v>72</v>
      </c>
      <c r="D168" s="276"/>
      <c r="E168" s="529"/>
      <c r="F168" s="334">
        <f t="shared" si="181"/>
        <v>0</v>
      </c>
      <c r="G168" s="278"/>
      <c r="H168" s="278"/>
      <c r="I168" s="352" t="str">
        <f>IFERROR(F168/#REF!,"-")</f>
        <v>-</v>
      </c>
      <c r="J168" s="333">
        <f t="shared" si="182"/>
        <v>0</v>
      </c>
      <c r="K168" s="278">
        <f t="shared" si="177"/>
        <v>0</v>
      </c>
      <c r="L168" s="436">
        <f t="shared" si="178"/>
        <v>0</v>
      </c>
      <c r="M168" s="682"/>
      <c r="N168" s="372"/>
      <c r="O168" s="540">
        <v>58.836300000000001</v>
      </c>
      <c r="P168" s="404">
        <f t="shared" si="179"/>
        <v>0</v>
      </c>
      <c r="Q168" s="449">
        <f t="shared" si="180"/>
        <v>0</v>
      </c>
    </row>
    <row r="169" spans="1:17" ht="24" x14ac:dyDescent="0.35">
      <c r="A169" s="248" t="s">
        <v>101</v>
      </c>
      <c r="B169" s="1026"/>
      <c r="C169" s="545" t="s">
        <v>347</v>
      </c>
      <c r="D169" s="276"/>
      <c r="E169" s="435"/>
      <c r="F169" s="334">
        <f t="shared" si="181"/>
        <v>0</v>
      </c>
      <c r="G169" s="278"/>
      <c r="H169" s="278"/>
      <c r="I169" s="352" t="str">
        <f>IFERROR(F169/#REF!,"-")</f>
        <v>-</v>
      </c>
      <c r="J169" s="333">
        <f t="shared" si="182"/>
        <v>0</v>
      </c>
      <c r="K169" s="278">
        <f t="shared" si="177"/>
        <v>0</v>
      </c>
      <c r="L169" s="436">
        <f t="shared" si="178"/>
        <v>0</v>
      </c>
      <c r="M169" s="337" t="str">
        <f t="shared" ref="M169" si="185">IFERROR(J169/D169,"-")</f>
        <v>-</v>
      </c>
      <c r="N169" s="263" t="str">
        <f t="shared" ref="N169" si="186">IFERROR(L169/J169,"-")</f>
        <v>-</v>
      </c>
      <c r="O169" s="710">
        <v>58.836300000000001</v>
      </c>
      <c r="P169" s="404">
        <f t="shared" si="179"/>
        <v>0</v>
      </c>
      <c r="Q169" s="449">
        <f t="shared" si="180"/>
        <v>0</v>
      </c>
    </row>
    <row r="170" spans="1:17" ht="24.75" thickBot="1" x14ac:dyDescent="0.4">
      <c r="A170" s="248"/>
      <c r="B170" s="1027"/>
      <c r="C170" s="545" t="s">
        <v>361</v>
      </c>
      <c r="D170" s="276"/>
      <c r="E170" s="435"/>
      <c r="F170" s="334">
        <f t="shared" si="181"/>
        <v>0</v>
      </c>
      <c r="G170" s="278"/>
      <c r="H170" s="278"/>
      <c r="I170" s="352"/>
      <c r="J170" s="333">
        <f t="shared" si="182"/>
        <v>0</v>
      </c>
      <c r="K170" s="278">
        <f t="shared" si="177"/>
        <v>0</v>
      </c>
      <c r="L170" s="436">
        <f t="shared" si="178"/>
        <v>0</v>
      </c>
      <c r="M170" s="337"/>
      <c r="N170" s="263" t="str">
        <f>IFERROR(L170/J170,"-")</f>
        <v>-</v>
      </c>
      <c r="O170" s="508">
        <v>55.4758</v>
      </c>
      <c r="P170" s="404">
        <f t="shared" si="179"/>
        <v>0</v>
      </c>
      <c r="Q170" s="449">
        <f t="shared" si="180"/>
        <v>0</v>
      </c>
    </row>
    <row r="171" spans="1:17" ht="24" x14ac:dyDescent="0.35">
      <c r="A171" s="248" t="s">
        <v>101</v>
      </c>
      <c r="B171" s="1025" t="s">
        <v>409</v>
      </c>
      <c r="C171" s="543" t="s">
        <v>77</v>
      </c>
      <c r="D171" s="276"/>
      <c r="E171" s="436"/>
      <c r="F171" s="333">
        <f t="shared" si="181"/>
        <v>3010</v>
      </c>
      <c r="G171" s="278">
        <v>3000</v>
      </c>
      <c r="H171" s="278">
        <v>10</v>
      </c>
      <c r="I171" s="352" t="str">
        <f>IFERROR(F171/#REF!,"-")</f>
        <v>-</v>
      </c>
      <c r="J171" s="333">
        <f t="shared" si="182"/>
        <v>3010</v>
      </c>
      <c r="K171" s="686">
        <f t="shared" si="177"/>
        <v>3000</v>
      </c>
      <c r="L171" s="687">
        <f t="shared" si="178"/>
        <v>10</v>
      </c>
      <c r="M171" s="337" t="str">
        <f t="shared" ref="M171:M198" si="187">IFERROR(J171/D171,"-")</f>
        <v>-</v>
      </c>
      <c r="N171" s="263">
        <f t="shared" ref="N171:N197" si="188">IFERROR(L171/J171,"-")</f>
        <v>3.3222591362126247E-3</v>
      </c>
      <c r="O171" s="508">
        <v>25.687200000000001</v>
      </c>
      <c r="P171" s="404">
        <f t="shared" si="179"/>
        <v>77061.600000000006</v>
      </c>
      <c r="Q171" s="449">
        <f t="shared" si="180"/>
        <v>77061.600000000006</v>
      </c>
    </row>
    <row r="172" spans="1:17" ht="24.75" thickBot="1" x14ac:dyDescent="0.4">
      <c r="A172" s="248" t="s">
        <v>101</v>
      </c>
      <c r="B172" s="1027"/>
      <c r="C172" s="543" t="s">
        <v>117</v>
      </c>
      <c r="D172" s="276"/>
      <c r="E172" s="436"/>
      <c r="F172" s="333">
        <f t="shared" si="181"/>
        <v>0</v>
      </c>
      <c r="G172" s="278"/>
      <c r="H172" s="278"/>
      <c r="I172" s="352" t="str">
        <f>IFERROR(F172/#REF!,"-")</f>
        <v>-</v>
      </c>
      <c r="J172" s="333">
        <f t="shared" si="182"/>
        <v>0</v>
      </c>
      <c r="K172" s="278">
        <f t="shared" si="177"/>
        <v>0</v>
      </c>
      <c r="L172" s="436">
        <f t="shared" si="178"/>
        <v>0</v>
      </c>
      <c r="M172" s="337" t="str">
        <f t="shared" si="187"/>
        <v>-</v>
      </c>
      <c r="N172" s="263" t="str">
        <f t="shared" si="188"/>
        <v>-</v>
      </c>
      <c r="O172" s="508">
        <v>25.033899999999999</v>
      </c>
      <c r="P172" s="404">
        <f t="shared" si="179"/>
        <v>0</v>
      </c>
      <c r="Q172" s="449">
        <f t="shared" si="180"/>
        <v>0</v>
      </c>
    </row>
    <row r="173" spans="1:17" ht="24" x14ac:dyDescent="0.35">
      <c r="A173" s="248"/>
      <c r="B173" s="1025" t="s">
        <v>410</v>
      </c>
      <c r="C173" s="543" t="s">
        <v>79</v>
      </c>
      <c r="D173" s="276"/>
      <c r="E173" s="436"/>
      <c r="F173" s="333">
        <f t="shared" si="181"/>
        <v>0</v>
      </c>
      <c r="G173" s="278"/>
      <c r="H173" s="278"/>
      <c r="I173" s="352" t="str">
        <f>IFERROR(F173/#REF!,"-")</f>
        <v>-</v>
      </c>
      <c r="J173" s="333">
        <f t="shared" si="182"/>
        <v>0</v>
      </c>
      <c r="K173" s="278">
        <f t="shared" si="177"/>
        <v>0</v>
      </c>
      <c r="L173" s="436">
        <f t="shared" si="178"/>
        <v>0</v>
      </c>
      <c r="M173" s="337" t="str">
        <f t="shared" si="187"/>
        <v>-</v>
      </c>
      <c r="N173" s="263" t="str">
        <f t="shared" si="188"/>
        <v>-</v>
      </c>
      <c r="O173" s="508">
        <v>41.992699999999999</v>
      </c>
      <c r="P173" s="404">
        <f t="shared" si="179"/>
        <v>0</v>
      </c>
      <c r="Q173" s="449">
        <f t="shared" si="180"/>
        <v>0</v>
      </c>
    </row>
    <row r="174" spans="1:17" ht="24" x14ac:dyDescent="0.35">
      <c r="A174" s="248"/>
      <c r="B174" s="1026"/>
      <c r="C174" s="543" t="s">
        <v>72</v>
      </c>
      <c r="D174" s="276"/>
      <c r="E174" s="436"/>
      <c r="F174" s="333">
        <f t="shared" si="181"/>
        <v>0</v>
      </c>
      <c r="G174" s="278"/>
      <c r="H174" s="278"/>
      <c r="I174" s="352" t="str">
        <f>IFERROR(F174/#REF!,"-")</f>
        <v>-</v>
      </c>
      <c r="J174" s="333">
        <f t="shared" si="182"/>
        <v>0</v>
      </c>
      <c r="K174" s="278">
        <f t="shared" si="177"/>
        <v>0</v>
      </c>
      <c r="L174" s="436">
        <f t="shared" si="178"/>
        <v>0</v>
      </c>
      <c r="M174" s="337" t="str">
        <f t="shared" si="187"/>
        <v>-</v>
      </c>
      <c r="N174" s="263" t="str">
        <f t="shared" si="188"/>
        <v>-</v>
      </c>
      <c r="O174" s="508">
        <v>42.283799999999999</v>
      </c>
      <c r="P174" s="404">
        <f t="shared" si="179"/>
        <v>0</v>
      </c>
      <c r="Q174" s="449">
        <f t="shared" si="180"/>
        <v>0</v>
      </c>
    </row>
    <row r="175" spans="1:17" ht="24" x14ac:dyDescent="0.35">
      <c r="A175" s="248"/>
      <c r="B175" s="1026"/>
      <c r="C175" s="543" t="s">
        <v>380</v>
      </c>
      <c r="D175" s="276"/>
      <c r="E175" s="436"/>
      <c r="F175" s="333">
        <f t="shared" si="181"/>
        <v>0</v>
      </c>
      <c r="G175" s="278"/>
      <c r="H175" s="278"/>
      <c r="I175" s="352" t="str">
        <f>IFERROR(F175/#REF!,"-")</f>
        <v>-</v>
      </c>
      <c r="J175" s="333">
        <f t="shared" si="182"/>
        <v>0</v>
      </c>
      <c r="K175" s="278">
        <f t="shared" si="177"/>
        <v>0</v>
      </c>
      <c r="L175" s="436">
        <f t="shared" si="178"/>
        <v>0</v>
      </c>
      <c r="M175" s="337" t="str">
        <f t="shared" si="187"/>
        <v>-</v>
      </c>
      <c r="N175" s="263" t="str">
        <f t="shared" si="188"/>
        <v>-</v>
      </c>
      <c r="O175" s="710">
        <v>41.992699999999999</v>
      </c>
      <c r="P175" s="404">
        <f t="shared" si="179"/>
        <v>0</v>
      </c>
      <c r="Q175" s="449">
        <f t="shared" si="180"/>
        <v>0</v>
      </c>
    </row>
    <row r="176" spans="1:17" ht="24.75" thickBot="1" x14ac:dyDescent="0.4">
      <c r="A176" s="248"/>
      <c r="B176" s="1027"/>
      <c r="C176" s="543" t="s">
        <v>381</v>
      </c>
      <c r="D176" s="276"/>
      <c r="E176" s="436"/>
      <c r="F176" s="333">
        <f t="shared" si="181"/>
        <v>0</v>
      </c>
      <c r="G176" s="278"/>
      <c r="H176" s="278"/>
      <c r="I176" s="352" t="str">
        <f>IFERROR(F176/#REF!,"-")</f>
        <v>-</v>
      </c>
      <c r="J176" s="333">
        <f t="shared" si="182"/>
        <v>0</v>
      </c>
      <c r="K176" s="278">
        <f t="shared" si="177"/>
        <v>0</v>
      </c>
      <c r="L176" s="436">
        <f t="shared" si="178"/>
        <v>0</v>
      </c>
      <c r="M176" s="337" t="str">
        <f t="shared" si="187"/>
        <v>-</v>
      </c>
      <c r="N176" s="263" t="str">
        <f t="shared" si="188"/>
        <v>-</v>
      </c>
      <c r="O176" s="710">
        <v>42.283799999999999</v>
      </c>
      <c r="P176" s="404">
        <f t="shared" si="179"/>
        <v>0</v>
      </c>
      <c r="Q176" s="449">
        <f t="shared" si="180"/>
        <v>0</v>
      </c>
    </row>
    <row r="177" spans="1:17" ht="24.75" thickBot="1" x14ac:dyDescent="0.4">
      <c r="A177" s="248"/>
      <c r="B177" s="717" t="s">
        <v>80</v>
      </c>
      <c r="C177" s="543" t="s">
        <v>81</v>
      </c>
      <c r="D177" s="276"/>
      <c r="E177" s="436"/>
      <c r="F177" s="333">
        <f t="shared" si="181"/>
        <v>1813</v>
      </c>
      <c r="G177" s="278">
        <v>1700</v>
      </c>
      <c r="H177" s="278">
        <v>113</v>
      </c>
      <c r="I177" s="352" t="str">
        <f>IFERROR(F177/#REF!,"-")</f>
        <v>-</v>
      </c>
      <c r="J177" s="333">
        <f t="shared" si="182"/>
        <v>1813</v>
      </c>
      <c r="K177" s="278">
        <f t="shared" si="177"/>
        <v>1700</v>
      </c>
      <c r="L177" s="436">
        <f t="shared" si="178"/>
        <v>113</v>
      </c>
      <c r="M177" s="337" t="str">
        <f t="shared" si="187"/>
        <v>-</v>
      </c>
      <c r="N177" s="263">
        <f t="shared" si="188"/>
        <v>6.2327633756205182E-2</v>
      </c>
      <c r="O177" s="508">
        <v>4.3535000000000004</v>
      </c>
      <c r="P177" s="404">
        <f t="shared" si="179"/>
        <v>7400.9500000000007</v>
      </c>
      <c r="Q177" s="449">
        <f t="shared" si="180"/>
        <v>7400.9500000000007</v>
      </c>
    </row>
    <row r="178" spans="1:17" ht="24" x14ac:dyDescent="0.35">
      <c r="A178" s="248"/>
      <c r="B178" s="1025" t="s">
        <v>253</v>
      </c>
      <c r="C178" s="543" t="s">
        <v>77</v>
      </c>
      <c r="D178" s="276"/>
      <c r="E178" s="436"/>
      <c r="F178" s="333">
        <f t="shared" si="181"/>
        <v>26520</v>
      </c>
      <c r="G178" s="278">
        <v>26400</v>
      </c>
      <c r="H178" s="278">
        <v>120</v>
      </c>
      <c r="I178" s="352" t="str">
        <f>IFERROR(F178/#REF!,"-")</f>
        <v>-</v>
      </c>
      <c r="J178" s="333">
        <f t="shared" si="182"/>
        <v>116940</v>
      </c>
      <c r="K178" s="278">
        <f t="shared" si="177"/>
        <v>116600</v>
      </c>
      <c r="L178" s="436">
        <f t="shared" si="178"/>
        <v>340</v>
      </c>
      <c r="M178" s="337" t="str">
        <f t="shared" si="187"/>
        <v>-</v>
      </c>
      <c r="N178" s="263">
        <f t="shared" si="188"/>
        <v>2.9074739182486744E-3</v>
      </c>
      <c r="O178" s="508">
        <v>4.6184000000000003</v>
      </c>
      <c r="P178" s="404">
        <f t="shared" si="179"/>
        <v>121925.76000000001</v>
      </c>
      <c r="Q178" s="449">
        <f t="shared" si="180"/>
        <v>538505.44000000006</v>
      </c>
    </row>
    <row r="179" spans="1:17" ht="24" x14ac:dyDescent="0.35">
      <c r="A179" s="248"/>
      <c r="B179" s="1026"/>
      <c r="C179" s="543" t="s">
        <v>340</v>
      </c>
      <c r="D179" s="276"/>
      <c r="E179" s="436"/>
      <c r="F179" s="333">
        <f t="shared" si="181"/>
        <v>0</v>
      </c>
      <c r="G179" s="278"/>
      <c r="H179" s="278"/>
      <c r="I179" s="352" t="str">
        <f>IFERROR(F179/#REF!,"-")</f>
        <v>-</v>
      </c>
      <c r="J179" s="333">
        <f t="shared" si="182"/>
        <v>0</v>
      </c>
      <c r="K179" s="278">
        <f t="shared" si="177"/>
        <v>0</v>
      </c>
      <c r="L179" s="436">
        <f t="shared" si="178"/>
        <v>0</v>
      </c>
      <c r="M179" s="337" t="str">
        <f t="shared" si="187"/>
        <v>-</v>
      </c>
      <c r="N179" s="263" t="str">
        <f t="shared" si="188"/>
        <v>-</v>
      </c>
      <c r="O179" s="508">
        <v>4.6184000000000003</v>
      </c>
      <c r="P179" s="404">
        <f t="shared" si="179"/>
        <v>0</v>
      </c>
      <c r="Q179" s="449">
        <f t="shared" si="180"/>
        <v>0</v>
      </c>
    </row>
    <row r="180" spans="1:17" ht="24" x14ac:dyDescent="0.35">
      <c r="A180" s="248"/>
      <c r="B180" s="1026"/>
      <c r="C180" s="543" t="s">
        <v>252</v>
      </c>
      <c r="D180" s="276"/>
      <c r="E180" s="436"/>
      <c r="F180" s="333">
        <f t="shared" si="181"/>
        <v>0</v>
      </c>
      <c r="G180" s="278"/>
      <c r="H180" s="278"/>
      <c r="I180" s="352" t="str">
        <f>IFERROR(F180/#REF!,"-")</f>
        <v>-</v>
      </c>
      <c r="J180" s="333">
        <f t="shared" si="182"/>
        <v>0</v>
      </c>
      <c r="K180" s="278">
        <f t="shared" si="177"/>
        <v>0</v>
      </c>
      <c r="L180" s="436">
        <f t="shared" si="178"/>
        <v>0</v>
      </c>
      <c r="M180" s="337" t="str">
        <f t="shared" si="187"/>
        <v>-</v>
      </c>
      <c r="N180" s="263" t="str">
        <f t="shared" si="188"/>
        <v>-</v>
      </c>
      <c r="O180" s="508">
        <v>4.6184000000000003</v>
      </c>
      <c r="P180" s="404">
        <f t="shared" si="179"/>
        <v>0</v>
      </c>
      <c r="Q180" s="449">
        <f t="shared" si="180"/>
        <v>0</v>
      </c>
    </row>
    <row r="181" spans="1:17" ht="24" x14ac:dyDescent="0.35">
      <c r="A181" s="248"/>
      <c r="B181" s="1026"/>
      <c r="C181" s="543" t="s">
        <v>350</v>
      </c>
      <c r="D181" s="276"/>
      <c r="E181" s="436"/>
      <c r="F181" s="333">
        <f t="shared" si="181"/>
        <v>0</v>
      </c>
      <c r="G181" s="278"/>
      <c r="H181" s="278"/>
      <c r="I181" s="352" t="str">
        <f>IFERROR(F181/#REF!,"-")</f>
        <v>-</v>
      </c>
      <c r="J181" s="333">
        <f t="shared" si="182"/>
        <v>0</v>
      </c>
      <c r="K181" s="686">
        <f t="shared" si="177"/>
        <v>0</v>
      </c>
      <c r="L181" s="687">
        <f t="shared" si="178"/>
        <v>0</v>
      </c>
      <c r="M181" s="337" t="str">
        <f t="shared" si="187"/>
        <v>-</v>
      </c>
      <c r="N181" s="263" t="str">
        <f t="shared" si="188"/>
        <v>-</v>
      </c>
      <c r="O181" s="508">
        <v>4.7636000000000003</v>
      </c>
      <c r="P181" s="404">
        <f t="shared" si="179"/>
        <v>0</v>
      </c>
      <c r="Q181" s="449">
        <f t="shared" si="180"/>
        <v>0</v>
      </c>
    </row>
    <row r="182" spans="1:17" ht="24.75" thickBot="1" x14ac:dyDescent="0.4">
      <c r="A182" s="248"/>
      <c r="B182" s="1027"/>
      <c r="C182" s="543" t="s">
        <v>346</v>
      </c>
      <c r="D182" s="276"/>
      <c r="E182" s="436"/>
      <c r="F182" s="333">
        <f t="shared" si="181"/>
        <v>0</v>
      </c>
      <c r="G182" s="278"/>
      <c r="H182" s="278"/>
      <c r="I182" s="352" t="str">
        <f>IFERROR(F182/#REF!,"-")</f>
        <v>-</v>
      </c>
      <c r="J182" s="333">
        <f t="shared" si="182"/>
        <v>0</v>
      </c>
      <c r="K182" s="278">
        <f t="shared" si="177"/>
        <v>0</v>
      </c>
      <c r="L182" s="436">
        <f t="shared" si="178"/>
        <v>0</v>
      </c>
      <c r="M182" s="337" t="str">
        <f t="shared" si="187"/>
        <v>-</v>
      </c>
      <c r="N182" s="263" t="str">
        <f t="shared" si="188"/>
        <v>-</v>
      </c>
      <c r="O182" s="508">
        <v>4.8738000000000001</v>
      </c>
      <c r="P182" s="404">
        <f t="shared" si="179"/>
        <v>0</v>
      </c>
      <c r="Q182" s="449">
        <f t="shared" si="180"/>
        <v>0</v>
      </c>
    </row>
    <row r="183" spans="1:17" ht="24.75" thickBot="1" x14ac:dyDescent="0.4">
      <c r="A183" s="248"/>
      <c r="B183" s="717" t="s">
        <v>254</v>
      </c>
      <c r="C183" s="543" t="s">
        <v>124</v>
      </c>
      <c r="D183" s="276"/>
      <c r="E183" s="436"/>
      <c r="F183" s="333">
        <f t="shared" si="181"/>
        <v>0</v>
      </c>
      <c r="G183" s="278"/>
      <c r="H183" s="278"/>
      <c r="I183" s="352" t="str">
        <f>IFERROR(F183/#REF!,"-")</f>
        <v>-</v>
      </c>
      <c r="J183" s="333">
        <f t="shared" si="182"/>
        <v>0</v>
      </c>
      <c r="K183" s="278">
        <f t="shared" si="177"/>
        <v>0</v>
      </c>
      <c r="L183" s="436">
        <f t="shared" si="178"/>
        <v>0</v>
      </c>
      <c r="M183" s="337" t="str">
        <f t="shared" si="187"/>
        <v>-</v>
      </c>
      <c r="N183" s="263" t="str">
        <f t="shared" si="188"/>
        <v>-</v>
      </c>
      <c r="O183" s="508">
        <v>4.8738000000000001</v>
      </c>
      <c r="P183" s="404">
        <f t="shared" si="179"/>
        <v>0</v>
      </c>
      <c r="Q183" s="449">
        <f t="shared" si="180"/>
        <v>0</v>
      </c>
    </row>
    <row r="184" spans="1:17" ht="24" x14ac:dyDescent="0.35">
      <c r="A184" s="248"/>
      <c r="B184" s="1025" t="s">
        <v>256</v>
      </c>
      <c r="C184" s="543" t="s">
        <v>77</v>
      </c>
      <c r="D184" s="276"/>
      <c r="E184" s="436"/>
      <c r="F184" s="333">
        <f t="shared" si="181"/>
        <v>30460</v>
      </c>
      <c r="G184" s="278">
        <v>29820</v>
      </c>
      <c r="H184" s="278">
        <v>640</v>
      </c>
      <c r="I184" s="352" t="str">
        <f>IFERROR(F184/#REF!,"-")</f>
        <v>-</v>
      </c>
      <c r="J184" s="333">
        <f t="shared" si="182"/>
        <v>104060</v>
      </c>
      <c r="K184" s="686">
        <f t="shared" si="177"/>
        <v>102760</v>
      </c>
      <c r="L184" s="687">
        <f t="shared" si="178"/>
        <v>1300</v>
      </c>
      <c r="M184" s="337" t="str">
        <f t="shared" si="187"/>
        <v>-</v>
      </c>
      <c r="N184" s="263">
        <f t="shared" si="188"/>
        <v>1.2492792619642513E-2</v>
      </c>
      <c r="O184" s="508">
        <v>4.9344999999999999</v>
      </c>
      <c r="P184" s="404">
        <f t="shared" si="179"/>
        <v>147146.79</v>
      </c>
      <c r="Q184" s="449">
        <f t="shared" si="180"/>
        <v>507069.22</v>
      </c>
    </row>
    <row r="185" spans="1:17" ht="24" x14ac:dyDescent="0.35">
      <c r="A185" s="248"/>
      <c r="B185" s="1026"/>
      <c r="C185" s="543" t="s">
        <v>135</v>
      </c>
      <c r="D185" s="276"/>
      <c r="E185" s="436"/>
      <c r="F185" s="333">
        <f t="shared" si="181"/>
        <v>0</v>
      </c>
      <c r="G185" s="278"/>
      <c r="H185" s="278"/>
      <c r="I185" s="352" t="str">
        <f>IFERROR(F185/#REF!,"-")</f>
        <v>-</v>
      </c>
      <c r="J185" s="333">
        <f t="shared" si="182"/>
        <v>0</v>
      </c>
      <c r="K185" s="278">
        <f t="shared" si="177"/>
        <v>0</v>
      </c>
      <c r="L185" s="436">
        <f t="shared" si="178"/>
        <v>0</v>
      </c>
      <c r="M185" s="337" t="str">
        <f t="shared" si="187"/>
        <v>-</v>
      </c>
      <c r="N185" s="263" t="str">
        <f t="shared" si="188"/>
        <v>-</v>
      </c>
      <c r="O185" s="508">
        <v>4.9344999999999999</v>
      </c>
      <c r="P185" s="404">
        <f t="shared" si="179"/>
        <v>0</v>
      </c>
      <c r="Q185" s="449">
        <f t="shared" si="180"/>
        <v>0</v>
      </c>
    </row>
    <row r="186" spans="1:17" ht="24" x14ac:dyDescent="0.35">
      <c r="A186" s="248"/>
      <c r="B186" s="1026"/>
      <c r="C186" s="543" t="s">
        <v>129</v>
      </c>
      <c r="D186" s="276"/>
      <c r="E186" s="436"/>
      <c r="F186" s="333">
        <f t="shared" si="181"/>
        <v>0</v>
      </c>
      <c r="G186" s="278"/>
      <c r="H186" s="278"/>
      <c r="I186" s="352" t="str">
        <f>IFERROR(F186/#REF!,"-")</f>
        <v>-</v>
      </c>
      <c r="J186" s="333">
        <f t="shared" si="182"/>
        <v>0</v>
      </c>
      <c r="K186" s="278">
        <f t="shared" si="177"/>
        <v>0</v>
      </c>
      <c r="L186" s="436">
        <f t="shared" si="178"/>
        <v>0</v>
      </c>
      <c r="M186" s="337" t="str">
        <f t="shared" si="187"/>
        <v>-</v>
      </c>
      <c r="N186" s="263" t="str">
        <f t="shared" si="188"/>
        <v>-</v>
      </c>
      <c r="O186" s="508">
        <v>4.9344999999999999</v>
      </c>
      <c r="P186" s="404">
        <f t="shared" si="179"/>
        <v>0</v>
      </c>
      <c r="Q186" s="449">
        <f t="shared" si="180"/>
        <v>0</v>
      </c>
    </row>
    <row r="187" spans="1:17" ht="24.75" thickBot="1" x14ac:dyDescent="0.4">
      <c r="A187" s="248"/>
      <c r="B187" s="1027"/>
      <c r="C187" s="543" t="s">
        <v>255</v>
      </c>
      <c r="D187" s="276"/>
      <c r="E187" s="436"/>
      <c r="F187" s="333">
        <f t="shared" si="181"/>
        <v>0</v>
      </c>
      <c r="G187" s="278"/>
      <c r="H187" s="278"/>
      <c r="I187" s="352" t="str">
        <f>IFERROR(F187/#REF!,"-")</f>
        <v>-</v>
      </c>
      <c r="J187" s="333">
        <f t="shared" si="182"/>
        <v>0</v>
      </c>
      <c r="K187" s="278">
        <f t="shared" si="177"/>
        <v>0</v>
      </c>
      <c r="L187" s="436">
        <f t="shared" si="178"/>
        <v>0</v>
      </c>
      <c r="M187" s="337" t="str">
        <f t="shared" si="187"/>
        <v>-</v>
      </c>
      <c r="N187" s="263" t="str">
        <f t="shared" si="188"/>
        <v>-</v>
      </c>
      <c r="O187" s="508">
        <v>5.5069999999999997</v>
      </c>
      <c r="P187" s="404">
        <f t="shared" si="179"/>
        <v>0</v>
      </c>
      <c r="Q187" s="449">
        <f t="shared" si="180"/>
        <v>0</v>
      </c>
    </row>
    <row r="188" spans="1:17" ht="24" x14ac:dyDescent="0.35">
      <c r="A188" s="248"/>
      <c r="B188" s="1025" t="s">
        <v>261</v>
      </c>
      <c r="C188" s="543" t="s">
        <v>257</v>
      </c>
      <c r="D188" s="276"/>
      <c r="E188" s="436"/>
      <c r="F188" s="333">
        <f t="shared" si="181"/>
        <v>40695</v>
      </c>
      <c r="G188" s="278">
        <v>40600</v>
      </c>
      <c r="H188" s="278">
        <v>95</v>
      </c>
      <c r="I188" s="352" t="str">
        <f>IFERROR(F188/#REF!,"-")</f>
        <v>-</v>
      </c>
      <c r="J188" s="333">
        <f t="shared" si="182"/>
        <v>94730</v>
      </c>
      <c r="K188" s="278">
        <f t="shared" si="177"/>
        <v>94500</v>
      </c>
      <c r="L188" s="436">
        <f t="shared" si="178"/>
        <v>230</v>
      </c>
      <c r="M188" s="337" t="str">
        <f t="shared" si="187"/>
        <v>-</v>
      </c>
      <c r="N188" s="263">
        <f t="shared" si="188"/>
        <v>2.427953129948274E-3</v>
      </c>
      <c r="O188" s="710">
        <v>5.5069999999999997</v>
      </c>
      <c r="P188" s="404">
        <f t="shared" si="179"/>
        <v>223584.19999999998</v>
      </c>
      <c r="Q188" s="449">
        <f t="shared" si="180"/>
        <v>520411.49999999994</v>
      </c>
    </row>
    <row r="189" spans="1:17" ht="24" x14ac:dyDescent="0.35">
      <c r="A189" s="248"/>
      <c r="B189" s="1026"/>
      <c r="C189" s="543" t="s">
        <v>258</v>
      </c>
      <c r="D189" s="276"/>
      <c r="E189" s="436"/>
      <c r="F189" s="333">
        <f t="shared" si="181"/>
        <v>0</v>
      </c>
      <c r="G189" s="278"/>
      <c r="H189" s="278"/>
      <c r="I189" s="352" t="str">
        <f>IFERROR(F189/#REF!,"-")</f>
        <v>-</v>
      </c>
      <c r="J189" s="333">
        <f t="shared" si="182"/>
        <v>0</v>
      </c>
      <c r="K189" s="278">
        <f t="shared" si="177"/>
        <v>0</v>
      </c>
      <c r="L189" s="436">
        <f t="shared" si="178"/>
        <v>0</v>
      </c>
      <c r="M189" s="337" t="str">
        <f t="shared" si="187"/>
        <v>-</v>
      </c>
      <c r="N189" s="263" t="str">
        <f t="shared" si="188"/>
        <v>-</v>
      </c>
      <c r="O189" s="508">
        <v>5.6550000000000002</v>
      </c>
      <c r="P189" s="404">
        <f t="shared" si="179"/>
        <v>0</v>
      </c>
      <c r="Q189" s="449">
        <f t="shared" si="180"/>
        <v>0</v>
      </c>
    </row>
    <row r="190" spans="1:17" ht="24" x14ac:dyDescent="0.35">
      <c r="A190" s="248"/>
      <c r="B190" s="1026"/>
      <c r="C190" s="543" t="s">
        <v>321</v>
      </c>
      <c r="D190" s="276"/>
      <c r="E190" s="436"/>
      <c r="F190" s="333">
        <f t="shared" si="181"/>
        <v>0</v>
      </c>
      <c r="G190" s="278"/>
      <c r="H190" s="278"/>
      <c r="I190" s="352" t="str">
        <f>IFERROR(F190/#REF!,"-")</f>
        <v>-</v>
      </c>
      <c r="J190" s="333">
        <f t="shared" si="182"/>
        <v>0</v>
      </c>
      <c r="K190" s="686">
        <f t="shared" si="177"/>
        <v>0</v>
      </c>
      <c r="L190" s="687">
        <f t="shared" si="178"/>
        <v>0</v>
      </c>
      <c r="M190" s="337" t="str">
        <f t="shared" si="187"/>
        <v>-</v>
      </c>
      <c r="N190" s="263" t="str">
        <f t="shared" si="188"/>
        <v>-</v>
      </c>
      <c r="O190" s="508">
        <v>5.6550000000000002</v>
      </c>
      <c r="P190" s="404">
        <f t="shared" si="179"/>
        <v>0</v>
      </c>
      <c r="Q190" s="449">
        <f t="shared" si="180"/>
        <v>0</v>
      </c>
    </row>
    <row r="191" spans="1:17" ht="24" x14ac:dyDescent="0.35">
      <c r="A191" s="248"/>
      <c r="B191" s="1026"/>
      <c r="C191" s="543" t="s">
        <v>259</v>
      </c>
      <c r="D191" s="276"/>
      <c r="E191" s="436"/>
      <c r="F191" s="333">
        <f t="shared" si="181"/>
        <v>0</v>
      </c>
      <c r="G191" s="278"/>
      <c r="H191" s="278"/>
      <c r="I191" s="352" t="str">
        <f>IFERROR(F191/#REF!,"-")</f>
        <v>-</v>
      </c>
      <c r="J191" s="333">
        <f t="shared" si="182"/>
        <v>0</v>
      </c>
      <c r="K191" s="278">
        <f t="shared" si="177"/>
        <v>0</v>
      </c>
      <c r="L191" s="436">
        <f t="shared" si="178"/>
        <v>0</v>
      </c>
      <c r="M191" s="337" t="str">
        <f t="shared" si="187"/>
        <v>-</v>
      </c>
      <c r="N191" s="263" t="str">
        <f t="shared" si="188"/>
        <v>-</v>
      </c>
      <c r="O191" s="508">
        <v>5.6550000000000002</v>
      </c>
      <c r="P191" s="404">
        <f t="shared" si="179"/>
        <v>0</v>
      </c>
      <c r="Q191" s="449">
        <f t="shared" si="180"/>
        <v>0</v>
      </c>
    </row>
    <row r="192" spans="1:17" ht="24" x14ac:dyDescent="0.35">
      <c r="A192" s="248" t="s">
        <v>101</v>
      </c>
      <c r="B192" s="1026"/>
      <c r="C192" s="543" t="s">
        <v>260</v>
      </c>
      <c r="D192" s="276"/>
      <c r="E192" s="436"/>
      <c r="F192" s="333">
        <f t="shared" si="181"/>
        <v>0</v>
      </c>
      <c r="G192" s="278"/>
      <c r="H192" s="278"/>
      <c r="I192" s="352" t="str">
        <f>IFERROR(F192/#REF!,"-")</f>
        <v>-</v>
      </c>
      <c r="J192" s="333">
        <f t="shared" si="182"/>
        <v>0</v>
      </c>
      <c r="K192" s="278">
        <f t="shared" si="177"/>
        <v>0</v>
      </c>
      <c r="L192" s="436">
        <f t="shared" si="178"/>
        <v>0</v>
      </c>
      <c r="M192" s="337" t="str">
        <f t="shared" si="187"/>
        <v>-</v>
      </c>
      <c r="N192" s="263" t="str">
        <f t="shared" si="188"/>
        <v>-</v>
      </c>
      <c r="O192" s="508">
        <v>3.2963</v>
      </c>
      <c r="P192" s="404">
        <f t="shared" si="179"/>
        <v>0</v>
      </c>
      <c r="Q192" s="449">
        <f t="shared" si="180"/>
        <v>0</v>
      </c>
    </row>
    <row r="193" spans="1:17" ht="24.75" thickBot="1" x14ac:dyDescent="0.4">
      <c r="A193" s="248" t="s">
        <v>101</v>
      </c>
      <c r="B193" s="1027"/>
      <c r="C193" s="543" t="s">
        <v>255</v>
      </c>
      <c r="D193" s="276"/>
      <c r="E193" s="436"/>
      <c r="F193" s="333">
        <f t="shared" si="181"/>
        <v>0</v>
      </c>
      <c r="G193" s="278"/>
      <c r="H193" s="278"/>
      <c r="I193" s="352" t="str">
        <f>IFERROR(F193/#REF!,"-")</f>
        <v>-</v>
      </c>
      <c r="J193" s="333">
        <f t="shared" si="182"/>
        <v>0</v>
      </c>
      <c r="K193" s="278">
        <f t="shared" si="177"/>
        <v>0</v>
      </c>
      <c r="L193" s="436">
        <f t="shared" si="178"/>
        <v>0</v>
      </c>
      <c r="M193" s="337" t="str">
        <f t="shared" si="187"/>
        <v>-</v>
      </c>
      <c r="N193" s="263" t="str">
        <f t="shared" si="188"/>
        <v>-</v>
      </c>
      <c r="O193" s="508">
        <v>3.2963</v>
      </c>
      <c r="P193" s="404">
        <f t="shared" si="179"/>
        <v>0</v>
      </c>
      <c r="Q193" s="449">
        <f t="shared" si="180"/>
        <v>0</v>
      </c>
    </row>
    <row r="194" spans="1:17" ht="24" x14ac:dyDescent="0.35">
      <c r="A194" s="248" t="s">
        <v>101</v>
      </c>
      <c r="B194" s="546"/>
      <c r="C194" s="544" t="s">
        <v>89</v>
      </c>
      <c r="D194" s="511"/>
      <c r="E194" s="436"/>
      <c r="F194" s="333">
        <f t="shared" si="181"/>
        <v>0</v>
      </c>
      <c r="G194" s="278"/>
      <c r="H194" s="278"/>
      <c r="I194" s="352" t="str">
        <f>IFERROR(F194/#REF!,"-")</f>
        <v>-</v>
      </c>
      <c r="J194" s="333">
        <f t="shared" si="182"/>
        <v>0</v>
      </c>
      <c r="K194" s="278">
        <f t="shared" si="177"/>
        <v>0</v>
      </c>
      <c r="L194" s="436">
        <f t="shared" si="178"/>
        <v>0</v>
      </c>
      <c r="M194" s="337" t="str">
        <f t="shared" si="187"/>
        <v>-</v>
      </c>
      <c r="N194" s="263" t="str">
        <f t="shared" si="188"/>
        <v>-</v>
      </c>
      <c r="O194" s="508">
        <v>2.3201000000000001</v>
      </c>
      <c r="P194" s="404">
        <f t="shared" si="179"/>
        <v>0</v>
      </c>
      <c r="Q194" s="449">
        <f t="shared" si="180"/>
        <v>0</v>
      </c>
    </row>
    <row r="195" spans="1:17" ht="24.75" thickBot="1" x14ac:dyDescent="0.3">
      <c r="A195" s="248" t="s">
        <v>101</v>
      </c>
      <c r="B195" s="524"/>
      <c r="C195" s="541"/>
      <c r="D195" s="530"/>
      <c r="E195" s="462"/>
      <c r="F195" s="460">
        <f t="shared" si="181"/>
        <v>0</v>
      </c>
      <c r="G195" s="461"/>
      <c r="H195" s="461"/>
      <c r="I195" s="532" t="str">
        <f>IFERROR(F195/#REF!,"-")</f>
        <v>-</v>
      </c>
      <c r="J195" s="460">
        <f t="shared" si="182"/>
        <v>0</v>
      </c>
      <c r="K195" s="461">
        <f t="shared" si="177"/>
        <v>0</v>
      </c>
      <c r="L195" s="462">
        <f t="shared" si="178"/>
        <v>0</v>
      </c>
      <c r="M195" s="683" t="str">
        <f t="shared" si="187"/>
        <v>-</v>
      </c>
      <c r="N195" s="264" t="str">
        <f t="shared" si="188"/>
        <v>-</v>
      </c>
      <c r="O195" s="539"/>
      <c r="P195" s="536">
        <f t="shared" si="179"/>
        <v>0</v>
      </c>
      <c r="Q195" s="537">
        <f t="shared" si="180"/>
        <v>0</v>
      </c>
    </row>
    <row r="196" spans="1:17" ht="23.25" customHeight="1" thickBot="1" x14ac:dyDescent="0.3">
      <c r="A196" s="274" t="s">
        <v>101</v>
      </c>
      <c r="B196" s="1028" t="s">
        <v>25</v>
      </c>
      <c r="C196" s="964"/>
      <c r="D196" s="513">
        <f>SUM(D169:D195)</f>
        <v>0</v>
      </c>
      <c r="E196" s="526">
        <v>100000</v>
      </c>
      <c r="F196" s="519">
        <f>SUM(F164:F195)</f>
        <v>105048</v>
      </c>
      <c r="G196" s="519">
        <f>SUM(G164:G195)</f>
        <v>104020</v>
      </c>
      <c r="H196" s="519">
        <f>SUM(H164:H195)</f>
        <v>1028</v>
      </c>
      <c r="I196" s="520" t="str">
        <f>IFERROR(F196/#REF!,"-")</f>
        <v>-</v>
      </c>
      <c r="J196" s="513">
        <f>SUM(J164:J195)</f>
        <v>340971</v>
      </c>
      <c r="K196" s="513">
        <f t="shared" ref="K196:L196" si="189">SUM(K164:K195)</f>
        <v>338623</v>
      </c>
      <c r="L196" s="513">
        <f t="shared" si="189"/>
        <v>2348</v>
      </c>
      <c r="M196" s="521" t="str">
        <f t="shared" si="187"/>
        <v>-</v>
      </c>
      <c r="N196" s="520">
        <f t="shared" si="188"/>
        <v>6.8862161298174915E-3</v>
      </c>
      <c r="O196" s="522"/>
      <c r="P196" s="523">
        <f>SUM(P164:P195)</f>
        <v>665615.30000000005</v>
      </c>
      <c r="Q196" s="523">
        <f>SUM(Q164:Q195)</f>
        <v>2502453.4853999997</v>
      </c>
    </row>
    <row r="197" spans="1:17" ht="23.25" customHeight="1" thickBot="1" x14ac:dyDescent="0.3">
      <c r="A197" s="318" t="s">
        <v>101</v>
      </c>
      <c r="B197" s="1029" t="s">
        <v>249</v>
      </c>
      <c r="C197" s="1030"/>
      <c r="D197" s="326">
        <f>+D168+D196</f>
        <v>0</v>
      </c>
      <c r="E197" s="327">
        <f>+E168+E196</f>
        <v>100000</v>
      </c>
      <c r="F197" s="326">
        <f>+F196</f>
        <v>105048</v>
      </c>
      <c r="G197" s="326">
        <f t="shared" ref="G197:H197" si="190">+G196</f>
        <v>104020</v>
      </c>
      <c r="H197" s="326">
        <f t="shared" si="190"/>
        <v>1028</v>
      </c>
      <c r="I197" s="349" t="str">
        <f>IFERROR(F197/#REF!,"-")</f>
        <v>-</v>
      </c>
      <c r="J197" s="326">
        <f>+J196</f>
        <v>340971</v>
      </c>
      <c r="K197" s="326">
        <f t="shared" ref="K197:L197" si="191">+K196</f>
        <v>338623</v>
      </c>
      <c r="L197" s="326">
        <f t="shared" si="191"/>
        <v>2348</v>
      </c>
      <c r="M197" s="341" t="str">
        <f t="shared" si="187"/>
        <v>-</v>
      </c>
      <c r="N197" s="349">
        <f t="shared" si="188"/>
        <v>6.8862161298174915E-3</v>
      </c>
      <c r="O197" s="394"/>
      <c r="P197" s="410">
        <f>+P196</f>
        <v>665615.30000000005</v>
      </c>
      <c r="Q197" s="428">
        <f>Q196</f>
        <v>2502453.4853999997</v>
      </c>
    </row>
    <row r="198" spans="1:17" ht="26.25" thickBot="1" x14ac:dyDescent="0.3">
      <c r="A198" s="319"/>
      <c r="B198" s="1031" t="s">
        <v>174</v>
      </c>
      <c r="C198" s="1032"/>
      <c r="D198" s="374">
        <f>+D197+D163+D154</f>
        <v>0</v>
      </c>
      <c r="E198" s="374">
        <f>+E197+E163+E154</f>
        <v>230000</v>
      </c>
      <c r="F198" s="374">
        <f>+F197+F163+F154</f>
        <v>379511</v>
      </c>
      <c r="G198" s="374">
        <f>+G197+G163+G154</f>
        <v>376520</v>
      </c>
      <c r="H198" s="374">
        <f>+H197+H163+H154</f>
        <v>2991</v>
      </c>
      <c r="I198" s="375" t="str">
        <f>IFERROR(F198/#REF!,"-")</f>
        <v>-</v>
      </c>
      <c r="J198" s="374">
        <f>+J197+J163+J154</f>
        <v>1126052</v>
      </c>
      <c r="K198" s="374">
        <f>+K197+K163+K154</f>
        <v>1115673</v>
      </c>
      <c r="L198" s="374">
        <f>+L197+L163+L154</f>
        <v>10379</v>
      </c>
      <c r="M198" s="375" t="str">
        <f t="shared" si="187"/>
        <v>-</v>
      </c>
      <c r="N198" s="375">
        <f>IFERROR(L198/J198,"-")</f>
        <v>9.217158710254943E-3</v>
      </c>
      <c r="O198" s="401"/>
      <c r="P198" s="418">
        <f>+P197+P163+P154</f>
        <v>1916996.1500000001</v>
      </c>
      <c r="Q198" s="418">
        <f>+Q197+Q163+Q154</f>
        <v>5713441.3454</v>
      </c>
    </row>
    <row r="199" spans="1:17" ht="24.6" customHeight="1" thickBot="1" x14ac:dyDescent="0.3">
      <c r="A199" s="230"/>
      <c r="B199" s="230"/>
      <c r="C199" s="230"/>
      <c r="D199" s="232"/>
      <c r="E199" s="232"/>
      <c r="F199" s="232"/>
      <c r="G199" s="267"/>
      <c r="H199" s="267"/>
      <c r="I199" s="234"/>
      <c r="J199" s="232"/>
      <c r="K199" s="232"/>
      <c r="L199" s="232"/>
      <c r="M199" s="234"/>
      <c r="N199" s="234"/>
    </row>
    <row r="200" spans="1:17" ht="22.5" customHeight="1" x14ac:dyDescent="0.25">
      <c r="A200" s="1033" t="s">
        <v>1</v>
      </c>
      <c r="B200" s="1036" t="s">
        <v>2</v>
      </c>
      <c r="C200" s="1039" t="s">
        <v>396</v>
      </c>
      <c r="D200" s="987" t="s">
        <v>4</v>
      </c>
      <c r="E200" s="988"/>
      <c r="F200" s="988"/>
      <c r="G200" s="988"/>
      <c r="H200" s="988"/>
      <c r="I200" s="988"/>
      <c r="J200" s="988"/>
      <c r="K200" s="988"/>
      <c r="L200" s="988"/>
      <c r="M200" s="988"/>
      <c r="N200" s="989"/>
      <c r="O200" s="1011" t="s">
        <v>167</v>
      </c>
      <c r="P200" s="1012"/>
      <c r="Q200" s="1042"/>
    </row>
    <row r="201" spans="1:17" ht="22.5" customHeight="1" x14ac:dyDescent="0.25">
      <c r="A201" s="1034"/>
      <c r="B201" s="1037"/>
      <c r="C201" s="1040"/>
      <c r="D201" s="990" t="s">
        <v>7</v>
      </c>
      <c r="E201" s="992" t="s">
        <v>108</v>
      </c>
      <c r="F201" s="1043" t="s">
        <v>494</v>
      </c>
      <c r="G201" s="995"/>
      <c r="H201" s="995"/>
      <c r="I201" s="996"/>
      <c r="J201" s="997" t="s">
        <v>8</v>
      </c>
      <c r="K201" s="998"/>
      <c r="L201" s="999"/>
      <c r="M201" s="1000" t="s">
        <v>165</v>
      </c>
      <c r="N201" s="1002" t="s">
        <v>164</v>
      </c>
      <c r="O201" s="1044" t="s">
        <v>169</v>
      </c>
      <c r="P201" s="1045"/>
      <c r="Q201" s="1046"/>
    </row>
    <row r="202" spans="1:17" ht="45.75" thickBot="1" x14ac:dyDescent="0.3">
      <c r="A202" s="1035"/>
      <c r="B202" s="1038"/>
      <c r="C202" s="1041"/>
      <c r="D202" s="991"/>
      <c r="E202" s="993"/>
      <c r="F202" s="452" t="s">
        <v>13</v>
      </c>
      <c r="G202" s="453" t="s">
        <v>14</v>
      </c>
      <c r="H202" s="453" t="s">
        <v>15</v>
      </c>
      <c r="I202" s="454" t="s">
        <v>166</v>
      </c>
      <c r="J202" s="680" t="s">
        <v>13</v>
      </c>
      <c r="K202" s="678" t="s">
        <v>14</v>
      </c>
      <c r="L202" s="679" t="s">
        <v>15</v>
      </c>
      <c r="M202" s="1001"/>
      <c r="N202" s="1003"/>
      <c r="O202" s="444" t="s">
        <v>170</v>
      </c>
      <c r="P202" s="445" t="s">
        <v>11</v>
      </c>
      <c r="Q202" s="446" t="s">
        <v>12</v>
      </c>
    </row>
    <row r="203" spans="1:17" ht="24" x14ac:dyDescent="0.25">
      <c r="A203" s="268" t="s">
        <v>103</v>
      </c>
      <c r="B203" s="439"/>
      <c r="C203" s="269" t="s">
        <v>502</v>
      </c>
      <c r="D203" s="270"/>
      <c r="E203" s="271"/>
      <c r="F203" s="332">
        <f>+G203+H203</f>
        <v>56000</v>
      </c>
      <c r="G203" s="272">
        <v>56000</v>
      </c>
      <c r="H203" s="272"/>
      <c r="I203" s="351" t="str">
        <f>IFERROR(F203/#REF!,"-")</f>
        <v>-</v>
      </c>
      <c r="J203" s="457">
        <f>+K203+L203</f>
        <v>56000</v>
      </c>
      <c r="K203" s="458">
        <f>+G203+K140</f>
        <v>56000</v>
      </c>
      <c r="L203" s="458">
        <f>+H203+L140</f>
        <v>0</v>
      </c>
      <c r="M203" s="336" t="str">
        <f>IFERROR(J203/D203,"-")</f>
        <v>-</v>
      </c>
      <c r="N203" s="343">
        <f t="shared" ref="N203:N204" si="192">IFERROR(L203/J203,"-")</f>
        <v>0</v>
      </c>
      <c r="O203" s="786">
        <v>0</v>
      </c>
      <c r="P203" s="402">
        <f>+O203*G203</f>
        <v>0</v>
      </c>
      <c r="Q203" s="447">
        <f>+O203*K203</f>
        <v>0</v>
      </c>
    </row>
    <row r="204" spans="1:17" ht="24" x14ac:dyDescent="0.25">
      <c r="A204" s="274" t="s">
        <v>103</v>
      </c>
      <c r="B204" s="438"/>
      <c r="C204" s="275" t="s">
        <v>245</v>
      </c>
      <c r="D204" s="276"/>
      <c r="E204" s="277"/>
      <c r="F204" s="333">
        <f t="shared" ref="F204:F207" si="193">+G204+H204</f>
        <v>0</v>
      </c>
      <c r="G204" s="719"/>
      <c r="H204" s="719"/>
      <c r="I204" s="352" t="str">
        <f>IFERROR(F204/#REF!,"-")</f>
        <v>-</v>
      </c>
      <c r="J204" s="333">
        <f t="shared" ref="J204:J207" si="194">+K204+L204</f>
        <v>115874</v>
      </c>
      <c r="K204" s="278">
        <f t="shared" ref="K204:L204" si="195">+G204+K141</f>
        <v>115000</v>
      </c>
      <c r="L204" s="436">
        <f t="shared" si="195"/>
        <v>874</v>
      </c>
      <c r="M204" s="337" t="str">
        <f t="shared" ref="M204:M207" si="196">IFERROR(J204/D204,"-")</f>
        <v>-</v>
      </c>
      <c r="N204" s="265">
        <f t="shared" si="192"/>
        <v>7.5426756649464074E-3</v>
      </c>
      <c r="O204" s="508">
        <v>2.3978999999999999</v>
      </c>
      <c r="P204" s="404">
        <f>+O204*G204</f>
        <v>0</v>
      </c>
      <c r="Q204" s="449">
        <f>+O204*K204</f>
        <v>275758.5</v>
      </c>
    </row>
    <row r="205" spans="1:17" ht="24" x14ac:dyDescent="0.25">
      <c r="A205" s="274" t="s">
        <v>103</v>
      </c>
      <c r="B205" s="438"/>
      <c r="C205" s="275" t="s">
        <v>395</v>
      </c>
      <c r="D205" s="276"/>
      <c r="E205" s="277"/>
      <c r="F205" s="333">
        <f t="shared" si="193"/>
        <v>115864</v>
      </c>
      <c r="G205" s="278">
        <v>115000</v>
      </c>
      <c r="H205" s="719">
        <v>864</v>
      </c>
      <c r="I205" s="352" t="str">
        <f>IFERROR(F205/#REF!,"-")</f>
        <v>-</v>
      </c>
      <c r="J205" s="333">
        <f t="shared" si="194"/>
        <v>274592</v>
      </c>
      <c r="K205" s="278">
        <f t="shared" ref="K205:L205" si="197">+G205+K142</f>
        <v>272000</v>
      </c>
      <c r="L205" s="436">
        <f t="shared" si="197"/>
        <v>2592</v>
      </c>
      <c r="M205" s="337" t="str">
        <f t="shared" si="196"/>
        <v>-</v>
      </c>
      <c r="N205" s="716">
        <f>IFERROR(L205/J205,"-")</f>
        <v>9.4394592704812961E-3</v>
      </c>
      <c r="O205" s="718">
        <v>3.6777000000000002</v>
      </c>
      <c r="P205" s="404">
        <f t="shared" ref="P205:P207" si="198">+O205*G205</f>
        <v>422935.5</v>
      </c>
      <c r="Q205" s="449">
        <f t="shared" ref="Q205:Q207" si="199">+O205*K205</f>
        <v>1000334.4</v>
      </c>
    </row>
    <row r="206" spans="1:17" ht="24" x14ac:dyDescent="0.25">
      <c r="A206" s="274"/>
      <c r="B206" s="451"/>
      <c r="C206" s="275" t="s">
        <v>319</v>
      </c>
      <c r="D206" s="280"/>
      <c r="E206" s="281"/>
      <c r="F206" s="333">
        <f t="shared" si="193"/>
        <v>44556</v>
      </c>
      <c r="G206" s="282">
        <v>44000</v>
      </c>
      <c r="H206" s="282">
        <v>556</v>
      </c>
      <c r="I206" s="352" t="str">
        <f>IFERROR(F206/#REF!,"-")</f>
        <v>-</v>
      </c>
      <c r="J206" s="333">
        <f t="shared" si="194"/>
        <v>135608</v>
      </c>
      <c r="K206" s="278">
        <f t="shared" ref="K206:L206" si="200">+G206+K143</f>
        <v>133800</v>
      </c>
      <c r="L206" s="436">
        <f t="shared" si="200"/>
        <v>1808</v>
      </c>
      <c r="M206" s="337" t="str">
        <f t="shared" si="196"/>
        <v>-</v>
      </c>
      <c r="N206" s="265">
        <f>IFERROR(L206/J206,"-")</f>
        <v>1.3332546752403989E-2</v>
      </c>
      <c r="O206" s="509">
        <v>12.284700000000001</v>
      </c>
      <c r="P206" s="404">
        <f t="shared" si="198"/>
        <v>540526.80000000005</v>
      </c>
      <c r="Q206" s="449">
        <f t="shared" si="199"/>
        <v>1643692.86</v>
      </c>
    </row>
    <row r="207" spans="1:17" ht="24.75" thickBot="1" x14ac:dyDescent="0.3">
      <c r="A207" s="274" t="s">
        <v>103</v>
      </c>
      <c r="B207" s="451"/>
      <c r="C207" s="275" t="s">
        <v>365</v>
      </c>
      <c r="D207" s="280"/>
      <c r="E207" s="281"/>
      <c r="F207" s="334">
        <f t="shared" si="193"/>
        <v>0</v>
      </c>
      <c r="G207" s="282"/>
      <c r="H207" s="282"/>
      <c r="I207" s="353" t="str">
        <f>IFERROR(F207/#REF!,"-")</f>
        <v>-</v>
      </c>
      <c r="J207" s="460">
        <f t="shared" si="194"/>
        <v>45034</v>
      </c>
      <c r="K207" s="461">
        <f t="shared" ref="K207:L207" si="201">+G207+K144</f>
        <v>44250</v>
      </c>
      <c r="L207" s="462">
        <f t="shared" si="201"/>
        <v>784</v>
      </c>
      <c r="M207" s="338" t="str">
        <f t="shared" si="196"/>
        <v>-</v>
      </c>
      <c r="N207" s="344">
        <f t="shared" ref="N207:N219" si="202">IFERROR(L207/J207,"-")</f>
        <v>1.7409068703646134E-2</v>
      </c>
      <c r="O207" s="718">
        <v>7.0612000000000004</v>
      </c>
      <c r="P207" s="405">
        <f t="shared" si="198"/>
        <v>0</v>
      </c>
      <c r="Q207" s="450">
        <f t="shared" si="199"/>
        <v>312458.10000000003</v>
      </c>
    </row>
    <row r="208" spans="1:17" ht="23.25" customHeight="1" thickBot="1" x14ac:dyDescent="0.3">
      <c r="A208" s="274" t="s">
        <v>103</v>
      </c>
      <c r="B208" s="1028" t="s">
        <v>21</v>
      </c>
      <c r="C208" s="964"/>
      <c r="D208" s="320">
        <f>SUM(D203:D207)</f>
        <v>0</v>
      </c>
      <c r="E208" s="285">
        <v>15000</v>
      </c>
      <c r="F208" s="320">
        <f>SUM(F203:F207)</f>
        <v>216420</v>
      </c>
      <c r="G208" s="321">
        <f>SUM(G203:G207)</f>
        <v>215000</v>
      </c>
      <c r="H208" s="321">
        <f>SUM(H203:H207)</f>
        <v>1420</v>
      </c>
      <c r="I208" s="345" t="str">
        <f>IFERROR(F208/#REF!,"-")</f>
        <v>-</v>
      </c>
      <c r="J208" s="320">
        <f>SUM(J203:J207)</f>
        <v>627108</v>
      </c>
      <c r="K208" s="321">
        <f>SUM(K203:K207)</f>
        <v>621050</v>
      </c>
      <c r="L208" s="322">
        <f>SUM(L203:L207)</f>
        <v>6058</v>
      </c>
      <c r="M208" s="339" t="str">
        <f>IFERROR(J208/D208,"-")</f>
        <v>-</v>
      </c>
      <c r="N208" s="345">
        <f t="shared" si="202"/>
        <v>9.660218016673364E-3</v>
      </c>
      <c r="O208" s="391"/>
      <c r="P208" s="406">
        <f>SUM(P203:P207)</f>
        <v>963462.3</v>
      </c>
      <c r="Q208" s="425">
        <f>SUM(Q203:Q207)</f>
        <v>3232243.86</v>
      </c>
    </row>
    <row r="209" spans="1:17" ht="24" x14ac:dyDescent="0.25">
      <c r="A209" s="274" t="s">
        <v>103</v>
      </c>
      <c r="B209" s="439"/>
      <c r="C209" s="269" t="s">
        <v>244</v>
      </c>
      <c r="D209" s="270"/>
      <c r="E209" s="271"/>
      <c r="F209" s="332">
        <f t="shared" ref="F209:F215" si="203">+G209+H209</f>
        <v>0</v>
      </c>
      <c r="G209" s="272"/>
      <c r="H209" s="272"/>
      <c r="I209" s="351" t="str">
        <f>IFERROR(F209/#REF!,"-")</f>
        <v>-</v>
      </c>
      <c r="J209" s="457">
        <f t="shared" ref="J209:J215" si="204">+K209+L209</f>
        <v>0</v>
      </c>
      <c r="K209" s="458">
        <f t="shared" ref="K209:K215" si="205">+G209+K146</f>
        <v>0</v>
      </c>
      <c r="L209" s="459">
        <f t="shared" ref="L209:L215" si="206">+H209+L146</f>
        <v>0</v>
      </c>
      <c r="M209" s="336" t="str">
        <f t="shared" ref="M209:M217" si="207">IFERROR(J209/D209,"-")</f>
        <v>-</v>
      </c>
      <c r="N209" s="346" t="str">
        <f t="shared" si="202"/>
        <v>-</v>
      </c>
      <c r="O209" s="507">
        <v>18.2316</v>
      </c>
      <c r="P209" s="402">
        <f t="shared" ref="P209:P215" si="208">+O209*G209</f>
        <v>0</v>
      </c>
      <c r="Q209" s="447">
        <f t="shared" ref="Q209:Q215" si="209">+O209*K209</f>
        <v>0</v>
      </c>
    </row>
    <row r="210" spans="1:17" ht="24" x14ac:dyDescent="0.25">
      <c r="A210" s="274" t="s">
        <v>103</v>
      </c>
      <c r="B210" s="438"/>
      <c r="C210" s="275" t="s">
        <v>89</v>
      </c>
      <c r="D210" s="276"/>
      <c r="E210" s="277"/>
      <c r="F210" s="333">
        <f t="shared" si="203"/>
        <v>0</v>
      </c>
      <c r="G210" s="278"/>
      <c r="H210" s="278"/>
      <c r="I210" s="352" t="str">
        <f>IFERROR(F210/#REF!,"-")</f>
        <v>-</v>
      </c>
      <c r="J210" s="333">
        <f t="shared" si="204"/>
        <v>60000</v>
      </c>
      <c r="K210" s="278">
        <f t="shared" si="205"/>
        <v>60000</v>
      </c>
      <c r="L210" s="436">
        <f t="shared" si="206"/>
        <v>0</v>
      </c>
      <c r="M210" s="337" t="str">
        <f t="shared" si="207"/>
        <v>-</v>
      </c>
      <c r="N210" s="263">
        <f t="shared" si="202"/>
        <v>0</v>
      </c>
      <c r="O210" s="508">
        <v>1.2824</v>
      </c>
      <c r="P210" s="404">
        <f t="shared" si="208"/>
        <v>0</v>
      </c>
      <c r="Q210" s="449">
        <f t="shared" si="209"/>
        <v>76944</v>
      </c>
    </row>
    <row r="211" spans="1:17" ht="24" x14ac:dyDescent="0.25">
      <c r="A211" s="274" t="s">
        <v>103</v>
      </c>
      <c r="B211" s="438"/>
      <c r="C211" s="275" t="s">
        <v>300</v>
      </c>
      <c r="D211" s="276"/>
      <c r="E211" s="277"/>
      <c r="F211" s="333">
        <f t="shared" si="203"/>
        <v>0</v>
      </c>
      <c r="G211" s="278"/>
      <c r="H211" s="278"/>
      <c r="I211" s="352" t="str">
        <f>IFERROR(F211/#REF!,"-")</f>
        <v>-</v>
      </c>
      <c r="J211" s="333">
        <f t="shared" si="204"/>
        <v>0</v>
      </c>
      <c r="K211" s="278">
        <f t="shared" si="205"/>
        <v>0</v>
      </c>
      <c r="L211" s="436">
        <f t="shared" si="206"/>
        <v>0</v>
      </c>
      <c r="M211" s="337" t="str">
        <f t="shared" si="207"/>
        <v>-</v>
      </c>
      <c r="N211" s="263" t="str">
        <f t="shared" si="202"/>
        <v>-</v>
      </c>
      <c r="O211" s="710">
        <v>5.7342000000000004</v>
      </c>
      <c r="P211" s="404">
        <f t="shared" si="208"/>
        <v>0</v>
      </c>
      <c r="Q211" s="449">
        <f t="shared" si="209"/>
        <v>0</v>
      </c>
    </row>
    <row r="212" spans="1:17" ht="24" x14ac:dyDescent="0.25">
      <c r="A212" s="274" t="s">
        <v>103</v>
      </c>
      <c r="B212" s="438"/>
      <c r="C212" s="275" t="s">
        <v>314</v>
      </c>
      <c r="D212" s="276"/>
      <c r="E212" s="277"/>
      <c r="F212" s="333">
        <f t="shared" si="203"/>
        <v>0</v>
      </c>
      <c r="G212" s="278"/>
      <c r="H212" s="278"/>
      <c r="I212" s="352" t="str">
        <f>IFERROR(F212/#REF!,"-")</f>
        <v>-</v>
      </c>
      <c r="J212" s="333">
        <f t="shared" si="204"/>
        <v>0</v>
      </c>
      <c r="K212" s="278">
        <f t="shared" si="205"/>
        <v>0</v>
      </c>
      <c r="L212" s="436">
        <f t="shared" si="206"/>
        <v>0</v>
      </c>
      <c r="M212" s="337" t="str">
        <f t="shared" si="207"/>
        <v>-</v>
      </c>
      <c r="N212" s="263" t="str">
        <f t="shared" si="202"/>
        <v>-</v>
      </c>
      <c r="O212" s="508"/>
      <c r="P212" s="404">
        <f t="shared" si="208"/>
        <v>0</v>
      </c>
      <c r="Q212" s="449">
        <f t="shared" si="209"/>
        <v>0</v>
      </c>
    </row>
    <row r="213" spans="1:17" ht="24" x14ac:dyDescent="0.25">
      <c r="A213" s="274" t="s">
        <v>103</v>
      </c>
      <c r="B213" s="438"/>
      <c r="C213" s="275" t="s">
        <v>320</v>
      </c>
      <c r="D213" s="276"/>
      <c r="E213" s="277"/>
      <c r="F213" s="333">
        <f t="shared" si="203"/>
        <v>18035</v>
      </c>
      <c r="G213" s="278">
        <v>18000</v>
      </c>
      <c r="H213" s="278">
        <v>35</v>
      </c>
      <c r="I213" s="352" t="str">
        <f>IFERROR(F213/#REF!,"-")</f>
        <v>-</v>
      </c>
      <c r="J213" s="333">
        <f t="shared" si="204"/>
        <v>36080</v>
      </c>
      <c r="K213" s="278">
        <f t="shared" si="205"/>
        <v>36000</v>
      </c>
      <c r="L213" s="436">
        <f t="shared" si="206"/>
        <v>80</v>
      </c>
      <c r="M213" s="337" t="str">
        <f t="shared" si="207"/>
        <v>-</v>
      </c>
      <c r="N213" s="263">
        <f t="shared" si="202"/>
        <v>2.2172949002217295E-3</v>
      </c>
      <c r="O213" s="508">
        <v>12.029500000000001</v>
      </c>
      <c r="P213" s="404">
        <f t="shared" si="208"/>
        <v>216531</v>
      </c>
      <c r="Q213" s="449">
        <f t="shared" si="209"/>
        <v>433062</v>
      </c>
    </row>
    <row r="214" spans="1:17" ht="24" x14ac:dyDescent="0.25">
      <c r="A214" s="274" t="s">
        <v>103</v>
      </c>
      <c r="B214" s="438"/>
      <c r="C214" s="275"/>
      <c r="D214" s="276"/>
      <c r="E214" s="277"/>
      <c r="F214" s="333">
        <f t="shared" si="203"/>
        <v>0</v>
      </c>
      <c r="G214" s="278"/>
      <c r="H214" s="278"/>
      <c r="I214" s="352" t="str">
        <f>IFERROR(F214/#REF!,"-")</f>
        <v>-</v>
      </c>
      <c r="J214" s="333">
        <f t="shared" si="204"/>
        <v>0</v>
      </c>
      <c r="K214" s="278">
        <f t="shared" si="205"/>
        <v>0</v>
      </c>
      <c r="L214" s="436">
        <f t="shared" si="206"/>
        <v>0</v>
      </c>
      <c r="M214" s="337" t="str">
        <f t="shared" si="207"/>
        <v>-</v>
      </c>
      <c r="N214" s="263" t="str">
        <f t="shared" si="202"/>
        <v>-</v>
      </c>
      <c r="O214" s="508"/>
      <c r="P214" s="404">
        <f t="shared" si="208"/>
        <v>0</v>
      </c>
      <c r="Q214" s="449">
        <f t="shared" si="209"/>
        <v>0</v>
      </c>
    </row>
    <row r="215" spans="1:17" ht="24.75" thickBot="1" x14ac:dyDescent="0.3">
      <c r="A215" s="274" t="s">
        <v>103</v>
      </c>
      <c r="B215" s="451"/>
      <c r="C215" s="279"/>
      <c r="D215" s="280">
        <v>0</v>
      </c>
      <c r="E215" s="281"/>
      <c r="F215" s="334">
        <f t="shared" si="203"/>
        <v>0</v>
      </c>
      <c r="G215" s="282"/>
      <c r="H215" s="282"/>
      <c r="I215" s="353" t="str">
        <f>IFERROR(F215/#REF!,"-")</f>
        <v>-</v>
      </c>
      <c r="J215" s="460">
        <f t="shared" si="204"/>
        <v>0</v>
      </c>
      <c r="K215" s="461">
        <f t="shared" si="205"/>
        <v>0</v>
      </c>
      <c r="L215" s="462">
        <f t="shared" si="206"/>
        <v>0</v>
      </c>
      <c r="M215" s="338" t="str">
        <f t="shared" si="207"/>
        <v>-</v>
      </c>
      <c r="N215" s="347" t="str">
        <f t="shared" si="202"/>
        <v>-</v>
      </c>
      <c r="O215" s="509"/>
      <c r="P215" s="405">
        <f t="shared" si="208"/>
        <v>0</v>
      </c>
      <c r="Q215" s="450">
        <f t="shared" si="209"/>
        <v>0</v>
      </c>
    </row>
    <row r="216" spans="1:17" ht="23.25" customHeight="1" thickBot="1" x14ac:dyDescent="0.3">
      <c r="A216" s="274" t="s">
        <v>103</v>
      </c>
      <c r="B216" s="1028" t="s">
        <v>25</v>
      </c>
      <c r="C216" s="964"/>
      <c r="D216" s="320">
        <f t="shared" ref="D216" si="210">SUM(D209:D215)</f>
        <v>0</v>
      </c>
      <c r="E216" s="285">
        <v>100000</v>
      </c>
      <c r="F216" s="320">
        <f>SUM(F209:F215)</f>
        <v>18035</v>
      </c>
      <c r="G216" s="321">
        <f t="shared" ref="G216:H216" si="211">SUM(G209:G215)</f>
        <v>18000</v>
      </c>
      <c r="H216" s="321">
        <f t="shared" si="211"/>
        <v>35</v>
      </c>
      <c r="I216" s="345" t="str">
        <f>IFERROR(F216/#REF!,"-")</f>
        <v>-</v>
      </c>
      <c r="J216" s="320">
        <f t="shared" ref="J216:L216" si="212">SUM(J209:J215)</f>
        <v>96080</v>
      </c>
      <c r="K216" s="321">
        <f t="shared" si="212"/>
        <v>96000</v>
      </c>
      <c r="L216" s="322">
        <f t="shared" si="212"/>
        <v>80</v>
      </c>
      <c r="M216" s="339" t="str">
        <f t="shared" si="207"/>
        <v>-</v>
      </c>
      <c r="N216" s="345">
        <f t="shared" si="202"/>
        <v>8.3263946711074107E-4</v>
      </c>
      <c r="O216" s="391"/>
      <c r="P216" s="406">
        <f t="shared" ref="P216:Q216" si="213">SUM(P209:P215)</f>
        <v>216531</v>
      </c>
      <c r="Q216" s="425">
        <f t="shared" si="213"/>
        <v>510006</v>
      </c>
    </row>
    <row r="217" spans="1:17" ht="23.25" customHeight="1" thickBot="1" x14ac:dyDescent="0.3">
      <c r="A217" s="274" t="s">
        <v>103</v>
      </c>
      <c r="B217" s="1029" t="s">
        <v>172</v>
      </c>
      <c r="C217" s="1030"/>
      <c r="D217" s="326">
        <f>+D208+D216</f>
        <v>0</v>
      </c>
      <c r="E217" s="327">
        <f t="shared" ref="E217:H217" si="214">+E208+E216</f>
        <v>115000</v>
      </c>
      <c r="F217" s="326">
        <f t="shared" si="214"/>
        <v>234455</v>
      </c>
      <c r="G217" s="324">
        <f t="shared" si="214"/>
        <v>233000</v>
      </c>
      <c r="H217" s="324">
        <f t="shared" si="214"/>
        <v>1455</v>
      </c>
      <c r="I217" s="349" t="str">
        <f>IFERROR(F217/#REF!,"-")</f>
        <v>-</v>
      </c>
      <c r="J217" s="326">
        <f t="shared" ref="J217:L217" si="215">+J208+J216</f>
        <v>723188</v>
      </c>
      <c r="K217" s="324">
        <f t="shared" si="215"/>
        <v>717050</v>
      </c>
      <c r="L217" s="325">
        <f t="shared" si="215"/>
        <v>6138</v>
      </c>
      <c r="M217" s="341" t="str">
        <f t="shared" si="207"/>
        <v>-</v>
      </c>
      <c r="N217" s="349">
        <f t="shared" si="202"/>
        <v>8.4874195921392503E-3</v>
      </c>
      <c r="O217" s="394"/>
      <c r="P217" s="410">
        <f t="shared" ref="P217:Q217" si="216">+P208+P216</f>
        <v>1179993.3</v>
      </c>
      <c r="Q217" s="428">
        <f t="shared" si="216"/>
        <v>3742249.86</v>
      </c>
    </row>
    <row r="218" spans="1:17" ht="24" x14ac:dyDescent="0.25">
      <c r="A218" s="244" t="s">
        <v>101</v>
      </c>
      <c r="B218" s="581"/>
      <c r="C218" s="582" t="s">
        <v>283</v>
      </c>
      <c r="D218" s="527"/>
      <c r="E218" s="459"/>
      <c r="F218" s="457">
        <f>+G218+H218</f>
        <v>0</v>
      </c>
      <c r="G218" s="458"/>
      <c r="H218" s="458"/>
      <c r="I218" s="531" t="str">
        <f>IFERROR(F218/#REF!,"-")</f>
        <v>-</v>
      </c>
      <c r="J218" s="457">
        <f>+K218+L218</f>
        <v>0</v>
      </c>
      <c r="K218" s="458">
        <f t="shared" ref="K218:K224" si="217">+G218+K155</f>
        <v>0</v>
      </c>
      <c r="L218" s="459">
        <f t="shared" ref="L218:L224" si="218">+H218+L155</f>
        <v>0</v>
      </c>
      <c r="M218" s="586" t="str">
        <f>IFERROR(J218/D218,"-")</f>
        <v>-</v>
      </c>
      <c r="N218" s="533" t="str">
        <f t="shared" si="202"/>
        <v>-</v>
      </c>
      <c r="O218" s="628">
        <v>4.8285999999999998</v>
      </c>
      <c r="P218" s="534">
        <f t="shared" ref="P218:P224" si="219">+O218*G218</f>
        <v>0</v>
      </c>
      <c r="Q218" s="535">
        <f t="shared" ref="Q218:Q224" si="220">+O218*K218</f>
        <v>0</v>
      </c>
    </row>
    <row r="219" spans="1:17" ht="24" x14ac:dyDescent="0.25">
      <c r="A219" s="248" t="s">
        <v>101</v>
      </c>
      <c r="B219" s="583"/>
      <c r="C219" s="275" t="s">
        <v>284</v>
      </c>
      <c r="D219" s="276"/>
      <c r="E219" s="436"/>
      <c r="F219" s="333">
        <f t="shared" ref="F219:F224" si="221">+G219+H219</f>
        <v>0</v>
      </c>
      <c r="G219" s="278"/>
      <c r="H219" s="278"/>
      <c r="I219" s="352" t="str">
        <f>IFERROR(F219/#REF!,"-")</f>
        <v>-</v>
      </c>
      <c r="J219" s="333">
        <f t="shared" ref="J219:J224" si="222">+K219+L219</f>
        <v>0</v>
      </c>
      <c r="K219" s="278">
        <f t="shared" si="217"/>
        <v>0</v>
      </c>
      <c r="L219" s="436">
        <f t="shared" si="218"/>
        <v>0</v>
      </c>
      <c r="M219" s="337" t="str">
        <f t="shared" ref="M219:M221" si="223">IFERROR(J219/D219,"-")</f>
        <v>-</v>
      </c>
      <c r="N219" s="265" t="str">
        <f t="shared" si="202"/>
        <v>-</v>
      </c>
      <c r="O219" s="629">
        <v>1.4086000000000001</v>
      </c>
      <c r="P219" s="404">
        <f t="shared" si="219"/>
        <v>0</v>
      </c>
      <c r="Q219" s="449">
        <f t="shared" si="220"/>
        <v>0</v>
      </c>
    </row>
    <row r="220" spans="1:17" ht="24" x14ac:dyDescent="0.25">
      <c r="A220" s="248" t="s">
        <v>101</v>
      </c>
      <c r="B220" s="583"/>
      <c r="C220" s="275" t="s">
        <v>315</v>
      </c>
      <c r="D220" s="276"/>
      <c r="E220" s="436"/>
      <c r="F220" s="333">
        <f t="shared" si="221"/>
        <v>0</v>
      </c>
      <c r="G220" s="278"/>
      <c r="H220" s="278"/>
      <c r="I220" s="352" t="str">
        <f>IFERROR(F220/#REF!,"-")</f>
        <v>-</v>
      </c>
      <c r="J220" s="333">
        <f t="shared" si="222"/>
        <v>0</v>
      </c>
      <c r="K220" s="278">
        <f t="shared" si="217"/>
        <v>0</v>
      </c>
      <c r="L220" s="436">
        <f t="shared" si="218"/>
        <v>0</v>
      </c>
      <c r="M220" s="337" t="str">
        <f t="shared" si="223"/>
        <v>-</v>
      </c>
      <c r="N220" s="265" t="str">
        <f>IFERROR(L220/J220,"-")</f>
        <v>-</v>
      </c>
      <c r="O220" s="629">
        <v>2.2141000000000002</v>
      </c>
      <c r="P220" s="404">
        <f t="shared" si="219"/>
        <v>0</v>
      </c>
      <c r="Q220" s="449">
        <f t="shared" si="220"/>
        <v>0</v>
      </c>
    </row>
    <row r="221" spans="1:17" ht="24" x14ac:dyDescent="0.25">
      <c r="A221" s="248" t="s">
        <v>101</v>
      </c>
      <c r="B221" s="584"/>
      <c r="C221" s="275" t="s">
        <v>447</v>
      </c>
      <c r="D221" s="280"/>
      <c r="E221" s="528"/>
      <c r="F221" s="334">
        <f t="shared" si="221"/>
        <v>19208</v>
      </c>
      <c r="G221" s="282">
        <v>18250</v>
      </c>
      <c r="H221" s="282">
        <v>958</v>
      </c>
      <c r="I221" s="353" t="str">
        <f>IFERROR(F221/#REF!,"-")</f>
        <v>-</v>
      </c>
      <c r="J221" s="333">
        <f t="shared" si="222"/>
        <v>315556</v>
      </c>
      <c r="K221" s="278">
        <f t="shared" si="217"/>
        <v>311250</v>
      </c>
      <c r="L221" s="436">
        <f t="shared" si="218"/>
        <v>4306</v>
      </c>
      <c r="M221" s="338" t="str">
        <f t="shared" si="223"/>
        <v>-</v>
      </c>
      <c r="N221" s="344">
        <f t="shared" ref="N221:N228" si="224">IFERROR(L221/J221,"-")</f>
        <v>1.3645755428513481E-2</v>
      </c>
      <c r="O221" s="629">
        <v>2.2141000000000002</v>
      </c>
      <c r="P221" s="405">
        <f t="shared" si="219"/>
        <v>40407.325000000004</v>
      </c>
      <c r="Q221" s="450">
        <f t="shared" si="220"/>
        <v>689138.625</v>
      </c>
    </row>
    <row r="222" spans="1:17" ht="24" x14ac:dyDescent="0.25">
      <c r="A222" s="248" t="s">
        <v>101</v>
      </c>
      <c r="B222" s="440"/>
      <c r="C222" s="627" t="s">
        <v>353</v>
      </c>
      <c r="D222" s="510"/>
      <c r="E222" s="529"/>
      <c r="F222" s="333">
        <f t="shared" si="221"/>
        <v>0</v>
      </c>
      <c r="G222" s="547"/>
      <c r="H222" s="547"/>
      <c r="I222" s="352" t="str">
        <f>IFERROR(F222/#REF!,"-")</f>
        <v>-</v>
      </c>
      <c r="J222" s="333">
        <f t="shared" si="222"/>
        <v>0</v>
      </c>
      <c r="K222" s="278">
        <f t="shared" si="217"/>
        <v>0</v>
      </c>
      <c r="L222" s="436">
        <f t="shared" si="218"/>
        <v>0</v>
      </c>
      <c r="M222" s="682"/>
      <c r="N222" s="265" t="str">
        <f t="shared" si="224"/>
        <v>-</v>
      </c>
      <c r="O222" s="540">
        <v>4.8285999999999998</v>
      </c>
      <c r="P222" s="404">
        <f t="shared" si="219"/>
        <v>0</v>
      </c>
      <c r="Q222" s="449">
        <f t="shared" si="220"/>
        <v>0</v>
      </c>
    </row>
    <row r="223" spans="1:17" ht="24" x14ac:dyDescent="0.25">
      <c r="A223" s="248" t="s">
        <v>101</v>
      </c>
      <c r="B223" s="585"/>
      <c r="C223" s="627" t="s">
        <v>349</v>
      </c>
      <c r="D223" s="270"/>
      <c r="E223" s="435"/>
      <c r="F223" s="332">
        <f t="shared" si="221"/>
        <v>0</v>
      </c>
      <c r="G223" s="272"/>
      <c r="H223" s="272"/>
      <c r="I223" s="351" t="str">
        <f>IFERROR(F223/#REF!,"-")</f>
        <v>-</v>
      </c>
      <c r="J223" s="333">
        <f t="shared" si="222"/>
        <v>0</v>
      </c>
      <c r="K223" s="278">
        <f t="shared" si="217"/>
        <v>0</v>
      </c>
      <c r="L223" s="436">
        <f t="shared" si="218"/>
        <v>0</v>
      </c>
      <c r="M223" s="336" t="str">
        <f t="shared" ref="M223:M224" si="225">IFERROR(J223/D223,"-")</f>
        <v>-</v>
      </c>
      <c r="N223" s="346" t="str">
        <f t="shared" si="224"/>
        <v>-</v>
      </c>
      <c r="O223" s="507">
        <v>4.1712999999999996</v>
      </c>
      <c r="P223" s="402">
        <f t="shared" si="219"/>
        <v>0</v>
      </c>
      <c r="Q223" s="447">
        <f t="shared" si="220"/>
        <v>0</v>
      </c>
    </row>
    <row r="224" spans="1:17" ht="24.75" thickBot="1" x14ac:dyDescent="0.3">
      <c r="A224" s="248" t="s">
        <v>101</v>
      </c>
      <c r="B224" s="583"/>
      <c r="C224" s="275"/>
      <c r="D224" s="276"/>
      <c r="E224" s="436"/>
      <c r="F224" s="333">
        <f t="shared" si="221"/>
        <v>0</v>
      </c>
      <c r="G224" s="278"/>
      <c r="H224" s="278"/>
      <c r="I224" s="352" t="str">
        <f>IFERROR(F224/#REF!,"-")</f>
        <v>-</v>
      </c>
      <c r="J224" s="460">
        <f t="shared" si="222"/>
        <v>0</v>
      </c>
      <c r="K224" s="461">
        <f t="shared" si="217"/>
        <v>0</v>
      </c>
      <c r="L224" s="462">
        <f t="shared" si="218"/>
        <v>0</v>
      </c>
      <c r="M224" s="337" t="str">
        <f t="shared" si="225"/>
        <v>-</v>
      </c>
      <c r="N224" s="263" t="str">
        <f t="shared" si="224"/>
        <v>-</v>
      </c>
      <c r="O224" s="448"/>
      <c r="P224" s="404">
        <f t="shared" si="219"/>
        <v>0</v>
      </c>
      <c r="Q224" s="449">
        <f t="shared" si="220"/>
        <v>0</v>
      </c>
    </row>
    <row r="225" spans="1:17" ht="23.25" customHeight="1" thickBot="1" x14ac:dyDescent="0.3">
      <c r="A225" s="274" t="s">
        <v>101</v>
      </c>
      <c r="B225" s="1028" t="s">
        <v>21</v>
      </c>
      <c r="C225" s="964"/>
      <c r="D225" s="320">
        <v>0</v>
      </c>
      <c r="E225" s="285">
        <v>15000</v>
      </c>
      <c r="F225" s="320">
        <f>SUM(F218:F224)</f>
        <v>19208</v>
      </c>
      <c r="G225" s="321">
        <f t="shared" ref="G225:H225" si="226">SUM(G218:G224)</f>
        <v>18250</v>
      </c>
      <c r="H225" s="321">
        <f t="shared" si="226"/>
        <v>958</v>
      </c>
      <c r="I225" s="345" t="str">
        <f>IFERROR(F225/#REF!,"-")</f>
        <v>-</v>
      </c>
      <c r="J225" s="513">
        <f t="shared" ref="J225" si="227">SUM(J218:J224)</f>
        <v>315556</v>
      </c>
      <c r="K225" s="519">
        <f>SUM(K218:K224)</f>
        <v>311250</v>
      </c>
      <c r="L225" s="519">
        <f>SUM(L218:L224)</f>
        <v>4306</v>
      </c>
      <c r="M225" s="339" t="str">
        <f>IFERROR(J225/D225,"-")</f>
        <v>-</v>
      </c>
      <c r="N225" s="345">
        <f t="shared" si="224"/>
        <v>1.3645755428513481E-2</v>
      </c>
      <c r="O225" s="391"/>
      <c r="P225" s="406">
        <f>SUM(P218:P224)</f>
        <v>40407.325000000004</v>
      </c>
      <c r="Q225" s="425">
        <f>SUM(Q218:Q224)</f>
        <v>689138.625</v>
      </c>
    </row>
    <row r="226" spans="1:17" ht="23.25" customHeight="1" thickBot="1" x14ac:dyDescent="0.3">
      <c r="A226" s="274" t="s">
        <v>101</v>
      </c>
      <c r="B226" s="1029" t="s">
        <v>248</v>
      </c>
      <c r="C226" s="1030"/>
      <c r="D226" s="512">
        <f>+D222+D225</f>
        <v>0</v>
      </c>
      <c r="E226" s="525">
        <f>+E222+E225</f>
        <v>15000</v>
      </c>
      <c r="F226" s="512">
        <f>+F222+F225</f>
        <v>19208</v>
      </c>
      <c r="G226" s="514">
        <f>+G222+G225</f>
        <v>18250</v>
      </c>
      <c r="H226" s="514">
        <f>+H222+H225</f>
        <v>958</v>
      </c>
      <c r="I226" s="515" t="str">
        <f>IFERROR(F226/#REF!,"-")</f>
        <v>-</v>
      </c>
      <c r="J226" s="512">
        <f>+J222+J225</f>
        <v>315556</v>
      </c>
      <c r="K226" s="514">
        <f>+K225</f>
        <v>311250</v>
      </c>
      <c r="L226" s="514">
        <f>+L225</f>
        <v>4306</v>
      </c>
      <c r="M226" s="516" t="str">
        <f t="shared" ref="M226" si="228">IFERROR(J226/D226,"-")</f>
        <v>-</v>
      </c>
      <c r="N226" s="515">
        <f t="shared" si="224"/>
        <v>1.3645755428513481E-2</v>
      </c>
      <c r="O226" s="517"/>
      <c r="P226" s="518">
        <f>+P225</f>
        <v>40407.325000000004</v>
      </c>
      <c r="Q226" s="518">
        <f>+Q225</f>
        <v>689138.625</v>
      </c>
    </row>
    <row r="227" spans="1:17" ht="24" x14ac:dyDescent="0.35">
      <c r="A227" s="244" t="s">
        <v>101</v>
      </c>
      <c r="B227" s="1025" t="s">
        <v>250</v>
      </c>
      <c r="C227" s="542" t="s">
        <v>71</v>
      </c>
      <c r="D227" s="527"/>
      <c r="E227" s="459"/>
      <c r="F227" s="457">
        <f>+G227+H227</f>
        <v>0</v>
      </c>
      <c r="G227" s="458"/>
      <c r="H227" s="458"/>
      <c r="I227" s="531" t="str">
        <f>IFERROR(F227/#REF!,"-")</f>
        <v>-</v>
      </c>
      <c r="J227" s="457">
        <f>+K227+L227</f>
        <v>0</v>
      </c>
      <c r="K227" s="458">
        <f t="shared" ref="K227:K258" si="229">+G227+K164</f>
        <v>0</v>
      </c>
      <c r="L227" s="459">
        <f t="shared" ref="L227:L258" si="230">+H227+L164</f>
        <v>0</v>
      </c>
      <c r="M227" s="586" t="str">
        <f>IFERROR(J227/D227,"-")</f>
        <v>-</v>
      </c>
      <c r="N227" s="533" t="str">
        <f t="shared" si="224"/>
        <v>-</v>
      </c>
      <c r="O227" s="538">
        <v>32.946300000000001</v>
      </c>
      <c r="P227" s="534">
        <f t="shared" ref="P227:P258" si="231">+O227*G227</f>
        <v>0</v>
      </c>
      <c r="Q227" s="535">
        <f t="shared" ref="Q227:Q258" si="232">+O227*K227</f>
        <v>0</v>
      </c>
    </row>
    <row r="228" spans="1:17" ht="24" x14ac:dyDescent="0.35">
      <c r="A228" s="248" t="s">
        <v>101</v>
      </c>
      <c r="B228" s="1026"/>
      <c r="C228" s="543" t="s">
        <v>72</v>
      </c>
      <c r="D228" s="511"/>
      <c r="E228" s="436"/>
      <c r="F228" s="333">
        <f t="shared" ref="F228:F258" si="233">+G228+H228</f>
        <v>0</v>
      </c>
      <c r="G228" s="278"/>
      <c r="H228" s="278"/>
      <c r="I228" s="352" t="str">
        <f>IFERROR(F228/#REF!,"-")</f>
        <v>-</v>
      </c>
      <c r="J228" s="333">
        <f t="shared" ref="J228:J258" si="234">+K228+L228</f>
        <v>10595</v>
      </c>
      <c r="K228" s="278">
        <f t="shared" si="229"/>
        <v>10500</v>
      </c>
      <c r="L228" s="436">
        <f t="shared" si="230"/>
        <v>95</v>
      </c>
      <c r="M228" s="337" t="str">
        <f t="shared" ref="M228:M230" si="235">IFERROR(J228/D228,"-")</f>
        <v>-</v>
      </c>
      <c r="N228" s="265">
        <f t="shared" si="224"/>
        <v>8.9664936290703157E-3</v>
      </c>
      <c r="O228" s="508">
        <v>35.398400000000002</v>
      </c>
      <c r="P228" s="404">
        <f t="shared" si="231"/>
        <v>0</v>
      </c>
      <c r="Q228" s="449">
        <f t="shared" si="232"/>
        <v>371683.2</v>
      </c>
    </row>
    <row r="229" spans="1:17" ht="24.75" thickBot="1" x14ac:dyDescent="0.4">
      <c r="A229" s="248" t="s">
        <v>101</v>
      </c>
      <c r="B229" s="1027"/>
      <c r="C229" s="543" t="s">
        <v>455</v>
      </c>
      <c r="D229" s="276"/>
      <c r="E229" s="436"/>
      <c r="F229" s="333">
        <f t="shared" si="233"/>
        <v>3055</v>
      </c>
      <c r="G229" s="278">
        <v>3000</v>
      </c>
      <c r="H229" s="278">
        <v>55</v>
      </c>
      <c r="I229" s="352" t="str">
        <f>IFERROR(F229/#REF!,"-")</f>
        <v>-</v>
      </c>
      <c r="J229" s="333">
        <f t="shared" si="234"/>
        <v>5605</v>
      </c>
      <c r="K229" s="278">
        <f t="shared" si="229"/>
        <v>5500</v>
      </c>
      <c r="L229" s="436">
        <f t="shared" si="230"/>
        <v>105</v>
      </c>
      <c r="M229" s="337" t="str">
        <f t="shared" si="235"/>
        <v>-</v>
      </c>
      <c r="N229" s="265">
        <f>IFERROR(L229/J229,"-")</f>
        <v>1.8733273862622659E-2</v>
      </c>
      <c r="O229" s="508">
        <v>35.398400000000002</v>
      </c>
      <c r="P229" s="404">
        <f t="shared" si="231"/>
        <v>106195.20000000001</v>
      </c>
      <c r="Q229" s="449">
        <f t="shared" si="232"/>
        <v>194691.20000000001</v>
      </c>
    </row>
    <row r="230" spans="1:17" ht="24" x14ac:dyDescent="0.35">
      <c r="A230" s="248" t="s">
        <v>101</v>
      </c>
      <c r="B230" s="1025" t="s">
        <v>251</v>
      </c>
      <c r="C230" s="545" t="s">
        <v>75</v>
      </c>
      <c r="D230" s="276"/>
      <c r="E230" s="528"/>
      <c r="F230" s="334">
        <f t="shared" si="233"/>
        <v>3390</v>
      </c>
      <c r="G230" s="278">
        <v>3300</v>
      </c>
      <c r="H230" s="278">
        <v>90</v>
      </c>
      <c r="I230" s="352" t="str">
        <f>IFERROR(F230/#REF!,"-")</f>
        <v>-</v>
      </c>
      <c r="J230" s="333">
        <f t="shared" si="234"/>
        <v>10663</v>
      </c>
      <c r="K230" s="278">
        <f t="shared" si="229"/>
        <v>10363</v>
      </c>
      <c r="L230" s="436">
        <f t="shared" si="230"/>
        <v>300</v>
      </c>
      <c r="M230" s="337" t="str">
        <f t="shared" si="235"/>
        <v>-</v>
      </c>
      <c r="N230" s="265">
        <f t="shared" ref="N230" si="236">IFERROR(L230/J230,"-")</f>
        <v>2.8134671293257058E-2</v>
      </c>
      <c r="O230" s="508">
        <v>55.4758</v>
      </c>
      <c r="P230" s="404">
        <f t="shared" si="231"/>
        <v>183070.13999999998</v>
      </c>
      <c r="Q230" s="449">
        <f t="shared" si="232"/>
        <v>574895.71539999999</v>
      </c>
    </row>
    <row r="231" spans="1:17" ht="24" x14ac:dyDescent="0.35">
      <c r="A231" s="248" t="s">
        <v>101</v>
      </c>
      <c r="B231" s="1026"/>
      <c r="C231" s="545" t="s">
        <v>72</v>
      </c>
      <c r="D231" s="276"/>
      <c r="E231" s="529"/>
      <c r="F231" s="334">
        <f t="shared" si="233"/>
        <v>0</v>
      </c>
      <c r="G231" s="278"/>
      <c r="H231" s="278"/>
      <c r="I231" s="352" t="str">
        <f>IFERROR(F231/#REF!,"-")</f>
        <v>-</v>
      </c>
      <c r="J231" s="333">
        <f t="shared" si="234"/>
        <v>0</v>
      </c>
      <c r="K231" s="278">
        <f t="shared" si="229"/>
        <v>0</v>
      </c>
      <c r="L231" s="436">
        <f t="shared" si="230"/>
        <v>0</v>
      </c>
      <c r="M231" s="682"/>
      <c r="N231" s="372"/>
      <c r="O231" s="540">
        <v>58.836300000000001</v>
      </c>
      <c r="P231" s="404">
        <f t="shared" si="231"/>
        <v>0</v>
      </c>
      <c r="Q231" s="449">
        <f t="shared" si="232"/>
        <v>0</v>
      </c>
    </row>
    <row r="232" spans="1:17" ht="24" x14ac:dyDescent="0.35">
      <c r="A232" s="248" t="s">
        <v>101</v>
      </c>
      <c r="B232" s="1026"/>
      <c r="C232" s="545" t="s">
        <v>347</v>
      </c>
      <c r="D232" s="276"/>
      <c r="E232" s="435"/>
      <c r="F232" s="334">
        <f t="shared" si="233"/>
        <v>0</v>
      </c>
      <c r="G232" s="278"/>
      <c r="H232" s="278"/>
      <c r="I232" s="352" t="str">
        <f>IFERROR(F232/#REF!,"-")</f>
        <v>-</v>
      </c>
      <c r="J232" s="333">
        <f t="shared" si="234"/>
        <v>0</v>
      </c>
      <c r="K232" s="278">
        <f t="shared" si="229"/>
        <v>0</v>
      </c>
      <c r="L232" s="436">
        <f t="shared" si="230"/>
        <v>0</v>
      </c>
      <c r="M232" s="337" t="str">
        <f t="shared" ref="M232" si="237">IFERROR(J232/D232,"-")</f>
        <v>-</v>
      </c>
      <c r="N232" s="263" t="str">
        <f t="shared" ref="N232" si="238">IFERROR(L232/J232,"-")</f>
        <v>-</v>
      </c>
      <c r="O232" s="710">
        <v>58.836300000000001</v>
      </c>
      <c r="P232" s="404">
        <f t="shared" si="231"/>
        <v>0</v>
      </c>
      <c r="Q232" s="449">
        <f t="shared" si="232"/>
        <v>0</v>
      </c>
    </row>
    <row r="233" spans="1:17" ht="24.75" thickBot="1" x14ac:dyDescent="0.4">
      <c r="A233" s="248"/>
      <c r="B233" s="1027"/>
      <c r="C233" s="545" t="s">
        <v>361</v>
      </c>
      <c r="D233" s="276"/>
      <c r="E233" s="435"/>
      <c r="F233" s="334">
        <f t="shared" si="233"/>
        <v>0</v>
      </c>
      <c r="G233" s="278"/>
      <c r="H233" s="278"/>
      <c r="I233" s="352"/>
      <c r="J233" s="333">
        <f t="shared" si="234"/>
        <v>0</v>
      </c>
      <c r="K233" s="278">
        <f t="shared" si="229"/>
        <v>0</v>
      </c>
      <c r="L233" s="436">
        <f t="shared" si="230"/>
        <v>0</v>
      </c>
      <c r="M233" s="337"/>
      <c r="N233" s="263" t="str">
        <f>IFERROR(L233/J233,"-")</f>
        <v>-</v>
      </c>
      <c r="O233" s="508">
        <v>55.4758</v>
      </c>
      <c r="P233" s="404">
        <f t="shared" si="231"/>
        <v>0</v>
      </c>
      <c r="Q233" s="449">
        <f t="shared" si="232"/>
        <v>0</v>
      </c>
    </row>
    <row r="234" spans="1:17" ht="24" x14ac:dyDescent="0.35">
      <c r="A234" s="248" t="s">
        <v>101</v>
      </c>
      <c r="B234" s="1025" t="s">
        <v>409</v>
      </c>
      <c r="C234" s="543" t="s">
        <v>77</v>
      </c>
      <c r="D234" s="276"/>
      <c r="E234" s="436"/>
      <c r="F234" s="333">
        <f t="shared" si="233"/>
        <v>0</v>
      </c>
      <c r="G234" s="278"/>
      <c r="H234" s="278"/>
      <c r="I234" s="352" t="str">
        <f>IFERROR(F234/#REF!,"-")</f>
        <v>-</v>
      </c>
      <c r="J234" s="333">
        <f t="shared" si="234"/>
        <v>3010</v>
      </c>
      <c r="K234" s="686">
        <f t="shared" si="229"/>
        <v>3000</v>
      </c>
      <c r="L234" s="687">
        <f t="shared" si="230"/>
        <v>10</v>
      </c>
      <c r="M234" s="337" t="str">
        <f t="shared" ref="M234:M261" si="239">IFERROR(J234/D234,"-")</f>
        <v>-</v>
      </c>
      <c r="N234" s="263">
        <f t="shared" ref="N234:N260" si="240">IFERROR(L234/J234,"-")</f>
        <v>3.3222591362126247E-3</v>
      </c>
      <c r="O234" s="508">
        <v>25.687200000000001</v>
      </c>
      <c r="P234" s="404">
        <f t="shared" si="231"/>
        <v>0</v>
      </c>
      <c r="Q234" s="449">
        <f t="shared" si="232"/>
        <v>77061.600000000006</v>
      </c>
    </row>
    <row r="235" spans="1:17" ht="24.75" thickBot="1" x14ac:dyDescent="0.4">
      <c r="A235" s="248" t="s">
        <v>101</v>
      </c>
      <c r="B235" s="1027"/>
      <c r="C235" s="543" t="s">
        <v>117</v>
      </c>
      <c r="D235" s="276"/>
      <c r="E235" s="436"/>
      <c r="F235" s="333">
        <f t="shared" si="233"/>
        <v>0</v>
      </c>
      <c r="G235" s="278"/>
      <c r="H235" s="278"/>
      <c r="I235" s="352" t="str">
        <f>IFERROR(F235/#REF!,"-")</f>
        <v>-</v>
      </c>
      <c r="J235" s="333">
        <f t="shared" si="234"/>
        <v>0</v>
      </c>
      <c r="K235" s="278">
        <f t="shared" si="229"/>
        <v>0</v>
      </c>
      <c r="L235" s="436">
        <f t="shared" si="230"/>
        <v>0</v>
      </c>
      <c r="M235" s="337" t="str">
        <f t="shared" si="239"/>
        <v>-</v>
      </c>
      <c r="N235" s="263" t="str">
        <f t="shared" si="240"/>
        <v>-</v>
      </c>
      <c r="O235" s="508">
        <v>25.033899999999999</v>
      </c>
      <c r="P235" s="404">
        <f t="shared" si="231"/>
        <v>0</v>
      </c>
      <c r="Q235" s="449">
        <f t="shared" si="232"/>
        <v>0</v>
      </c>
    </row>
    <row r="236" spans="1:17" ht="24" x14ac:dyDescent="0.35">
      <c r="A236" s="248"/>
      <c r="B236" s="1025" t="s">
        <v>410</v>
      </c>
      <c r="C236" s="543" t="s">
        <v>79</v>
      </c>
      <c r="D236" s="276"/>
      <c r="E236" s="436"/>
      <c r="F236" s="333">
        <f t="shared" si="233"/>
        <v>0</v>
      </c>
      <c r="G236" s="278"/>
      <c r="H236" s="278"/>
      <c r="I236" s="352" t="str">
        <f>IFERROR(F236/#REF!,"-")</f>
        <v>-</v>
      </c>
      <c r="J236" s="333">
        <f t="shared" si="234"/>
        <v>0</v>
      </c>
      <c r="K236" s="278">
        <f t="shared" si="229"/>
        <v>0</v>
      </c>
      <c r="L236" s="436">
        <f t="shared" si="230"/>
        <v>0</v>
      </c>
      <c r="M236" s="337" t="str">
        <f t="shared" si="239"/>
        <v>-</v>
      </c>
      <c r="N236" s="263" t="str">
        <f t="shared" si="240"/>
        <v>-</v>
      </c>
      <c r="O236" s="508">
        <v>41.992699999999999</v>
      </c>
      <c r="P236" s="404">
        <f t="shared" si="231"/>
        <v>0</v>
      </c>
      <c r="Q236" s="449">
        <f t="shared" si="232"/>
        <v>0</v>
      </c>
    </row>
    <row r="237" spans="1:17" ht="24" x14ac:dyDescent="0.35">
      <c r="A237" s="248"/>
      <c r="B237" s="1026"/>
      <c r="C237" s="543" t="s">
        <v>72</v>
      </c>
      <c r="D237" s="276"/>
      <c r="E237" s="436"/>
      <c r="F237" s="333">
        <f t="shared" si="233"/>
        <v>0</v>
      </c>
      <c r="G237" s="278"/>
      <c r="H237" s="278"/>
      <c r="I237" s="352" t="str">
        <f>IFERROR(F237/#REF!,"-")</f>
        <v>-</v>
      </c>
      <c r="J237" s="333">
        <f t="shared" si="234"/>
        <v>0</v>
      </c>
      <c r="K237" s="278">
        <f t="shared" si="229"/>
        <v>0</v>
      </c>
      <c r="L237" s="436">
        <f t="shared" si="230"/>
        <v>0</v>
      </c>
      <c r="M237" s="337" t="str">
        <f t="shared" si="239"/>
        <v>-</v>
      </c>
      <c r="N237" s="263" t="str">
        <f t="shared" si="240"/>
        <v>-</v>
      </c>
      <c r="O237" s="508">
        <v>42.283799999999999</v>
      </c>
      <c r="P237" s="404">
        <f t="shared" si="231"/>
        <v>0</v>
      </c>
      <c r="Q237" s="449">
        <f t="shared" si="232"/>
        <v>0</v>
      </c>
    </row>
    <row r="238" spans="1:17" ht="24" x14ac:dyDescent="0.35">
      <c r="A238" s="248"/>
      <c r="B238" s="1026"/>
      <c r="C238" s="543" t="s">
        <v>380</v>
      </c>
      <c r="D238" s="276"/>
      <c r="E238" s="436"/>
      <c r="F238" s="333">
        <f t="shared" si="233"/>
        <v>0</v>
      </c>
      <c r="G238" s="278"/>
      <c r="H238" s="278"/>
      <c r="I238" s="352" t="str">
        <f>IFERROR(F238/#REF!,"-")</f>
        <v>-</v>
      </c>
      <c r="J238" s="333">
        <f t="shared" si="234"/>
        <v>0</v>
      </c>
      <c r="K238" s="278">
        <f t="shared" si="229"/>
        <v>0</v>
      </c>
      <c r="L238" s="436">
        <f t="shared" si="230"/>
        <v>0</v>
      </c>
      <c r="M238" s="337" t="str">
        <f t="shared" si="239"/>
        <v>-</v>
      </c>
      <c r="N238" s="263" t="str">
        <f t="shared" si="240"/>
        <v>-</v>
      </c>
      <c r="O238" s="710">
        <v>41.992699999999999</v>
      </c>
      <c r="P238" s="404">
        <f t="shared" si="231"/>
        <v>0</v>
      </c>
      <c r="Q238" s="449">
        <f t="shared" si="232"/>
        <v>0</v>
      </c>
    </row>
    <row r="239" spans="1:17" ht="24.75" thickBot="1" x14ac:dyDescent="0.4">
      <c r="A239" s="248"/>
      <c r="B239" s="1027"/>
      <c r="C239" s="543" t="s">
        <v>381</v>
      </c>
      <c r="D239" s="276"/>
      <c r="E239" s="436"/>
      <c r="F239" s="333">
        <f t="shared" si="233"/>
        <v>0</v>
      </c>
      <c r="G239" s="278"/>
      <c r="H239" s="278"/>
      <c r="I239" s="352" t="str">
        <f>IFERROR(F239/#REF!,"-")</f>
        <v>-</v>
      </c>
      <c r="J239" s="333">
        <f t="shared" si="234"/>
        <v>0</v>
      </c>
      <c r="K239" s="278">
        <f t="shared" si="229"/>
        <v>0</v>
      </c>
      <c r="L239" s="436">
        <f t="shared" si="230"/>
        <v>0</v>
      </c>
      <c r="M239" s="337" t="str">
        <f t="shared" si="239"/>
        <v>-</v>
      </c>
      <c r="N239" s="263" t="str">
        <f t="shared" si="240"/>
        <v>-</v>
      </c>
      <c r="O239" s="710">
        <v>42.283799999999999</v>
      </c>
      <c r="P239" s="404">
        <f t="shared" si="231"/>
        <v>0</v>
      </c>
      <c r="Q239" s="449">
        <f t="shared" si="232"/>
        <v>0</v>
      </c>
    </row>
    <row r="240" spans="1:17" ht="24.75" thickBot="1" x14ac:dyDescent="0.4">
      <c r="A240" s="248"/>
      <c r="B240" s="717" t="s">
        <v>80</v>
      </c>
      <c r="C240" s="543" t="s">
        <v>81</v>
      </c>
      <c r="D240" s="276"/>
      <c r="E240" s="436"/>
      <c r="F240" s="333">
        <f t="shared" si="233"/>
        <v>0</v>
      </c>
      <c r="G240" s="278"/>
      <c r="H240" s="278"/>
      <c r="I240" s="352" t="str">
        <f>IFERROR(F240/#REF!,"-")</f>
        <v>-</v>
      </c>
      <c r="J240" s="333">
        <f t="shared" si="234"/>
        <v>1813</v>
      </c>
      <c r="K240" s="278">
        <f t="shared" si="229"/>
        <v>1700</v>
      </c>
      <c r="L240" s="436">
        <f t="shared" si="230"/>
        <v>113</v>
      </c>
      <c r="M240" s="337" t="str">
        <f t="shared" si="239"/>
        <v>-</v>
      </c>
      <c r="N240" s="263">
        <f t="shared" si="240"/>
        <v>6.2327633756205182E-2</v>
      </c>
      <c r="O240" s="508">
        <v>4.3535000000000004</v>
      </c>
      <c r="P240" s="404">
        <f t="shared" si="231"/>
        <v>0</v>
      </c>
      <c r="Q240" s="449">
        <f t="shared" si="232"/>
        <v>7400.9500000000007</v>
      </c>
    </row>
    <row r="241" spans="1:17" ht="24" x14ac:dyDescent="0.35">
      <c r="A241" s="248"/>
      <c r="B241" s="1025" t="s">
        <v>253</v>
      </c>
      <c r="C241" s="543" t="s">
        <v>77</v>
      </c>
      <c r="D241" s="276"/>
      <c r="E241" s="436"/>
      <c r="F241" s="333">
        <f t="shared" si="233"/>
        <v>47365</v>
      </c>
      <c r="G241" s="278">
        <v>47300</v>
      </c>
      <c r="H241" s="278">
        <v>65</v>
      </c>
      <c r="I241" s="352" t="str">
        <f>IFERROR(F241/#REF!,"-")</f>
        <v>-</v>
      </c>
      <c r="J241" s="333">
        <f t="shared" si="234"/>
        <v>164305</v>
      </c>
      <c r="K241" s="278">
        <f t="shared" si="229"/>
        <v>163900</v>
      </c>
      <c r="L241" s="436">
        <f t="shared" si="230"/>
        <v>405</v>
      </c>
      <c r="M241" s="337" t="str">
        <f t="shared" si="239"/>
        <v>-</v>
      </c>
      <c r="N241" s="263">
        <f t="shared" si="240"/>
        <v>2.4649280301877606E-3</v>
      </c>
      <c r="O241" s="508">
        <v>4.6184000000000003</v>
      </c>
      <c r="P241" s="404">
        <f t="shared" si="231"/>
        <v>218450.32</v>
      </c>
      <c r="Q241" s="449">
        <f t="shared" si="232"/>
        <v>756955.76</v>
      </c>
    </row>
    <row r="242" spans="1:17" ht="24" x14ac:dyDescent="0.35">
      <c r="A242" s="248"/>
      <c r="B242" s="1026"/>
      <c r="C242" s="543" t="s">
        <v>340</v>
      </c>
      <c r="D242" s="276"/>
      <c r="E242" s="436"/>
      <c r="F242" s="333">
        <f t="shared" si="233"/>
        <v>0</v>
      </c>
      <c r="G242" s="278"/>
      <c r="H242" s="278"/>
      <c r="I242" s="352" t="str">
        <f>IFERROR(F242/#REF!,"-")</f>
        <v>-</v>
      </c>
      <c r="J242" s="333">
        <f t="shared" si="234"/>
        <v>0</v>
      </c>
      <c r="K242" s="278">
        <f t="shared" si="229"/>
        <v>0</v>
      </c>
      <c r="L242" s="436">
        <f t="shared" si="230"/>
        <v>0</v>
      </c>
      <c r="M242" s="337" t="str">
        <f t="shared" si="239"/>
        <v>-</v>
      </c>
      <c r="N242" s="263" t="str">
        <f t="shared" si="240"/>
        <v>-</v>
      </c>
      <c r="O242" s="508">
        <v>4.6184000000000003</v>
      </c>
      <c r="P242" s="404">
        <f t="shared" si="231"/>
        <v>0</v>
      </c>
      <c r="Q242" s="449">
        <f t="shared" si="232"/>
        <v>0</v>
      </c>
    </row>
    <row r="243" spans="1:17" ht="24" x14ac:dyDescent="0.35">
      <c r="A243" s="248"/>
      <c r="B243" s="1026"/>
      <c r="C243" s="543" t="s">
        <v>252</v>
      </c>
      <c r="D243" s="276"/>
      <c r="E243" s="436"/>
      <c r="F243" s="333">
        <f t="shared" si="233"/>
        <v>0</v>
      </c>
      <c r="G243" s="278"/>
      <c r="H243" s="278"/>
      <c r="I243" s="352" t="str">
        <f>IFERROR(F243/#REF!,"-")</f>
        <v>-</v>
      </c>
      <c r="J243" s="333">
        <f t="shared" si="234"/>
        <v>0</v>
      </c>
      <c r="K243" s="278">
        <f t="shared" si="229"/>
        <v>0</v>
      </c>
      <c r="L243" s="436">
        <f t="shared" si="230"/>
        <v>0</v>
      </c>
      <c r="M243" s="337" t="str">
        <f t="shared" si="239"/>
        <v>-</v>
      </c>
      <c r="N243" s="263" t="str">
        <f t="shared" si="240"/>
        <v>-</v>
      </c>
      <c r="O243" s="508">
        <v>4.6184000000000003</v>
      </c>
      <c r="P243" s="404">
        <f t="shared" si="231"/>
        <v>0</v>
      </c>
      <c r="Q243" s="449">
        <f t="shared" si="232"/>
        <v>0</v>
      </c>
    </row>
    <row r="244" spans="1:17" ht="24" x14ac:dyDescent="0.35">
      <c r="A244" s="248"/>
      <c r="B244" s="1026"/>
      <c r="C244" s="543" t="s">
        <v>350</v>
      </c>
      <c r="D244" s="276"/>
      <c r="E244" s="436"/>
      <c r="F244" s="333">
        <f t="shared" si="233"/>
        <v>0</v>
      </c>
      <c r="G244" s="278"/>
      <c r="H244" s="278"/>
      <c r="I244" s="352" t="str">
        <f>IFERROR(F244/#REF!,"-")</f>
        <v>-</v>
      </c>
      <c r="J244" s="333">
        <f t="shared" si="234"/>
        <v>0</v>
      </c>
      <c r="K244" s="686">
        <f t="shared" si="229"/>
        <v>0</v>
      </c>
      <c r="L244" s="687">
        <f t="shared" si="230"/>
        <v>0</v>
      </c>
      <c r="M244" s="337" t="str">
        <f t="shared" si="239"/>
        <v>-</v>
      </c>
      <c r="N244" s="263" t="str">
        <f t="shared" si="240"/>
        <v>-</v>
      </c>
      <c r="O244" s="508">
        <v>4.7636000000000003</v>
      </c>
      <c r="P244" s="404">
        <f t="shared" si="231"/>
        <v>0</v>
      </c>
      <c r="Q244" s="449">
        <f t="shared" si="232"/>
        <v>0</v>
      </c>
    </row>
    <row r="245" spans="1:17" ht="24.75" thickBot="1" x14ac:dyDescent="0.4">
      <c r="A245" s="248"/>
      <c r="B245" s="1027"/>
      <c r="C245" s="543" t="s">
        <v>346</v>
      </c>
      <c r="D245" s="276"/>
      <c r="E245" s="436"/>
      <c r="F245" s="333">
        <f t="shared" si="233"/>
        <v>0</v>
      </c>
      <c r="G245" s="278"/>
      <c r="H245" s="278"/>
      <c r="I245" s="352" t="str">
        <f>IFERROR(F245/#REF!,"-")</f>
        <v>-</v>
      </c>
      <c r="J245" s="333">
        <f t="shared" si="234"/>
        <v>0</v>
      </c>
      <c r="K245" s="278">
        <f t="shared" si="229"/>
        <v>0</v>
      </c>
      <c r="L245" s="436">
        <f t="shared" si="230"/>
        <v>0</v>
      </c>
      <c r="M245" s="337" t="str">
        <f t="shared" si="239"/>
        <v>-</v>
      </c>
      <c r="N245" s="263" t="str">
        <f t="shared" si="240"/>
        <v>-</v>
      </c>
      <c r="O245" s="508">
        <v>4.8738000000000001</v>
      </c>
      <c r="P245" s="404">
        <f t="shared" si="231"/>
        <v>0</v>
      </c>
      <c r="Q245" s="449">
        <f t="shared" si="232"/>
        <v>0</v>
      </c>
    </row>
    <row r="246" spans="1:17" ht="24.75" thickBot="1" x14ac:dyDescent="0.4">
      <c r="A246" s="248"/>
      <c r="B246" s="717" t="s">
        <v>254</v>
      </c>
      <c r="C246" s="543" t="s">
        <v>124</v>
      </c>
      <c r="D246" s="276"/>
      <c r="E246" s="436"/>
      <c r="F246" s="333">
        <f t="shared" si="233"/>
        <v>0</v>
      </c>
      <c r="G246" s="278"/>
      <c r="H246" s="278"/>
      <c r="I246" s="352" t="str">
        <f>IFERROR(F246/#REF!,"-")</f>
        <v>-</v>
      </c>
      <c r="J246" s="333">
        <f t="shared" si="234"/>
        <v>0</v>
      </c>
      <c r="K246" s="278">
        <f t="shared" si="229"/>
        <v>0</v>
      </c>
      <c r="L246" s="436">
        <f t="shared" si="230"/>
        <v>0</v>
      </c>
      <c r="M246" s="337" t="str">
        <f t="shared" si="239"/>
        <v>-</v>
      </c>
      <c r="N246" s="263" t="str">
        <f t="shared" si="240"/>
        <v>-</v>
      </c>
      <c r="O246" s="508">
        <v>4.8738000000000001</v>
      </c>
      <c r="P246" s="404">
        <f t="shared" si="231"/>
        <v>0</v>
      </c>
      <c r="Q246" s="449">
        <f t="shared" si="232"/>
        <v>0</v>
      </c>
    </row>
    <row r="247" spans="1:17" ht="24" x14ac:dyDescent="0.35">
      <c r="A247" s="248"/>
      <c r="B247" s="1025" t="s">
        <v>256</v>
      </c>
      <c r="C247" s="543" t="s">
        <v>77</v>
      </c>
      <c r="D247" s="276"/>
      <c r="E247" s="436"/>
      <c r="F247" s="333">
        <f t="shared" si="233"/>
        <v>30360</v>
      </c>
      <c r="G247" s="278">
        <v>29820</v>
      </c>
      <c r="H247" s="278">
        <v>540</v>
      </c>
      <c r="I247" s="352" t="str">
        <f>IFERROR(F247/#REF!,"-")</f>
        <v>-</v>
      </c>
      <c r="J247" s="333">
        <f t="shared" si="234"/>
        <v>134420</v>
      </c>
      <c r="K247" s="686">
        <f t="shared" si="229"/>
        <v>132580</v>
      </c>
      <c r="L247" s="687">
        <f t="shared" si="230"/>
        <v>1840</v>
      </c>
      <c r="M247" s="337" t="str">
        <f t="shared" si="239"/>
        <v>-</v>
      </c>
      <c r="N247" s="263">
        <f t="shared" si="240"/>
        <v>1.3688439220354114E-2</v>
      </c>
      <c r="O247" s="508">
        <v>4.9344999999999999</v>
      </c>
      <c r="P247" s="404">
        <f t="shared" si="231"/>
        <v>147146.79</v>
      </c>
      <c r="Q247" s="449">
        <f t="shared" si="232"/>
        <v>654216.01</v>
      </c>
    </row>
    <row r="248" spans="1:17" ht="24" x14ac:dyDescent="0.35">
      <c r="A248" s="248"/>
      <c r="B248" s="1026"/>
      <c r="C248" s="543" t="s">
        <v>135</v>
      </c>
      <c r="D248" s="276"/>
      <c r="E248" s="436"/>
      <c r="F248" s="333">
        <f t="shared" si="233"/>
        <v>0</v>
      </c>
      <c r="G248" s="278"/>
      <c r="H248" s="278"/>
      <c r="I248" s="352" t="str">
        <f>IFERROR(F248/#REF!,"-")</f>
        <v>-</v>
      </c>
      <c r="J248" s="333">
        <f t="shared" si="234"/>
        <v>0</v>
      </c>
      <c r="K248" s="278">
        <f t="shared" si="229"/>
        <v>0</v>
      </c>
      <c r="L248" s="436">
        <f t="shared" si="230"/>
        <v>0</v>
      </c>
      <c r="M248" s="337" t="str">
        <f t="shared" si="239"/>
        <v>-</v>
      </c>
      <c r="N248" s="263" t="str">
        <f t="shared" si="240"/>
        <v>-</v>
      </c>
      <c r="O248" s="508">
        <v>4.9344999999999999</v>
      </c>
      <c r="P248" s="404">
        <f t="shared" si="231"/>
        <v>0</v>
      </c>
      <c r="Q248" s="449">
        <f t="shared" si="232"/>
        <v>0</v>
      </c>
    </row>
    <row r="249" spans="1:17" ht="24" x14ac:dyDescent="0.35">
      <c r="A249" s="248"/>
      <c r="B249" s="1026"/>
      <c r="C249" s="543" t="s">
        <v>129</v>
      </c>
      <c r="D249" s="276"/>
      <c r="E249" s="436"/>
      <c r="F249" s="333">
        <f t="shared" si="233"/>
        <v>0</v>
      </c>
      <c r="G249" s="278"/>
      <c r="H249" s="278"/>
      <c r="I249" s="352" t="str">
        <f>IFERROR(F249/#REF!,"-")</f>
        <v>-</v>
      </c>
      <c r="J249" s="333">
        <f t="shared" si="234"/>
        <v>0</v>
      </c>
      <c r="K249" s="278">
        <f t="shared" si="229"/>
        <v>0</v>
      </c>
      <c r="L249" s="436">
        <f t="shared" si="230"/>
        <v>0</v>
      </c>
      <c r="M249" s="337" t="str">
        <f t="shared" si="239"/>
        <v>-</v>
      </c>
      <c r="N249" s="263" t="str">
        <f t="shared" si="240"/>
        <v>-</v>
      </c>
      <c r="O249" s="508">
        <v>4.9344999999999999</v>
      </c>
      <c r="P249" s="404">
        <f t="shared" si="231"/>
        <v>0</v>
      </c>
      <c r="Q249" s="449">
        <f t="shared" si="232"/>
        <v>0</v>
      </c>
    </row>
    <row r="250" spans="1:17" ht="24.75" thickBot="1" x14ac:dyDescent="0.4">
      <c r="A250" s="248"/>
      <c r="B250" s="1027"/>
      <c r="C250" s="543" t="s">
        <v>255</v>
      </c>
      <c r="D250" s="276"/>
      <c r="E250" s="436"/>
      <c r="F250" s="333">
        <f t="shared" si="233"/>
        <v>0</v>
      </c>
      <c r="G250" s="278"/>
      <c r="H250" s="278"/>
      <c r="I250" s="352" t="str">
        <f>IFERROR(F250/#REF!,"-")</f>
        <v>-</v>
      </c>
      <c r="J250" s="333">
        <f t="shared" si="234"/>
        <v>0</v>
      </c>
      <c r="K250" s="278">
        <f t="shared" si="229"/>
        <v>0</v>
      </c>
      <c r="L250" s="436">
        <f t="shared" si="230"/>
        <v>0</v>
      </c>
      <c r="M250" s="337" t="str">
        <f t="shared" si="239"/>
        <v>-</v>
      </c>
      <c r="N250" s="263" t="str">
        <f t="shared" si="240"/>
        <v>-</v>
      </c>
      <c r="O250" s="508">
        <v>5.5069999999999997</v>
      </c>
      <c r="P250" s="404">
        <f t="shared" si="231"/>
        <v>0</v>
      </c>
      <c r="Q250" s="449">
        <f t="shared" si="232"/>
        <v>0</v>
      </c>
    </row>
    <row r="251" spans="1:17" ht="24" x14ac:dyDescent="0.35">
      <c r="A251" s="248"/>
      <c r="B251" s="1025" t="s">
        <v>261</v>
      </c>
      <c r="C251" s="543" t="s">
        <v>257</v>
      </c>
      <c r="D251" s="276"/>
      <c r="E251" s="436"/>
      <c r="F251" s="333">
        <f t="shared" si="233"/>
        <v>48630</v>
      </c>
      <c r="G251" s="278">
        <v>48300</v>
      </c>
      <c r="H251" s="278">
        <v>330</v>
      </c>
      <c r="I251" s="352" t="str">
        <f>IFERROR(F251/#REF!,"-")</f>
        <v>-</v>
      </c>
      <c r="J251" s="333">
        <f t="shared" si="234"/>
        <v>143360</v>
      </c>
      <c r="K251" s="278">
        <f t="shared" si="229"/>
        <v>142800</v>
      </c>
      <c r="L251" s="436">
        <f t="shared" si="230"/>
        <v>560</v>
      </c>
      <c r="M251" s="337" t="str">
        <f t="shared" si="239"/>
        <v>-</v>
      </c>
      <c r="N251" s="263">
        <f t="shared" si="240"/>
        <v>3.90625E-3</v>
      </c>
      <c r="O251" s="710">
        <v>5.5069999999999997</v>
      </c>
      <c r="P251" s="404">
        <f t="shared" si="231"/>
        <v>265988.09999999998</v>
      </c>
      <c r="Q251" s="449">
        <f t="shared" si="232"/>
        <v>786399.6</v>
      </c>
    </row>
    <row r="252" spans="1:17" ht="24" x14ac:dyDescent="0.35">
      <c r="A252" s="248"/>
      <c r="B252" s="1026"/>
      <c r="C252" s="543" t="s">
        <v>258</v>
      </c>
      <c r="D252" s="276"/>
      <c r="E252" s="436"/>
      <c r="F252" s="333">
        <f t="shared" si="233"/>
        <v>0</v>
      </c>
      <c r="G252" s="278"/>
      <c r="H252" s="278"/>
      <c r="I252" s="352" t="str">
        <f>IFERROR(F252/#REF!,"-")</f>
        <v>-</v>
      </c>
      <c r="J252" s="333">
        <f t="shared" si="234"/>
        <v>0</v>
      </c>
      <c r="K252" s="278">
        <f t="shared" si="229"/>
        <v>0</v>
      </c>
      <c r="L252" s="436">
        <f t="shared" si="230"/>
        <v>0</v>
      </c>
      <c r="M252" s="337" t="str">
        <f t="shared" si="239"/>
        <v>-</v>
      </c>
      <c r="N252" s="263" t="str">
        <f t="shared" si="240"/>
        <v>-</v>
      </c>
      <c r="O252" s="508">
        <v>5.6550000000000002</v>
      </c>
      <c r="P252" s="404">
        <f t="shared" si="231"/>
        <v>0</v>
      </c>
      <c r="Q252" s="449">
        <f t="shared" si="232"/>
        <v>0</v>
      </c>
    </row>
    <row r="253" spans="1:17" ht="24" x14ac:dyDescent="0.35">
      <c r="A253" s="248"/>
      <c r="B253" s="1026"/>
      <c r="C253" s="543" t="s">
        <v>321</v>
      </c>
      <c r="D253" s="276"/>
      <c r="E253" s="436"/>
      <c r="F253" s="333">
        <f t="shared" si="233"/>
        <v>0</v>
      </c>
      <c r="G253" s="278"/>
      <c r="H253" s="278"/>
      <c r="I253" s="352" t="str">
        <f>IFERROR(F253/#REF!,"-")</f>
        <v>-</v>
      </c>
      <c r="J253" s="333">
        <f t="shared" si="234"/>
        <v>0</v>
      </c>
      <c r="K253" s="686">
        <f t="shared" si="229"/>
        <v>0</v>
      </c>
      <c r="L253" s="687">
        <f t="shared" si="230"/>
        <v>0</v>
      </c>
      <c r="M253" s="337" t="str">
        <f t="shared" si="239"/>
        <v>-</v>
      </c>
      <c r="N253" s="263" t="str">
        <f t="shared" si="240"/>
        <v>-</v>
      </c>
      <c r="O253" s="508">
        <v>5.6550000000000002</v>
      </c>
      <c r="P253" s="404">
        <f t="shared" si="231"/>
        <v>0</v>
      </c>
      <c r="Q253" s="449">
        <f t="shared" si="232"/>
        <v>0</v>
      </c>
    </row>
    <row r="254" spans="1:17" ht="24" x14ac:dyDescent="0.35">
      <c r="A254" s="248"/>
      <c r="B254" s="1026"/>
      <c r="C254" s="543" t="s">
        <v>259</v>
      </c>
      <c r="D254" s="276"/>
      <c r="E254" s="436"/>
      <c r="F254" s="333">
        <f t="shared" si="233"/>
        <v>0</v>
      </c>
      <c r="G254" s="278"/>
      <c r="H254" s="278"/>
      <c r="I254" s="352" t="str">
        <f>IFERROR(F254/#REF!,"-")</f>
        <v>-</v>
      </c>
      <c r="J254" s="333">
        <f t="shared" si="234"/>
        <v>0</v>
      </c>
      <c r="K254" s="278">
        <f t="shared" si="229"/>
        <v>0</v>
      </c>
      <c r="L254" s="436">
        <f t="shared" si="230"/>
        <v>0</v>
      </c>
      <c r="M254" s="337" t="str">
        <f t="shared" si="239"/>
        <v>-</v>
      </c>
      <c r="N254" s="263" t="str">
        <f t="shared" si="240"/>
        <v>-</v>
      </c>
      <c r="O254" s="508">
        <v>5.6550000000000002</v>
      </c>
      <c r="P254" s="404">
        <f t="shared" si="231"/>
        <v>0</v>
      </c>
      <c r="Q254" s="449">
        <f t="shared" si="232"/>
        <v>0</v>
      </c>
    </row>
    <row r="255" spans="1:17" ht="24" x14ac:dyDescent="0.35">
      <c r="A255" s="248" t="s">
        <v>101</v>
      </c>
      <c r="B255" s="1026"/>
      <c r="C255" s="543" t="s">
        <v>260</v>
      </c>
      <c r="D255" s="276"/>
      <c r="E255" s="436"/>
      <c r="F255" s="333">
        <f t="shared" si="233"/>
        <v>0</v>
      </c>
      <c r="G255" s="278"/>
      <c r="H255" s="278"/>
      <c r="I255" s="352" t="str">
        <f>IFERROR(F255/#REF!,"-")</f>
        <v>-</v>
      </c>
      <c r="J255" s="333">
        <f t="shared" si="234"/>
        <v>0</v>
      </c>
      <c r="K255" s="278">
        <f t="shared" si="229"/>
        <v>0</v>
      </c>
      <c r="L255" s="436">
        <f t="shared" si="230"/>
        <v>0</v>
      </c>
      <c r="M255" s="337" t="str">
        <f t="shared" si="239"/>
        <v>-</v>
      </c>
      <c r="N255" s="263" t="str">
        <f t="shared" si="240"/>
        <v>-</v>
      </c>
      <c r="O255" s="508">
        <v>3.2963</v>
      </c>
      <c r="P255" s="404">
        <f t="shared" si="231"/>
        <v>0</v>
      </c>
      <c r="Q255" s="449">
        <f t="shared" si="232"/>
        <v>0</v>
      </c>
    </row>
    <row r="256" spans="1:17" ht="24.75" thickBot="1" x14ac:dyDescent="0.4">
      <c r="A256" s="248" t="s">
        <v>101</v>
      </c>
      <c r="B256" s="1027"/>
      <c r="C256" s="543" t="s">
        <v>255</v>
      </c>
      <c r="D256" s="276"/>
      <c r="E256" s="436"/>
      <c r="F256" s="333">
        <f t="shared" si="233"/>
        <v>0</v>
      </c>
      <c r="G256" s="278"/>
      <c r="H256" s="278"/>
      <c r="I256" s="352" t="str">
        <f>IFERROR(F256/#REF!,"-")</f>
        <v>-</v>
      </c>
      <c r="J256" s="333">
        <f t="shared" si="234"/>
        <v>0</v>
      </c>
      <c r="K256" s="278">
        <f t="shared" si="229"/>
        <v>0</v>
      </c>
      <c r="L256" s="436">
        <f t="shared" si="230"/>
        <v>0</v>
      </c>
      <c r="M256" s="337" t="str">
        <f t="shared" si="239"/>
        <v>-</v>
      </c>
      <c r="N256" s="263" t="str">
        <f t="shared" si="240"/>
        <v>-</v>
      </c>
      <c r="O256" s="508">
        <v>3.2963</v>
      </c>
      <c r="P256" s="404">
        <f t="shared" si="231"/>
        <v>0</v>
      </c>
      <c r="Q256" s="449">
        <f t="shared" si="232"/>
        <v>0</v>
      </c>
    </row>
    <row r="257" spans="1:17" ht="24" x14ac:dyDescent="0.35">
      <c r="A257" s="248" t="s">
        <v>101</v>
      </c>
      <c r="B257" s="546"/>
      <c r="C257" s="544" t="s">
        <v>89</v>
      </c>
      <c r="D257" s="511"/>
      <c r="E257" s="436"/>
      <c r="F257" s="333">
        <f t="shared" si="233"/>
        <v>0</v>
      </c>
      <c r="G257" s="278"/>
      <c r="H257" s="278"/>
      <c r="I257" s="352" t="str">
        <f>IFERROR(F257/#REF!,"-")</f>
        <v>-</v>
      </c>
      <c r="J257" s="333">
        <f t="shared" si="234"/>
        <v>0</v>
      </c>
      <c r="K257" s="278">
        <f t="shared" si="229"/>
        <v>0</v>
      </c>
      <c r="L257" s="436">
        <f t="shared" si="230"/>
        <v>0</v>
      </c>
      <c r="M257" s="337" t="str">
        <f t="shared" si="239"/>
        <v>-</v>
      </c>
      <c r="N257" s="263" t="str">
        <f t="shared" si="240"/>
        <v>-</v>
      </c>
      <c r="O257" s="508">
        <v>2.3201000000000001</v>
      </c>
      <c r="P257" s="404">
        <f t="shared" si="231"/>
        <v>0</v>
      </c>
      <c r="Q257" s="449">
        <f t="shared" si="232"/>
        <v>0</v>
      </c>
    </row>
    <row r="258" spans="1:17" ht="24.75" thickBot="1" x14ac:dyDescent="0.3">
      <c r="A258" s="248" t="s">
        <v>101</v>
      </c>
      <c r="B258" s="524"/>
      <c r="C258" s="541"/>
      <c r="D258" s="530"/>
      <c r="E258" s="462"/>
      <c r="F258" s="460">
        <f t="shared" si="233"/>
        <v>0</v>
      </c>
      <c r="G258" s="461"/>
      <c r="H258" s="461"/>
      <c r="I258" s="532" t="str">
        <f>IFERROR(F258/#REF!,"-")</f>
        <v>-</v>
      </c>
      <c r="J258" s="460">
        <f t="shared" si="234"/>
        <v>0</v>
      </c>
      <c r="K258" s="461">
        <f t="shared" si="229"/>
        <v>0</v>
      </c>
      <c r="L258" s="462">
        <f t="shared" si="230"/>
        <v>0</v>
      </c>
      <c r="M258" s="683" t="str">
        <f t="shared" si="239"/>
        <v>-</v>
      </c>
      <c r="N258" s="264" t="str">
        <f t="shared" si="240"/>
        <v>-</v>
      </c>
      <c r="O258" s="539"/>
      <c r="P258" s="536">
        <f t="shared" si="231"/>
        <v>0</v>
      </c>
      <c r="Q258" s="537">
        <f t="shared" si="232"/>
        <v>0</v>
      </c>
    </row>
    <row r="259" spans="1:17" ht="23.25" customHeight="1" thickBot="1" x14ac:dyDescent="0.3">
      <c r="A259" s="274" t="s">
        <v>101</v>
      </c>
      <c r="B259" s="1028" t="s">
        <v>25</v>
      </c>
      <c r="C259" s="964"/>
      <c r="D259" s="513">
        <f>SUM(D232:D258)</f>
        <v>0</v>
      </c>
      <c r="E259" s="526">
        <v>100000</v>
      </c>
      <c r="F259" s="519">
        <f>SUM(F227:F258)</f>
        <v>132800</v>
      </c>
      <c r="G259" s="519">
        <f>SUM(G227:G258)</f>
        <v>131720</v>
      </c>
      <c r="H259" s="519">
        <f>SUM(H227:H258)</f>
        <v>1080</v>
      </c>
      <c r="I259" s="520" t="str">
        <f>IFERROR(F259/#REF!,"-")</f>
        <v>-</v>
      </c>
      <c r="J259" s="513">
        <f>SUM(J227:J258)</f>
        <v>473771</v>
      </c>
      <c r="K259" s="513">
        <f t="shared" ref="K259:L259" si="241">SUM(K227:K258)</f>
        <v>470343</v>
      </c>
      <c r="L259" s="513">
        <f t="shared" si="241"/>
        <v>3428</v>
      </c>
      <c r="M259" s="521" t="str">
        <f t="shared" si="239"/>
        <v>-</v>
      </c>
      <c r="N259" s="520">
        <f t="shared" si="240"/>
        <v>7.235563172925316E-3</v>
      </c>
      <c r="O259" s="522"/>
      <c r="P259" s="523">
        <f>SUM(P227:P258)</f>
        <v>920850.54999999993</v>
      </c>
      <c r="Q259" s="523">
        <f>SUM(Q227:Q258)</f>
        <v>3423304.0353999999</v>
      </c>
    </row>
    <row r="260" spans="1:17" ht="23.25" customHeight="1" thickBot="1" x14ac:dyDescent="0.3">
      <c r="A260" s="318" t="s">
        <v>101</v>
      </c>
      <c r="B260" s="1029" t="s">
        <v>249</v>
      </c>
      <c r="C260" s="1030"/>
      <c r="D260" s="326">
        <f>+D231+D259</f>
        <v>0</v>
      </c>
      <c r="E260" s="327">
        <f>+E231+E259</f>
        <v>100000</v>
      </c>
      <c r="F260" s="326">
        <f>+F259</f>
        <v>132800</v>
      </c>
      <c r="G260" s="326">
        <f t="shared" ref="G260:H260" si="242">+G259</f>
        <v>131720</v>
      </c>
      <c r="H260" s="326">
        <f t="shared" si="242"/>
        <v>1080</v>
      </c>
      <c r="I260" s="349" t="str">
        <f>IFERROR(F260/#REF!,"-")</f>
        <v>-</v>
      </c>
      <c r="J260" s="326">
        <f>+J259</f>
        <v>473771</v>
      </c>
      <c r="K260" s="326">
        <f t="shared" ref="K260:L260" si="243">+K259</f>
        <v>470343</v>
      </c>
      <c r="L260" s="326">
        <f t="shared" si="243"/>
        <v>3428</v>
      </c>
      <c r="M260" s="341" t="str">
        <f t="shared" si="239"/>
        <v>-</v>
      </c>
      <c r="N260" s="349">
        <f t="shared" si="240"/>
        <v>7.235563172925316E-3</v>
      </c>
      <c r="O260" s="394"/>
      <c r="P260" s="410">
        <f>+P259</f>
        <v>920850.54999999993</v>
      </c>
      <c r="Q260" s="428">
        <f>Q259</f>
        <v>3423304.0353999999</v>
      </c>
    </row>
    <row r="261" spans="1:17" ht="26.25" thickBot="1" x14ac:dyDescent="0.3">
      <c r="A261" s="319"/>
      <c r="B261" s="1031" t="s">
        <v>174</v>
      </c>
      <c r="C261" s="1032"/>
      <c r="D261" s="374">
        <f>+D260+D226+D217</f>
        <v>0</v>
      </c>
      <c r="E261" s="374">
        <f>+E260+E226+E217</f>
        <v>230000</v>
      </c>
      <c r="F261" s="374">
        <f>+F260+F226+F217</f>
        <v>386463</v>
      </c>
      <c r="G261" s="374">
        <f>+G260+G226+G217</f>
        <v>382970</v>
      </c>
      <c r="H261" s="374">
        <f>+H260+H226+H217</f>
        <v>3493</v>
      </c>
      <c r="I261" s="375" t="str">
        <f>IFERROR(F261/#REF!,"-")</f>
        <v>-</v>
      </c>
      <c r="J261" s="374">
        <f>+J260+J226+J217</f>
        <v>1512515</v>
      </c>
      <c r="K261" s="374">
        <f>+K260+K226+K217</f>
        <v>1498643</v>
      </c>
      <c r="L261" s="374">
        <f>+L260+L226+L217</f>
        <v>13872</v>
      </c>
      <c r="M261" s="375" t="str">
        <f t="shared" si="239"/>
        <v>-</v>
      </c>
      <c r="N261" s="375">
        <f>IFERROR(L261/J261,"-")</f>
        <v>9.1714792911144691E-3</v>
      </c>
      <c r="O261" s="401"/>
      <c r="P261" s="418">
        <f>+P260+P226+P217</f>
        <v>2141251.1749999998</v>
      </c>
      <c r="Q261" s="418">
        <f>+Q260+Q226+Q217</f>
        <v>7854692.5203999998</v>
      </c>
    </row>
    <row r="262" spans="1:17" ht="24.6" customHeight="1" thickBot="1" x14ac:dyDescent="0.3">
      <c r="A262" s="230"/>
      <c r="B262" s="230"/>
      <c r="C262" s="230"/>
      <c r="D262" s="232"/>
      <c r="E262" s="232"/>
      <c r="F262" s="232"/>
      <c r="G262" s="267"/>
      <c r="H262" s="267"/>
      <c r="I262" s="234"/>
      <c r="J262" s="232"/>
      <c r="K262" s="232"/>
      <c r="L262" s="232"/>
      <c r="M262" s="234"/>
      <c r="N262" s="234"/>
    </row>
    <row r="263" spans="1:17" ht="22.5" customHeight="1" x14ac:dyDescent="0.25">
      <c r="A263" s="1033" t="s">
        <v>1</v>
      </c>
      <c r="B263" s="1036" t="s">
        <v>2</v>
      </c>
      <c r="C263" s="1039" t="s">
        <v>396</v>
      </c>
      <c r="D263" s="987" t="s">
        <v>4</v>
      </c>
      <c r="E263" s="988"/>
      <c r="F263" s="988"/>
      <c r="G263" s="988"/>
      <c r="H263" s="988"/>
      <c r="I263" s="988"/>
      <c r="J263" s="988"/>
      <c r="K263" s="988"/>
      <c r="L263" s="988"/>
      <c r="M263" s="988"/>
      <c r="N263" s="989"/>
      <c r="O263" s="1011" t="s">
        <v>167</v>
      </c>
      <c r="P263" s="1012"/>
      <c r="Q263" s="1042"/>
    </row>
    <row r="264" spans="1:17" ht="22.5" customHeight="1" x14ac:dyDescent="0.25">
      <c r="A264" s="1034"/>
      <c r="B264" s="1037"/>
      <c r="C264" s="1040"/>
      <c r="D264" s="990" t="s">
        <v>7</v>
      </c>
      <c r="E264" s="992" t="s">
        <v>108</v>
      </c>
      <c r="F264" s="1043" t="s">
        <v>508</v>
      </c>
      <c r="G264" s="995"/>
      <c r="H264" s="995"/>
      <c r="I264" s="996"/>
      <c r="J264" s="997" t="s">
        <v>8</v>
      </c>
      <c r="K264" s="998"/>
      <c r="L264" s="999"/>
      <c r="M264" s="1000" t="s">
        <v>165</v>
      </c>
      <c r="N264" s="1002" t="s">
        <v>164</v>
      </c>
      <c r="O264" s="1044" t="s">
        <v>169</v>
      </c>
      <c r="P264" s="1045"/>
      <c r="Q264" s="1046"/>
    </row>
    <row r="265" spans="1:17" ht="45.75" thickBot="1" x14ac:dyDescent="0.3">
      <c r="A265" s="1035"/>
      <c r="B265" s="1038"/>
      <c r="C265" s="1041"/>
      <c r="D265" s="991"/>
      <c r="E265" s="993"/>
      <c r="F265" s="452" t="s">
        <v>13</v>
      </c>
      <c r="G265" s="453" t="s">
        <v>14</v>
      </c>
      <c r="H265" s="453" t="s">
        <v>15</v>
      </c>
      <c r="I265" s="454" t="s">
        <v>166</v>
      </c>
      <c r="J265" s="680" t="s">
        <v>13</v>
      </c>
      <c r="K265" s="678" t="s">
        <v>14</v>
      </c>
      <c r="L265" s="679" t="s">
        <v>15</v>
      </c>
      <c r="M265" s="1001"/>
      <c r="N265" s="1003"/>
      <c r="O265" s="444" t="s">
        <v>170</v>
      </c>
      <c r="P265" s="445" t="s">
        <v>11</v>
      </c>
      <c r="Q265" s="446" t="s">
        <v>12</v>
      </c>
    </row>
    <row r="266" spans="1:17" ht="24" x14ac:dyDescent="0.25">
      <c r="A266" s="268" t="s">
        <v>103</v>
      </c>
      <c r="B266" s="439"/>
      <c r="C266" s="269" t="s">
        <v>502</v>
      </c>
      <c r="D266" s="270"/>
      <c r="E266" s="271"/>
      <c r="F266" s="332">
        <f>+G266+H266</f>
        <v>0</v>
      </c>
      <c r="G266" s="272"/>
      <c r="H266" s="272"/>
      <c r="I266" s="351" t="str">
        <f>IFERROR(F266/#REF!,"-")</f>
        <v>-</v>
      </c>
      <c r="J266" s="457">
        <f>+K266+L266</f>
        <v>56000</v>
      </c>
      <c r="K266" s="458">
        <f>+G266+K203</f>
        <v>56000</v>
      </c>
      <c r="L266" s="458">
        <f>+H266+L203</f>
        <v>0</v>
      </c>
      <c r="M266" s="336" t="str">
        <f>IFERROR(J266/D266,"-")</f>
        <v>-</v>
      </c>
      <c r="N266" s="343">
        <f t="shared" ref="N266:N267" si="244">IFERROR(L266/J266,"-")</f>
        <v>0</v>
      </c>
      <c r="O266" s="786">
        <v>0</v>
      </c>
      <c r="P266" s="402">
        <f>+O266*G266</f>
        <v>0</v>
      </c>
      <c r="Q266" s="447">
        <f>+O266*K266</f>
        <v>0</v>
      </c>
    </row>
    <row r="267" spans="1:17" ht="24" x14ac:dyDescent="0.25">
      <c r="A267" s="274" t="s">
        <v>103</v>
      </c>
      <c r="B267" s="438"/>
      <c r="C267" s="275" t="s">
        <v>245</v>
      </c>
      <c r="D267" s="276"/>
      <c r="E267" s="277"/>
      <c r="F267" s="333">
        <f t="shared" ref="F267:F270" si="245">+G267+H267</f>
        <v>0</v>
      </c>
      <c r="G267" s="719"/>
      <c r="H267" s="719"/>
      <c r="I267" s="352" t="str">
        <f>IFERROR(F267/#REF!,"-")</f>
        <v>-</v>
      </c>
      <c r="J267" s="333">
        <f t="shared" ref="J267:J270" si="246">+K267+L267</f>
        <v>115874</v>
      </c>
      <c r="K267" s="278">
        <f t="shared" ref="K267:K270" si="247">+G267+K204</f>
        <v>115000</v>
      </c>
      <c r="L267" s="436">
        <f t="shared" ref="L267:L270" si="248">+H267+L204</f>
        <v>874</v>
      </c>
      <c r="M267" s="337" t="str">
        <f t="shared" ref="M267:M270" si="249">IFERROR(J267/D267,"-")</f>
        <v>-</v>
      </c>
      <c r="N267" s="265">
        <f t="shared" si="244"/>
        <v>7.5426756649464074E-3</v>
      </c>
      <c r="O267" s="508">
        <v>2.3978999999999999</v>
      </c>
      <c r="P267" s="404">
        <f>+O267*G267</f>
        <v>0</v>
      </c>
      <c r="Q267" s="449">
        <f>+O267*K267</f>
        <v>275758.5</v>
      </c>
    </row>
    <row r="268" spans="1:17" ht="24" x14ac:dyDescent="0.25">
      <c r="A268" s="274" t="s">
        <v>103</v>
      </c>
      <c r="B268" s="438"/>
      <c r="C268" s="275" t="s">
        <v>395</v>
      </c>
      <c r="D268" s="276"/>
      <c r="E268" s="277"/>
      <c r="F268" s="333">
        <f t="shared" si="245"/>
        <v>58074</v>
      </c>
      <c r="G268" s="278">
        <v>57500</v>
      </c>
      <c r="H268" s="719">
        <v>574</v>
      </c>
      <c r="I268" s="352" t="str">
        <f>IFERROR(F268/#REF!,"-")</f>
        <v>-</v>
      </c>
      <c r="J268" s="333">
        <f t="shared" si="246"/>
        <v>332666</v>
      </c>
      <c r="K268" s="278">
        <f t="shared" si="247"/>
        <v>329500</v>
      </c>
      <c r="L268" s="436">
        <f t="shared" si="248"/>
        <v>3166</v>
      </c>
      <c r="M268" s="337" t="str">
        <f t="shared" si="249"/>
        <v>-</v>
      </c>
      <c r="N268" s="716">
        <f>IFERROR(L268/J268,"-")</f>
        <v>9.5170531403870554E-3</v>
      </c>
      <c r="O268" s="718">
        <v>3.6777000000000002</v>
      </c>
      <c r="P268" s="404">
        <f t="shared" ref="P268:P270" si="250">+O268*G268</f>
        <v>211467.75</v>
      </c>
      <c r="Q268" s="449">
        <f t="shared" ref="Q268:Q270" si="251">+O268*K268</f>
        <v>1211802.1500000001</v>
      </c>
    </row>
    <row r="269" spans="1:17" ht="24" x14ac:dyDescent="0.25">
      <c r="A269" s="274"/>
      <c r="B269" s="451"/>
      <c r="C269" s="275" t="s">
        <v>319</v>
      </c>
      <c r="D269" s="280"/>
      <c r="E269" s="281"/>
      <c r="F269" s="333">
        <f t="shared" si="245"/>
        <v>44556</v>
      </c>
      <c r="G269" s="282">
        <v>44000</v>
      </c>
      <c r="H269" s="282">
        <v>556</v>
      </c>
      <c r="I269" s="352" t="str">
        <f>IFERROR(F269/#REF!,"-")</f>
        <v>-</v>
      </c>
      <c r="J269" s="333">
        <f t="shared" si="246"/>
        <v>180164</v>
      </c>
      <c r="K269" s="278">
        <f t="shared" si="247"/>
        <v>177800</v>
      </c>
      <c r="L269" s="436">
        <f t="shared" si="248"/>
        <v>2364</v>
      </c>
      <c r="M269" s="337" t="str">
        <f t="shared" si="249"/>
        <v>-</v>
      </c>
      <c r="N269" s="265">
        <f>IFERROR(L269/J269,"-")</f>
        <v>1.312137829977132E-2</v>
      </c>
      <c r="O269" s="509">
        <v>12.284700000000001</v>
      </c>
      <c r="P269" s="404">
        <f t="shared" si="250"/>
        <v>540526.80000000005</v>
      </c>
      <c r="Q269" s="449">
        <f t="shared" si="251"/>
        <v>2184219.66</v>
      </c>
    </row>
    <row r="270" spans="1:17" ht="24.75" thickBot="1" x14ac:dyDescent="0.3">
      <c r="A270" s="274" t="s">
        <v>103</v>
      </c>
      <c r="B270" s="451"/>
      <c r="C270" s="275" t="s">
        <v>365</v>
      </c>
      <c r="D270" s="280"/>
      <c r="E270" s="281"/>
      <c r="F270" s="334">
        <f t="shared" si="245"/>
        <v>0</v>
      </c>
      <c r="G270" s="282"/>
      <c r="H270" s="282"/>
      <c r="I270" s="353" t="str">
        <f>IFERROR(F270/#REF!,"-")</f>
        <v>-</v>
      </c>
      <c r="J270" s="460">
        <f t="shared" si="246"/>
        <v>45034</v>
      </c>
      <c r="K270" s="461">
        <f t="shared" si="247"/>
        <v>44250</v>
      </c>
      <c r="L270" s="462">
        <f t="shared" si="248"/>
        <v>784</v>
      </c>
      <c r="M270" s="338" t="str">
        <f t="shared" si="249"/>
        <v>-</v>
      </c>
      <c r="N270" s="344">
        <f t="shared" ref="N270:N282" si="252">IFERROR(L270/J270,"-")</f>
        <v>1.7409068703646134E-2</v>
      </c>
      <c r="O270" s="718">
        <v>7.0612000000000004</v>
      </c>
      <c r="P270" s="405">
        <f t="shared" si="250"/>
        <v>0</v>
      </c>
      <c r="Q270" s="450">
        <f t="shared" si="251"/>
        <v>312458.10000000003</v>
      </c>
    </row>
    <row r="271" spans="1:17" ht="23.25" customHeight="1" thickBot="1" x14ac:dyDescent="0.3">
      <c r="A271" s="274" t="s">
        <v>103</v>
      </c>
      <c r="B271" s="1028" t="s">
        <v>21</v>
      </c>
      <c r="C271" s="964"/>
      <c r="D271" s="320">
        <f>SUM(D266:D270)</f>
        <v>0</v>
      </c>
      <c r="E271" s="285">
        <v>15000</v>
      </c>
      <c r="F271" s="320">
        <f>SUM(F266:F270)</f>
        <v>102630</v>
      </c>
      <c r="G271" s="321">
        <f>SUM(G266:G270)</f>
        <v>101500</v>
      </c>
      <c r="H271" s="321">
        <f>SUM(H266:H270)</f>
        <v>1130</v>
      </c>
      <c r="I271" s="345" t="str">
        <f>IFERROR(F271/#REF!,"-")</f>
        <v>-</v>
      </c>
      <c r="J271" s="320">
        <f>SUM(J266:J270)</f>
        <v>729738</v>
      </c>
      <c r="K271" s="321">
        <f>SUM(K266:K270)</f>
        <v>722550</v>
      </c>
      <c r="L271" s="322">
        <f>SUM(L266:L270)</f>
        <v>7188</v>
      </c>
      <c r="M271" s="339" t="str">
        <f>IFERROR(J271/D271,"-")</f>
        <v>-</v>
      </c>
      <c r="N271" s="345">
        <f t="shared" si="252"/>
        <v>9.8501105876355622E-3</v>
      </c>
      <c r="O271" s="391"/>
      <c r="P271" s="406">
        <f>SUM(P266:P270)</f>
        <v>751994.55</v>
      </c>
      <c r="Q271" s="425">
        <f>SUM(Q266:Q270)</f>
        <v>3984238.4100000006</v>
      </c>
    </row>
    <row r="272" spans="1:17" ht="24" x14ac:dyDescent="0.25">
      <c r="A272" s="274" t="s">
        <v>103</v>
      </c>
      <c r="B272" s="439"/>
      <c r="C272" s="269" t="s">
        <v>244</v>
      </c>
      <c r="D272" s="270"/>
      <c r="E272" s="271"/>
      <c r="F272" s="332">
        <f t="shared" ref="F272:F278" si="253">+G272+H272</f>
        <v>0</v>
      </c>
      <c r="G272" s="272"/>
      <c r="H272" s="272"/>
      <c r="I272" s="351" t="str">
        <f>IFERROR(F272/#REF!,"-")</f>
        <v>-</v>
      </c>
      <c r="J272" s="457">
        <f t="shared" ref="J272:J278" si="254">+K272+L272</f>
        <v>0</v>
      </c>
      <c r="K272" s="458">
        <f t="shared" ref="K272:K278" si="255">+G272+K209</f>
        <v>0</v>
      </c>
      <c r="L272" s="459">
        <f t="shared" ref="L272:L278" si="256">+H272+L209</f>
        <v>0</v>
      </c>
      <c r="M272" s="336" t="str">
        <f t="shared" ref="M272:M280" si="257">IFERROR(J272/D272,"-")</f>
        <v>-</v>
      </c>
      <c r="N272" s="346" t="str">
        <f t="shared" si="252"/>
        <v>-</v>
      </c>
      <c r="O272" s="507">
        <v>18.2316</v>
      </c>
      <c r="P272" s="402">
        <f t="shared" ref="P272:P278" si="258">+O272*G272</f>
        <v>0</v>
      </c>
      <c r="Q272" s="447">
        <f t="shared" ref="Q272:Q278" si="259">+O272*K272</f>
        <v>0</v>
      </c>
    </row>
    <row r="273" spans="1:17" ht="24" x14ac:dyDescent="0.25">
      <c r="A273" s="274" t="s">
        <v>103</v>
      </c>
      <c r="B273" s="438"/>
      <c r="C273" s="275" t="s">
        <v>89</v>
      </c>
      <c r="D273" s="276"/>
      <c r="E273" s="277"/>
      <c r="F273" s="333">
        <f t="shared" si="253"/>
        <v>0</v>
      </c>
      <c r="G273" s="278"/>
      <c r="H273" s="278"/>
      <c r="I273" s="352" t="str">
        <f>IFERROR(F273/#REF!,"-")</f>
        <v>-</v>
      </c>
      <c r="J273" s="333">
        <f t="shared" si="254"/>
        <v>60000</v>
      </c>
      <c r="K273" s="278">
        <f t="shared" si="255"/>
        <v>60000</v>
      </c>
      <c r="L273" s="436">
        <f t="shared" si="256"/>
        <v>0</v>
      </c>
      <c r="M273" s="337" t="str">
        <f t="shared" si="257"/>
        <v>-</v>
      </c>
      <c r="N273" s="263">
        <f t="shared" si="252"/>
        <v>0</v>
      </c>
      <c r="O273" s="508">
        <v>1.2824</v>
      </c>
      <c r="P273" s="404">
        <f t="shared" si="258"/>
        <v>0</v>
      </c>
      <c r="Q273" s="449">
        <f t="shared" si="259"/>
        <v>76944</v>
      </c>
    </row>
    <row r="274" spans="1:17" ht="24" x14ac:dyDescent="0.25">
      <c r="A274" s="274" t="s">
        <v>103</v>
      </c>
      <c r="B274" s="438"/>
      <c r="C274" s="275" t="s">
        <v>300</v>
      </c>
      <c r="D274" s="276"/>
      <c r="E274" s="277"/>
      <c r="F274" s="333">
        <f t="shared" si="253"/>
        <v>0</v>
      </c>
      <c r="G274" s="278"/>
      <c r="H274" s="278"/>
      <c r="I274" s="352" t="str">
        <f>IFERROR(F274/#REF!,"-")</f>
        <v>-</v>
      </c>
      <c r="J274" s="333">
        <f t="shared" si="254"/>
        <v>0</v>
      </c>
      <c r="K274" s="278">
        <f t="shared" si="255"/>
        <v>0</v>
      </c>
      <c r="L274" s="436">
        <f t="shared" si="256"/>
        <v>0</v>
      </c>
      <c r="M274" s="337" t="str">
        <f t="shared" si="257"/>
        <v>-</v>
      </c>
      <c r="N274" s="263" t="str">
        <f t="shared" si="252"/>
        <v>-</v>
      </c>
      <c r="O274" s="710">
        <v>5.7342000000000004</v>
      </c>
      <c r="P274" s="404">
        <f t="shared" si="258"/>
        <v>0</v>
      </c>
      <c r="Q274" s="449">
        <f t="shared" si="259"/>
        <v>0</v>
      </c>
    </row>
    <row r="275" spans="1:17" ht="24" x14ac:dyDescent="0.25">
      <c r="A275" s="274" t="s">
        <v>103</v>
      </c>
      <c r="B275" s="438"/>
      <c r="C275" s="275" t="s">
        <v>314</v>
      </c>
      <c r="D275" s="276"/>
      <c r="E275" s="277"/>
      <c r="F275" s="333">
        <f t="shared" si="253"/>
        <v>0</v>
      </c>
      <c r="G275" s="278"/>
      <c r="H275" s="278"/>
      <c r="I275" s="352" t="str">
        <f>IFERROR(F275/#REF!,"-")</f>
        <v>-</v>
      </c>
      <c r="J275" s="333">
        <f t="shared" si="254"/>
        <v>0</v>
      </c>
      <c r="K275" s="278">
        <f t="shared" si="255"/>
        <v>0</v>
      </c>
      <c r="L275" s="436">
        <f t="shared" si="256"/>
        <v>0</v>
      </c>
      <c r="M275" s="337" t="str">
        <f t="shared" si="257"/>
        <v>-</v>
      </c>
      <c r="N275" s="263" t="str">
        <f t="shared" si="252"/>
        <v>-</v>
      </c>
      <c r="O275" s="508"/>
      <c r="P275" s="404">
        <f t="shared" si="258"/>
        <v>0</v>
      </c>
      <c r="Q275" s="449">
        <f t="shared" si="259"/>
        <v>0</v>
      </c>
    </row>
    <row r="276" spans="1:17" ht="24" x14ac:dyDescent="0.25">
      <c r="A276" s="274" t="s">
        <v>103</v>
      </c>
      <c r="B276" s="438"/>
      <c r="C276" s="275" t="s">
        <v>320</v>
      </c>
      <c r="D276" s="276"/>
      <c r="E276" s="277"/>
      <c r="F276" s="333">
        <f t="shared" si="253"/>
        <v>9045</v>
      </c>
      <c r="G276" s="278">
        <v>9000</v>
      </c>
      <c r="H276" s="278">
        <v>45</v>
      </c>
      <c r="I276" s="352" t="str">
        <f>IFERROR(F276/#REF!,"-")</f>
        <v>-</v>
      </c>
      <c r="J276" s="333">
        <f t="shared" si="254"/>
        <v>45125</v>
      </c>
      <c r="K276" s="278">
        <f t="shared" si="255"/>
        <v>45000</v>
      </c>
      <c r="L276" s="436">
        <f t="shared" si="256"/>
        <v>125</v>
      </c>
      <c r="M276" s="337" t="str">
        <f t="shared" si="257"/>
        <v>-</v>
      </c>
      <c r="N276" s="263">
        <f t="shared" si="252"/>
        <v>2.7700831024930748E-3</v>
      </c>
      <c r="O276" s="508">
        <v>12.029500000000001</v>
      </c>
      <c r="P276" s="404">
        <f t="shared" si="258"/>
        <v>108265.5</v>
      </c>
      <c r="Q276" s="449">
        <f t="shared" si="259"/>
        <v>541327.5</v>
      </c>
    </row>
    <row r="277" spans="1:17" ht="24" x14ac:dyDescent="0.25">
      <c r="A277" s="274" t="s">
        <v>103</v>
      </c>
      <c r="B277" s="438"/>
      <c r="C277" s="275"/>
      <c r="D277" s="276"/>
      <c r="E277" s="277"/>
      <c r="F277" s="333">
        <f t="shared" si="253"/>
        <v>0</v>
      </c>
      <c r="G277" s="278"/>
      <c r="H277" s="278"/>
      <c r="I277" s="352" t="str">
        <f>IFERROR(F277/#REF!,"-")</f>
        <v>-</v>
      </c>
      <c r="J277" s="333">
        <f t="shared" si="254"/>
        <v>0</v>
      </c>
      <c r="K277" s="278">
        <f t="shared" si="255"/>
        <v>0</v>
      </c>
      <c r="L277" s="436">
        <f t="shared" si="256"/>
        <v>0</v>
      </c>
      <c r="M277" s="337" t="str">
        <f t="shared" si="257"/>
        <v>-</v>
      </c>
      <c r="N277" s="263" t="str">
        <f t="shared" si="252"/>
        <v>-</v>
      </c>
      <c r="O277" s="508"/>
      <c r="P277" s="404">
        <f t="shared" si="258"/>
        <v>0</v>
      </c>
      <c r="Q277" s="449">
        <f t="shared" si="259"/>
        <v>0</v>
      </c>
    </row>
    <row r="278" spans="1:17" ht="24.75" thickBot="1" x14ac:dyDescent="0.3">
      <c r="A278" s="274" t="s">
        <v>103</v>
      </c>
      <c r="B278" s="451"/>
      <c r="C278" s="279"/>
      <c r="D278" s="280">
        <v>0</v>
      </c>
      <c r="E278" s="281"/>
      <c r="F278" s="334">
        <f t="shared" si="253"/>
        <v>0</v>
      </c>
      <c r="G278" s="282"/>
      <c r="H278" s="282"/>
      <c r="I278" s="353" t="str">
        <f>IFERROR(F278/#REF!,"-")</f>
        <v>-</v>
      </c>
      <c r="J278" s="460">
        <f t="shared" si="254"/>
        <v>0</v>
      </c>
      <c r="K278" s="461">
        <f t="shared" si="255"/>
        <v>0</v>
      </c>
      <c r="L278" s="462">
        <f t="shared" si="256"/>
        <v>0</v>
      </c>
      <c r="M278" s="338" t="str">
        <f t="shared" si="257"/>
        <v>-</v>
      </c>
      <c r="N278" s="347" t="str">
        <f t="shared" si="252"/>
        <v>-</v>
      </c>
      <c r="O278" s="509"/>
      <c r="P278" s="405">
        <f t="shared" si="258"/>
        <v>0</v>
      </c>
      <c r="Q278" s="450">
        <f t="shared" si="259"/>
        <v>0</v>
      </c>
    </row>
    <row r="279" spans="1:17" ht="23.25" customHeight="1" thickBot="1" x14ac:dyDescent="0.3">
      <c r="A279" s="274" t="s">
        <v>103</v>
      </c>
      <c r="B279" s="1028" t="s">
        <v>25</v>
      </c>
      <c r="C279" s="964"/>
      <c r="D279" s="320">
        <f t="shared" ref="D279" si="260">SUM(D272:D278)</f>
        <v>0</v>
      </c>
      <c r="E279" s="285">
        <v>100000</v>
      </c>
      <c r="F279" s="320">
        <f>SUM(F272:F278)</f>
        <v>9045</v>
      </c>
      <c r="G279" s="321">
        <f t="shared" ref="G279:H279" si="261">SUM(G272:G278)</f>
        <v>9000</v>
      </c>
      <c r="H279" s="321">
        <f t="shared" si="261"/>
        <v>45</v>
      </c>
      <c r="I279" s="345" t="str">
        <f>IFERROR(F279/#REF!,"-")</f>
        <v>-</v>
      </c>
      <c r="J279" s="320">
        <f t="shared" ref="J279:L279" si="262">SUM(J272:J278)</f>
        <v>105125</v>
      </c>
      <c r="K279" s="321">
        <f t="shared" si="262"/>
        <v>105000</v>
      </c>
      <c r="L279" s="322">
        <f t="shared" si="262"/>
        <v>125</v>
      </c>
      <c r="M279" s="339" t="str">
        <f t="shared" si="257"/>
        <v>-</v>
      </c>
      <c r="N279" s="345">
        <f t="shared" si="252"/>
        <v>1.1890606420927466E-3</v>
      </c>
      <c r="O279" s="391"/>
      <c r="P279" s="406">
        <f t="shared" ref="P279:Q279" si="263">SUM(P272:P278)</f>
        <v>108265.5</v>
      </c>
      <c r="Q279" s="425">
        <f t="shared" si="263"/>
        <v>618271.5</v>
      </c>
    </row>
    <row r="280" spans="1:17" ht="23.25" customHeight="1" thickBot="1" x14ac:dyDescent="0.3">
      <c r="A280" s="274" t="s">
        <v>103</v>
      </c>
      <c r="B280" s="1029" t="s">
        <v>172</v>
      </c>
      <c r="C280" s="1030"/>
      <c r="D280" s="326">
        <f>+D271+D279</f>
        <v>0</v>
      </c>
      <c r="E280" s="327">
        <f t="shared" ref="E280:H280" si="264">+E271+E279</f>
        <v>115000</v>
      </c>
      <c r="F280" s="326">
        <f t="shared" si="264"/>
        <v>111675</v>
      </c>
      <c r="G280" s="324">
        <f t="shared" si="264"/>
        <v>110500</v>
      </c>
      <c r="H280" s="324">
        <f t="shared" si="264"/>
        <v>1175</v>
      </c>
      <c r="I280" s="349" t="str">
        <f>IFERROR(F280/#REF!,"-")</f>
        <v>-</v>
      </c>
      <c r="J280" s="326">
        <f t="shared" ref="J280:L280" si="265">+J271+J279</f>
        <v>834863</v>
      </c>
      <c r="K280" s="324">
        <f t="shared" si="265"/>
        <v>827550</v>
      </c>
      <c r="L280" s="325">
        <f t="shared" si="265"/>
        <v>7313</v>
      </c>
      <c r="M280" s="341" t="str">
        <f t="shared" si="257"/>
        <v>-</v>
      </c>
      <c r="N280" s="349">
        <f t="shared" si="252"/>
        <v>8.7595210232097962E-3</v>
      </c>
      <c r="O280" s="394"/>
      <c r="P280" s="410">
        <f t="shared" ref="P280:Q280" si="266">+P271+P279</f>
        <v>860260.05</v>
      </c>
      <c r="Q280" s="428">
        <f t="shared" si="266"/>
        <v>4602509.91</v>
      </c>
    </row>
    <row r="281" spans="1:17" ht="24" x14ac:dyDescent="0.25">
      <c r="A281" s="244" t="s">
        <v>101</v>
      </c>
      <c r="B281" s="581"/>
      <c r="C281" s="582" t="s">
        <v>283</v>
      </c>
      <c r="D281" s="527"/>
      <c r="E281" s="459"/>
      <c r="F281" s="457">
        <f>+G281+H281</f>
        <v>0</v>
      </c>
      <c r="G281" s="458"/>
      <c r="H281" s="458"/>
      <c r="I281" s="531" t="str">
        <f>IFERROR(F281/#REF!,"-")</f>
        <v>-</v>
      </c>
      <c r="J281" s="457">
        <f>+K281+L281</f>
        <v>0</v>
      </c>
      <c r="K281" s="458">
        <f t="shared" ref="K281:K287" si="267">+G281+K218</f>
        <v>0</v>
      </c>
      <c r="L281" s="459">
        <f t="shared" ref="L281:L287" si="268">+H281+L218</f>
        <v>0</v>
      </c>
      <c r="M281" s="586" t="str">
        <f>IFERROR(J281/D281,"-")</f>
        <v>-</v>
      </c>
      <c r="N281" s="533" t="str">
        <f t="shared" si="252"/>
        <v>-</v>
      </c>
      <c r="O281" s="628">
        <v>4.8285999999999998</v>
      </c>
      <c r="P281" s="534">
        <f t="shared" ref="P281:P287" si="269">+O281*G281</f>
        <v>0</v>
      </c>
      <c r="Q281" s="535">
        <f t="shared" ref="Q281:Q287" si="270">+O281*K281</f>
        <v>0</v>
      </c>
    </row>
    <row r="282" spans="1:17" ht="24" x14ac:dyDescent="0.25">
      <c r="A282" s="248" t="s">
        <v>101</v>
      </c>
      <c r="B282" s="583"/>
      <c r="C282" s="275" t="s">
        <v>284</v>
      </c>
      <c r="D282" s="276"/>
      <c r="E282" s="436"/>
      <c r="F282" s="333">
        <f t="shared" ref="F282:F287" si="271">+G282+H282</f>
        <v>0</v>
      </c>
      <c r="G282" s="278"/>
      <c r="H282" s="278"/>
      <c r="I282" s="352" t="str">
        <f>IFERROR(F282/#REF!,"-")</f>
        <v>-</v>
      </c>
      <c r="J282" s="333">
        <f t="shared" ref="J282:J287" si="272">+K282+L282</f>
        <v>0</v>
      </c>
      <c r="K282" s="278">
        <f t="shared" si="267"/>
        <v>0</v>
      </c>
      <c r="L282" s="436">
        <f t="shared" si="268"/>
        <v>0</v>
      </c>
      <c r="M282" s="337" t="str">
        <f t="shared" ref="M282:M284" si="273">IFERROR(J282/D282,"-")</f>
        <v>-</v>
      </c>
      <c r="N282" s="265" t="str">
        <f t="shared" si="252"/>
        <v>-</v>
      </c>
      <c r="O282" s="629">
        <v>1.4086000000000001</v>
      </c>
      <c r="P282" s="404">
        <f t="shared" si="269"/>
        <v>0</v>
      </c>
      <c r="Q282" s="449">
        <f t="shared" si="270"/>
        <v>0</v>
      </c>
    </row>
    <row r="283" spans="1:17" ht="24" x14ac:dyDescent="0.25">
      <c r="A283" s="248" t="s">
        <v>101</v>
      </c>
      <c r="B283" s="583"/>
      <c r="C283" s="275" t="s">
        <v>315</v>
      </c>
      <c r="D283" s="276"/>
      <c r="E283" s="436"/>
      <c r="F283" s="333">
        <f t="shared" si="271"/>
        <v>0</v>
      </c>
      <c r="G283" s="278"/>
      <c r="H283" s="278"/>
      <c r="I283" s="352" t="str">
        <f>IFERROR(F283/#REF!,"-")</f>
        <v>-</v>
      </c>
      <c r="J283" s="333">
        <f t="shared" si="272"/>
        <v>0</v>
      </c>
      <c r="K283" s="278">
        <f t="shared" si="267"/>
        <v>0</v>
      </c>
      <c r="L283" s="436">
        <f t="shared" si="268"/>
        <v>0</v>
      </c>
      <c r="M283" s="337" t="str">
        <f t="shared" si="273"/>
        <v>-</v>
      </c>
      <c r="N283" s="265" t="str">
        <f>IFERROR(L283/J283,"-")</f>
        <v>-</v>
      </c>
      <c r="O283" s="629">
        <v>2.2141000000000002</v>
      </c>
      <c r="P283" s="404">
        <f t="shared" si="269"/>
        <v>0</v>
      </c>
      <c r="Q283" s="449">
        <f t="shared" si="270"/>
        <v>0</v>
      </c>
    </row>
    <row r="284" spans="1:17" ht="24" x14ac:dyDescent="0.25">
      <c r="A284" s="248" t="s">
        <v>101</v>
      </c>
      <c r="B284" s="584"/>
      <c r="C284" s="275" t="s">
        <v>447</v>
      </c>
      <c r="D284" s="280"/>
      <c r="E284" s="528"/>
      <c r="F284" s="334">
        <f t="shared" si="271"/>
        <v>0</v>
      </c>
      <c r="G284" s="282"/>
      <c r="H284" s="282"/>
      <c r="I284" s="353" t="str">
        <f>IFERROR(F284/#REF!,"-")</f>
        <v>-</v>
      </c>
      <c r="J284" s="333">
        <f t="shared" si="272"/>
        <v>315556</v>
      </c>
      <c r="K284" s="278">
        <f t="shared" si="267"/>
        <v>311250</v>
      </c>
      <c r="L284" s="436">
        <f t="shared" si="268"/>
        <v>4306</v>
      </c>
      <c r="M284" s="338" t="str">
        <f t="shared" si="273"/>
        <v>-</v>
      </c>
      <c r="N284" s="344">
        <f t="shared" ref="N284:N291" si="274">IFERROR(L284/J284,"-")</f>
        <v>1.3645755428513481E-2</v>
      </c>
      <c r="O284" s="629">
        <v>2.2141000000000002</v>
      </c>
      <c r="P284" s="405">
        <f t="shared" si="269"/>
        <v>0</v>
      </c>
      <c r="Q284" s="450">
        <f t="shared" si="270"/>
        <v>689138.625</v>
      </c>
    </row>
    <row r="285" spans="1:17" ht="24" x14ac:dyDescent="0.25">
      <c r="A285" s="248" t="s">
        <v>101</v>
      </c>
      <c r="B285" s="440"/>
      <c r="C285" s="627" t="s">
        <v>353</v>
      </c>
      <c r="D285" s="510"/>
      <c r="E285" s="529"/>
      <c r="F285" s="333">
        <f t="shared" si="271"/>
        <v>0</v>
      </c>
      <c r="G285" s="547"/>
      <c r="H285" s="547"/>
      <c r="I285" s="352" t="str">
        <f>IFERROR(F285/#REF!,"-")</f>
        <v>-</v>
      </c>
      <c r="J285" s="333">
        <f t="shared" si="272"/>
        <v>0</v>
      </c>
      <c r="K285" s="278">
        <f t="shared" si="267"/>
        <v>0</v>
      </c>
      <c r="L285" s="436">
        <f t="shared" si="268"/>
        <v>0</v>
      </c>
      <c r="M285" s="682"/>
      <c r="N285" s="265" t="str">
        <f t="shared" si="274"/>
        <v>-</v>
      </c>
      <c r="O285" s="540">
        <v>4.8285999999999998</v>
      </c>
      <c r="P285" s="404">
        <f t="shared" si="269"/>
        <v>0</v>
      </c>
      <c r="Q285" s="449">
        <f t="shared" si="270"/>
        <v>0</v>
      </c>
    </row>
    <row r="286" spans="1:17" ht="24" x14ac:dyDescent="0.25">
      <c r="A286" s="248" t="s">
        <v>101</v>
      </c>
      <c r="B286" s="585"/>
      <c r="C286" s="627" t="s">
        <v>349</v>
      </c>
      <c r="D286" s="270"/>
      <c r="E286" s="435"/>
      <c r="F286" s="332">
        <f t="shared" si="271"/>
        <v>0</v>
      </c>
      <c r="G286" s="272"/>
      <c r="H286" s="272"/>
      <c r="I286" s="351" t="str">
        <f>IFERROR(F286/#REF!,"-")</f>
        <v>-</v>
      </c>
      <c r="J286" s="333">
        <f t="shared" si="272"/>
        <v>0</v>
      </c>
      <c r="K286" s="278">
        <f t="shared" si="267"/>
        <v>0</v>
      </c>
      <c r="L286" s="436">
        <f t="shared" si="268"/>
        <v>0</v>
      </c>
      <c r="M286" s="336" t="str">
        <f t="shared" ref="M286:M287" si="275">IFERROR(J286/D286,"-")</f>
        <v>-</v>
      </c>
      <c r="N286" s="346" t="str">
        <f t="shared" si="274"/>
        <v>-</v>
      </c>
      <c r="O286" s="507">
        <v>4.1712999999999996</v>
      </c>
      <c r="P286" s="402">
        <f t="shared" si="269"/>
        <v>0</v>
      </c>
      <c r="Q286" s="447">
        <f t="shared" si="270"/>
        <v>0</v>
      </c>
    </row>
    <row r="287" spans="1:17" ht="24.75" thickBot="1" x14ac:dyDescent="0.3">
      <c r="A287" s="248" t="s">
        <v>101</v>
      </c>
      <c r="B287" s="583"/>
      <c r="C287" s="275"/>
      <c r="D287" s="276"/>
      <c r="E287" s="436"/>
      <c r="F287" s="333">
        <f t="shared" si="271"/>
        <v>0</v>
      </c>
      <c r="G287" s="278"/>
      <c r="H287" s="278"/>
      <c r="I287" s="352" t="str">
        <f>IFERROR(F287/#REF!,"-")</f>
        <v>-</v>
      </c>
      <c r="J287" s="460">
        <f t="shared" si="272"/>
        <v>0</v>
      </c>
      <c r="K287" s="461">
        <f t="shared" si="267"/>
        <v>0</v>
      </c>
      <c r="L287" s="462">
        <f t="shared" si="268"/>
        <v>0</v>
      </c>
      <c r="M287" s="337" t="str">
        <f t="shared" si="275"/>
        <v>-</v>
      </c>
      <c r="N287" s="263" t="str">
        <f t="shared" si="274"/>
        <v>-</v>
      </c>
      <c r="O287" s="448"/>
      <c r="P287" s="404">
        <f t="shared" si="269"/>
        <v>0</v>
      </c>
      <c r="Q287" s="449">
        <f t="shared" si="270"/>
        <v>0</v>
      </c>
    </row>
    <row r="288" spans="1:17" ht="23.25" customHeight="1" thickBot="1" x14ac:dyDescent="0.3">
      <c r="A288" s="274" t="s">
        <v>101</v>
      </c>
      <c r="B288" s="1028" t="s">
        <v>21</v>
      </c>
      <c r="C288" s="964"/>
      <c r="D288" s="320">
        <v>0</v>
      </c>
      <c r="E288" s="285">
        <v>15000</v>
      </c>
      <c r="F288" s="320">
        <f>SUM(F281:F287)</f>
        <v>0</v>
      </c>
      <c r="G288" s="321">
        <f t="shared" ref="G288:H288" si="276">SUM(G281:G287)</f>
        <v>0</v>
      </c>
      <c r="H288" s="321">
        <f t="shared" si="276"/>
        <v>0</v>
      </c>
      <c r="I288" s="345" t="str">
        <f>IFERROR(F288/#REF!,"-")</f>
        <v>-</v>
      </c>
      <c r="J288" s="513">
        <f t="shared" ref="J288" si="277">SUM(J281:J287)</f>
        <v>315556</v>
      </c>
      <c r="K288" s="519">
        <f>SUM(K281:K287)</f>
        <v>311250</v>
      </c>
      <c r="L288" s="519">
        <f>SUM(L281:L287)</f>
        <v>4306</v>
      </c>
      <c r="M288" s="339" t="str">
        <f>IFERROR(J288/D288,"-")</f>
        <v>-</v>
      </c>
      <c r="N288" s="345">
        <f t="shared" si="274"/>
        <v>1.3645755428513481E-2</v>
      </c>
      <c r="O288" s="391"/>
      <c r="P288" s="406">
        <f>SUM(P281:P287)</f>
        <v>0</v>
      </c>
      <c r="Q288" s="425">
        <f>SUM(Q281:Q287)</f>
        <v>689138.625</v>
      </c>
    </row>
    <row r="289" spans="1:17" ht="23.25" customHeight="1" thickBot="1" x14ac:dyDescent="0.3">
      <c r="A289" s="274" t="s">
        <v>101</v>
      </c>
      <c r="B289" s="1029" t="s">
        <v>248</v>
      </c>
      <c r="C289" s="1030"/>
      <c r="D289" s="512">
        <f>+D285+D288</f>
        <v>0</v>
      </c>
      <c r="E289" s="525">
        <f>+E285+E288</f>
        <v>15000</v>
      </c>
      <c r="F289" s="512">
        <f>+F285+F288</f>
        <v>0</v>
      </c>
      <c r="G289" s="514">
        <f>+G285+G288</f>
        <v>0</v>
      </c>
      <c r="H289" s="514">
        <f>+H285+H288</f>
        <v>0</v>
      </c>
      <c r="I289" s="515" t="str">
        <f>IFERROR(F289/#REF!,"-")</f>
        <v>-</v>
      </c>
      <c r="J289" s="512">
        <f>+J285+J288</f>
        <v>315556</v>
      </c>
      <c r="K289" s="514">
        <f>+K288</f>
        <v>311250</v>
      </c>
      <c r="L289" s="514">
        <f>+L288</f>
        <v>4306</v>
      </c>
      <c r="M289" s="516" t="str">
        <f t="shared" ref="M289" si="278">IFERROR(J289/D289,"-")</f>
        <v>-</v>
      </c>
      <c r="N289" s="515">
        <f t="shared" si="274"/>
        <v>1.3645755428513481E-2</v>
      </c>
      <c r="O289" s="517"/>
      <c r="P289" s="518">
        <f>+P288</f>
        <v>0</v>
      </c>
      <c r="Q289" s="518">
        <f>+Q288</f>
        <v>689138.625</v>
      </c>
    </row>
    <row r="290" spans="1:17" ht="24" x14ac:dyDescent="0.35">
      <c r="A290" s="244" t="s">
        <v>101</v>
      </c>
      <c r="B290" s="1025" t="s">
        <v>250</v>
      </c>
      <c r="C290" s="542" t="s">
        <v>71</v>
      </c>
      <c r="D290" s="527"/>
      <c r="E290" s="459"/>
      <c r="F290" s="457">
        <f>+G290+H290</f>
        <v>0</v>
      </c>
      <c r="G290" s="458"/>
      <c r="H290" s="458"/>
      <c r="I290" s="531" t="str">
        <f>IFERROR(F290/#REF!,"-")</f>
        <v>-</v>
      </c>
      <c r="J290" s="457">
        <f>+K290+L290</f>
        <v>0</v>
      </c>
      <c r="K290" s="458">
        <f t="shared" ref="K290:K321" si="279">+G290+K227</f>
        <v>0</v>
      </c>
      <c r="L290" s="459">
        <f t="shared" ref="L290:L321" si="280">+H290+L227</f>
        <v>0</v>
      </c>
      <c r="M290" s="586" t="str">
        <f>IFERROR(J290/D290,"-")</f>
        <v>-</v>
      </c>
      <c r="N290" s="533" t="str">
        <f t="shared" si="274"/>
        <v>-</v>
      </c>
      <c r="O290" s="538">
        <v>32.946300000000001</v>
      </c>
      <c r="P290" s="534">
        <f t="shared" ref="P290:P321" si="281">+O290*G290</f>
        <v>0</v>
      </c>
      <c r="Q290" s="535">
        <f t="shared" ref="Q290:Q321" si="282">+O290*K290</f>
        <v>0</v>
      </c>
    </row>
    <row r="291" spans="1:17" ht="24" x14ac:dyDescent="0.35">
      <c r="A291" s="248" t="s">
        <v>101</v>
      </c>
      <c r="B291" s="1026"/>
      <c r="C291" s="543" t="s">
        <v>72</v>
      </c>
      <c r="D291" s="511"/>
      <c r="E291" s="436"/>
      <c r="F291" s="333">
        <f t="shared" ref="F291:F321" si="283">+G291+H291</f>
        <v>0</v>
      </c>
      <c r="G291" s="278"/>
      <c r="H291" s="278"/>
      <c r="I291" s="352" t="str">
        <f>IFERROR(F291/#REF!,"-")</f>
        <v>-</v>
      </c>
      <c r="J291" s="333">
        <f t="shared" ref="J291:J321" si="284">+K291+L291</f>
        <v>10595</v>
      </c>
      <c r="K291" s="278">
        <f t="shared" si="279"/>
        <v>10500</v>
      </c>
      <c r="L291" s="436">
        <f t="shared" si="280"/>
        <v>95</v>
      </c>
      <c r="M291" s="337" t="str">
        <f t="shared" ref="M291:M293" si="285">IFERROR(J291/D291,"-")</f>
        <v>-</v>
      </c>
      <c r="N291" s="265">
        <f t="shared" si="274"/>
        <v>8.9664936290703157E-3</v>
      </c>
      <c r="O291" s="508">
        <v>35.398400000000002</v>
      </c>
      <c r="P291" s="404">
        <f t="shared" si="281"/>
        <v>0</v>
      </c>
      <c r="Q291" s="449">
        <f t="shared" si="282"/>
        <v>371683.2</v>
      </c>
    </row>
    <row r="292" spans="1:17" ht="24.75" thickBot="1" x14ac:dyDescent="0.4">
      <c r="A292" s="248" t="s">
        <v>101</v>
      </c>
      <c r="B292" s="1027"/>
      <c r="C292" s="543" t="s">
        <v>455</v>
      </c>
      <c r="D292" s="276"/>
      <c r="E292" s="436"/>
      <c r="F292" s="333">
        <f t="shared" si="283"/>
        <v>0</v>
      </c>
      <c r="G292" s="278"/>
      <c r="H292" s="278"/>
      <c r="I292" s="352" t="str">
        <f>IFERROR(F292/#REF!,"-")</f>
        <v>-</v>
      </c>
      <c r="J292" s="333">
        <f t="shared" si="284"/>
        <v>5605</v>
      </c>
      <c r="K292" s="278">
        <f t="shared" si="279"/>
        <v>5500</v>
      </c>
      <c r="L292" s="436">
        <f t="shared" si="280"/>
        <v>105</v>
      </c>
      <c r="M292" s="337" t="str">
        <f t="shared" si="285"/>
        <v>-</v>
      </c>
      <c r="N292" s="265">
        <f>IFERROR(L292/J292,"-")</f>
        <v>1.8733273862622659E-2</v>
      </c>
      <c r="O292" s="508">
        <v>35.398400000000002</v>
      </c>
      <c r="P292" s="404">
        <f t="shared" si="281"/>
        <v>0</v>
      </c>
      <c r="Q292" s="449">
        <f t="shared" si="282"/>
        <v>194691.20000000001</v>
      </c>
    </row>
    <row r="293" spans="1:17" ht="24" x14ac:dyDescent="0.35">
      <c r="A293" s="248" t="s">
        <v>101</v>
      </c>
      <c r="B293" s="1025" t="s">
        <v>251</v>
      </c>
      <c r="C293" s="545" t="s">
        <v>75</v>
      </c>
      <c r="D293" s="276"/>
      <c r="E293" s="528"/>
      <c r="F293" s="334">
        <f t="shared" si="283"/>
        <v>2497</v>
      </c>
      <c r="G293" s="278">
        <v>2400</v>
      </c>
      <c r="H293" s="278">
        <v>97</v>
      </c>
      <c r="I293" s="352" t="str">
        <f>IFERROR(F293/#REF!,"-")</f>
        <v>-</v>
      </c>
      <c r="J293" s="333">
        <f t="shared" si="284"/>
        <v>13160</v>
      </c>
      <c r="K293" s="278">
        <f t="shared" si="279"/>
        <v>12763</v>
      </c>
      <c r="L293" s="436">
        <f t="shared" si="280"/>
        <v>397</v>
      </c>
      <c r="M293" s="337" t="str">
        <f t="shared" si="285"/>
        <v>-</v>
      </c>
      <c r="N293" s="265">
        <f t="shared" ref="N293" si="286">IFERROR(L293/J293,"-")</f>
        <v>3.0167173252279637E-2</v>
      </c>
      <c r="O293" s="508">
        <v>55.4758</v>
      </c>
      <c r="P293" s="404">
        <f t="shared" si="281"/>
        <v>133141.92000000001</v>
      </c>
      <c r="Q293" s="449">
        <f t="shared" si="282"/>
        <v>708037.63540000003</v>
      </c>
    </row>
    <row r="294" spans="1:17" ht="24" x14ac:dyDescent="0.35">
      <c r="A294" s="248" t="s">
        <v>101</v>
      </c>
      <c r="B294" s="1026"/>
      <c r="C294" s="545" t="s">
        <v>72</v>
      </c>
      <c r="D294" s="276"/>
      <c r="E294" s="529"/>
      <c r="F294" s="334">
        <f t="shared" si="283"/>
        <v>0</v>
      </c>
      <c r="G294" s="278"/>
      <c r="H294" s="278"/>
      <c r="I294" s="352" t="str">
        <f>IFERROR(F294/#REF!,"-")</f>
        <v>-</v>
      </c>
      <c r="J294" s="333">
        <f t="shared" si="284"/>
        <v>0</v>
      </c>
      <c r="K294" s="278">
        <f t="shared" si="279"/>
        <v>0</v>
      </c>
      <c r="L294" s="436">
        <f t="shared" si="280"/>
        <v>0</v>
      </c>
      <c r="M294" s="682"/>
      <c r="N294" s="372"/>
      <c r="O294" s="540">
        <v>58.836300000000001</v>
      </c>
      <c r="P294" s="404">
        <f t="shared" si="281"/>
        <v>0</v>
      </c>
      <c r="Q294" s="449">
        <f t="shared" si="282"/>
        <v>0</v>
      </c>
    </row>
    <row r="295" spans="1:17" ht="24" x14ac:dyDescent="0.35">
      <c r="A295" s="248" t="s">
        <v>101</v>
      </c>
      <c r="B295" s="1026"/>
      <c r="C295" s="545" t="s">
        <v>347</v>
      </c>
      <c r="D295" s="276"/>
      <c r="E295" s="435"/>
      <c r="F295" s="334">
        <f t="shared" si="283"/>
        <v>0</v>
      </c>
      <c r="G295" s="278"/>
      <c r="H295" s="278"/>
      <c r="I295" s="352" t="str">
        <f>IFERROR(F295/#REF!,"-")</f>
        <v>-</v>
      </c>
      <c r="J295" s="333">
        <f t="shared" si="284"/>
        <v>0</v>
      </c>
      <c r="K295" s="278">
        <f t="shared" si="279"/>
        <v>0</v>
      </c>
      <c r="L295" s="436">
        <f t="shared" si="280"/>
        <v>0</v>
      </c>
      <c r="M295" s="337" t="str">
        <f t="shared" ref="M295" si="287">IFERROR(J295/D295,"-")</f>
        <v>-</v>
      </c>
      <c r="N295" s="263" t="str">
        <f t="shared" ref="N295" si="288">IFERROR(L295/J295,"-")</f>
        <v>-</v>
      </c>
      <c r="O295" s="710">
        <v>58.836300000000001</v>
      </c>
      <c r="P295" s="404">
        <f t="shared" si="281"/>
        <v>0</v>
      </c>
      <c r="Q295" s="449">
        <f t="shared" si="282"/>
        <v>0</v>
      </c>
    </row>
    <row r="296" spans="1:17" ht="24.75" thickBot="1" x14ac:dyDescent="0.4">
      <c r="A296" s="248"/>
      <c r="B296" s="1027"/>
      <c r="C296" s="545" t="s">
        <v>361</v>
      </c>
      <c r="D296" s="276"/>
      <c r="E296" s="435"/>
      <c r="F296" s="334">
        <f t="shared" si="283"/>
        <v>0</v>
      </c>
      <c r="G296" s="278"/>
      <c r="H296" s="278"/>
      <c r="I296" s="352"/>
      <c r="J296" s="333">
        <f t="shared" si="284"/>
        <v>0</v>
      </c>
      <c r="K296" s="278">
        <f t="shared" si="279"/>
        <v>0</v>
      </c>
      <c r="L296" s="436">
        <f t="shared" si="280"/>
        <v>0</v>
      </c>
      <c r="M296" s="337"/>
      <c r="N296" s="263" t="str">
        <f>IFERROR(L296/J296,"-")</f>
        <v>-</v>
      </c>
      <c r="O296" s="508">
        <v>55.4758</v>
      </c>
      <c r="P296" s="404">
        <f t="shared" si="281"/>
        <v>0</v>
      </c>
      <c r="Q296" s="449">
        <f t="shared" si="282"/>
        <v>0</v>
      </c>
    </row>
    <row r="297" spans="1:17" ht="24" x14ac:dyDescent="0.35">
      <c r="A297" s="248" t="s">
        <v>101</v>
      </c>
      <c r="B297" s="1025" t="s">
        <v>409</v>
      </c>
      <c r="C297" s="543" t="s">
        <v>77</v>
      </c>
      <c r="D297" s="276"/>
      <c r="E297" s="436"/>
      <c r="F297" s="333">
        <f t="shared" si="283"/>
        <v>0</v>
      </c>
      <c r="G297" s="278"/>
      <c r="H297" s="278"/>
      <c r="I297" s="352" t="str">
        <f>IFERROR(F297/#REF!,"-")</f>
        <v>-</v>
      </c>
      <c r="J297" s="333">
        <f t="shared" si="284"/>
        <v>3010</v>
      </c>
      <c r="K297" s="686">
        <f t="shared" si="279"/>
        <v>3000</v>
      </c>
      <c r="L297" s="687">
        <f t="shared" si="280"/>
        <v>10</v>
      </c>
      <c r="M297" s="337" t="str">
        <f t="shared" ref="M297:M324" si="289">IFERROR(J297/D297,"-")</f>
        <v>-</v>
      </c>
      <c r="N297" s="263">
        <f t="shared" ref="N297:N323" si="290">IFERROR(L297/J297,"-")</f>
        <v>3.3222591362126247E-3</v>
      </c>
      <c r="O297" s="508">
        <v>25.687200000000001</v>
      </c>
      <c r="P297" s="404">
        <f t="shared" si="281"/>
        <v>0</v>
      </c>
      <c r="Q297" s="449">
        <f t="shared" si="282"/>
        <v>77061.600000000006</v>
      </c>
    </row>
    <row r="298" spans="1:17" ht="24.75" thickBot="1" x14ac:dyDescent="0.4">
      <c r="A298" s="248" t="s">
        <v>101</v>
      </c>
      <c r="B298" s="1027"/>
      <c r="C298" s="543" t="s">
        <v>117</v>
      </c>
      <c r="D298" s="276"/>
      <c r="E298" s="436"/>
      <c r="F298" s="333">
        <f t="shared" si="283"/>
        <v>0</v>
      </c>
      <c r="G298" s="278"/>
      <c r="H298" s="278"/>
      <c r="I298" s="352" t="str">
        <f>IFERROR(F298/#REF!,"-")</f>
        <v>-</v>
      </c>
      <c r="J298" s="333">
        <f t="shared" si="284"/>
        <v>0</v>
      </c>
      <c r="K298" s="278">
        <f t="shared" si="279"/>
        <v>0</v>
      </c>
      <c r="L298" s="436">
        <f t="shared" si="280"/>
        <v>0</v>
      </c>
      <c r="M298" s="337" t="str">
        <f t="shared" si="289"/>
        <v>-</v>
      </c>
      <c r="N298" s="263" t="str">
        <f t="shared" si="290"/>
        <v>-</v>
      </c>
      <c r="O298" s="508">
        <v>25.033899999999999</v>
      </c>
      <c r="P298" s="404">
        <f t="shared" si="281"/>
        <v>0</v>
      </c>
      <c r="Q298" s="449">
        <f t="shared" si="282"/>
        <v>0</v>
      </c>
    </row>
    <row r="299" spans="1:17" ht="24" x14ac:dyDescent="0.35">
      <c r="A299" s="248"/>
      <c r="B299" s="1025" t="s">
        <v>410</v>
      </c>
      <c r="C299" s="543" t="s">
        <v>79</v>
      </c>
      <c r="D299" s="276"/>
      <c r="E299" s="436"/>
      <c r="F299" s="333">
        <f t="shared" si="283"/>
        <v>2039</v>
      </c>
      <c r="G299" s="278">
        <v>2000</v>
      </c>
      <c r="H299" s="278">
        <v>39</v>
      </c>
      <c r="I299" s="352" t="str">
        <f>IFERROR(F299/#REF!,"-")</f>
        <v>-</v>
      </c>
      <c r="J299" s="333">
        <f t="shared" si="284"/>
        <v>2039</v>
      </c>
      <c r="K299" s="278">
        <f t="shared" si="279"/>
        <v>2000</v>
      </c>
      <c r="L299" s="436">
        <f t="shared" si="280"/>
        <v>39</v>
      </c>
      <c r="M299" s="337" t="str">
        <f t="shared" si="289"/>
        <v>-</v>
      </c>
      <c r="N299" s="263">
        <f t="shared" si="290"/>
        <v>1.9127023050514957E-2</v>
      </c>
      <c r="O299" s="508">
        <v>41.992699999999999</v>
      </c>
      <c r="P299" s="404">
        <f t="shared" si="281"/>
        <v>83985.4</v>
      </c>
      <c r="Q299" s="449">
        <f t="shared" si="282"/>
        <v>83985.4</v>
      </c>
    </row>
    <row r="300" spans="1:17" ht="24" x14ac:dyDescent="0.35">
      <c r="A300" s="248"/>
      <c r="B300" s="1026"/>
      <c r="C300" s="543" t="s">
        <v>72</v>
      </c>
      <c r="D300" s="276"/>
      <c r="E300" s="436"/>
      <c r="F300" s="333">
        <f t="shared" si="283"/>
        <v>0</v>
      </c>
      <c r="G300" s="278"/>
      <c r="H300" s="278"/>
      <c r="I300" s="352" t="str">
        <f>IFERROR(F300/#REF!,"-")</f>
        <v>-</v>
      </c>
      <c r="J300" s="333">
        <f t="shared" si="284"/>
        <v>0</v>
      </c>
      <c r="K300" s="278">
        <f t="shared" si="279"/>
        <v>0</v>
      </c>
      <c r="L300" s="436">
        <f t="shared" si="280"/>
        <v>0</v>
      </c>
      <c r="M300" s="337" t="str">
        <f t="shared" si="289"/>
        <v>-</v>
      </c>
      <c r="N300" s="263" t="str">
        <f t="shared" si="290"/>
        <v>-</v>
      </c>
      <c r="O300" s="508">
        <v>42.283799999999999</v>
      </c>
      <c r="P300" s="404">
        <f t="shared" si="281"/>
        <v>0</v>
      </c>
      <c r="Q300" s="449">
        <f t="shared" si="282"/>
        <v>0</v>
      </c>
    </row>
    <row r="301" spans="1:17" ht="24" x14ac:dyDescent="0.35">
      <c r="A301" s="248"/>
      <c r="B301" s="1026"/>
      <c r="C301" s="543" t="s">
        <v>380</v>
      </c>
      <c r="D301" s="276"/>
      <c r="E301" s="436"/>
      <c r="F301" s="333">
        <f t="shared" si="283"/>
        <v>0</v>
      </c>
      <c r="G301" s="278"/>
      <c r="H301" s="278"/>
      <c r="I301" s="352" t="str">
        <f>IFERROR(F301/#REF!,"-")</f>
        <v>-</v>
      </c>
      <c r="J301" s="333">
        <f t="shared" si="284"/>
        <v>0</v>
      </c>
      <c r="K301" s="278">
        <f t="shared" si="279"/>
        <v>0</v>
      </c>
      <c r="L301" s="436">
        <f t="shared" si="280"/>
        <v>0</v>
      </c>
      <c r="M301" s="337" t="str">
        <f t="shared" si="289"/>
        <v>-</v>
      </c>
      <c r="N301" s="263" t="str">
        <f t="shared" si="290"/>
        <v>-</v>
      </c>
      <c r="O301" s="710">
        <v>41.992699999999999</v>
      </c>
      <c r="P301" s="404">
        <f t="shared" si="281"/>
        <v>0</v>
      </c>
      <c r="Q301" s="449">
        <f t="shared" si="282"/>
        <v>0</v>
      </c>
    </row>
    <row r="302" spans="1:17" ht="24.75" thickBot="1" x14ac:dyDescent="0.4">
      <c r="A302" s="248"/>
      <c r="B302" s="1027"/>
      <c r="C302" s="543" t="s">
        <v>381</v>
      </c>
      <c r="D302" s="276"/>
      <c r="E302" s="436"/>
      <c r="F302" s="333">
        <f t="shared" si="283"/>
        <v>0</v>
      </c>
      <c r="G302" s="278"/>
      <c r="H302" s="278"/>
      <c r="I302" s="352" t="str">
        <f>IFERROR(F302/#REF!,"-")</f>
        <v>-</v>
      </c>
      <c r="J302" s="333">
        <f t="shared" si="284"/>
        <v>0</v>
      </c>
      <c r="K302" s="278">
        <f t="shared" si="279"/>
        <v>0</v>
      </c>
      <c r="L302" s="436">
        <f t="shared" si="280"/>
        <v>0</v>
      </c>
      <c r="M302" s="337" t="str">
        <f t="shared" si="289"/>
        <v>-</v>
      </c>
      <c r="N302" s="263" t="str">
        <f t="shared" si="290"/>
        <v>-</v>
      </c>
      <c r="O302" s="710">
        <v>42.283799999999999</v>
      </c>
      <c r="P302" s="404">
        <f t="shared" si="281"/>
        <v>0</v>
      </c>
      <c r="Q302" s="449">
        <f t="shared" si="282"/>
        <v>0</v>
      </c>
    </row>
    <row r="303" spans="1:17" ht="24.75" thickBot="1" x14ac:dyDescent="0.4">
      <c r="A303" s="248"/>
      <c r="B303" s="717" t="s">
        <v>80</v>
      </c>
      <c r="C303" s="543" t="s">
        <v>81</v>
      </c>
      <c r="D303" s="276"/>
      <c r="E303" s="436"/>
      <c r="F303" s="333">
        <f t="shared" si="283"/>
        <v>5570</v>
      </c>
      <c r="G303" s="278">
        <v>5300</v>
      </c>
      <c r="H303" s="278">
        <v>270</v>
      </c>
      <c r="I303" s="352" t="str">
        <f>IFERROR(F303/#REF!,"-")</f>
        <v>-</v>
      </c>
      <c r="J303" s="333">
        <f t="shared" si="284"/>
        <v>7383</v>
      </c>
      <c r="K303" s="278">
        <f t="shared" si="279"/>
        <v>7000</v>
      </c>
      <c r="L303" s="436">
        <f t="shared" si="280"/>
        <v>383</v>
      </c>
      <c r="M303" s="337" t="str">
        <f t="shared" si="289"/>
        <v>-</v>
      </c>
      <c r="N303" s="263">
        <f t="shared" si="290"/>
        <v>5.1875931193281863E-2</v>
      </c>
      <c r="O303" s="508">
        <v>4.3535000000000004</v>
      </c>
      <c r="P303" s="404">
        <f t="shared" si="281"/>
        <v>23073.550000000003</v>
      </c>
      <c r="Q303" s="449">
        <f t="shared" si="282"/>
        <v>30474.500000000004</v>
      </c>
    </row>
    <row r="304" spans="1:17" ht="24" x14ac:dyDescent="0.35">
      <c r="A304" s="248"/>
      <c r="B304" s="1025" t="s">
        <v>253</v>
      </c>
      <c r="C304" s="543" t="s">
        <v>77</v>
      </c>
      <c r="D304" s="276"/>
      <c r="E304" s="436"/>
      <c r="F304" s="333">
        <f t="shared" si="283"/>
        <v>62042</v>
      </c>
      <c r="G304" s="278">
        <f>44000+17600</f>
        <v>61600</v>
      </c>
      <c r="H304" s="278">
        <f>233+209</f>
        <v>442</v>
      </c>
      <c r="I304" s="352" t="str">
        <f>IFERROR(F304/#REF!,"-")</f>
        <v>-</v>
      </c>
      <c r="J304" s="333">
        <f t="shared" si="284"/>
        <v>226347</v>
      </c>
      <c r="K304" s="278">
        <f t="shared" si="279"/>
        <v>225500</v>
      </c>
      <c r="L304" s="436">
        <f t="shared" si="280"/>
        <v>847</v>
      </c>
      <c r="M304" s="337" t="str">
        <f t="shared" si="289"/>
        <v>-</v>
      </c>
      <c r="N304" s="263">
        <f t="shared" si="290"/>
        <v>3.7420420858239782E-3</v>
      </c>
      <c r="O304" s="508">
        <v>4.6184000000000003</v>
      </c>
      <c r="P304" s="404">
        <f t="shared" si="281"/>
        <v>284493.44</v>
      </c>
      <c r="Q304" s="449">
        <f t="shared" si="282"/>
        <v>1041449.2000000001</v>
      </c>
    </row>
    <row r="305" spans="1:17" ht="24" x14ac:dyDescent="0.35">
      <c r="A305" s="248"/>
      <c r="B305" s="1026"/>
      <c r="C305" s="543" t="s">
        <v>340</v>
      </c>
      <c r="D305" s="276"/>
      <c r="E305" s="436"/>
      <c r="F305" s="333">
        <f t="shared" si="283"/>
        <v>0</v>
      </c>
      <c r="G305" s="278"/>
      <c r="H305" s="278"/>
      <c r="I305" s="352" t="str">
        <f>IFERROR(F305/#REF!,"-")</f>
        <v>-</v>
      </c>
      <c r="J305" s="333">
        <f t="shared" si="284"/>
        <v>0</v>
      </c>
      <c r="K305" s="278">
        <f t="shared" si="279"/>
        <v>0</v>
      </c>
      <c r="L305" s="436">
        <f t="shared" si="280"/>
        <v>0</v>
      </c>
      <c r="M305" s="337" t="str">
        <f t="shared" si="289"/>
        <v>-</v>
      </c>
      <c r="N305" s="263" t="str">
        <f t="shared" si="290"/>
        <v>-</v>
      </c>
      <c r="O305" s="508">
        <v>4.6184000000000003</v>
      </c>
      <c r="P305" s="404">
        <f t="shared" si="281"/>
        <v>0</v>
      </c>
      <c r="Q305" s="449">
        <f t="shared" si="282"/>
        <v>0</v>
      </c>
    </row>
    <row r="306" spans="1:17" ht="24" x14ac:dyDescent="0.35">
      <c r="A306" s="248"/>
      <c r="B306" s="1026"/>
      <c r="C306" s="543" t="s">
        <v>252</v>
      </c>
      <c r="D306" s="276"/>
      <c r="E306" s="436"/>
      <c r="F306" s="333">
        <f t="shared" si="283"/>
        <v>0</v>
      </c>
      <c r="G306" s="278"/>
      <c r="H306" s="278"/>
      <c r="I306" s="352" t="str">
        <f>IFERROR(F306/#REF!,"-")</f>
        <v>-</v>
      </c>
      <c r="J306" s="333">
        <f t="shared" si="284"/>
        <v>0</v>
      </c>
      <c r="K306" s="278">
        <f t="shared" si="279"/>
        <v>0</v>
      </c>
      <c r="L306" s="436">
        <f t="shared" si="280"/>
        <v>0</v>
      </c>
      <c r="M306" s="337" t="str">
        <f t="shared" si="289"/>
        <v>-</v>
      </c>
      <c r="N306" s="263" t="str">
        <f t="shared" si="290"/>
        <v>-</v>
      </c>
      <c r="O306" s="508">
        <v>4.6184000000000003</v>
      </c>
      <c r="P306" s="404">
        <f t="shared" si="281"/>
        <v>0</v>
      </c>
      <c r="Q306" s="449">
        <f t="shared" si="282"/>
        <v>0</v>
      </c>
    </row>
    <row r="307" spans="1:17" ht="24" x14ac:dyDescent="0.35">
      <c r="A307" s="248"/>
      <c r="B307" s="1026"/>
      <c r="C307" s="543" t="s">
        <v>350</v>
      </c>
      <c r="D307" s="276"/>
      <c r="E307" s="436"/>
      <c r="F307" s="333">
        <f t="shared" si="283"/>
        <v>0</v>
      </c>
      <c r="G307" s="278"/>
      <c r="H307" s="278"/>
      <c r="I307" s="352" t="str">
        <f>IFERROR(F307/#REF!,"-")</f>
        <v>-</v>
      </c>
      <c r="J307" s="333">
        <f t="shared" si="284"/>
        <v>0</v>
      </c>
      <c r="K307" s="686">
        <f t="shared" si="279"/>
        <v>0</v>
      </c>
      <c r="L307" s="687">
        <f t="shared" si="280"/>
        <v>0</v>
      </c>
      <c r="M307" s="337" t="str">
        <f t="shared" si="289"/>
        <v>-</v>
      </c>
      <c r="N307" s="263" t="str">
        <f t="shared" si="290"/>
        <v>-</v>
      </c>
      <c r="O307" s="508">
        <v>4.7636000000000003</v>
      </c>
      <c r="P307" s="404">
        <f t="shared" si="281"/>
        <v>0</v>
      </c>
      <c r="Q307" s="449">
        <f t="shared" si="282"/>
        <v>0</v>
      </c>
    </row>
    <row r="308" spans="1:17" ht="24.75" thickBot="1" x14ac:dyDescent="0.4">
      <c r="A308" s="248"/>
      <c r="B308" s="1027"/>
      <c r="C308" s="543" t="s">
        <v>346</v>
      </c>
      <c r="D308" s="276"/>
      <c r="E308" s="436"/>
      <c r="F308" s="333">
        <f t="shared" si="283"/>
        <v>0</v>
      </c>
      <c r="G308" s="278"/>
      <c r="H308" s="278"/>
      <c r="I308" s="352" t="str">
        <f>IFERROR(F308/#REF!,"-")</f>
        <v>-</v>
      </c>
      <c r="J308" s="333">
        <f t="shared" si="284"/>
        <v>0</v>
      </c>
      <c r="K308" s="278">
        <f t="shared" si="279"/>
        <v>0</v>
      </c>
      <c r="L308" s="436">
        <f t="shared" si="280"/>
        <v>0</v>
      </c>
      <c r="M308" s="337" t="str">
        <f t="shared" si="289"/>
        <v>-</v>
      </c>
      <c r="N308" s="263" t="str">
        <f t="shared" si="290"/>
        <v>-</v>
      </c>
      <c r="O308" s="508">
        <v>4.8738000000000001</v>
      </c>
      <c r="P308" s="404">
        <f t="shared" si="281"/>
        <v>0</v>
      </c>
      <c r="Q308" s="449">
        <f t="shared" si="282"/>
        <v>0</v>
      </c>
    </row>
    <row r="309" spans="1:17" ht="24.75" thickBot="1" x14ac:dyDescent="0.4">
      <c r="A309" s="248"/>
      <c r="B309" s="717" t="s">
        <v>254</v>
      </c>
      <c r="C309" s="543" t="s">
        <v>124</v>
      </c>
      <c r="D309" s="276"/>
      <c r="E309" s="436"/>
      <c r="F309" s="333">
        <f t="shared" si="283"/>
        <v>0</v>
      </c>
      <c r="G309" s="278"/>
      <c r="H309" s="278"/>
      <c r="I309" s="352" t="str">
        <f>IFERROR(F309/#REF!,"-")</f>
        <v>-</v>
      </c>
      <c r="J309" s="333">
        <f t="shared" si="284"/>
        <v>0</v>
      </c>
      <c r="K309" s="278">
        <f t="shared" si="279"/>
        <v>0</v>
      </c>
      <c r="L309" s="436">
        <f t="shared" si="280"/>
        <v>0</v>
      </c>
      <c r="M309" s="337" t="str">
        <f t="shared" si="289"/>
        <v>-</v>
      </c>
      <c r="N309" s="263" t="str">
        <f t="shared" si="290"/>
        <v>-</v>
      </c>
      <c r="O309" s="508">
        <v>4.8738000000000001</v>
      </c>
      <c r="P309" s="404">
        <f t="shared" si="281"/>
        <v>0</v>
      </c>
      <c r="Q309" s="449">
        <f t="shared" si="282"/>
        <v>0</v>
      </c>
    </row>
    <row r="310" spans="1:17" ht="24" x14ac:dyDescent="0.35">
      <c r="A310" s="248"/>
      <c r="B310" s="1025" t="s">
        <v>256</v>
      </c>
      <c r="C310" s="543" t="s">
        <v>77</v>
      </c>
      <c r="D310" s="276"/>
      <c r="E310" s="436"/>
      <c r="F310" s="333">
        <f t="shared" si="283"/>
        <v>30957</v>
      </c>
      <c r="G310" s="278">
        <f>14910+14910</f>
        <v>29820</v>
      </c>
      <c r="H310" s="278">
        <f>618+519</f>
        <v>1137</v>
      </c>
      <c r="I310" s="352" t="str">
        <f>IFERROR(F310/#REF!,"-")</f>
        <v>-</v>
      </c>
      <c r="J310" s="333">
        <f t="shared" si="284"/>
        <v>165377</v>
      </c>
      <c r="K310" s="686">
        <f t="shared" si="279"/>
        <v>162400</v>
      </c>
      <c r="L310" s="687">
        <f t="shared" si="280"/>
        <v>2977</v>
      </c>
      <c r="M310" s="337" t="str">
        <f t="shared" si="289"/>
        <v>-</v>
      </c>
      <c r="N310" s="263">
        <f t="shared" si="290"/>
        <v>1.8001294013073162E-2</v>
      </c>
      <c r="O310" s="508">
        <v>4.9344999999999999</v>
      </c>
      <c r="P310" s="404">
        <f t="shared" si="281"/>
        <v>147146.79</v>
      </c>
      <c r="Q310" s="449">
        <f t="shared" si="282"/>
        <v>801362.79999999993</v>
      </c>
    </row>
    <row r="311" spans="1:17" ht="24" x14ac:dyDescent="0.35">
      <c r="A311" s="248"/>
      <c r="B311" s="1026"/>
      <c r="C311" s="543" t="s">
        <v>135</v>
      </c>
      <c r="D311" s="276"/>
      <c r="E311" s="436"/>
      <c r="F311" s="333">
        <f t="shared" si="283"/>
        <v>0</v>
      </c>
      <c r="G311" s="278"/>
      <c r="H311" s="278"/>
      <c r="I311" s="352" t="str">
        <f>IFERROR(F311/#REF!,"-")</f>
        <v>-</v>
      </c>
      <c r="J311" s="333">
        <f t="shared" si="284"/>
        <v>0</v>
      </c>
      <c r="K311" s="278">
        <f t="shared" si="279"/>
        <v>0</v>
      </c>
      <c r="L311" s="436">
        <f t="shared" si="280"/>
        <v>0</v>
      </c>
      <c r="M311" s="337" t="str">
        <f t="shared" si="289"/>
        <v>-</v>
      </c>
      <c r="N311" s="263" t="str">
        <f t="shared" si="290"/>
        <v>-</v>
      </c>
      <c r="O311" s="508">
        <v>4.9344999999999999</v>
      </c>
      <c r="P311" s="404">
        <f t="shared" si="281"/>
        <v>0</v>
      </c>
      <c r="Q311" s="449">
        <f t="shared" si="282"/>
        <v>0</v>
      </c>
    </row>
    <row r="312" spans="1:17" ht="24" x14ac:dyDescent="0.35">
      <c r="A312" s="248"/>
      <c r="B312" s="1026"/>
      <c r="C312" s="543" t="s">
        <v>129</v>
      </c>
      <c r="D312" s="276"/>
      <c r="E312" s="436"/>
      <c r="F312" s="333">
        <f t="shared" si="283"/>
        <v>0</v>
      </c>
      <c r="G312" s="278"/>
      <c r="H312" s="278"/>
      <c r="I312" s="352" t="str">
        <f>IFERROR(F312/#REF!,"-")</f>
        <v>-</v>
      </c>
      <c r="J312" s="333">
        <f t="shared" si="284"/>
        <v>0</v>
      </c>
      <c r="K312" s="278">
        <f t="shared" si="279"/>
        <v>0</v>
      </c>
      <c r="L312" s="436">
        <f t="shared" si="280"/>
        <v>0</v>
      </c>
      <c r="M312" s="337" t="str">
        <f t="shared" si="289"/>
        <v>-</v>
      </c>
      <c r="N312" s="263" t="str">
        <f t="shared" si="290"/>
        <v>-</v>
      </c>
      <c r="O312" s="508">
        <v>4.9344999999999999</v>
      </c>
      <c r="P312" s="404">
        <f t="shared" si="281"/>
        <v>0</v>
      </c>
      <c r="Q312" s="449">
        <f t="shared" si="282"/>
        <v>0</v>
      </c>
    </row>
    <row r="313" spans="1:17" ht="24.75" thickBot="1" x14ac:dyDescent="0.4">
      <c r="A313" s="248"/>
      <c r="B313" s="1027"/>
      <c r="C313" s="543" t="s">
        <v>255</v>
      </c>
      <c r="D313" s="276"/>
      <c r="E313" s="436"/>
      <c r="F313" s="333">
        <f t="shared" si="283"/>
        <v>0</v>
      </c>
      <c r="G313" s="278"/>
      <c r="H313" s="278"/>
      <c r="I313" s="352" t="str">
        <f>IFERROR(F313/#REF!,"-")</f>
        <v>-</v>
      </c>
      <c r="J313" s="333">
        <f t="shared" si="284"/>
        <v>0</v>
      </c>
      <c r="K313" s="278">
        <f t="shared" si="279"/>
        <v>0</v>
      </c>
      <c r="L313" s="436">
        <f t="shared" si="280"/>
        <v>0</v>
      </c>
      <c r="M313" s="337" t="str">
        <f t="shared" si="289"/>
        <v>-</v>
      </c>
      <c r="N313" s="263" t="str">
        <f t="shared" si="290"/>
        <v>-</v>
      </c>
      <c r="O313" s="508">
        <v>5.5069999999999997</v>
      </c>
      <c r="P313" s="404">
        <f t="shared" si="281"/>
        <v>0</v>
      </c>
      <c r="Q313" s="449">
        <f t="shared" si="282"/>
        <v>0</v>
      </c>
    </row>
    <row r="314" spans="1:17" ht="24" x14ac:dyDescent="0.35">
      <c r="A314" s="248"/>
      <c r="B314" s="1025" t="s">
        <v>261</v>
      </c>
      <c r="C314" s="543" t="s">
        <v>257</v>
      </c>
      <c r="D314" s="276"/>
      <c r="E314" s="436"/>
      <c r="F314" s="333">
        <f t="shared" si="283"/>
        <v>43898</v>
      </c>
      <c r="G314" s="278">
        <f>32550+10150</f>
        <v>42700</v>
      </c>
      <c r="H314" s="278">
        <f>719+479</f>
        <v>1198</v>
      </c>
      <c r="I314" s="352" t="str">
        <f>IFERROR(F314/#REF!,"-")</f>
        <v>-</v>
      </c>
      <c r="J314" s="333">
        <f t="shared" si="284"/>
        <v>187258</v>
      </c>
      <c r="K314" s="278">
        <f t="shared" si="279"/>
        <v>185500</v>
      </c>
      <c r="L314" s="436">
        <f t="shared" si="280"/>
        <v>1758</v>
      </c>
      <c r="M314" s="337" t="str">
        <f t="shared" si="289"/>
        <v>-</v>
      </c>
      <c r="N314" s="263">
        <f t="shared" si="290"/>
        <v>9.3881169295837834E-3</v>
      </c>
      <c r="O314" s="710">
        <v>5.5069999999999997</v>
      </c>
      <c r="P314" s="404">
        <f t="shared" si="281"/>
        <v>235148.9</v>
      </c>
      <c r="Q314" s="449">
        <f t="shared" si="282"/>
        <v>1021548.4999999999</v>
      </c>
    </row>
    <row r="315" spans="1:17" ht="24" x14ac:dyDescent="0.35">
      <c r="A315" s="248"/>
      <c r="B315" s="1026"/>
      <c r="C315" s="543" t="s">
        <v>258</v>
      </c>
      <c r="D315" s="276"/>
      <c r="E315" s="436"/>
      <c r="F315" s="333">
        <f t="shared" si="283"/>
        <v>0</v>
      </c>
      <c r="G315" s="278"/>
      <c r="H315" s="278"/>
      <c r="I315" s="352" t="str">
        <f>IFERROR(F315/#REF!,"-")</f>
        <v>-</v>
      </c>
      <c r="J315" s="333">
        <f t="shared" si="284"/>
        <v>0</v>
      </c>
      <c r="K315" s="278">
        <f t="shared" si="279"/>
        <v>0</v>
      </c>
      <c r="L315" s="436">
        <f t="shared" si="280"/>
        <v>0</v>
      </c>
      <c r="M315" s="337" t="str">
        <f t="shared" si="289"/>
        <v>-</v>
      </c>
      <c r="N315" s="263" t="str">
        <f t="shared" si="290"/>
        <v>-</v>
      </c>
      <c r="O315" s="508">
        <v>5.6550000000000002</v>
      </c>
      <c r="P315" s="404">
        <f t="shared" si="281"/>
        <v>0</v>
      </c>
      <c r="Q315" s="449">
        <f t="shared" si="282"/>
        <v>0</v>
      </c>
    </row>
    <row r="316" spans="1:17" ht="24" x14ac:dyDescent="0.35">
      <c r="A316" s="248"/>
      <c r="B316" s="1026"/>
      <c r="C316" s="543" t="s">
        <v>321</v>
      </c>
      <c r="D316" s="276"/>
      <c r="E316" s="436"/>
      <c r="F316" s="333">
        <f t="shared" si="283"/>
        <v>0</v>
      </c>
      <c r="G316" s="278"/>
      <c r="H316" s="278"/>
      <c r="I316" s="352" t="str">
        <f>IFERROR(F316/#REF!,"-")</f>
        <v>-</v>
      </c>
      <c r="J316" s="333">
        <f t="shared" si="284"/>
        <v>0</v>
      </c>
      <c r="K316" s="686">
        <f t="shared" si="279"/>
        <v>0</v>
      </c>
      <c r="L316" s="687">
        <f t="shared" si="280"/>
        <v>0</v>
      </c>
      <c r="M316" s="337" t="str">
        <f t="shared" si="289"/>
        <v>-</v>
      </c>
      <c r="N316" s="263" t="str">
        <f t="shared" si="290"/>
        <v>-</v>
      </c>
      <c r="O316" s="508">
        <v>5.6550000000000002</v>
      </c>
      <c r="P316" s="404">
        <f t="shared" si="281"/>
        <v>0</v>
      </c>
      <c r="Q316" s="449">
        <f t="shared" si="282"/>
        <v>0</v>
      </c>
    </row>
    <row r="317" spans="1:17" ht="24" x14ac:dyDescent="0.35">
      <c r="A317" s="248"/>
      <c r="B317" s="1026"/>
      <c r="C317" s="543" t="s">
        <v>259</v>
      </c>
      <c r="D317" s="276"/>
      <c r="E317" s="436"/>
      <c r="F317" s="333">
        <f t="shared" si="283"/>
        <v>0</v>
      </c>
      <c r="G317" s="278"/>
      <c r="H317" s="278"/>
      <c r="I317" s="352" t="str">
        <f>IFERROR(F317/#REF!,"-")</f>
        <v>-</v>
      </c>
      <c r="J317" s="333">
        <f t="shared" si="284"/>
        <v>0</v>
      </c>
      <c r="K317" s="278">
        <f t="shared" si="279"/>
        <v>0</v>
      </c>
      <c r="L317" s="436">
        <f t="shared" si="280"/>
        <v>0</v>
      </c>
      <c r="M317" s="337" t="str">
        <f t="shared" si="289"/>
        <v>-</v>
      </c>
      <c r="N317" s="263" t="str">
        <f t="shared" si="290"/>
        <v>-</v>
      </c>
      <c r="O317" s="508">
        <v>5.6550000000000002</v>
      </c>
      <c r="P317" s="404">
        <f t="shared" si="281"/>
        <v>0</v>
      </c>
      <c r="Q317" s="449">
        <f t="shared" si="282"/>
        <v>0</v>
      </c>
    </row>
    <row r="318" spans="1:17" ht="24" x14ac:dyDescent="0.35">
      <c r="A318" s="248" t="s">
        <v>101</v>
      </c>
      <c r="B318" s="1026"/>
      <c r="C318" s="543" t="s">
        <v>260</v>
      </c>
      <c r="D318" s="276"/>
      <c r="E318" s="436"/>
      <c r="F318" s="333">
        <f t="shared" si="283"/>
        <v>0</v>
      </c>
      <c r="G318" s="278"/>
      <c r="H318" s="278"/>
      <c r="I318" s="352" t="str">
        <f>IFERROR(F318/#REF!,"-")</f>
        <v>-</v>
      </c>
      <c r="J318" s="333">
        <f t="shared" si="284"/>
        <v>0</v>
      </c>
      <c r="K318" s="278">
        <f t="shared" si="279"/>
        <v>0</v>
      </c>
      <c r="L318" s="436">
        <f t="shared" si="280"/>
        <v>0</v>
      </c>
      <c r="M318" s="337" t="str">
        <f t="shared" si="289"/>
        <v>-</v>
      </c>
      <c r="N318" s="263" t="str">
        <f t="shared" si="290"/>
        <v>-</v>
      </c>
      <c r="O318" s="508">
        <v>3.2963</v>
      </c>
      <c r="P318" s="404">
        <f t="shared" si="281"/>
        <v>0</v>
      </c>
      <c r="Q318" s="449">
        <f t="shared" si="282"/>
        <v>0</v>
      </c>
    </row>
    <row r="319" spans="1:17" ht="24.75" thickBot="1" x14ac:dyDescent="0.4">
      <c r="A319" s="248" t="s">
        <v>101</v>
      </c>
      <c r="B319" s="1027"/>
      <c r="C319" s="543" t="s">
        <v>255</v>
      </c>
      <c r="D319" s="276"/>
      <c r="E319" s="436"/>
      <c r="F319" s="333">
        <f t="shared" si="283"/>
        <v>0</v>
      </c>
      <c r="G319" s="278"/>
      <c r="H319" s="278"/>
      <c r="I319" s="352" t="str">
        <f>IFERROR(F319/#REF!,"-")</f>
        <v>-</v>
      </c>
      <c r="J319" s="333">
        <f t="shared" si="284"/>
        <v>0</v>
      </c>
      <c r="K319" s="278">
        <f t="shared" si="279"/>
        <v>0</v>
      </c>
      <c r="L319" s="436">
        <f t="shared" si="280"/>
        <v>0</v>
      </c>
      <c r="M319" s="337" t="str">
        <f t="shared" si="289"/>
        <v>-</v>
      </c>
      <c r="N319" s="263" t="str">
        <f t="shared" si="290"/>
        <v>-</v>
      </c>
      <c r="O319" s="508">
        <v>3.2963</v>
      </c>
      <c r="P319" s="404">
        <f t="shared" si="281"/>
        <v>0</v>
      </c>
      <c r="Q319" s="449">
        <f t="shared" si="282"/>
        <v>0</v>
      </c>
    </row>
    <row r="320" spans="1:17" ht="24" x14ac:dyDescent="0.35">
      <c r="A320" s="248" t="s">
        <v>101</v>
      </c>
      <c r="B320" s="546"/>
      <c r="C320" s="544" t="s">
        <v>89</v>
      </c>
      <c r="D320" s="511"/>
      <c r="E320" s="436"/>
      <c r="F320" s="333">
        <f t="shared" si="283"/>
        <v>0</v>
      </c>
      <c r="G320" s="278"/>
      <c r="H320" s="278"/>
      <c r="I320" s="352" t="str">
        <f>IFERROR(F320/#REF!,"-")</f>
        <v>-</v>
      </c>
      <c r="J320" s="333">
        <f t="shared" si="284"/>
        <v>0</v>
      </c>
      <c r="K320" s="278">
        <f t="shared" si="279"/>
        <v>0</v>
      </c>
      <c r="L320" s="436">
        <f t="shared" si="280"/>
        <v>0</v>
      </c>
      <c r="M320" s="337" t="str">
        <f t="shared" si="289"/>
        <v>-</v>
      </c>
      <c r="N320" s="263" t="str">
        <f t="shared" si="290"/>
        <v>-</v>
      </c>
      <c r="O320" s="508">
        <v>2.3201000000000001</v>
      </c>
      <c r="P320" s="404">
        <f t="shared" si="281"/>
        <v>0</v>
      </c>
      <c r="Q320" s="449">
        <f t="shared" si="282"/>
        <v>0</v>
      </c>
    </row>
    <row r="321" spans="1:17" ht="24.75" thickBot="1" x14ac:dyDescent="0.3">
      <c r="A321" s="248" t="s">
        <v>101</v>
      </c>
      <c r="B321" s="524"/>
      <c r="C321" s="541"/>
      <c r="D321" s="530"/>
      <c r="E321" s="462"/>
      <c r="F321" s="460">
        <f t="shared" si="283"/>
        <v>0</v>
      </c>
      <c r="G321" s="461"/>
      <c r="H321" s="461"/>
      <c r="I321" s="532" t="str">
        <f>IFERROR(F321/#REF!,"-")</f>
        <v>-</v>
      </c>
      <c r="J321" s="460">
        <f t="shared" si="284"/>
        <v>0</v>
      </c>
      <c r="K321" s="461">
        <f t="shared" si="279"/>
        <v>0</v>
      </c>
      <c r="L321" s="462">
        <f t="shared" si="280"/>
        <v>0</v>
      </c>
      <c r="M321" s="683" t="str">
        <f t="shared" si="289"/>
        <v>-</v>
      </c>
      <c r="N321" s="264" t="str">
        <f t="shared" si="290"/>
        <v>-</v>
      </c>
      <c r="O321" s="539"/>
      <c r="P321" s="536">
        <f t="shared" si="281"/>
        <v>0</v>
      </c>
      <c r="Q321" s="537">
        <f t="shared" si="282"/>
        <v>0</v>
      </c>
    </row>
    <row r="322" spans="1:17" ht="23.25" customHeight="1" thickBot="1" x14ac:dyDescent="0.3">
      <c r="A322" s="274" t="s">
        <v>101</v>
      </c>
      <c r="B322" s="1028" t="s">
        <v>25</v>
      </c>
      <c r="C322" s="964"/>
      <c r="D322" s="513">
        <f>SUM(D295:D321)</f>
        <v>0</v>
      </c>
      <c r="E322" s="526">
        <v>100000</v>
      </c>
      <c r="F322" s="519">
        <f>SUM(F290:F321)</f>
        <v>147003</v>
      </c>
      <c r="G322" s="519">
        <f>SUM(G290:G321)</f>
        <v>143820</v>
      </c>
      <c r="H322" s="519">
        <f>SUM(H290:H321)</f>
        <v>3183</v>
      </c>
      <c r="I322" s="520" t="str">
        <f>IFERROR(F322/#REF!,"-")</f>
        <v>-</v>
      </c>
      <c r="J322" s="513">
        <f>SUM(J290:J321)</f>
        <v>620774</v>
      </c>
      <c r="K322" s="513">
        <f t="shared" ref="K322:L322" si="291">SUM(K290:K321)</f>
        <v>614163</v>
      </c>
      <c r="L322" s="513">
        <f t="shared" si="291"/>
        <v>6611</v>
      </c>
      <c r="M322" s="521" t="str">
        <f t="shared" si="289"/>
        <v>-</v>
      </c>
      <c r="N322" s="520">
        <f t="shared" si="290"/>
        <v>1.064960839210405E-2</v>
      </c>
      <c r="O322" s="522"/>
      <c r="P322" s="523">
        <f>SUM(P290:P321)</f>
        <v>906990.00000000012</v>
      </c>
      <c r="Q322" s="523">
        <f>SUM(Q290:Q321)</f>
        <v>4330294.0353999995</v>
      </c>
    </row>
    <row r="323" spans="1:17" ht="23.25" customHeight="1" thickBot="1" x14ac:dyDescent="0.3">
      <c r="A323" s="318" t="s">
        <v>101</v>
      </c>
      <c r="B323" s="1029" t="s">
        <v>249</v>
      </c>
      <c r="C323" s="1030"/>
      <c r="D323" s="326">
        <f>+D294+D322</f>
        <v>0</v>
      </c>
      <c r="E323" s="327">
        <f>+E294+E322</f>
        <v>100000</v>
      </c>
      <c r="F323" s="326">
        <f>+F322</f>
        <v>147003</v>
      </c>
      <c r="G323" s="326">
        <f t="shared" ref="G323:H323" si="292">+G322</f>
        <v>143820</v>
      </c>
      <c r="H323" s="326">
        <f t="shared" si="292"/>
        <v>3183</v>
      </c>
      <c r="I323" s="349" t="str">
        <f>IFERROR(F323/#REF!,"-")</f>
        <v>-</v>
      </c>
      <c r="J323" s="326">
        <f>+J322</f>
        <v>620774</v>
      </c>
      <c r="K323" s="326">
        <f t="shared" ref="K323:L323" si="293">+K322</f>
        <v>614163</v>
      </c>
      <c r="L323" s="326">
        <f t="shared" si="293"/>
        <v>6611</v>
      </c>
      <c r="M323" s="341" t="str">
        <f t="shared" si="289"/>
        <v>-</v>
      </c>
      <c r="N323" s="349">
        <f t="shared" si="290"/>
        <v>1.064960839210405E-2</v>
      </c>
      <c r="O323" s="394"/>
      <c r="P323" s="410">
        <f>+P322</f>
        <v>906990.00000000012</v>
      </c>
      <c r="Q323" s="428">
        <f>Q322</f>
        <v>4330294.0353999995</v>
      </c>
    </row>
    <row r="324" spans="1:17" ht="26.25" thickBot="1" x14ac:dyDescent="0.3">
      <c r="A324" s="319"/>
      <c r="B324" s="1031" t="s">
        <v>174</v>
      </c>
      <c r="C324" s="1032"/>
      <c r="D324" s="374">
        <f>+D323+D289+D280</f>
        <v>0</v>
      </c>
      <c r="E324" s="374">
        <f>+E323+E289+E280</f>
        <v>230000</v>
      </c>
      <c r="F324" s="374">
        <f>+F323+F289+F280</f>
        <v>258678</v>
      </c>
      <c r="G324" s="374">
        <f>+G323+G289+G280</f>
        <v>254320</v>
      </c>
      <c r="H324" s="374">
        <f>+H323+H289+H280</f>
        <v>4358</v>
      </c>
      <c r="I324" s="375" t="str">
        <f>IFERROR(F324/#REF!,"-")</f>
        <v>-</v>
      </c>
      <c r="J324" s="374">
        <f>+J323+J289+J280</f>
        <v>1771193</v>
      </c>
      <c r="K324" s="374">
        <f>+K323+K289+K280</f>
        <v>1752963</v>
      </c>
      <c r="L324" s="374">
        <f>+L323+L289+L280</f>
        <v>18230</v>
      </c>
      <c r="M324" s="375" t="str">
        <f t="shared" si="289"/>
        <v>-</v>
      </c>
      <c r="N324" s="375">
        <f>IFERROR(L324/J324,"-")</f>
        <v>1.029249776845324E-2</v>
      </c>
      <c r="O324" s="401"/>
      <c r="P324" s="418">
        <f>+P323+P289+P280</f>
        <v>1767250.0500000003</v>
      </c>
      <c r="Q324" s="418">
        <f>+Q323+Q289+Q280</f>
        <v>9621942.5703999996</v>
      </c>
    </row>
    <row r="325" spans="1:17" ht="24.6" customHeight="1" thickBot="1" x14ac:dyDescent="0.3">
      <c r="A325" s="230"/>
      <c r="B325" s="230"/>
      <c r="C325" s="230"/>
      <c r="D325" s="232"/>
      <c r="E325" s="232"/>
      <c r="F325" s="232"/>
      <c r="G325" s="267"/>
      <c r="H325" s="267"/>
      <c r="I325" s="234"/>
      <c r="J325" s="232"/>
      <c r="K325" s="232"/>
      <c r="L325" s="232"/>
      <c r="M325" s="234"/>
      <c r="N325" s="234"/>
    </row>
    <row r="326" spans="1:17" ht="22.5" customHeight="1" x14ac:dyDescent="0.25">
      <c r="A326" s="1033" t="s">
        <v>1</v>
      </c>
      <c r="B326" s="1036" t="s">
        <v>2</v>
      </c>
      <c r="C326" s="1039" t="s">
        <v>396</v>
      </c>
      <c r="D326" s="987" t="s">
        <v>4</v>
      </c>
      <c r="E326" s="988"/>
      <c r="F326" s="988"/>
      <c r="G326" s="988"/>
      <c r="H326" s="988"/>
      <c r="I326" s="988"/>
      <c r="J326" s="988"/>
      <c r="K326" s="988"/>
      <c r="L326" s="988"/>
      <c r="M326" s="988"/>
      <c r="N326" s="989"/>
      <c r="O326" s="1011" t="s">
        <v>167</v>
      </c>
      <c r="P326" s="1012"/>
      <c r="Q326" s="1042"/>
    </row>
    <row r="327" spans="1:17" ht="22.5" customHeight="1" x14ac:dyDescent="0.25">
      <c r="A327" s="1034"/>
      <c r="B327" s="1037"/>
      <c r="C327" s="1040"/>
      <c r="D327" s="990" t="s">
        <v>7</v>
      </c>
      <c r="E327" s="992" t="s">
        <v>108</v>
      </c>
      <c r="F327" s="1043" t="s">
        <v>512</v>
      </c>
      <c r="G327" s="995"/>
      <c r="H327" s="995"/>
      <c r="I327" s="996"/>
      <c r="J327" s="997" t="s">
        <v>8</v>
      </c>
      <c r="K327" s="998"/>
      <c r="L327" s="999"/>
      <c r="M327" s="1000" t="s">
        <v>165</v>
      </c>
      <c r="N327" s="1002" t="s">
        <v>164</v>
      </c>
      <c r="O327" s="1044" t="s">
        <v>169</v>
      </c>
      <c r="P327" s="1045"/>
      <c r="Q327" s="1046"/>
    </row>
    <row r="328" spans="1:17" ht="45.75" thickBot="1" x14ac:dyDescent="0.3">
      <c r="A328" s="1035"/>
      <c r="B328" s="1038"/>
      <c r="C328" s="1041"/>
      <c r="D328" s="991"/>
      <c r="E328" s="993"/>
      <c r="F328" s="452" t="s">
        <v>13</v>
      </c>
      <c r="G328" s="453" t="s">
        <v>14</v>
      </c>
      <c r="H328" s="453" t="s">
        <v>15</v>
      </c>
      <c r="I328" s="454" t="s">
        <v>166</v>
      </c>
      <c r="J328" s="680" t="s">
        <v>13</v>
      </c>
      <c r="K328" s="678" t="s">
        <v>14</v>
      </c>
      <c r="L328" s="679" t="s">
        <v>15</v>
      </c>
      <c r="M328" s="1001"/>
      <c r="N328" s="1003"/>
      <c r="O328" s="444" t="s">
        <v>170</v>
      </c>
      <c r="P328" s="445" t="s">
        <v>11</v>
      </c>
      <c r="Q328" s="446" t="s">
        <v>12</v>
      </c>
    </row>
    <row r="329" spans="1:17" ht="24" x14ac:dyDescent="0.25">
      <c r="A329" s="268" t="s">
        <v>103</v>
      </c>
      <c r="B329" s="439"/>
      <c r="C329" s="269" t="s">
        <v>502</v>
      </c>
      <c r="D329" s="270"/>
      <c r="E329" s="271"/>
      <c r="F329" s="332">
        <f>+G329+H329</f>
        <v>0</v>
      </c>
      <c r="G329" s="272"/>
      <c r="H329" s="272"/>
      <c r="I329" s="351" t="str">
        <f>IFERROR(F329/#REF!,"-")</f>
        <v>-</v>
      </c>
      <c r="J329" s="457">
        <f>+K329+L329</f>
        <v>56000</v>
      </c>
      <c r="K329" s="458">
        <f>+G329+K266</f>
        <v>56000</v>
      </c>
      <c r="L329" s="458">
        <f>+H329+L266</f>
        <v>0</v>
      </c>
      <c r="M329" s="336" t="str">
        <f>IFERROR(J329/D329,"-")</f>
        <v>-</v>
      </c>
      <c r="N329" s="343">
        <f t="shared" ref="N329:N330" si="294">IFERROR(L329/J329,"-")</f>
        <v>0</v>
      </c>
      <c r="O329" s="786">
        <v>0</v>
      </c>
      <c r="P329" s="402">
        <f>+O329*G329</f>
        <v>0</v>
      </c>
      <c r="Q329" s="447">
        <f>+O329*K329</f>
        <v>0</v>
      </c>
    </row>
    <row r="330" spans="1:17" ht="24" x14ac:dyDescent="0.25">
      <c r="A330" s="274" t="s">
        <v>103</v>
      </c>
      <c r="B330" s="438"/>
      <c r="C330" s="275" t="s">
        <v>245</v>
      </c>
      <c r="D330" s="276"/>
      <c r="E330" s="277"/>
      <c r="F330" s="333">
        <f t="shared" ref="F330:F333" si="295">+G330+H330</f>
        <v>0</v>
      </c>
      <c r="G330" s="719"/>
      <c r="H330" s="719"/>
      <c r="I330" s="352" t="str">
        <f>IFERROR(F330/#REF!,"-")</f>
        <v>-</v>
      </c>
      <c r="J330" s="333">
        <f t="shared" ref="J330:J333" si="296">+K330+L330</f>
        <v>115874</v>
      </c>
      <c r="K330" s="278">
        <f t="shared" ref="K330:K333" si="297">+G330+K267</f>
        <v>115000</v>
      </c>
      <c r="L330" s="436">
        <f t="shared" ref="L330:L333" si="298">+H330+L267</f>
        <v>874</v>
      </c>
      <c r="M330" s="337" t="str">
        <f t="shared" ref="M330:M333" si="299">IFERROR(J330/D330,"-")</f>
        <v>-</v>
      </c>
      <c r="N330" s="265">
        <f t="shared" si="294"/>
        <v>7.5426756649464074E-3</v>
      </c>
      <c r="O330" s="508">
        <v>2.3978999999999999</v>
      </c>
      <c r="P330" s="404">
        <f>+O330*G330</f>
        <v>0</v>
      </c>
      <c r="Q330" s="449">
        <f>+O330*K330</f>
        <v>275758.5</v>
      </c>
    </row>
    <row r="331" spans="1:17" ht="24" x14ac:dyDescent="0.25">
      <c r="A331" s="274" t="s">
        <v>103</v>
      </c>
      <c r="B331" s="438"/>
      <c r="C331" s="275" t="s">
        <v>395</v>
      </c>
      <c r="D331" s="276"/>
      <c r="E331" s="277"/>
      <c r="F331" s="333">
        <f t="shared" si="295"/>
        <v>107284</v>
      </c>
      <c r="G331" s="278">
        <v>106500</v>
      </c>
      <c r="H331" s="719">
        <v>784</v>
      </c>
      <c r="I331" s="352" t="str">
        <f>IFERROR(F331/#REF!,"-")</f>
        <v>-</v>
      </c>
      <c r="J331" s="333">
        <f t="shared" si="296"/>
        <v>439950</v>
      </c>
      <c r="K331" s="278">
        <f t="shared" si="297"/>
        <v>436000</v>
      </c>
      <c r="L331" s="436">
        <f t="shared" si="298"/>
        <v>3950</v>
      </c>
      <c r="M331" s="337" t="str">
        <f t="shared" si="299"/>
        <v>-</v>
      </c>
      <c r="N331" s="716">
        <f>IFERROR(L331/J331,"-")</f>
        <v>8.9782929878395278E-3</v>
      </c>
      <c r="O331" s="718">
        <v>3.6777000000000002</v>
      </c>
      <c r="P331" s="404">
        <f t="shared" ref="P331:P333" si="300">+O331*G331</f>
        <v>391675.05000000005</v>
      </c>
      <c r="Q331" s="449">
        <f t="shared" ref="Q331:Q333" si="301">+O331*K331</f>
        <v>1603477.2000000002</v>
      </c>
    </row>
    <row r="332" spans="1:17" ht="24" x14ac:dyDescent="0.25">
      <c r="A332" s="274"/>
      <c r="B332" s="451"/>
      <c r="C332" s="275" t="s">
        <v>319</v>
      </c>
      <c r="D332" s="280"/>
      <c r="E332" s="281"/>
      <c r="F332" s="333">
        <f t="shared" si="295"/>
        <v>45392</v>
      </c>
      <c r="G332" s="282">
        <v>44000</v>
      </c>
      <c r="H332" s="282">
        <v>1392</v>
      </c>
      <c r="I332" s="352" t="str">
        <f>IFERROR(F332/#REF!,"-")</f>
        <v>-</v>
      </c>
      <c r="J332" s="333">
        <f t="shared" si="296"/>
        <v>225556</v>
      </c>
      <c r="K332" s="278">
        <f t="shared" si="297"/>
        <v>221800</v>
      </c>
      <c r="L332" s="436">
        <f t="shared" si="298"/>
        <v>3756</v>
      </c>
      <c r="M332" s="337" t="str">
        <f t="shared" si="299"/>
        <v>-</v>
      </c>
      <c r="N332" s="265">
        <f>IFERROR(L332/J332,"-")</f>
        <v>1.6652183936583378E-2</v>
      </c>
      <c r="O332" s="509">
        <v>12.284700000000001</v>
      </c>
      <c r="P332" s="404">
        <f t="shared" si="300"/>
        <v>540526.80000000005</v>
      </c>
      <c r="Q332" s="449">
        <f t="shared" si="301"/>
        <v>2724746.46</v>
      </c>
    </row>
    <row r="333" spans="1:17" ht="24.75" thickBot="1" x14ac:dyDescent="0.3">
      <c r="A333" s="274" t="s">
        <v>103</v>
      </c>
      <c r="B333" s="451"/>
      <c r="C333" s="275" t="s">
        <v>365</v>
      </c>
      <c r="D333" s="280"/>
      <c r="E333" s="281"/>
      <c r="F333" s="334">
        <f t="shared" si="295"/>
        <v>0</v>
      </c>
      <c r="G333" s="282"/>
      <c r="H333" s="282"/>
      <c r="I333" s="353" t="str">
        <f>IFERROR(F333/#REF!,"-")</f>
        <v>-</v>
      </c>
      <c r="J333" s="460">
        <f t="shared" si="296"/>
        <v>45034</v>
      </c>
      <c r="K333" s="461">
        <f t="shared" si="297"/>
        <v>44250</v>
      </c>
      <c r="L333" s="462">
        <f t="shared" si="298"/>
        <v>784</v>
      </c>
      <c r="M333" s="338" t="str">
        <f t="shared" si="299"/>
        <v>-</v>
      </c>
      <c r="N333" s="344">
        <f t="shared" ref="N333:N345" si="302">IFERROR(L333/J333,"-")</f>
        <v>1.7409068703646134E-2</v>
      </c>
      <c r="O333" s="718">
        <v>7.0612000000000004</v>
      </c>
      <c r="P333" s="405">
        <f t="shared" si="300"/>
        <v>0</v>
      </c>
      <c r="Q333" s="450">
        <f t="shared" si="301"/>
        <v>312458.10000000003</v>
      </c>
    </row>
    <row r="334" spans="1:17" ht="23.25" customHeight="1" thickBot="1" x14ac:dyDescent="0.3">
      <c r="A334" s="274" t="s">
        <v>103</v>
      </c>
      <c r="B334" s="1028" t="s">
        <v>21</v>
      </c>
      <c r="C334" s="964"/>
      <c r="D334" s="320">
        <f>SUM(D329:D333)</f>
        <v>0</v>
      </c>
      <c r="E334" s="285">
        <v>15000</v>
      </c>
      <c r="F334" s="320">
        <f>SUM(F329:F333)</f>
        <v>152676</v>
      </c>
      <c r="G334" s="321">
        <f>SUM(G329:G333)</f>
        <v>150500</v>
      </c>
      <c r="H334" s="321">
        <f>SUM(H329:H333)</f>
        <v>2176</v>
      </c>
      <c r="I334" s="345" t="str">
        <f>IFERROR(F334/#REF!,"-")</f>
        <v>-</v>
      </c>
      <c r="J334" s="320">
        <f>SUM(J329:J333)</f>
        <v>882414</v>
      </c>
      <c r="K334" s="321">
        <f>SUM(K329:K333)</f>
        <v>873050</v>
      </c>
      <c r="L334" s="322">
        <f>SUM(L329:L333)</f>
        <v>9364</v>
      </c>
      <c r="M334" s="339" t="str">
        <f>IFERROR(J334/D334,"-")</f>
        <v>-</v>
      </c>
      <c r="N334" s="345">
        <f t="shared" si="302"/>
        <v>1.0611798996842751E-2</v>
      </c>
      <c r="O334" s="391"/>
      <c r="P334" s="406">
        <f>SUM(P329:P333)</f>
        <v>932201.85000000009</v>
      </c>
      <c r="Q334" s="425">
        <f>SUM(Q329:Q333)</f>
        <v>4916440.26</v>
      </c>
    </row>
    <row r="335" spans="1:17" ht="24" x14ac:dyDescent="0.25">
      <c r="A335" s="274" t="s">
        <v>103</v>
      </c>
      <c r="B335" s="439"/>
      <c r="C335" s="269" t="s">
        <v>244</v>
      </c>
      <c r="D335" s="270"/>
      <c r="E335" s="271"/>
      <c r="F335" s="332">
        <f t="shared" ref="F335:F341" si="303">+G335+H335</f>
        <v>0</v>
      </c>
      <c r="G335" s="272"/>
      <c r="H335" s="272"/>
      <c r="I335" s="351" t="str">
        <f>IFERROR(F335/#REF!,"-")</f>
        <v>-</v>
      </c>
      <c r="J335" s="457">
        <f t="shared" ref="J335:J341" si="304">+K335+L335</f>
        <v>0</v>
      </c>
      <c r="K335" s="458">
        <f t="shared" ref="K335:K341" si="305">+G335+K272</f>
        <v>0</v>
      </c>
      <c r="L335" s="459">
        <f t="shared" ref="L335:L341" si="306">+H335+L272</f>
        <v>0</v>
      </c>
      <c r="M335" s="336" t="str">
        <f t="shared" ref="M335:M343" si="307">IFERROR(J335/D335,"-")</f>
        <v>-</v>
      </c>
      <c r="N335" s="346" t="str">
        <f t="shared" si="302"/>
        <v>-</v>
      </c>
      <c r="O335" s="507">
        <v>18.2316</v>
      </c>
      <c r="P335" s="402">
        <f t="shared" ref="P335:P341" si="308">+O335*G335</f>
        <v>0</v>
      </c>
      <c r="Q335" s="447">
        <f t="shared" ref="Q335:Q341" si="309">+O335*K335</f>
        <v>0</v>
      </c>
    </row>
    <row r="336" spans="1:17" ht="24" x14ac:dyDescent="0.25">
      <c r="A336" s="274" t="s">
        <v>103</v>
      </c>
      <c r="B336" s="438"/>
      <c r="C336" s="275" t="s">
        <v>89</v>
      </c>
      <c r="D336" s="276"/>
      <c r="E336" s="277"/>
      <c r="F336" s="333">
        <f t="shared" si="303"/>
        <v>0</v>
      </c>
      <c r="G336" s="278"/>
      <c r="H336" s="278"/>
      <c r="I336" s="352" t="str">
        <f>IFERROR(F336/#REF!,"-")</f>
        <v>-</v>
      </c>
      <c r="J336" s="333">
        <f t="shared" si="304"/>
        <v>60000</v>
      </c>
      <c r="K336" s="278">
        <f t="shared" si="305"/>
        <v>60000</v>
      </c>
      <c r="L336" s="436">
        <f t="shared" si="306"/>
        <v>0</v>
      </c>
      <c r="M336" s="337" t="str">
        <f t="shared" si="307"/>
        <v>-</v>
      </c>
      <c r="N336" s="263">
        <f t="shared" si="302"/>
        <v>0</v>
      </c>
      <c r="O336" s="508">
        <v>1.2824</v>
      </c>
      <c r="P336" s="404">
        <f t="shared" si="308"/>
        <v>0</v>
      </c>
      <c r="Q336" s="449">
        <f t="shared" si="309"/>
        <v>76944</v>
      </c>
    </row>
    <row r="337" spans="1:17" ht="24" x14ac:dyDescent="0.25">
      <c r="A337" s="274" t="s">
        <v>103</v>
      </c>
      <c r="B337" s="438"/>
      <c r="C337" s="275" t="s">
        <v>300</v>
      </c>
      <c r="D337" s="276"/>
      <c r="E337" s="277"/>
      <c r="F337" s="333">
        <f t="shared" si="303"/>
        <v>0</v>
      </c>
      <c r="G337" s="278"/>
      <c r="H337" s="278"/>
      <c r="I337" s="352" t="str">
        <f>IFERROR(F337/#REF!,"-")</f>
        <v>-</v>
      </c>
      <c r="J337" s="333">
        <f t="shared" si="304"/>
        <v>0</v>
      </c>
      <c r="K337" s="278">
        <f t="shared" si="305"/>
        <v>0</v>
      </c>
      <c r="L337" s="436">
        <f t="shared" si="306"/>
        <v>0</v>
      </c>
      <c r="M337" s="337" t="str">
        <f t="shared" si="307"/>
        <v>-</v>
      </c>
      <c r="N337" s="263" t="str">
        <f t="shared" si="302"/>
        <v>-</v>
      </c>
      <c r="O337" s="710">
        <v>5.7342000000000004</v>
      </c>
      <c r="P337" s="404">
        <f t="shared" si="308"/>
        <v>0</v>
      </c>
      <c r="Q337" s="449">
        <f t="shared" si="309"/>
        <v>0</v>
      </c>
    </row>
    <row r="338" spans="1:17" ht="24" x14ac:dyDescent="0.25">
      <c r="A338" s="274" t="s">
        <v>103</v>
      </c>
      <c r="B338" s="438"/>
      <c r="C338" s="275" t="s">
        <v>314</v>
      </c>
      <c r="D338" s="276"/>
      <c r="E338" s="277"/>
      <c r="F338" s="333">
        <f t="shared" si="303"/>
        <v>0</v>
      </c>
      <c r="G338" s="278"/>
      <c r="H338" s="278"/>
      <c r="I338" s="352" t="str">
        <f>IFERROR(F338/#REF!,"-")</f>
        <v>-</v>
      </c>
      <c r="J338" s="333">
        <f t="shared" si="304"/>
        <v>0</v>
      </c>
      <c r="K338" s="278">
        <f t="shared" si="305"/>
        <v>0</v>
      </c>
      <c r="L338" s="436">
        <f t="shared" si="306"/>
        <v>0</v>
      </c>
      <c r="M338" s="337" t="str">
        <f t="shared" si="307"/>
        <v>-</v>
      </c>
      <c r="N338" s="263" t="str">
        <f t="shared" si="302"/>
        <v>-</v>
      </c>
      <c r="O338" s="508"/>
      <c r="P338" s="404">
        <f t="shared" si="308"/>
        <v>0</v>
      </c>
      <c r="Q338" s="449">
        <f t="shared" si="309"/>
        <v>0</v>
      </c>
    </row>
    <row r="339" spans="1:17" ht="24" x14ac:dyDescent="0.25">
      <c r="A339" s="274" t="s">
        <v>103</v>
      </c>
      <c r="B339" s="438"/>
      <c r="C339" s="275" t="s">
        <v>320</v>
      </c>
      <c r="D339" s="276"/>
      <c r="E339" s="277"/>
      <c r="F339" s="333">
        <f t="shared" si="303"/>
        <v>6435</v>
      </c>
      <c r="G339" s="278">
        <v>6400</v>
      </c>
      <c r="H339" s="278">
        <v>35</v>
      </c>
      <c r="I339" s="352" t="str">
        <f>IFERROR(F339/#REF!,"-")</f>
        <v>-</v>
      </c>
      <c r="J339" s="333">
        <f t="shared" si="304"/>
        <v>51560</v>
      </c>
      <c r="K339" s="278">
        <f t="shared" si="305"/>
        <v>51400</v>
      </c>
      <c r="L339" s="436">
        <f t="shared" si="306"/>
        <v>160</v>
      </c>
      <c r="M339" s="337" t="str">
        <f t="shared" si="307"/>
        <v>-</v>
      </c>
      <c r="N339" s="263">
        <f t="shared" si="302"/>
        <v>3.1031807602792862E-3</v>
      </c>
      <c r="O339" s="508">
        <v>12.029500000000001</v>
      </c>
      <c r="P339" s="404">
        <f t="shared" si="308"/>
        <v>76988.800000000003</v>
      </c>
      <c r="Q339" s="449">
        <f t="shared" si="309"/>
        <v>618316.30000000005</v>
      </c>
    </row>
    <row r="340" spans="1:17" ht="24" x14ac:dyDescent="0.25">
      <c r="A340" s="274" t="s">
        <v>103</v>
      </c>
      <c r="B340" s="438"/>
      <c r="C340" s="275"/>
      <c r="D340" s="276"/>
      <c r="E340" s="277"/>
      <c r="F340" s="333">
        <f t="shared" si="303"/>
        <v>0</v>
      </c>
      <c r="G340" s="278"/>
      <c r="H340" s="278"/>
      <c r="I340" s="352" t="str">
        <f>IFERROR(F340/#REF!,"-")</f>
        <v>-</v>
      </c>
      <c r="J340" s="333">
        <f t="shared" si="304"/>
        <v>0</v>
      </c>
      <c r="K340" s="278">
        <f t="shared" si="305"/>
        <v>0</v>
      </c>
      <c r="L340" s="436">
        <f t="shared" si="306"/>
        <v>0</v>
      </c>
      <c r="M340" s="337" t="str">
        <f t="shared" si="307"/>
        <v>-</v>
      </c>
      <c r="N340" s="263" t="str">
        <f t="shared" si="302"/>
        <v>-</v>
      </c>
      <c r="O340" s="508"/>
      <c r="P340" s="404">
        <f t="shared" si="308"/>
        <v>0</v>
      </c>
      <c r="Q340" s="449">
        <f t="shared" si="309"/>
        <v>0</v>
      </c>
    </row>
    <row r="341" spans="1:17" ht="24.75" thickBot="1" x14ac:dyDescent="0.3">
      <c r="A341" s="274" t="s">
        <v>103</v>
      </c>
      <c r="B341" s="451"/>
      <c r="C341" s="279"/>
      <c r="D341" s="280">
        <v>0</v>
      </c>
      <c r="E341" s="281"/>
      <c r="F341" s="334">
        <f t="shared" si="303"/>
        <v>0</v>
      </c>
      <c r="G341" s="282"/>
      <c r="H341" s="282"/>
      <c r="I341" s="353" t="str">
        <f>IFERROR(F341/#REF!,"-")</f>
        <v>-</v>
      </c>
      <c r="J341" s="460">
        <f t="shared" si="304"/>
        <v>0</v>
      </c>
      <c r="K341" s="461">
        <f t="shared" si="305"/>
        <v>0</v>
      </c>
      <c r="L341" s="462">
        <f t="shared" si="306"/>
        <v>0</v>
      </c>
      <c r="M341" s="338" t="str">
        <f t="shared" si="307"/>
        <v>-</v>
      </c>
      <c r="N341" s="347" t="str">
        <f t="shared" si="302"/>
        <v>-</v>
      </c>
      <c r="O341" s="509"/>
      <c r="P341" s="405">
        <f t="shared" si="308"/>
        <v>0</v>
      </c>
      <c r="Q341" s="450">
        <f t="shared" si="309"/>
        <v>0</v>
      </c>
    </row>
    <row r="342" spans="1:17" ht="23.25" customHeight="1" thickBot="1" x14ac:dyDescent="0.3">
      <c r="A342" s="274" t="s">
        <v>103</v>
      </c>
      <c r="B342" s="1028" t="s">
        <v>25</v>
      </c>
      <c r="C342" s="964"/>
      <c r="D342" s="320">
        <f t="shared" ref="D342" si="310">SUM(D335:D341)</f>
        <v>0</v>
      </c>
      <c r="E342" s="285">
        <v>100000</v>
      </c>
      <c r="F342" s="320">
        <f>SUM(F335:F341)</f>
        <v>6435</v>
      </c>
      <c r="G342" s="321">
        <f t="shared" ref="G342:H342" si="311">SUM(G335:G341)</f>
        <v>6400</v>
      </c>
      <c r="H342" s="321">
        <f t="shared" si="311"/>
        <v>35</v>
      </c>
      <c r="I342" s="345" t="str">
        <f>IFERROR(F342/#REF!,"-")</f>
        <v>-</v>
      </c>
      <c r="J342" s="320">
        <f t="shared" ref="J342:L342" si="312">SUM(J335:J341)</f>
        <v>111560</v>
      </c>
      <c r="K342" s="321">
        <f t="shared" si="312"/>
        <v>111400</v>
      </c>
      <c r="L342" s="322">
        <f t="shared" si="312"/>
        <v>160</v>
      </c>
      <c r="M342" s="339" t="str">
        <f t="shared" si="307"/>
        <v>-</v>
      </c>
      <c r="N342" s="345">
        <f t="shared" si="302"/>
        <v>1.4342058085335247E-3</v>
      </c>
      <c r="O342" s="391"/>
      <c r="P342" s="406">
        <f t="shared" ref="P342:Q342" si="313">SUM(P335:P341)</f>
        <v>76988.800000000003</v>
      </c>
      <c r="Q342" s="425">
        <f t="shared" si="313"/>
        <v>695260.3</v>
      </c>
    </row>
    <row r="343" spans="1:17" ht="23.25" customHeight="1" thickBot="1" x14ac:dyDescent="0.3">
      <c r="A343" s="274" t="s">
        <v>103</v>
      </c>
      <c r="B343" s="1029" t="s">
        <v>172</v>
      </c>
      <c r="C343" s="1030"/>
      <c r="D343" s="326">
        <f>+D334+D342</f>
        <v>0</v>
      </c>
      <c r="E343" s="327">
        <f t="shared" ref="E343:H343" si="314">+E334+E342</f>
        <v>115000</v>
      </c>
      <c r="F343" s="326">
        <f t="shared" si="314"/>
        <v>159111</v>
      </c>
      <c r="G343" s="324">
        <f t="shared" si="314"/>
        <v>156900</v>
      </c>
      <c r="H343" s="324">
        <f t="shared" si="314"/>
        <v>2211</v>
      </c>
      <c r="I343" s="349" t="str">
        <f>IFERROR(F343/#REF!,"-")</f>
        <v>-</v>
      </c>
      <c r="J343" s="326">
        <f t="shared" ref="J343:L343" si="315">+J334+J342</f>
        <v>993974</v>
      </c>
      <c r="K343" s="324">
        <f t="shared" si="315"/>
        <v>984450</v>
      </c>
      <c r="L343" s="325">
        <f t="shared" si="315"/>
        <v>9524</v>
      </c>
      <c r="M343" s="341" t="str">
        <f t="shared" si="307"/>
        <v>-</v>
      </c>
      <c r="N343" s="349">
        <f t="shared" si="302"/>
        <v>9.5817395626042537E-3</v>
      </c>
      <c r="O343" s="394"/>
      <c r="P343" s="410">
        <f t="shared" ref="P343:Q343" si="316">+P334+P342</f>
        <v>1009190.6500000001</v>
      </c>
      <c r="Q343" s="428">
        <f t="shared" si="316"/>
        <v>5611700.5599999996</v>
      </c>
    </row>
    <row r="344" spans="1:17" ht="24" x14ac:dyDescent="0.25">
      <c r="A344" s="244" t="s">
        <v>101</v>
      </c>
      <c r="B344" s="581"/>
      <c r="C344" s="582" t="s">
        <v>283</v>
      </c>
      <c r="D344" s="527"/>
      <c r="E344" s="459"/>
      <c r="F344" s="457">
        <f>+G344+H344</f>
        <v>0</v>
      </c>
      <c r="G344" s="458"/>
      <c r="H344" s="458"/>
      <c r="I344" s="531" t="str">
        <f>IFERROR(F344/#REF!,"-")</f>
        <v>-</v>
      </c>
      <c r="J344" s="457">
        <f>+K344+L344</f>
        <v>0</v>
      </c>
      <c r="K344" s="458">
        <f t="shared" ref="K344:K350" si="317">+G344+K281</f>
        <v>0</v>
      </c>
      <c r="L344" s="459">
        <f t="shared" ref="L344:L350" si="318">+H344+L281</f>
        <v>0</v>
      </c>
      <c r="M344" s="586" t="str">
        <f>IFERROR(J344/D344,"-")</f>
        <v>-</v>
      </c>
      <c r="N344" s="533" t="str">
        <f t="shared" si="302"/>
        <v>-</v>
      </c>
      <c r="O344" s="628">
        <v>4.8285999999999998</v>
      </c>
      <c r="P344" s="534">
        <f t="shared" ref="P344:P350" si="319">+O344*G344</f>
        <v>0</v>
      </c>
      <c r="Q344" s="535">
        <f t="shared" ref="Q344:Q350" si="320">+O344*K344</f>
        <v>0</v>
      </c>
    </row>
    <row r="345" spans="1:17" ht="24" x14ac:dyDescent="0.25">
      <c r="A345" s="248" t="s">
        <v>101</v>
      </c>
      <c r="B345" s="583"/>
      <c r="C345" s="275" t="s">
        <v>284</v>
      </c>
      <c r="D345" s="276"/>
      <c r="E345" s="436"/>
      <c r="F345" s="333">
        <f t="shared" ref="F345:F350" si="321">+G345+H345</f>
        <v>0</v>
      </c>
      <c r="G345" s="278"/>
      <c r="H345" s="278"/>
      <c r="I345" s="352" t="str">
        <f>IFERROR(F345/#REF!,"-")</f>
        <v>-</v>
      </c>
      <c r="J345" s="333">
        <f t="shared" ref="J345:J350" si="322">+K345+L345</f>
        <v>0</v>
      </c>
      <c r="K345" s="278">
        <f t="shared" si="317"/>
        <v>0</v>
      </c>
      <c r="L345" s="436">
        <f t="shared" si="318"/>
        <v>0</v>
      </c>
      <c r="M345" s="337" t="str">
        <f t="shared" ref="M345:M347" si="323">IFERROR(J345/D345,"-")</f>
        <v>-</v>
      </c>
      <c r="N345" s="265" t="str">
        <f t="shared" si="302"/>
        <v>-</v>
      </c>
      <c r="O345" s="629">
        <v>1.4086000000000001</v>
      </c>
      <c r="P345" s="404">
        <f t="shared" si="319"/>
        <v>0</v>
      </c>
      <c r="Q345" s="449">
        <f t="shared" si="320"/>
        <v>0</v>
      </c>
    </row>
    <row r="346" spans="1:17" ht="24" x14ac:dyDescent="0.25">
      <c r="A346" s="248" t="s">
        <v>101</v>
      </c>
      <c r="B346" s="583"/>
      <c r="C346" s="275" t="s">
        <v>315</v>
      </c>
      <c r="D346" s="276"/>
      <c r="E346" s="436"/>
      <c r="F346" s="333">
        <f t="shared" si="321"/>
        <v>0</v>
      </c>
      <c r="G346" s="278"/>
      <c r="H346" s="278"/>
      <c r="I346" s="352" t="str">
        <f>IFERROR(F346/#REF!,"-")</f>
        <v>-</v>
      </c>
      <c r="J346" s="333">
        <f t="shared" si="322"/>
        <v>0</v>
      </c>
      <c r="K346" s="278">
        <f t="shared" si="317"/>
        <v>0</v>
      </c>
      <c r="L346" s="436">
        <f t="shared" si="318"/>
        <v>0</v>
      </c>
      <c r="M346" s="337" t="str">
        <f t="shared" si="323"/>
        <v>-</v>
      </c>
      <c r="N346" s="265" t="str">
        <f>IFERROR(L346/J346,"-")</f>
        <v>-</v>
      </c>
      <c r="O346" s="629">
        <v>2.2141000000000002</v>
      </c>
      <c r="P346" s="404">
        <f t="shared" si="319"/>
        <v>0</v>
      </c>
      <c r="Q346" s="449">
        <f t="shared" si="320"/>
        <v>0</v>
      </c>
    </row>
    <row r="347" spans="1:17" ht="24" x14ac:dyDescent="0.25">
      <c r="A347" s="248" t="s">
        <v>101</v>
      </c>
      <c r="B347" s="584"/>
      <c r="C347" s="275" t="s">
        <v>447</v>
      </c>
      <c r="D347" s="280"/>
      <c r="E347" s="528"/>
      <c r="F347" s="334">
        <f t="shared" si="321"/>
        <v>0</v>
      </c>
      <c r="G347" s="282"/>
      <c r="H347" s="282"/>
      <c r="I347" s="353" t="str">
        <f>IFERROR(F347/#REF!,"-")</f>
        <v>-</v>
      </c>
      <c r="J347" s="333">
        <f t="shared" si="322"/>
        <v>315556</v>
      </c>
      <c r="K347" s="278">
        <f t="shared" si="317"/>
        <v>311250</v>
      </c>
      <c r="L347" s="436">
        <f t="shared" si="318"/>
        <v>4306</v>
      </c>
      <c r="M347" s="338" t="str">
        <f t="shared" si="323"/>
        <v>-</v>
      </c>
      <c r="N347" s="344">
        <f t="shared" ref="N347:N354" si="324">IFERROR(L347/J347,"-")</f>
        <v>1.3645755428513481E-2</v>
      </c>
      <c r="O347" s="629">
        <v>2.2141000000000002</v>
      </c>
      <c r="P347" s="405">
        <f t="shared" si="319"/>
        <v>0</v>
      </c>
      <c r="Q347" s="450">
        <f t="shared" si="320"/>
        <v>689138.625</v>
      </c>
    </row>
    <row r="348" spans="1:17" ht="24" x14ac:dyDescent="0.25">
      <c r="A348" s="248" t="s">
        <v>101</v>
      </c>
      <c r="B348" s="440"/>
      <c r="C348" s="627" t="s">
        <v>353</v>
      </c>
      <c r="D348" s="510"/>
      <c r="E348" s="529"/>
      <c r="F348" s="333">
        <f t="shared" si="321"/>
        <v>0</v>
      </c>
      <c r="G348" s="547"/>
      <c r="H348" s="547"/>
      <c r="I348" s="352" t="str">
        <f>IFERROR(F348/#REF!,"-")</f>
        <v>-</v>
      </c>
      <c r="J348" s="333">
        <f t="shared" si="322"/>
        <v>0</v>
      </c>
      <c r="K348" s="278">
        <f t="shared" si="317"/>
        <v>0</v>
      </c>
      <c r="L348" s="436">
        <f t="shared" si="318"/>
        <v>0</v>
      </c>
      <c r="M348" s="682"/>
      <c r="N348" s="265" t="str">
        <f t="shared" si="324"/>
        <v>-</v>
      </c>
      <c r="O348" s="540">
        <v>4.8285999999999998</v>
      </c>
      <c r="P348" s="404">
        <f t="shared" si="319"/>
        <v>0</v>
      </c>
      <c r="Q348" s="449">
        <f t="shared" si="320"/>
        <v>0</v>
      </c>
    </row>
    <row r="349" spans="1:17" ht="24" x14ac:dyDescent="0.25">
      <c r="A349" s="248" t="s">
        <v>101</v>
      </c>
      <c r="B349" s="585"/>
      <c r="C349" s="627" t="s">
        <v>349</v>
      </c>
      <c r="D349" s="270"/>
      <c r="E349" s="435"/>
      <c r="F349" s="332">
        <f t="shared" si="321"/>
        <v>0</v>
      </c>
      <c r="G349" s="272"/>
      <c r="H349" s="272"/>
      <c r="I349" s="351" t="str">
        <f>IFERROR(F349/#REF!,"-")</f>
        <v>-</v>
      </c>
      <c r="J349" s="333">
        <f t="shared" si="322"/>
        <v>0</v>
      </c>
      <c r="K349" s="278">
        <f t="shared" si="317"/>
        <v>0</v>
      </c>
      <c r="L349" s="436">
        <f t="shared" si="318"/>
        <v>0</v>
      </c>
      <c r="M349" s="336" t="str">
        <f t="shared" ref="M349:M350" si="325">IFERROR(J349/D349,"-")</f>
        <v>-</v>
      </c>
      <c r="N349" s="346" t="str">
        <f t="shared" si="324"/>
        <v>-</v>
      </c>
      <c r="O349" s="507">
        <v>4.1712999999999996</v>
      </c>
      <c r="P349" s="402">
        <f t="shared" si="319"/>
        <v>0</v>
      </c>
      <c r="Q349" s="447">
        <f t="shared" si="320"/>
        <v>0</v>
      </c>
    </row>
    <row r="350" spans="1:17" ht="24.75" thickBot="1" x14ac:dyDescent="0.3">
      <c r="A350" s="248" t="s">
        <v>101</v>
      </c>
      <c r="B350" s="583"/>
      <c r="C350" s="275"/>
      <c r="D350" s="276"/>
      <c r="E350" s="436"/>
      <c r="F350" s="333">
        <f t="shared" si="321"/>
        <v>0</v>
      </c>
      <c r="G350" s="278"/>
      <c r="H350" s="278"/>
      <c r="I350" s="352" t="str">
        <f>IFERROR(F350/#REF!,"-")</f>
        <v>-</v>
      </c>
      <c r="J350" s="460">
        <f t="shared" si="322"/>
        <v>0</v>
      </c>
      <c r="K350" s="461">
        <f t="shared" si="317"/>
        <v>0</v>
      </c>
      <c r="L350" s="462">
        <f t="shared" si="318"/>
        <v>0</v>
      </c>
      <c r="M350" s="337" t="str">
        <f t="shared" si="325"/>
        <v>-</v>
      </c>
      <c r="N350" s="263" t="str">
        <f t="shared" si="324"/>
        <v>-</v>
      </c>
      <c r="O350" s="448"/>
      <c r="P350" s="404">
        <f t="shared" si="319"/>
        <v>0</v>
      </c>
      <c r="Q350" s="449">
        <f t="shared" si="320"/>
        <v>0</v>
      </c>
    </row>
    <row r="351" spans="1:17" ht="23.25" customHeight="1" thickBot="1" x14ac:dyDescent="0.3">
      <c r="A351" s="274" t="s">
        <v>101</v>
      </c>
      <c r="B351" s="1028" t="s">
        <v>21</v>
      </c>
      <c r="C351" s="964"/>
      <c r="D351" s="320">
        <v>0</v>
      </c>
      <c r="E351" s="285">
        <v>15000</v>
      </c>
      <c r="F351" s="320">
        <f>SUM(F344:F350)</f>
        <v>0</v>
      </c>
      <c r="G351" s="321">
        <f t="shared" ref="G351:H351" si="326">SUM(G344:G350)</f>
        <v>0</v>
      </c>
      <c r="H351" s="321">
        <f t="shared" si="326"/>
        <v>0</v>
      </c>
      <c r="I351" s="345" t="str">
        <f>IFERROR(F351/#REF!,"-")</f>
        <v>-</v>
      </c>
      <c r="J351" s="513">
        <f t="shared" ref="J351" si="327">SUM(J344:J350)</f>
        <v>315556</v>
      </c>
      <c r="K351" s="519">
        <f>SUM(K344:K350)</f>
        <v>311250</v>
      </c>
      <c r="L351" s="519">
        <f>SUM(L344:L350)</f>
        <v>4306</v>
      </c>
      <c r="M351" s="339" t="str">
        <f>IFERROR(J351/D351,"-")</f>
        <v>-</v>
      </c>
      <c r="N351" s="345">
        <f t="shared" si="324"/>
        <v>1.3645755428513481E-2</v>
      </c>
      <c r="O351" s="391"/>
      <c r="P351" s="406">
        <f>SUM(P344:P350)</f>
        <v>0</v>
      </c>
      <c r="Q351" s="425">
        <f>SUM(Q344:Q350)</f>
        <v>689138.625</v>
      </c>
    </row>
    <row r="352" spans="1:17" ht="23.25" customHeight="1" thickBot="1" x14ac:dyDescent="0.3">
      <c r="A352" s="274" t="s">
        <v>101</v>
      </c>
      <c r="B352" s="1029" t="s">
        <v>248</v>
      </c>
      <c r="C352" s="1030"/>
      <c r="D352" s="512">
        <f>+D348+D351</f>
        <v>0</v>
      </c>
      <c r="E352" s="525">
        <f>+E348+E351</f>
        <v>15000</v>
      </c>
      <c r="F352" s="512">
        <f>+F348+F351</f>
        <v>0</v>
      </c>
      <c r="G352" s="514">
        <f>+G348+G351</f>
        <v>0</v>
      </c>
      <c r="H352" s="514">
        <f>+H348+H351</f>
        <v>0</v>
      </c>
      <c r="I352" s="515" t="str">
        <f>IFERROR(F352/#REF!,"-")</f>
        <v>-</v>
      </c>
      <c r="J352" s="512">
        <f>+J348+J351</f>
        <v>315556</v>
      </c>
      <c r="K352" s="514">
        <f>+K351</f>
        <v>311250</v>
      </c>
      <c r="L352" s="514">
        <f>+L351</f>
        <v>4306</v>
      </c>
      <c r="M352" s="516" t="str">
        <f t="shared" ref="M352" si="328">IFERROR(J352/D352,"-")</f>
        <v>-</v>
      </c>
      <c r="N352" s="515">
        <f t="shared" si="324"/>
        <v>1.3645755428513481E-2</v>
      </c>
      <c r="O352" s="517"/>
      <c r="P352" s="518">
        <f>+P351</f>
        <v>0</v>
      </c>
      <c r="Q352" s="518">
        <f>+Q351</f>
        <v>689138.625</v>
      </c>
    </row>
    <row r="353" spans="1:17" ht="24" x14ac:dyDescent="0.35">
      <c r="A353" s="244" t="s">
        <v>101</v>
      </c>
      <c r="B353" s="1025" t="s">
        <v>250</v>
      </c>
      <c r="C353" s="542" t="s">
        <v>71</v>
      </c>
      <c r="D353" s="527"/>
      <c r="E353" s="459"/>
      <c r="F353" s="457">
        <f>+G353+H353</f>
        <v>0</v>
      </c>
      <c r="G353" s="458"/>
      <c r="H353" s="458"/>
      <c r="I353" s="531" t="str">
        <f>IFERROR(F353/#REF!,"-")</f>
        <v>-</v>
      </c>
      <c r="J353" s="457">
        <f>+K353+L353</f>
        <v>0</v>
      </c>
      <c r="K353" s="458">
        <f t="shared" ref="K353:K384" si="329">+G353+K290</f>
        <v>0</v>
      </c>
      <c r="L353" s="459">
        <f t="shared" ref="L353:L384" si="330">+H353+L290</f>
        <v>0</v>
      </c>
      <c r="M353" s="586" t="str">
        <f>IFERROR(J353/D353,"-")</f>
        <v>-</v>
      </c>
      <c r="N353" s="533" t="str">
        <f t="shared" si="324"/>
        <v>-</v>
      </c>
      <c r="O353" s="538">
        <v>32.946300000000001</v>
      </c>
      <c r="P353" s="534">
        <f t="shared" ref="P353:P384" si="331">+O353*G353</f>
        <v>0</v>
      </c>
      <c r="Q353" s="535">
        <f t="shared" ref="Q353:Q384" si="332">+O353*K353</f>
        <v>0</v>
      </c>
    </row>
    <row r="354" spans="1:17" ht="24" x14ac:dyDescent="0.35">
      <c r="A354" s="248" t="s">
        <v>101</v>
      </c>
      <c r="B354" s="1026"/>
      <c r="C354" s="543" t="s">
        <v>72</v>
      </c>
      <c r="D354" s="511"/>
      <c r="E354" s="436"/>
      <c r="F354" s="333">
        <f t="shared" ref="F354:F384" si="333">+G354+H354</f>
        <v>0</v>
      </c>
      <c r="G354" s="278"/>
      <c r="H354" s="278"/>
      <c r="I354" s="352" t="str">
        <f>IFERROR(F354/#REF!,"-")</f>
        <v>-</v>
      </c>
      <c r="J354" s="333">
        <f t="shared" ref="J354:J384" si="334">+K354+L354</f>
        <v>10595</v>
      </c>
      <c r="K354" s="278">
        <f t="shared" si="329"/>
        <v>10500</v>
      </c>
      <c r="L354" s="436">
        <f t="shared" si="330"/>
        <v>95</v>
      </c>
      <c r="M354" s="337" t="str">
        <f t="shared" ref="M354:M356" si="335">IFERROR(J354/D354,"-")</f>
        <v>-</v>
      </c>
      <c r="N354" s="265">
        <f t="shared" si="324"/>
        <v>8.9664936290703157E-3</v>
      </c>
      <c r="O354" s="508">
        <v>35.398400000000002</v>
      </c>
      <c r="P354" s="404">
        <f t="shared" si="331"/>
        <v>0</v>
      </c>
      <c r="Q354" s="449">
        <f t="shared" si="332"/>
        <v>371683.2</v>
      </c>
    </row>
    <row r="355" spans="1:17" ht="24.75" thickBot="1" x14ac:dyDescent="0.4">
      <c r="A355" s="248" t="s">
        <v>101</v>
      </c>
      <c r="B355" s="1027"/>
      <c r="C355" s="543" t="s">
        <v>455</v>
      </c>
      <c r="D355" s="276"/>
      <c r="E355" s="436"/>
      <c r="F355" s="333">
        <f t="shared" si="333"/>
        <v>2450</v>
      </c>
      <c r="G355" s="278">
        <v>2400</v>
      </c>
      <c r="H355" s="278">
        <v>50</v>
      </c>
      <c r="I355" s="352" t="str">
        <f>IFERROR(F355/#REF!,"-")</f>
        <v>-</v>
      </c>
      <c r="J355" s="333">
        <f t="shared" si="334"/>
        <v>8055</v>
      </c>
      <c r="K355" s="278">
        <f t="shared" si="329"/>
        <v>7900</v>
      </c>
      <c r="L355" s="436">
        <f t="shared" si="330"/>
        <v>155</v>
      </c>
      <c r="M355" s="337" t="str">
        <f t="shared" si="335"/>
        <v>-</v>
      </c>
      <c r="N355" s="265">
        <f>IFERROR(L355/J355,"-")</f>
        <v>1.9242706393544383E-2</v>
      </c>
      <c r="O355" s="508">
        <v>35.398400000000002</v>
      </c>
      <c r="P355" s="404">
        <f t="shared" si="331"/>
        <v>84956.160000000003</v>
      </c>
      <c r="Q355" s="449">
        <f t="shared" si="332"/>
        <v>279647.36000000004</v>
      </c>
    </row>
    <row r="356" spans="1:17" ht="24" x14ac:dyDescent="0.35">
      <c r="A356" s="248" t="s">
        <v>101</v>
      </c>
      <c r="B356" s="1025" t="s">
        <v>251</v>
      </c>
      <c r="C356" s="545" t="s">
        <v>75</v>
      </c>
      <c r="D356" s="276"/>
      <c r="E356" s="528"/>
      <c r="F356" s="334">
        <f t="shared" si="333"/>
        <v>0</v>
      </c>
      <c r="G356" s="278"/>
      <c r="H356" s="278"/>
      <c r="I356" s="352" t="str">
        <f>IFERROR(F356/#REF!,"-")</f>
        <v>-</v>
      </c>
      <c r="J356" s="333">
        <f t="shared" si="334"/>
        <v>13160</v>
      </c>
      <c r="K356" s="278">
        <f t="shared" si="329"/>
        <v>12763</v>
      </c>
      <c r="L356" s="436">
        <f t="shared" si="330"/>
        <v>397</v>
      </c>
      <c r="M356" s="337" t="str">
        <f t="shared" si="335"/>
        <v>-</v>
      </c>
      <c r="N356" s="265">
        <f t="shared" ref="N356" si="336">IFERROR(L356/J356,"-")</f>
        <v>3.0167173252279637E-2</v>
      </c>
      <c r="O356" s="508">
        <v>55.4758</v>
      </c>
      <c r="P356" s="404">
        <f t="shared" si="331"/>
        <v>0</v>
      </c>
      <c r="Q356" s="449">
        <f t="shared" si="332"/>
        <v>708037.63540000003</v>
      </c>
    </row>
    <row r="357" spans="1:17" ht="24" x14ac:dyDescent="0.35">
      <c r="A357" s="248" t="s">
        <v>101</v>
      </c>
      <c r="B357" s="1026"/>
      <c r="C357" s="545" t="s">
        <v>72</v>
      </c>
      <c r="D357" s="276"/>
      <c r="E357" s="529"/>
      <c r="F357" s="334">
        <f t="shared" si="333"/>
        <v>0</v>
      </c>
      <c r="G357" s="278"/>
      <c r="H357" s="278"/>
      <c r="I357" s="352" t="str">
        <f>IFERROR(F357/#REF!,"-")</f>
        <v>-</v>
      </c>
      <c r="J357" s="333">
        <f t="shared" si="334"/>
        <v>0</v>
      </c>
      <c r="K357" s="278">
        <f t="shared" si="329"/>
        <v>0</v>
      </c>
      <c r="L357" s="436">
        <f t="shared" si="330"/>
        <v>0</v>
      </c>
      <c r="M357" s="682"/>
      <c r="N357" s="372"/>
      <c r="O357" s="540">
        <v>58.836300000000001</v>
      </c>
      <c r="P357" s="404">
        <f t="shared" si="331"/>
        <v>0</v>
      </c>
      <c r="Q357" s="449">
        <f t="shared" si="332"/>
        <v>0</v>
      </c>
    </row>
    <row r="358" spans="1:17" ht="24" x14ac:dyDescent="0.35">
      <c r="A358" s="248" t="s">
        <v>101</v>
      </c>
      <c r="B358" s="1026"/>
      <c r="C358" s="545" t="s">
        <v>347</v>
      </c>
      <c r="D358" s="276"/>
      <c r="E358" s="435"/>
      <c r="F358" s="334">
        <f t="shared" si="333"/>
        <v>0</v>
      </c>
      <c r="G358" s="278"/>
      <c r="H358" s="278"/>
      <c r="I358" s="352" t="str">
        <f>IFERROR(F358/#REF!,"-")</f>
        <v>-</v>
      </c>
      <c r="J358" s="333">
        <f t="shared" si="334"/>
        <v>0</v>
      </c>
      <c r="K358" s="278">
        <f t="shared" si="329"/>
        <v>0</v>
      </c>
      <c r="L358" s="436">
        <f t="shared" si="330"/>
        <v>0</v>
      </c>
      <c r="M358" s="337" t="str">
        <f t="shared" ref="M358" si="337">IFERROR(J358/D358,"-")</f>
        <v>-</v>
      </c>
      <c r="N358" s="263" t="str">
        <f t="shared" ref="N358" si="338">IFERROR(L358/J358,"-")</f>
        <v>-</v>
      </c>
      <c r="O358" s="710">
        <v>58.836300000000001</v>
      </c>
      <c r="P358" s="404">
        <f t="shared" si="331"/>
        <v>0</v>
      </c>
      <c r="Q358" s="449">
        <f t="shared" si="332"/>
        <v>0</v>
      </c>
    </row>
    <row r="359" spans="1:17" ht="24.75" thickBot="1" x14ac:dyDescent="0.4">
      <c r="A359" s="248"/>
      <c r="B359" s="1027"/>
      <c r="C359" s="545" t="s">
        <v>361</v>
      </c>
      <c r="D359" s="276"/>
      <c r="E359" s="435"/>
      <c r="F359" s="334">
        <f t="shared" si="333"/>
        <v>0</v>
      </c>
      <c r="G359" s="278"/>
      <c r="H359" s="278"/>
      <c r="I359" s="352"/>
      <c r="J359" s="333">
        <f t="shared" si="334"/>
        <v>0</v>
      </c>
      <c r="K359" s="278">
        <f t="shared" si="329"/>
        <v>0</v>
      </c>
      <c r="L359" s="436">
        <f t="shared" si="330"/>
        <v>0</v>
      </c>
      <c r="M359" s="337"/>
      <c r="N359" s="263" t="str">
        <f>IFERROR(L359/J359,"-")</f>
        <v>-</v>
      </c>
      <c r="O359" s="508">
        <v>55.4758</v>
      </c>
      <c r="P359" s="404">
        <f t="shared" si="331"/>
        <v>0</v>
      </c>
      <c r="Q359" s="449">
        <f t="shared" si="332"/>
        <v>0</v>
      </c>
    </row>
    <row r="360" spans="1:17" ht="24" x14ac:dyDescent="0.35">
      <c r="A360" s="248" t="s">
        <v>101</v>
      </c>
      <c r="B360" s="1025" t="s">
        <v>409</v>
      </c>
      <c r="C360" s="543" t="s">
        <v>77</v>
      </c>
      <c r="D360" s="276"/>
      <c r="E360" s="436"/>
      <c r="F360" s="333">
        <f t="shared" si="333"/>
        <v>5550</v>
      </c>
      <c r="G360" s="278">
        <v>5500</v>
      </c>
      <c r="H360" s="278">
        <v>50</v>
      </c>
      <c r="I360" s="352" t="str">
        <f>IFERROR(F360/#REF!,"-")</f>
        <v>-</v>
      </c>
      <c r="J360" s="333">
        <f t="shared" si="334"/>
        <v>8560</v>
      </c>
      <c r="K360" s="686">
        <f t="shared" si="329"/>
        <v>8500</v>
      </c>
      <c r="L360" s="687">
        <f t="shared" si="330"/>
        <v>60</v>
      </c>
      <c r="M360" s="337" t="str">
        <f t="shared" ref="M360:M387" si="339">IFERROR(J360/D360,"-")</f>
        <v>-</v>
      </c>
      <c r="N360" s="263">
        <f t="shared" ref="N360:N386" si="340">IFERROR(L360/J360,"-")</f>
        <v>7.0093457943925233E-3</v>
      </c>
      <c r="O360" s="508">
        <v>25.687200000000001</v>
      </c>
      <c r="P360" s="404">
        <f t="shared" si="331"/>
        <v>141279.6</v>
      </c>
      <c r="Q360" s="449">
        <f t="shared" si="332"/>
        <v>218341.2</v>
      </c>
    </row>
    <row r="361" spans="1:17" ht="24.75" thickBot="1" x14ac:dyDescent="0.4">
      <c r="A361" s="248" t="s">
        <v>101</v>
      </c>
      <c r="B361" s="1027"/>
      <c r="C361" s="543" t="s">
        <v>117</v>
      </c>
      <c r="D361" s="276"/>
      <c r="E361" s="436"/>
      <c r="F361" s="333">
        <f t="shared" si="333"/>
        <v>0</v>
      </c>
      <c r="G361" s="278"/>
      <c r="H361" s="278"/>
      <c r="I361" s="352" t="str">
        <f>IFERROR(F361/#REF!,"-")</f>
        <v>-</v>
      </c>
      <c r="J361" s="333">
        <f t="shared" si="334"/>
        <v>0</v>
      </c>
      <c r="K361" s="278">
        <f t="shared" si="329"/>
        <v>0</v>
      </c>
      <c r="L361" s="436">
        <f t="shared" si="330"/>
        <v>0</v>
      </c>
      <c r="M361" s="337" t="str">
        <f t="shared" si="339"/>
        <v>-</v>
      </c>
      <c r="N361" s="263" t="str">
        <f t="shared" si="340"/>
        <v>-</v>
      </c>
      <c r="O361" s="508">
        <v>25.033899999999999</v>
      </c>
      <c r="P361" s="404">
        <f t="shared" si="331"/>
        <v>0</v>
      </c>
      <c r="Q361" s="449">
        <f t="shared" si="332"/>
        <v>0</v>
      </c>
    </row>
    <row r="362" spans="1:17" ht="24" x14ac:dyDescent="0.35">
      <c r="A362" s="248"/>
      <c r="B362" s="1025" t="s">
        <v>410</v>
      </c>
      <c r="C362" s="543" t="s">
        <v>79</v>
      </c>
      <c r="D362" s="276"/>
      <c r="E362" s="436"/>
      <c r="F362" s="333">
        <f t="shared" si="333"/>
        <v>1839</v>
      </c>
      <c r="G362" s="278">
        <v>1800</v>
      </c>
      <c r="H362" s="278">
        <v>39</v>
      </c>
      <c r="I362" s="352" t="str">
        <f>IFERROR(F362/#REF!,"-")</f>
        <v>-</v>
      </c>
      <c r="J362" s="333">
        <f t="shared" si="334"/>
        <v>3878</v>
      </c>
      <c r="K362" s="278">
        <f t="shared" si="329"/>
        <v>3800</v>
      </c>
      <c r="L362" s="436">
        <f t="shared" si="330"/>
        <v>78</v>
      </c>
      <c r="M362" s="337" t="str">
        <f t="shared" si="339"/>
        <v>-</v>
      </c>
      <c r="N362" s="263">
        <f t="shared" si="340"/>
        <v>2.0113460546673543E-2</v>
      </c>
      <c r="O362" s="508">
        <v>41.992699999999999</v>
      </c>
      <c r="P362" s="404">
        <f t="shared" si="331"/>
        <v>75586.86</v>
      </c>
      <c r="Q362" s="449">
        <f t="shared" si="332"/>
        <v>159572.26</v>
      </c>
    </row>
    <row r="363" spans="1:17" ht="24" x14ac:dyDescent="0.35">
      <c r="A363" s="248"/>
      <c r="B363" s="1026"/>
      <c r="C363" s="543" t="s">
        <v>72</v>
      </c>
      <c r="D363" s="276"/>
      <c r="E363" s="436"/>
      <c r="F363" s="333">
        <f t="shared" si="333"/>
        <v>0</v>
      </c>
      <c r="G363" s="278"/>
      <c r="H363" s="278"/>
      <c r="I363" s="352" t="str">
        <f>IFERROR(F363/#REF!,"-")</f>
        <v>-</v>
      </c>
      <c r="J363" s="333">
        <f t="shared" si="334"/>
        <v>0</v>
      </c>
      <c r="K363" s="278">
        <f t="shared" si="329"/>
        <v>0</v>
      </c>
      <c r="L363" s="436">
        <f t="shared" si="330"/>
        <v>0</v>
      </c>
      <c r="M363" s="337" t="str">
        <f t="shared" si="339"/>
        <v>-</v>
      </c>
      <c r="N363" s="263" t="str">
        <f t="shared" si="340"/>
        <v>-</v>
      </c>
      <c r="O363" s="508">
        <v>42.283799999999999</v>
      </c>
      <c r="P363" s="404">
        <f t="shared" si="331"/>
        <v>0</v>
      </c>
      <c r="Q363" s="449">
        <f t="shared" si="332"/>
        <v>0</v>
      </c>
    </row>
    <row r="364" spans="1:17" ht="24" x14ac:dyDescent="0.35">
      <c r="A364" s="248"/>
      <c r="B364" s="1026"/>
      <c r="C364" s="543" t="s">
        <v>380</v>
      </c>
      <c r="D364" s="276"/>
      <c r="E364" s="436"/>
      <c r="F364" s="333">
        <f t="shared" si="333"/>
        <v>0</v>
      </c>
      <c r="G364" s="278"/>
      <c r="H364" s="278"/>
      <c r="I364" s="352" t="str">
        <f>IFERROR(F364/#REF!,"-")</f>
        <v>-</v>
      </c>
      <c r="J364" s="333">
        <f t="shared" si="334"/>
        <v>0</v>
      </c>
      <c r="K364" s="278">
        <f t="shared" si="329"/>
        <v>0</v>
      </c>
      <c r="L364" s="436">
        <f t="shared" si="330"/>
        <v>0</v>
      </c>
      <c r="M364" s="337" t="str">
        <f t="shared" si="339"/>
        <v>-</v>
      </c>
      <c r="N364" s="263" t="str">
        <f t="shared" si="340"/>
        <v>-</v>
      </c>
      <c r="O364" s="710">
        <v>41.992699999999999</v>
      </c>
      <c r="P364" s="404">
        <f t="shared" si="331"/>
        <v>0</v>
      </c>
      <c r="Q364" s="449">
        <f t="shared" si="332"/>
        <v>0</v>
      </c>
    </row>
    <row r="365" spans="1:17" ht="24.75" thickBot="1" x14ac:dyDescent="0.4">
      <c r="A365" s="248"/>
      <c r="B365" s="1027"/>
      <c r="C365" s="543" t="s">
        <v>381</v>
      </c>
      <c r="D365" s="276"/>
      <c r="E365" s="436"/>
      <c r="F365" s="333">
        <f t="shared" si="333"/>
        <v>0</v>
      </c>
      <c r="G365" s="278"/>
      <c r="H365" s="278"/>
      <c r="I365" s="352" t="str">
        <f>IFERROR(F365/#REF!,"-")</f>
        <v>-</v>
      </c>
      <c r="J365" s="333">
        <f t="shared" si="334"/>
        <v>0</v>
      </c>
      <c r="K365" s="278">
        <f t="shared" si="329"/>
        <v>0</v>
      </c>
      <c r="L365" s="436">
        <f t="shared" si="330"/>
        <v>0</v>
      </c>
      <c r="M365" s="337" t="str">
        <f t="shared" si="339"/>
        <v>-</v>
      </c>
      <c r="N365" s="263" t="str">
        <f t="shared" si="340"/>
        <v>-</v>
      </c>
      <c r="O365" s="710">
        <v>42.283799999999999</v>
      </c>
      <c r="P365" s="404">
        <f t="shared" si="331"/>
        <v>0</v>
      </c>
      <c r="Q365" s="449">
        <f t="shared" si="332"/>
        <v>0</v>
      </c>
    </row>
    <row r="366" spans="1:17" ht="24.75" thickBot="1" x14ac:dyDescent="0.4">
      <c r="A366" s="248"/>
      <c r="B366" s="717" t="s">
        <v>80</v>
      </c>
      <c r="C366" s="543" t="s">
        <v>81</v>
      </c>
      <c r="D366" s="276"/>
      <c r="E366" s="436"/>
      <c r="F366" s="333">
        <f t="shared" si="333"/>
        <v>905</v>
      </c>
      <c r="G366" s="278">
        <v>800</v>
      </c>
      <c r="H366" s="278">
        <v>105</v>
      </c>
      <c r="I366" s="352" t="str">
        <f>IFERROR(F366/#REF!,"-")</f>
        <v>-</v>
      </c>
      <c r="J366" s="333">
        <f t="shared" si="334"/>
        <v>8288</v>
      </c>
      <c r="K366" s="278">
        <f t="shared" si="329"/>
        <v>7800</v>
      </c>
      <c r="L366" s="436">
        <f t="shared" si="330"/>
        <v>488</v>
      </c>
      <c r="M366" s="337" t="str">
        <f t="shared" si="339"/>
        <v>-</v>
      </c>
      <c r="N366" s="263">
        <f t="shared" si="340"/>
        <v>5.8880308880308881E-2</v>
      </c>
      <c r="O366" s="508">
        <v>4.3535000000000004</v>
      </c>
      <c r="P366" s="404">
        <f t="shared" si="331"/>
        <v>3482.8</v>
      </c>
      <c r="Q366" s="449">
        <f t="shared" si="332"/>
        <v>33957.300000000003</v>
      </c>
    </row>
    <row r="367" spans="1:17" ht="24" x14ac:dyDescent="0.35">
      <c r="A367" s="248"/>
      <c r="B367" s="1025" t="s">
        <v>253</v>
      </c>
      <c r="C367" s="543" t="s">
        <v>77</v>
      </c>
      <c r="D367" s="276"/>
      <c r="E367" s="436"/>
      <c r="F367" s="333">
        <f t="shared" si="333"/>
        <v>24389</v>
      </c>
      <c r="G367" s="278">
        <v>24200</v>
      </c>
      <c r="H367" s="278">
        <v>189</v>
      </c>
      <c r="I367" s="352" t="str">
        <f>IFERROR(F367/#REF!,"-")</f>
        <v>-</v>
      </c>
      <c r="J367" s="333">
        <f t="shared" si="334"/>
        <v>250736</v>
      </c>
      <c r="K367" s="278">
        <f t="shared" si="329"/>
        <v>249700</v>
      </c>
      <c r="L367" s="436">
        <f t="shared" si="330"/>
        <v>1036</v>
      </c>
      <c r="M367" s="337" t="str">
        <f t="shared" si="339"/>
        <v>-</v>
      </c>
      <c r="N367" s="263">
        <f t="shared" si="340"/>
        <v>4.1318358751834599E-3</v>
      </c>
      <c r="O367" s="508">
        <v>4.6184000000000003</v>
      </c>
      <c r="P367" s="404">
        <f t="shared" si="331"/>
        <v>111765.28000000001</v>
      </c>
      <c r="Q367" s="449">
        <f t="shared" si="332"/>
        <v>1153214.48</v>
      </c>
    </row>
    <row r="368" spans="1:17" ht="24" x14ac:dyDescent="0.35">
      <c r="A368" s="248"/>
      <c r="B368" s="1026"/>
      <c r="C368" s="543" t="s">
        <v>340</v>
      </c>
      <c r="D368" s="276"/>
      <c r="E368" s="436"/>
      <c r="F368" s="333">
        <f t="shared" si="333"/>
        <v>0</v>
      </c>
      <c r="G368" s="278"/>
      <c r="H368" s="278"/>
      <c r="I368" s="352" t="str">
        <f>IFERROR(F368/#REF!,"-")</f>
        <v>-</v>
      </c>
      <c r="J368" s="333">
        <f t="shared" si="334"/>
        <v>0</v>
      </c>
      <c r="K368" s="278">
        <f t="shared" si="329"/>
        <v>0</v>
      </c>
      <c r="L368" s="436">
        <f t="shared" si="330"/>
        <v>0</v>
      </c>
      <c r="M368" s="337" t="str">
        <f t="shared" si="339"/>
        <v>-</v>
      </c>
      <c r="N368" s="263" t="str">
        <f t="shared" si="340"/>
        <v>-</v>
      </c>
      <c r="O368" s="508">
        <v>4.6184000000000003</v>
      </c>
      <c r="P368" s="404">
        <f t="shared" si="331"/>
        <v>0</v>
      </c>
      <c r="Q368" s="449">
        <f t="shared" si="332"/>
        <v>0</v>
      </c>
    </row>
    <row r="369" spans="1:17" ht="24" x14ac:dyDescent="0.35">
      <c r="A369" s="248"/>
      <c r="B369" s="1026"/>
      <c r="C369" s="543" t="s">
        <v>252</v>
      </c>
      <c r="D369" s="276"/>
      <c r="E369" s="436"/>
      <c r="F369" s="333">
        <f t="shared" si="333"/>
        <v>0</v>
      </c>
      <c r="G369" s="278"/>
      <c r="H369" s="278"/>
      <c r="I369" s="352" t="str">
        <f>IFERROR(F369/#REF!,"-")</f>
        <v>-</v>
      </c>
      <c r="J369" s="333">
        <f t="shared" si="334"/>
        <v>0</v>
      </c>
      <c r="K369" s="278">
        <f t="shared" si="329"/>
        <v>0</v>
      </c>
      <c r="L369" s="436">
        <f t="shared" si="330"/>
        <v>0</v>
      </c>
      <c r="M369" s="337" t="str">
        <f t="shared" si="339"/>
        <v>-</v>
      </c>
      <c r="N369" s="263" t="str">
        <f t="shared" si="340"/>
        <v>-</v>
      </c>
      <c r="O369" s="508">
        <v>4.6184000000000003</v>
      </c>
      <c r="P369" s="404">
        <f t="shared" si="331"/>
        <v>0</v>
      </c>
      <c r="Q369" s="449">
        <f t="shared" si="332"/>
        <v>0</v>
      </c>
    </row>
    <row r="370" spans="1:17" ht="24" x14ac:dyDescent="0.35">
      <c r="A370" s="248"/>
      <c r="B370" s="1026"/>
      <c r="C370" s="543" t="s">
        <v>350</v>
      </c>
      <c r="D370" s="276"/>
      <c r="E370" s="436"/>
      <c r="F370" s="333">
        <f t="shared" si="333"/>
        <v>0</v>
      </c>
      <c r="G370" s="278"/>
      <c r="H370" s="278"/>
      <c r="I370" s="352" t="str">
        <f>IFERROR(F370/#REF!,"-")</f>
        <v>-</v>
      </c>
      <c r="J370" s="333">
        <f t="shared" si="334"/>
        <v>0</v>
      </c>
      <c r="K370" s="686">
        <f t="shared" si="329"/>
        <v>0</v>
      </c>
      <c r="L370" s="687">
        <f t="shared" si="330"/>
        <v>0</v>
      </c>
      <c r="M370" s="337" t="str">
        <f t="shared" si="339"/>
        <v>-</v>
      </c>
      <c r="N370" s="263" t="str">
        <f t="shared" si="340"/>
        <v>-</v>
      </c>
      <c r="O370" s="508">
        <v>4.7636000000000003</v>
      </c>
      <c r="P370" s="404">
        <f t="shared" si="331"/>
        <v>0</v>
      </c>
      <c r="Q370" s="449">
        <f t="shared" si="332"/>
        <v>0</v>
      </c>
    </row>
    <row r="371" spans="1:17" ht="24.75" thickBot="1" x14ac:dyDescent="0.4">
      <c r="A371" s="248"/>
      <c r="B371" s="1027"/>
      <c r="C371" s="543" t="s">
        <v>346</v>
      </c>
      <c r="D371" s="276"/>
      <c r="E371" s="436"/>
      <c r="F371" s="333">
        <f t="shared" si="333"/>
        <v>0</v>
      </c>
      <c r="G371" s="278"/>
      <c r="H371" s="278"/>
      <c r="I371" s="352" t="str">
        <f>IFERROR(F371/#REF!,"-")</f>
        <v>-</v>
      </c>
      <c r="J371" s="333">
        <f t="shared" si="334"/>
        <v>0</v>
      </c>
      <c r="K371" s="278">
        <f t="shared" si="329"/>
        <v>0</v>
      </c>
      <c r="L371" s="436">
        <f t="shared" si="330"/>
        <v>0</v>
      </c>
      <c r="M371" s="337" t="str">
        <f t="shared" si="339"/>
        <v>-</v>
      </c>
      <c r="N371" s="263" t="str">
        <f t="shared" si="340"/>
        <v>-</v>
      </c>
      <c r="O371" s="508">
        <v>4.8738000000000001</v>
      </c>
      <c r="P371" s="404">
        <f t="shared" si="331"/>
        <v>0</v>
      </c>
      <c r="Q371" s="449">
        <f t="shared" si="332"/>
        <v>0</v>
      </c>
    </row>
    <row r="372" spans="1:17" ht="24.75" thickBot="1" x14ac:dyDescent="0.4">
      <c r="A372" s="248"/>
      <c r="B372" s="717" t="s">
        <v>254</v>
      </c>
      <c r="C372" s="543" t="s">
        <v>124</v>
      </c>
      <c r="D372" s="276"/>
      <c r="E372" s="436"/>
      <c r="F372" s="333">
        <f t="shared" si="333"/>
        <v>0</v>
      </c>
      <c r="G372" s="278"/>
      <c r="H372" s="278"/>
      <c r="I372" s="352" t="str">
        <f>IFERROR(F372/#REF!,"-")</f>
        <v>-</v>
      </c>
      <c r="J372" s="333">
        <f t="shared" si="334"/>
        <v>0</v>
      </c>
      <c r="K372" s="278">
        <f t="shared" si="329"/>
        <v>0</v>
      </c>
      <c r="L372" s="436">
        <f t="shared" si="330"/>
        <v>0</v>
      </c>
      <c r="M372" s="337" t="str">
        <f t="shared" si="339"/>
        <v>-</v>
      </c>
      <c r="N372" s="263" t="str">
        <f t="shared" si="340"/>
        <v>-</v>
      </c>
      <c r="O372" s="508">
        <v>4.8738000000000001</v>
      </c>
      <c r="P372" s="404">
        <f t="shared" si="331"/>
        <v>0</v>
      </c>
      <c r="Q372" s="449">
        <f t="shared" si="332"/>
        <v>0</v>
      </c>
    </row>
    <row r="373" spans="1:17" ht="24" x14ac:dyDescent="0.35">
      <c r="A373" s="248"/>
      <c r="B373" s="1025" t="s">
        <v>256</v>
      </c>
      <c r="C373" s="543" t="s">
        <v>77</v>
      </c>
      <c r="D373" s="276"/>
      <c r="E373" s="436"/>
      <c r="F373" s="333">
        <f t="shared" si="333"/>
        <v>30492</v>
      </c>
      <c r="G373" s="278">
        <v>29820</v>
      </c>
      <c r="H373" s="278">
        <v>672</v>
      </c>
      <c r="I373" s="352" t="str">
        <f>IFERROR(F373/#REF!,"-")</f>
        <v>-</v>
      </c>
      <c r="J373" s="333">
        <f t="shared" si="334"/>
        <v>195869</v>
      </c>
      <c r="K373" s="686">
        <f t="shared" si="329"/>
        <v>192220</v>
      </c>
      <c r="L373" s="687">
        <f t="shared" si="330"/>
        <v>3649</v>
      </c>
      <c r="M373" s="337" t="str">
        <f t="shared" si="339"/>
        <v>-</v>
      </c>
      <c r="N373" s="263">
        <f t="shared" si="340"/>
        <v>1.8629798487764783E-2</v>
      </c>
      <c r="O373" s="508">
        <v>4.9344999999999999</v>
      </c>
      <c r="P373" s="404">
        <f t="shared" si="331"/>
        <v>147146.79</v>
      </c>
      <c r="Q373" s="449">
        <f t="shared" si="332"/>
        <v>948509.59</v>
      </c>
    </row>
    <row r="374" spans="1:17" ht="24" x14ac:dyDescent="0.35">
      <c r="A374" s="248"/>
      <c r="B374" s="1026"/>
      <c r="C374" s="543" t="s">
        <v>135</v>
      </c>
      <c r="D374" s="276"/>
      <c r="E374" s="436"/>
      <c r="F374" s="333">
        <f t="shared" si="333"/>
        <v>0</v>
      </c>
      <c r="G374" s="278"/>
      <c r="H374" s="278"/>
      <c r="I374" s="352" t="str">
        <f>IFERROR(F374/#REF!,"-")</f>
        <v>-</v>
      </c>
      <c r="J374" s="333">
        <f t="shared" si="334"/>
        <v>0</v>
      </c>
      <c r="K374" s="278">
        <f t="shared" si="329"/>
        <v>0</v>
      </c>
      <c r="L374" s="436">
        <f t="shared" si="330"/>
        <v>0</v>
      </c>
      <c r="M374" s="337" t="str">
        <f t="shared" si="339"/>
        <v>-</v>
      </c>
      <c r="N374" s="263" t="str">
        <f t="shared" si="340"/>
        <v>-</v>
      </c>
      <c r="O374" s="508">
        <v>4.9344999999999999</v>
      </c>
      <c r="P374" s="404">
        <f t="shared" si="331"/>
        <v>0</v>
      </c>
      <c r="Q374" s="449">
        <f t="shared" si="332"/>
        <v>0</v>
      </c>
    </row>
    <row r="375" spans="1:17" ht="24" x14ac:dyDescent="0.35">
      <c r="A375" s="248"/>
      <c r="B375" s="1026"/>
      <c r="C375" s="543" t="s">
        <v>129</v>
      </c>
      <c r="D375" s="276"/>
      <c r="E375" s="436"/>
      <c r="F375" s="333">
        <f t="shared" si="333"/>
        <v>0</v>
      </c>
      <c r="G375" s="278"/>
      <c r="H375" s="278"/>
      <c r="I375" s="352" t="str">
        <f>IFERROR(F375/#REF!,"-")</f>
        <v>-</v>
      </c>
      <c r="J375" s="333">
        <f t="shared" si="334"/>
        <v>0</v>
      </c>
      <c r="K375" s="278">
        <f t="shared" si="329"/>
        <v>0</v>
      </c>
      <c r="L375" s="436">
        <f t="shared" si="330"/>
        <v>0</v>
      </c>
      <c r="M375" s="337" t="str">
        <f t="shared" si="339"/>
        <v>-</v>
      </c>
      <c r="N375" s="263" t="str">
        <f t="shared" si="340"/>
        <v>-</v>
      </c>
      <c r="O375" s="508">
        <v>4.9344999999999999</v>
      </c>
      <c r="P375" s="404">
        <f t="shared" si="331"/>
        <v>0</v>
      </c>
      <c r="Q375" s="449">
        <f t="shared" si="332"/>
        <v>0</v>
      </c>
    </row>
    <row r="376" spans="1:17" ht="24.75" thickBot="1" x14ac:dyDescent="0.4">
      <c r="A376" s="248"/>
      <c r="B376" s="1027"/>
      <c r="C376" s="543" t="s">
        <v>255</v>
      </c>
      <c r="D376" s="276"/>
      <c r="E376" s="436"/>
      <c r="F376" s="333">
        <f t="shared" si="333"/>
        <v>0</v>
      </c>
      <c r="G376" s="278"/>
      <c r="H376" s="278"/>
      <c r="I376" s="352" t="str">
        <f>IFERROR(F376/#REF!,"-")</f>
        <v>-</v>
      </c>
      <c r="J376" s="333">
        <f t="shared" si="334"/>
        <v>0</v>
      </c>
      <c r="K376" s="278">
        <f t="shared" si="329"/>
        <v>0</v>
      </c>
      <c r="L376" s="436">
        <f t="shared" si="330"/>
        <v>0</v>
      </c>
      <c r="M376" s="337" t="str">
        <f t="shared" si="339"/>
        <v>-</v>
      </c>
      <c r="N376" s="263" t="str">
        <f t="shared" si="340"/>
        <v>-</v>
      </c>
      <c r="O376" s="508">
        <v>5.5069999999999997</v>
      </c>
      <c r="P376" s="404">
        <f t="shared" si="331"/>
        <v>0</v>
      </c>
      <c r="Q376" s="449">
        <f t="shared" si="332"/>
        <v>0</v>
      </c>
    </row>
    <row r="377" spans="1:17" ht="24" x14ac:dyDescent="0.35">
      <c r="A377" s="248"/>
      <c r="B377" s="1025" t="s">
        <v>261</v>
      </c>
      <c r="C377" s="543" t="s">
        <v>257</v>
      </c>
      <c r="D377" s="276"/>
      <c r="E377" s="436"/>
      <c r="F377" s="333">
        <f t="shared" si="333"/>
        <v>29973</v>
      </c>
      <c r="G377" s="278">
        <v>29750</v>
      </c>
      <c r="H377" s="278">
        <v>223</v>
      </c>
      <c r="I377" s="352" t="str">
        <f>IFERROR(F377/#REF!,"-")</f>
        <v>-</v>
      </c>
      <c r="J377" s="333">
        <f t="shared" si="334"/>
        <v>217231</v>
      </c>
      <c r="K377" s="278">
        <f t="shared" si="329"/>
        <v>215250</v>
      </c>
      <c r="L377" s="436">
        <f t="shared" si="330"/>
        <v>1981</v>
      </c>
      <c r="M377" s="337" t="str">
        <f t="shared" si="339"/>
        <v>-</v>
      </c>
      <c r="N377" s="263">
        <f t="shared" si="340"/>
        <v>9.1193245899526317E-3</v>
      </c>
      <c r="O377" s="710">
        <v>5.5069999999999997</v>
      </c>
      <c r="P377" s="404">
        <f t="shared" si="331"/>
        <v>163833.25</v>
      </c>
      <c r="Q377" s="449">
        <f t="shared" si="332"/>
        <v>1185381.75</v>
      </c>
    </row>
    <row r="378" spans="1:17" ht="24" x14ac:dyDescent="0.35">
      <c r="A378" s="248"/>
      <c r="B378" s="1026"/>
      <c r="C378" s="543" t="s">
        <v>258</v>
      </c>
      <c r="D378" s="276"/>
      <c r="E378" s="436"/>
      <c r="F378" s="333">
        <f t="shared" si="333"/>
        <v>0</v>
      </c>
      <c r="G378" s="278"/>
      <c r="H378" s="278"/>
      <c r="I378" s="352" t="str">
        <f>IFERROR(F378/#REF!,"-")</f>
        <v>-</v>
      </c>
      <c r="J378" s="333">
        <f t="shared" si="334"/>
        <v>0</v>
      </c>
      <c r="K378" s="278">
        <f t="shared" si="329"/>
        <v>0</v>
      </c>
      <c r="L378" s="436">
        <f t="shared" si="330"/>
        <v>0</v>
      </c>
      <c r="M378" s="337" t="str">
        <f t="shared" si="339"/>
        <v>-</v>
      </c>
      <c r="N378" s="263" t="str">
        <f t="shared" si="340"/>
        <v>-</v>
      </c>
      <c r="O378" s="508">
        <v>5.6550000000000002</v>
      </c>
      <c r="P378" s="404">
        <f t="shared" si="331"/>
        <v>0</v>
      </c>
      <c r="Q378" s="449">
        <f t="shared" si="332"/>
        <v>0</v>
      </c>
    </row>
    <row r="379" spans="1:17" ht="24" x14ac:dyDescent="0.35">
      <c r="A379" s="248"/>
      <c r="B379" s="1026"/>
      <c r="C379" s="543" t="s">
        <v>321</v>
      </c>
      <c r="D379" s="276"/>
      <c r="E379" s="436"/>
      <c r="F379" s="333">
        <f t="shared" si="333"/>
        <v>0</v>
      </c>
      <c r="G379" s="278"/>
      <c r="H379" s="278"/>
      <c r="I379" s="352" t="str">
        <f>IFERROR(F379/#REF!,"-")</f>
        <v>-</v>
      </c>
      <c r="J379" s="333">
        <f t="shared" si="334"/>
        <v>0</v>
      </c>
      <c r="K379" s="686">
        <f t="shared" si="329"/>
        <v>0</v>
      </c>
      <c r="L379" s="687">
        <f t="shared" si="330"/>
        <v>0</v>
      </c>
      <c r="M379" s="337" t="str">
        <f t="shared" si="339"/>
        <v>-</v>
      </c>
      <c r="N379" s="263" t="str">
        <f t="shared" si="340"/>
        <v>-</v>
      </c>
      <c r="O379" s="508">
        <v>5.6550000000000002</v>
      </c>
      <c r="P379" s="404">
        <f t="shared" si="331"/>
        <v>0</v>
      </c>
      <c r="Q379" s="449">
        <f t="shared" si="332"/>
        <v>0</v>
      </c>
    </row>
    <row r="380" spans="1:17" ht="24" x14ac:dyDescent="0.35">
      <c r="A380" s="248"/>
      <c r="B380" s="1026"/>
      <c r="C380" s="543" t="s">
        <v>259</v>
      </c>
      <c r="D380" s="276"/>
      <c r="E380" s="436"/>
      <c r="F380" s="333">
        <f t="shared" si="333"/>
        <v>0</v>
      </c>
      <c r="G380" s="278"/>
      <c r="H380" s="278"/>
      <c r="I380" s="352" t="str">
        <f>IFERROR(F380/#REF!,"-")</f>
        <v>-</v>
      </c>
      <c r="J380" s="333">
        <f t="shared" si="334"/>
        <v>0</v>
      </c>
      <c r="K380" s="278">
        <f t="shared" si="329"/>
        <v>0</v>
      </c>
      <c r="L380" s="436">
        <f t="shared" si="330"/>
        <v>0</v>
      </c>
      <c r="M380" s="337" t="str">
        <f t="shared" si="339"/>
        <v>-</v>
      </c>
      <c r="N380" s="263" t="str">
        <f t="shared" si="340"/>
        <v>-</v>
      </c>
      <c r="O380" s="508">
        <v>5.6550000000000002</v>
      </c>
      <c r="P380" s="404">
        <f t="shared" si="331"/>
        <v>0</v>
      </c>
      <c r="Q380" s="449">
        <f t="shared" si="332"/>
        <v>0</v>
      </c>
    </row>
    <row r="381" spans="1:17" ht="24" x14ac:dyDescent="0.35">
      <c r="A381" s="248" t="s">
        <v>101</v>
      </c>
      <c r="B381" s="1026"/>
      <c r="C381" s="543" t="s">
        <v>260</v>
      </c>
      <c r="D381" s="276"/>
      <c r="E381" s="436"/>
      <c r="F381" s="333">
        <f t="shared" si="333"/>
        <v>0</v>
      </c>
      <c r="G381" s="278"/>
      <c r="H381" s="278"/>
      <c r="I381" s="352" t="str">
        <f>IFERROR(F381/#REF!,"-")</f>
        <v>-</v>
      </c>
      <c r="J381" s="333">
        <f t="shared" si="334"/>
        <v>0</v>
      </c>
      <c r="K381" s="278">
        <f t="shared" si="329"/>
        <v>0</v>
      </c>
      <c r="L381" s="436">
        <f t="shared" si="330"/>
        <v>0</v>
      </c>
      <c r="M381" s="337" t="str">
        <f t="shared" si="339"/>
        <v>-</v>
      </c>
      <c r="N381" s="263" t="str">
        <f t="shared" si="340"/>
        <v>-</v>
      </c>
      <c r="O381" s="508">
        <v>3.2963</v>
      </c>
      <c r="P381" s="404">
        <f t="shared" si="331"/>
        <v>0</v>
      </c>
      <c r="Q381" s="449">
        <f t="shared" si="332"/>
        <v>0</v>
      </c>
    </row>
    <row r="382" spans="1:17" ht="24.75" thickBot="1" x14ac:dyDescent="0.4">
      <c r="A382" s="248" t="s">
        <v>101</v>
      </c>
      <c r="B382" s="1027"/>
      <c r="C382" s="543" t="s">
        <v>255</v>
      </c>
      <c r="D382" s="276"/>
      <c r="E382" s="436"/>
      <c r="F382" s="333">
        <f t="shared" si="333"/>
        <v>0</v>
      </c>
      <c r="G382" s="278"/>
      <c r="H382" s="278"/>
      <c r="I382" s="352" t="str">
        <f>IFERROR(F382/#REF!,"-")</f>
        <v>-</v>
      </c>
      <c r="J382" s="333">
        <f t="shared" si="334"/>
        <v>0</v>
      </c>
      <c r="K382" s="278">
        <f t="shared" si="329"/>
        <v>0</v>
      </c>
      <c r="L382" s="436">
        <f t="shared" si="330"/>
        <v>0</v>
      </c>
      <c r="M382" s="337" t="str">
        <f t="shared" si="339"/>
        <v>-</v>
      </c>
      <c r="N382" s="263" t="str">
        <f t="shared" si="340"/>
        <v>-</v>
      </c>
      <c r="O382" s="508">
        <v>3.2963</v>
      </c>
      <c r="P382" s="404">
        <f t="shared" si="331"/>
        <v>0</v>
      </c>
      <c r="Q382" s="449">
        <f t="shared" si="332"/>
        <v>0</v>
      </c>
    </row>
    <row r="383" spans="1:17" ht="24" x14ac:dyDescent="0.35">
      <c r="A383" s="248" t="s">
        <v>101</v>
      </c>
      <c r="B383" s="546"/>
      <c r="C383" s="544" t="s">
        <v>89</v>
      </c>
      <c r="D383" s="511"/>
      <c r="E383" s="436"/>
      <c r="F383" s="333">
        <f t="shared" si="333"/>
        <v>0</v>
      </c>
      <c r="G383" s="278"/>
      <c r="H383" s="278"/>
      <c r="I383" s="352" t="str">
        <f>IFERROR(F383/#REF!,"-")</f>
        <v>-</v>
      </c>
      <c r="J383" s="333">
        <f t="shared" si="334"/>
        <v>0</v>
      </c>
      <c r="K383" s="278">
        <f t="shared" si="329"/>
        <v>0</v>
      </c>
      <c r="L383" s="436">
        <f t="shared" si="330"/>
        <v>0</v>
      </c>
      <c r="M383" s="337" t="str">
        <f t="shared" si="339"/>
        <v>-</v>
      </c>
      <c r="N383" s="263" t="str">
        <f t="shared" si="340"/>
        <v>-</v>
      </c>
      <c r="O383" s="508">
        <v>2.3201000000000001</v>
      </c>
      <c r="P383" s="404">
        <f t="shared" si="331"/>
        <v>0</v>
      </c>
      <c r="Q383" s="449">
        <f t="shared" si="332"/>
        <v>0</v>
      </c>
    </row>
    <row r="384" spans="1:17" ht="24.75" thickBot="1" x14ac:dyDescent="0.3">
      <c r="A384" s="248" t="s">
        <v>101</v>
      </c>
      <c r="B384" s="524"/>
      <c r="C384" s="541"/>
      <c r="D384" s="530"/>
      <c r="E384" s="462"/>
      <c r="F384" s="460">
        <f t="shared" si="333"/>
        <v>0</v>
      </c>
      <c r="G384" s="461"/>
      <c r="H384" s="461"/>
      <c r="I384" s="532" t="str">
        <f>IFERROR(F384/#REF!,"-")</f>
        <v>-</v>
      </c>
      <c r="J384" s="460">
        <f t="shared" si="334"/>
        <v>0</v>
      </c>
      <c r="K384" s="461">
        <f t="shared" si="329"/>
        <v>0</v>
      </c>
      <c r="L384" s="462">
        <f t="shared" si="330"/>
        <v>0</v>
      </c>
      <c r="M384" s="683" t="str">
        <f t="shared" si="339"/>
        <v>-</v>
      </c>
      <c r="N384" s="264" t="str">
        <f t="shared" si="340"/>
        <v>-</v>
      </c>
      <c r="O384" s="539"/>
      <c r="P384" s="536">
        <f t="shared" si="331"/>
        <v>0</v>
      </c>
      <c r="Q384" s="537">
        <f t="shared" si="332"/>
        <v>0</v>
      </c>
    </row>
    <row r="385" spans="1:17" ht="23.25" customHeight="1" thickBot="1" x14ac:dyDescent="0.3">
      <c r="A385" s="274" t="s">
        <v>101</v>
      </c>
      <c r="B385" s="1028" t="s">
        <v>25</v>
      </c>
      <c r="C385" s="964"/>
      <c r="D385" s="513">
        <f>SUM(D358:D384)</f>
        <v>0</v>
      </c>
      <c r="E385" s="526">
        <v>100000</v>
      </c>
      <c r="F385" s="519">
        <f>SUM(F353:F384)</f>
        <v>95598</v>
      </c>
      <c r="G385" s="519">
        <f>SUM(G353:G384)</f>
        <v>94270</v>
      </c>
      <c r="H385" s="519">
        <f>SUM(H353:H384)</f>
        <v>1328</v>
      </c>
      <c r="I385" s="520" t="str">
        <f>IFERROR(F385/#REF!,"-")</f>
        <v>-</v>
      </c>
      <c r="J385" s="513">
        <f>SUM(J353:J384)</f>
        <v>716372</v>
      </c>
      <c r="K385" s="513">
        <f t="shared" ref="K385:L385" si="341">SUM(K353:K384)</f>
        <v>708433</v>
      </c>
      <c r="L385" s="513">
        <f t="shared" si="341"/>
        <v>7939</v>
      </c>
      <c r="M385" s="521" t="str">
        <f t="shared" si="339"/>
        <v>-</v>
      </c>
      <c r="N385" s="520">
        <f t="shared" si="340"/>
        <v>1.1082231019637841E-2</v>
      </c>
      <c r="O385" s="522"/>
      <c r="P385" s="523">
        <f>SUM(P353:P384)</f>
        <v>728050.74</v>
      </c>
      <c r="Q385" s="523">
        <f>SUM(Q353:Q384)</f>
        <v>5058344.7753999997</v>
      </c>
    </row>
    <row r="386" spans="1:17" ht="23.25" customHeight="1" thickBot="1" x14ac:dyDescent="0.3">
      <c r="A386" s="318" t="s">
        <v>101</v>
      </c>
      <c r="B386" s="1029" t="s">
        <v>249</v>
      </c>
      <c r="C386" s="1030"/>
      <c r="D386" s="326">
        <f>+D357+D385</f>
        <v>0</v>
      </c>
      <c r="E386" s="327">
        <f>+E357+E385</f>
        <v>100000</v>
      </c>
      <c r="F386" s="326">
        <f>+F385</f>
        <v>95598</v>
      </c>
      <c r="G386" s="326">
        <f t="shared" ref="G386:H386" si="342">+G385</f>
        <v>94270</v>
      </c>
      <c r="H386" s="326">
        <f t="shared" si="342"/>
        <v>1328</v>
      </c>
      <c r="I386" s="349" t="str">
        <f>IFERROR(F386/#REF!,"-")</f>
        <v>-</v>
      </c>
      <c r="J386" s="326">
        <f>+J385</f>
        <v>716372</v>
      </c>
      <c r="K386" s="326">
        <f t="shared" ref="K386:L386" si="343">+K385</f>
        <v>708433</v>
      </c>
      <c r="L386" s="326">
        <f t="shared" si="343"/>
        <v>7939</v>
      </c>
      <c r="M386" s="341" t="str">
        <f t="shared" si="339"/>
        <v>-</v>
      </c>
      <c r="N386" s="349">
        <f t="shared" si="340"/>
        <v>1.1082231019637841E-2</v>
      </c>
      <c r="O386" s="394"/>
      <c r="P386" s="410">
        <f>+P385</f>
        <v>728050.74</v>
      </c>
      <c r="Q386" s="428">
        <f>Q385</f>
        <v>5058344.7753999997</v>
      </c>
    </row>
    <row r="387" spans="1:17" ht="26.25" thickBot="1" x14ac:dyDescent="0.3">
      <c r="A387" s="319"/>
      <c r="B387" s="1031" t="s">
        <v>174</v>
      </c>
      <c r="C387" s="1032"/>
      <c r="D387" s="374">
        <f>+D386+D352+D343</f>
        <v>0</v>
      </c>
      <c r="E387" s="374">
        <f>+E386+E352+E343</f>
        <v>230000</v>
      </c>
      <c r="F387" s="374">
        <f>+F386+F352+F343</f>
        <v>254709</v>
      </c>
      <c r="G387" s="374">
        <f>+G386+G352+G343</f>
        <v>251170</v>
      </c>
      <c r="H387" s="374">
        <f>+H386+H352+H343</f>
        <v>3539</v>
      </c>
      <c r="I387" s="375" t="str">
        <f>IFERROR(F387/#REF!,"-")</f>
        <v>-</v>
      </c>
      <c r="J387" s="374">
        <f>+J386+J352+J343</f>
        <v>2025902</v>
      </c>
      <c r="K387" s="374">
        <f>+K386+K352+K343</f>
        <v>2004133</v>
      </c>
      <c r="L387" s="374">
        <f>+L386+L352+L343</f>
        <v>21769</v>
      </c>
      <c r="M387" s="375" t="str">
        <f t="shared" si="339"/>
        <v>-</v>
      </c>
      <c r="N387" s="375">
        <f>IFERROR(L387/J387,"-")</f>
        <v>1.0745337138716483E-2</v>
      </c>
      <c r="O387" s="401"/>
      <c r="P387" s="418">
        <f>+P386+P352+P343</f>
        <v>1737241.3900000001</v>
      </c>
      <c r="Q387" s="418">
        <f>+Q386+Q352+Q343</f>
        <v>11359183.9604</v>
      </c>
    </row>
    <row r="388" spans="1:17" ht="24.6" customHeight="1" thickBot="1" x14ac:dyDescent="0.3">
      <c r="A388" s="230"/>
      <c r="B388" s="230"/>
      <c r="C388" s="230"/>
      <c r="D388" s="232"/>
      <c r="E388" s="232"/>
      <c r="F388" s="232"/>
      <c r="G388" s="267"/>
      <c r="H388" s="267"/>
      <c r="I388" s="234"/>
      <c r="J388" s="232"/>
      <c r="K388" s="232"/>
      <c r="L388" s="232"/>
      <c r="M388" s="234"/>
      <c r="N388" s="234"/>
    </row>
    <row r="389" spans="1:17" ht="22.5" customHeight="1" x14ac:dyDescent="0.25">
      <c r="A389" s="1033" t="s">
        <v>1</v>
      </c>
      <c r="B389" s="1036" t="s">
        <v>2</v>
      </c>
      <c r="C389" s="1039" t="s">
        <v>396</v>
      </c>
      <c r="D389" s="987" t="s">
        <v>4</v>
      </c>
      <c r="E389" s="988"/>
      <c r="F389" s="988"/>
      <c r="G389" s="988"/>
      <c r="H389" s="988"/>
      <c r="I389" s="988"/>
      <c r="J389" s="988"/>
      <c r="K389" s="988"/>
      <c r="L389" s="988"/>
      <c r="M389" s="988"/>
      <c r="N389" s="989"/>
      <c r="O389" s="1011" t="s">
        <v>167</v>
      </c>
      <c r="P389" s="1012"/>
      <c r="Q389" s="1042"/>
    </row>
    <row r="390" spans="1:17" ht="22.5" customHeight="1" x14ac:dyDescent="0.25">
      <c r="A390" s="1034"/>
      <c r="B390" s="1037"/>
      <c r="C390" s="1040"/>
      <c r="D390" s="990" t="s">
        <v>7</v>
      </c>
      <c r="E390" s="992" t="s">
        <v>108</v>
      </c>
      <c r="F390" s="1043" t="s">
        <v>516</v>
      </c>
      <c r="G390" s="995"/>
      <c r="H390" s="995"/>
      <c r="I390" s="996"/>
      <c r="J390" s="997" t="s">
        <v>8</v>
      </c>
      <c r="K390" s="998"/>
      <c r="L390" s="999"/>
      <c r="M390" s="1000" t="s">
        <v>165</v>
      </c>
      <c r="N390" s="1002" t="s">
        <v>164</v>
      </c>
      <c r="O390" s="1044" t="s">
        <v>169</v>
      </c>
      <c r="P390" s="1045"/>
      <c r="Q390" s="1046"/>
    </row>
    <row r="391" spans="1:17" ht="45.75" thickBot="1" x14ac:dyDescent="0.3">
      <c r="A391" s="1035"/>
      <c r="B391" s="1038"/>
      <c r="C391" s="1041"/>
      <c r="D391" s="991"/>
      <c r="E391" s="993"/>
      <c r="F391" s="452" t="s">
        <v>13</v>
      </c>
      <c r="G391" s="453" t="s">
        <v>14</v>
      </c>
      <c r="H391" s="453" t="s">
        <v>15</v>
      </c>
      <c r="I391" s="454" t="s">
        <v>166</v>
      </c>
      <c r="J391" s="680" t="s">
        <v>13</v>
      </c>
      <c r="K391" s="678" t="s">
        <v>14</v>
      </c>
      <c r="L391" s="679" t="s">
        <v>15</v>
      </c>
      <c r="M391" s="1001"/>
      <c r="N391" s="1003"/>
      <c r="O391" s="444" t="s">
        <v>170</v>
      </c>
      <c r="P391" s="445" t="s">
        <v>11</v>
      </c>
      <c r="Q391" s="446" t="s">
        <v>12</v>
      </c>
    </row>
    <row r="392" spans="1:17" ht="24" x14ac:dyDescent="0.25">
      <c r="A392" s="268" t="s">
        <v>103</v>
      </c>
      <c r="B392" s="439"/>
      <c r="C392" s="269" t="s">
        <v>502</v>
      </c>
      <c r="D392" s="270"/>
      <c r="E392" s="271"/>
      <c r="F392" s="332">
        <f>+G392+H392</f>
        <v>72000</v>
      </c>
      <c r="G392" s="272">
        <v>72000</v>
      </c>
      <c r="H392" s="272"/>
      <c r="I392" s="351" t="str">
        <f>IFERROR(F392/#REF!,"-")</f>
        <v>-</v>
      </c>
      <c r="J392" s="457">
        <f>+K392+L392</f>
        <v>128000</v>
      </c>
      <c r="K392" s="458">
        <f>+G392+K329</f>
        <v>128000</v>
      </c>
      <c r="L392" s="458">
        <f>+H392+L329</f>
        <v>0</v>
      </c>
      <c r="M392" s="336" t="str">
        <f>IFERROR(J392/D392,"-")</f>
        <v>-</v>
      </c>
      <c r="N392" s="343">
        <f t="shared" ref="N392:N393" si="344">IFERROR(L392/J392,"-")</f>
        <v>0</v>
      </c>
      <c r="O392" s="786">
        <v>0</v>
      </c>
      <c r="P392" s="402">
        <f>+O392*G392</f>
        <v>0</v>
      </c>
      <c r="Q392" s="447">
        <f>+O392*K392</f>
        <v>0</v>
      </c>
    </row>
    <row r="393" spans="1:17" ht="24" x14ac:dyDescent="0.25">
      <c r="A393" s="274" t="s">
        <v>103</v>
      </c>
      <c r="B393" s="438"/>
      <c r="C393" s="275" t="s">
        <v>245</v>
      </c>
      <c r="D393" s="276"/>
      <c r="E393" s="277"/>
      <c r="F393" s="333">
        <f t="shared" ref="F393:F396" si="345">+G393+H393</f>
        <v>0</v>
      </c>
      <c r="G393" s="719"/>
      <c r="H393" s="719"/>
      <c r="I393" s="352" t="str">
        <f>IFERROR(F393/#REF!,"-")</f>
        <v>-</v>
      </c>
      <c r="J393" s="333">
        <f t="shared" ref="J393:J396" si="346">+K393+L393</f>
        <v>115874</v>
      </c>
      <c r="K393" s="278">
        <f t="shared" ref="K393:K396" si="347">+G393+K330</f>
        <v>115000</v>
      </c>
      <c r="L393" s="436">
        <f t="shared" ref="L393:L396" si="348">+H393+L330</f>
        <v>874</v>
      </c>
      <c r="M393" s="337" t="str">
        <f t="shared" ref="M393:M396" si="349">IFERROR(J393/D393,"-")</f>
        <v>-</v>
      </c>
      <c r="N393" s="265">
        <f t="shared" si="344"/>
        <v>7.5426756649464074E-3</v>
      </c>
      <c r="O393" s="508">
        <v>2.3978999999999999</v>
      </c>
      <c r="P393" s="404">
        <f>+O393*G393</f>
        <v>0</v>
      </c>
      <c r="Q393" s="449">
        <f>+O393*K393</f>
        <v>275758.5</v>
      </c>
    </row>
    <row r="394" spans="1:17" ht="24" x14ac:dyDescent="0.25">
      <c r="A394" s="274" t="s">
        <v>103</v>
      </c>
      <c r="B394" s="438"/>
      <c r="C394" s="275" t="s">
        <v>395</v>
      </c>
      <c r="D394" s="276"/>
      <c r="E394" s="277"/>
      <c r="F394" s="333">
        <f t="shared" si="345"/>
        <v>158179</v>
      </c>
      <c r="G394" s="278">
        <v>156750</v>
      </c>
      <c r="H394" s="719">
        <v>1429</v>
      </c>
      <c r="I394" s="352" t="str">
        <f>IFERROR(F394/#REF!,"-")</f>
        <v>-</v>
      </c>
      <c r="J394" s="333">
        <f t="shared" si="346"/>
        <v>598129</v>
      </c>
      <c r="K394" s="278">
        <f t="shared" si="347"/>
        <v>592750</v>
      </c>
      <c r="L394" s="436">
        <f t="shared" si="348"/>
        <v>5379</v>
      </c>
      <c r="M394" s="337" t="str">
        <f t="shared" si="349"/>
        <v>-</v>
      </c>
      <c r="N394" s="716">
        <f>IFERROR(L394/J394,"-")</f>
        <v>8.993043306711428E-3</v>
      </c>
      <c r="O394" s="718">
        <v>3.6777000000000002</v>
      </c>
      <c r="P394" s="404">
        <f t="shared" ref="P394:P396" si="350">+O394*G394</f>
        <v>576479.47499999998</v>
      </c>
      <c r="Q394" s="449">
        <f t="shared" ref="Q394:Q396" si="351">+O394*K394</f>
        <v>2179956.6750000003</v>
      </c>
    </row>
    <row r="395" spans="1:17" ht="24" x14ac:dyDescent="0.25">
      <c r="A395" s="274"/>
      <c r="B395" s="451"/>
      <c r="C395" s="275" t="s">
        <v>319</v>
      </c>
      <c r="D395" s="280"/>
      <c r="E395" s="281"/>
      <c r="F395" s="333">
        <f t="shared" si="345"/>
        <v>11211</v>
      </c>
      <c r="G395" s="282">
        <v>11000</v>
      </c>
      <c r="H395" s="282">
        <v>211</v>
      </c>
      <c r="I395" s="352" t="str">
        <f>IFERROR(F395/#REF!,"-")</f>
        <v>-</v>
      </c>
      <c r="J395" s="333">
        <f t="shared" si="346"/>
        <v>236767</v>
      </c>
      <c r="K395" s="278">
        <f t="shared" si="347"/>
        <v>232800</v>
      </c>
      <c r="L395" s="436">
        <f t="shared" si="348"/>
        <v>3967</v>
      </c>
      <c r="M395" s="337" t="str">
        <f t="shared" si="349"/>
        <v>-</v>
      </c>
      <c r="N395" s="265">
        <f>IFERROR(L395/J395,"-")</f>
        <v>1.6754868710588892E-2</v>
      </c>
      <c r="O395" s="509">
        <v>12.284700000000001</v>
      </c>
      <c r="P395" s="404">
        <f t="shared" si="350"/>
        <v>135131.70000000001</v>
      </c>
      <c r="Q395" s="449">
        <f t="shared" si="351"/>
        <v>2859878.16</v>
      </c>
    </row>
    <row r="396" spans="1:17" ht="24.75" thickBot="1" x14ac:dyDescent="0.3">
      <c r="A396" s="274" t="s">
        <v>103</v>
      </c>
      <c r="B396" s="451"/>
      <c r="C396" s="275" t="s">
        <v>365</v>
      </c>
      <c r="D396" s="280"/>
      <c r="E396" s="281"/>
      <c r="F396" s="334">
        <f t="shared" si="345"/>
        <v>0</v>
      </c>
      <c r="G396" s="282"/>
      <c r="H396" s="282"/>
      <c r="I396" s="353" t="str">
        <f>IFERROR(F396/#REF!,"-")</f>
        <v>-</v>
      </c>
      <c r="J396" s="460">
        <f t="shared" si="346"/>
        <v>45034</v>
      </c>
      <c r="K396" s="461">
        <f t="shared" si="347"/>
        <v>44250</v>
      </c>
      <c r="L396" s="462">
        <f t="shared" si="348"/>
        <v>784</v>
      </c>
      <c r="M396" s="338" t="str">
        <f t="shared" si="349"/>
        <v>-</v>
      </c>
      <c r="N396" s="344">
        <f t="shared" ref="N396:N408" si="352">IFERROR(L396/J396,"-")</f>
        <v>1.7409068703646134E-2</v>
      </c>
      <c r="O396" s="718">
        <v>7.0612000000000004</v>
      </c>
      <c r="P396" s="405">
        <f t="shared" si="350"/>
        <v>0</v>
      </c>
      <c r="Q396" s="450">
        <f t="shared" si="351"/>
        <v>312458.10000000003</v>
      </c>
    </row>
    <row r="397" spans="1:17" ht="23.25" customHeight="1" thickBot="1" x14ac:dyDescent="0.3">
      <c r="A397" s="274" t="s">
        <v>103</v>
      </c>
      <c r="B397" s="1028" t="s">
        <v>21</v>
      </c>
      <c r="C397" s="964"/>
      <c r="D397" s="320">
        <f>SUM(D392:D396)</f>
        <v>0</v>
      </c>
      <c r="E397" s="285">
        <v>15000</v>
      </c>
      <c r="F397" s="320">
        <f>SUM(F392:F396)</f>
        <v>241390</v>
      </c>
      <c r="G397" s="321">
        <f>SUM(G392:G396)</f>
        <v>239750</v>
      </c>
      <c r="H397" s="321">
        <f>SUM(H392:H396)</f>
        <v>1640</v>
      </c>
      <c r="I397" s="345" t="str">
        <f>IFERROR(F397/#REF!,"-")</f>
        <v>-</v>
      </c>
      <c r="J397" s="320">
        <f>SUM(J392:J396)</f>
        <v>1123804</v>
      </c>
      <c r="K397" s="321">
        <f>SUM(K392:K396)</f>
        <v>1112800</v>
      </c>
      <c r="L397" s="322">
        <f>SUM(L392:L396)</f>
        <v>11004</v>
      </c>
      <c r="M397" s="339" t="str">
        <f>IFERROR(J397/D397,"-")</f>
        <v>-</v>
      </c>
      <c r="N397" s="345">
        <f t="shared" si="352"/>
        <v>9.7917430441607257E-3</v>
      </c>
      <c r="O397" s="391"/>
      <c r="P397" s="406">
        <f>SUM(P392:P396)</f>
        <v>711611.17500000005</v>
      </c>
      <c r="Q397" s="425">
        <f>SUM(Q392:Q396)</f>
        <v>5628051.4350000005</v>
      </c>
    </row>
    <row r="398" spans="1:17" ht="24" x14ac:dyDescent="0.25">
      <c r="A398" s="274" t="s">
        <v>103</v>
      </c>
      <c r="B398" s="439"/>
      <c r="C398" s="269" t="s">
        <v>244</v>
      </c>
      <c r="D398" s="270"/>
      <c r="E398" s="271"/>
      <c r="F398" s="332">
        <f t="shared" ref="F398:F404" si="353">+G398+H398</f>
        <v>0</v>
      </c>
      <c r="G398" s="272"/>
      <c r="H398" s="272"/>
      <c r="I398" s="351" t="str">
        <f>IFERROR(F398/#REF!,"-")</f>
        <v>-</v>
      </c>
      <c r="J398" s="457">
        <f t="shared" ref="J398:J404" si="354">+K398+L398</f>
        <v>0</v>
      </c>
      <c r="K398" s="458">
        <f t="shared" ref="K398:K404" si="355">+G398+K335</f>
        <v>0</v>
      </c>
      <c r="L398" s="459">
        <f t="shared" ref="L398:L404" si="356">+H398+L335</f>
        <v>0</v>
      </c>
      <c r="M398" s="336" t="str">
        <f t="shared" ref="M398:M406" si="357">IFERROR(J398/D398,"-")</f>
        <v>-</v>
      </c>
      <c r="N398" s="346" t="str">
        <f t="shared" si="352"/>
        <v>-</v>
      </c>
      <c r="O398" s="507">
        <v>18.2316</v>
      </c>
      <c r="P398" s="402">
        <f t="shared" ref="P398:P404" si="358">+O398*G398</f>
        <v>0</v>
      </c>
      <c r="Q398" s="447">
        <f t="shared" ref="Q398:Q404" si="359">+O398*K398</f>
        <v>0</v>
      </c>
    </row>
    <row r="399" spans="1:17" ht="24" x14ac:dyDescent="0.25">
      <c r="A399" s="274" t="s">
        <v>103</v>
      </c>
      <c r="B399" s="438"/>
      <c r="C399" s="275" t="s">
        <v>89</v>
      </c>
      <c r="D399" s="276"/>
      <c r="E399" s="277"/>
      <c r="F399" s="333">
        <f t="shared" si="353"/>
        <v>0</v>
      </c>
      <c r="G399" s="278"/>
      <c r="H399" s="278"/>
      <c r="I399" s="352" t="str">
        <f>IFERROR(F399/#REF!,"-")</f>
        <v>-</v>
      </c>
      <c r="J399" s="333">
        <f t="shared" si="354"/>
        <v>60000</v>
      </c>
      <c r="K399" s="278">
        <f t="shared" si="355"/>
        <v>60000</v>
      </c>
      <c r="L399" s="436">
        <f t="shared" si="356"/>
        <v>0</v>
      </c>
      <c r="M399" s="337" t="str">
        <f t="shared" si="357"/>
        <v>-</v>
      </c>
      <c r="N399" s="263">
        <f t="shared" si="352"/>
        <v>0</v>
      </c>
      <c r="O399" s="508">
        <v>1.2824</v>
      </c>
      <c r="P399" s="404">
        <f t="shared" si="358"/>
        <v>0</v>
      </c>
      <c r="Q399" s="449">
        <f t="shared" si="359"/>
        <v>76944</v>
      </c>
    </row>
    <row r="400" spans="1:17" ht="24" x14ac:dyDescent="0.25">
      <c r="A400" s="274" t="s">
        <v>103</v>
      </c>
      <c r="B400" s="438"/>
      <c r="C400" s="275" t="s">
        <v>300</v>
      </c>
      <c r="D400" s="276"/>
      <c r="E400" s="277"/>
      <c r="F400" s="333">
        <f t="shared" si="353"/>
        <v>0</v>
      </c>
      <c r="G400" s="278"/>
      <c r="H400" s="278"/>
      <c r="I400" s="352" t="str">
        <f>IFERROR(F400/#REF!,"-")</f>
        <v>-</v>
      </c>
      <c r="J400" s="333">
        <f t="shared" si="354"/>
        <v>0</v>
      </c>
      <c r="K400" s="278">
        <f t="shared" si="355"/>
        <v>0</v>
      </c>
      <c r="L400" s="436">
        <f t="shared" si="356"/>
        <v>0</v>
      </c>
      <c r="M400" s="337" t="str">
        <f t="shared" si="357"/>
        <v>-</v>
      </c>
      <c r="N400" s="263" t="str">
        <f t="shared" si="352"/>
        <v>-</v>
      </c>
      <c r="O400" s="710">
        <v>5.7342000000000004</v>
      </c>
      <c r="P400" s="404">
        <f t="shared" si="358"/>
        <v>0</v>
      </c>
      <c r="Q400" s="449">
        <f t="shared" si="359"/>
        <v>0</v>
      </c>
    </row>
    <row r="401" spans="1:17" ht="24" x14ac:dyDescent="0.25">
      <c r="A401" s="274" t="s">
        <v>103</v>
      </c>
      <c r="B401" s="438"/>
      <c r="C401" s="275" t="s">
        <v>314</v>
      </c>
      <c r="D401" s="276"/>
      <c r="E401" s="277"/>
      <c r="F401" s="333">
        <f t="shared" si="353"/>
        <v>0</v>
      </c>
      <c r="G401" s="278"/>
      <c r="H401" s="278"/>
      <c r="I401" s="352" t="str">
        <f>IFERROR(F401/#REF!,"-")</f>
        <v>-</v>
      </c>
      <c r="J401" s="333">
        <f t="shared" si="354"/>
        <v>0</v>
      </c>
      <c r="K401" s="278">
        <f t="shared" si="355"/>
        <v>0</v>
      </c>
      <c r="L401" s="436">
        <f t="shared" si="356"/>
        <v>0</v>
      </c>
      <c r="M401" s="337" t="str">
        <f t="shared" si="357"/>
        <v>-</v>
      </c>
      <c r="N401" s="263" t="str">
        <f t="shared" si="352"/>
        <v>-</v>
      </c>
      <c r="O401" s="508"/>
      <c r="P401" s="404">
        <f t="shared" si="358"/>
        <v>0</v>
      </c>
      <c r="Q401" s="449">
        <f t="shared" si="359"/>
        <v>0</v>
      </c>
    </row>
    <row r="402" spans="1:17" ht="24" x14ac:dyDescent="0.25">
      <c r="A402" s="274" t="s">
        <v>103</v>
      </c>
      <c r="B402" s="438"/>
      <c r="C402" s="275" t="s">
        <v>320</v>
      </c>
      <c r="D402" s="276"/>
      <c r="E402" s="277"/>
      <c r="F402" s="333">
        <f t="shared" si="353"/>
        <v>0</v>
      </c>
      <c r="G402" s="278"/>
      <c r="H402" s="278"/>
      <c r="I402" s="352" t="str">
        <f>IFERROR(F402/#REF!,"-")</f>
        <v>-</v>
      </c>
      <c r="J402" s="333">
        <f t="shared" si="354"/>
        <v>51560</v>
      </c>
      <c r="K402" s="278">
        <f t="shared" si="355"/>
        <v>51400</v>
      </c>
      <c r="L402" s="436">
        <f t="shared" si="356"/>
        <v>160</v>
      </c>
      <c r="M402" s="337" t="str">
        <f t="shared" si="357"/>
        <v>-</v>
      </c>
      <c r="N402" s="263">
        <f t="shared" si="352"/>
        <v>3.1031807602792862E-3</v>
      </c>
      <c r="O402" s="508">
        <v>12.029500000000001</v>
      </c>
      <c r="P402" s="404">
        <f t="shared" si="358"/>
        <v>0</v>
      </c>
      <c r="Q402" s="449">
        <f t="shared" si="359"/>
        <v>618316.30000000005</v>
      </c>
    </row>
    <row r="403" spans="1:17" ht="24" x14ac:dyDescent="0.25">
      <c r="A403" s="274" t="s">
        <v>103</v>
      </c>
      <c r="B403" s="438"/>
      <c r="C403" s="275"/>
      <c r="D403" s="276"/>
      <c r="E403" s="277"/>
      <c r="F403" s="333">
        <f t="shared" si="353"/>
        <v>0</v>
      </c>
      <c r="G403" s="278"/>
      <c r="H403" s="278"/>
      <c r="I403" s="352" t="str">
        <f>IFERROR(F403/#REF!,"-")</f>
        <v>-</v>
      </c>
      <c r="J403" s="333">
        <f t="shared" si="354"/>
        <v>0</v>
      </c>
      <c r="K403" s="278">
        <f t="shared" si="355"/>
        <v>0</v>
      </c>
      <c r="L403" s="436">
        <f t="shared" si="356"/>
        <v>0</v>
      </c>
      <c r="M403" s="337" t="str">
        <f t="shared" si="357"/>
        <v>-</v>
      </c>
      <c r="N403" s="263" t="str">
        <f t="shared" si="352"/>
        <v>-</v>
      </c>
      <c r="O403" s="508"/>
      <c r="P403" s="404">
        <f t="shared" si="358"/>
        <v>0</v>
      </c>
      <c r="Q403" s="449">
        <f t="shared" si="359"/>
        <v>0</v>
      </c>
    </row>
    <row r="404" spans="1:17" ht="24.75" thickBot="1" x14ac:dyDescent="0.3">
      <c r="A404" s="274" t="s">
        <v>103</v>
      </c>
      <c r="B404" s="451"/>
      <c r="C404" s="279"/>
      <c r="D404" s="280">
        <v>0</v>
      </c>
      <c r="E404" s="281"/>
      <c r="F404" s="334">
        <f t="shared" si="353"/>
        <v>0</v>
      </c>
      <c r="G404" s="282"/>
      <c r="H404" s="282"/>
      <c r="I404" s="353" t="str">
        <f>IFERROR(F404/#REF!,"-")</f>
        <v>-</v>
      </c>
      <c r="J404" s="460">
        <f t="shared" si="354"/>
        <v>0</v>
      </c>
      <c r="K404" s="461">
        <f t="shared" si="355"/>
        <v>0</v>
      </c>
      <c r="L404" s="462">
        <f t="shared" si="356"/>
        <v>0</v>
      </c>
      <c r="M404" s="338" t="str">
        <f t="shared" si="357"/>
        <v>-</v>
      </c>
      <c r="N404" s="347" t="str">
        <f t="shared" si="352"/>
        <v>-</v>
      </c>
      <c r="O404" s="509"/>
      <c r="P404" s="405">
        <f t="shared" si="358"/>
        <v>0</v>
      </c>
      <c r="Q404" s="450">
        <f t="shared" si="359"/>
        <v>0</v>
      </c>
    </row>
    <row r="405" spans="1:17" ht="23.25" customHeight="1" thickBot="1" x14ac:dyDescent="0.3">
      <c r="A405" s="274" t="s">
        <v>103</v>
      </c>
      <c r="B405" s="1028" t="s">
        <v>25</v>
      </c>
      <c r="C405" s="964"/>
      <c r="D405" s="320">
        <f t="shared" ref="D405" si="360">SUM(D398:D404)</f>
        <v>0</v>
      </c>
      <c r="E405" s="285">
        <v>100000</v>
      </c>
      <c r="F405" s="320">
        <f>SUM(F398:F404)</f>
        <v>0</v>
      </c>
      <c r="G405" s="321">
        <f t="shared" ref="G405:H405" si="361">SUM(G398:G404)</f>
        <v>0</v>
      </c>
      <c r="H405" s="321">
        <f t="shared" si="361"/>
        <v>0</v>
      </c>
      <c r="I405" s="345" t="str">
        <f>IFERROR(F405/#REF!,"-")</f>
        <v>-</v>
      </c>
      <c r="J405" s="320">
        <f t="shared" ref="J405:L405" si="362">SUM(J398:J404)</f>
        <v>111560</v>
      </c>
      <c r="K405" s="321">
        <f t="shared" si="362"/>
        <v>111400</v>
      </c>
      <c r="L405" s="322">
        <f t="shared" si="362"/>
        <v>160</v>
      </c>
      <c r="M405" s="339" t="str">
        <f t="shared" si="357"/>
        <v>-</v>
      </c>
      <c r="N405" s="345">
        <f t="shared" si="352"/>
        <v>1.4342058085335247E-3</v>
      </c>
      <c r="O405" s="391"/>
      <c r="P405" s="406">
        <f t="shared" ref="P405:Q405" si="363">SUM(P398:P404)</f>
        <v>0</v>
      </c>
      <c r="Q405" s="425">
        <f t="shared" si="363"/>
        <v>695260.3</v>
      </c>
    </row>
    <row r="406" spans="1:17" ht="23.25" customHeight="1" thickBot="1" x14ac:dyDescent="0.3">
      <c r="A406" s="274" t="s">
        <v>103</v>
      </c>
      <c r="B406" s="1029" t="s">
        <v>172</v>
      </c>
      <c r="C406" s="1030"/>
      <c r="D406" s="326">
        <f>+D397+D405</f>
        <v>0</v>
      </c>
      <c r="E406" s="327">
        <f t="shared" ref="E406:H406" si="364">+E397+E405</f>
        <v>115000</v>
      </c>
      <c r="F406" s="326">
        <f t="shared" si="364"/>
        <v>241390</v>
      </c>
      <c r="G406" s="324">
        <f t="shared" si="364"/>
        <v>239750</v>
      </c>
      <c r="H406" s="324">
        <f t="shared" si="364"/>
        <v>1640</v>
      </c>
      <c r="I406" s="349" t="str">
        <f>IFERROR(F406/#REF!,"-")</f>
        <v>-</v>
      </c>
      <c r="J406" s="326">
        <f t="shared" ref="J406:L406" si="365">+J397+J405</f>
        <v>1235364</v>
      </c>
      <c r="K406" s="324">
        <f t="shared" si="365"/>
        <v>1224200</v>
      </c>
      <c r="L406" s="325">
        <f t="shared" si="365"/>
        <v>11164</v>
      </c>
      <c r="M406" s="341" t="str">
        <f t="shared" si="357"/>
        <v>-</v>
      </c>
      <c r="N406" s="349">
        <f t="shared" si="352"/>
        <v>9.0370125728125479E-3</v>
      </c>
      <c r="O406" s="394"/>
      <c r="P406" s="410">
        <f t="shared" ref="P406:Q406" si="366">+P397+P405</f>
        <v>711611.17500000005</v>
      </c>
      <c r="Q406" s="428">
        <f t="shared" si="366"/>
        <v>6323311.7350000003</v>
      </c>
    </row>
    <row r="407" spans="1:17" ht="24" x14ac:dyDescent="0.25">
      <c r="A407" s="244" t="s">
        <v>101</v>
      </c>
      <c r="B407" s="581"/>
      <c r="C407" s="582" t="s">
        <v>283</v>
      </c>
      <c r="D407" s="527"/>
      <c r="E407" s="459"/>
      <c r="F407" s="457">
        <f>+G407+H407</f>
        <v>0</v>
      </c>
      <c r="G407" s="458"/>
      <c r="H407" s="458"/>
      <c r="I407" s="531" t="str">
        <f>IFERROR(F407/#REF!,"-")</f>
        <v>-</v>
      </c>
      <c r="J407" s="457">
        <f>+K407+L407</f>
        <v>0</v>
      </c>
      <c r="K407" s="458">
        <f t="shared" ref="K407:K413" si="367">+G407+K344</f>
        <v>0</v>
      </c>
      <c r="L407" s="459">
        <f t="shared" ref="L407:L413" si="368">+H407+L344</f>
        <v>0</v>
      </c>
      <c r="M407" s="586" t="str">
        <f>IFERROR(J407/D407,"-")</f>
        <v>-</v>
      </c>
      <c r="N407" s="533" t="str">
        <f t="shared" si="352"/>
        <v>-</v>
      </c>
      <c r="O407" s="628">
        <v>4.8285999999999998</v>
      </c>
      <c r="P407" s="534">
        <f t="shared" ref="P407:P413" si="369">+O407*G407</f>
        <v>0</v>
      </c>
      <c r="Q407" s="535">
        <f t="shared" ref="Q407:Q413" si="370">+O407*K407</f>
        <v>0</v>
      </c>
    </row>
    <row r="408" spans="1:17" ht="24" x14ac:dyDescent="0.25">
      <c r="A408" s="248" t="s">
        <v>101</v>
      </c>
      <c r="B408" s="583"/>
      <c r="C408" s="275" t="s">
        <v>284</v>
      </c>
      <c r="D408" s="276"/>
      <c r="E408" s="436"/>
      <c r="F408" s="333">
        <f t="shared" ref="F408:F413" si="371">+G408+H408</f>
        <v>0</v>
      </c>
      <c r="G408" s="278"/>
      <c r="H408" s="278"/>
      <c r="I408" s="352" t="str">
        <f>IFERROR(F408/#REF!,"-")</f>
        <v>-</v>
      </c>
      <c r="J408" s="333">
        <f t="shared" ref="J408:J413" si="372">+K408+L408</f>
        <v>0</v>
      </c>
      <c r="K408" s="278">
        <f t="shared" si="367"/>
        <v>0</v>
      </c>
      <c r="L408" s="436">
        <f t="shared" si="368"/>
        <v>0</v>
      </c>
      <c r="M408" s="337" t="str">
        <f t="shared" ref="M408:M410" si="373">IFERROR(J408/D408,"-")</f>
        <v>-</v>
      </c>
      <c r="N408" s="265" t="str">
        <f t="shared" si="352"/>
        <v>-</v>
      </c>
      <c r="O408" s="629">
        <v>1.4086000000000001</v>
      </c>
      <c r="P408" s="404">
        <f t="shared" si="369"/>
        <v>0</v>
      </c>
      <c r="Q408" s="449">
        <f t="shared" si="370"/>
        <v>0</v>
      </c>
    </row>
    <row r="409" spans="1:17" ht="24" x14ac:dyDescent="0.25">
      <c r="A409" s="248" t="s">
        <v>101</v>
      </c>
      <c r="B409" s="583"/>
      <c r="C409" s="275" t="s">
        <v>315</v>
      </c>
      <c r="D409" s="276"/>
      <c r="E409" s="436"/>
      <c r="F409" s="333">
        <f t="shared" si="371"/>
        <v>0</v>
      </c>
      <c r="G409" s="278"/>
      <c r="H409" s="278"/>
      <c r="I409" s="352" t="str">
        <f>IFERROR(F409/#REF!,"-")</f>
        <v>-</v>
      </c>
      <c r="J409" s="333">
        <f t="shared" si="372"/>
        <v>0</v>
      </c>
      <c r="K409" s="278">
        <f t="shared" si="367"/>
        <v>0</v>
      </c>
      <c r="L409" s="436">
        <f t="shared" si="368"/>
        <v>0</v>
      </c>
      <c r="M409" s="337" t="str">
        <f t="shared" si="373"/>
        <v>-</v>
      </c>
      <c r="N409" s="265" t="str">
        <f>IFERROR(L409/J409,"-")</f>
        <v>-</v>
      </c>
      <c r="O409" s="629">
        <v>2.2141000000000002</v>
      </c>
      <c r="P409" s="404">
        <f t="shared" si="369"/>
        <v>0</v>
      </c>
      <c r="Q409" s="449">
        <f t="shared" si="370"/>
        <v>0</v>
      </c>
    </row>
    <row r="410" spans="1:17" ht="24" x14ac:dyDescent="0.25">
      <c r="A410" s="248" t="s">
        <v>101</v>
      </c>
      <c r="B410" s="584"/>
      <c r="C410" s="275" t="s">
        <v>447</v>
      </c>
      <c r="D410" s="280"/>
      <c r="E410" s="528"/>
      <c r="F410" s="334">
        <f t="shared" si="371"/>
        <v>30720</v>
      </c>
      <c r="G410" s="282">
        <v>29750</v>
      </c>
      <c r="H410" s="282">
        <v>970</v>
      </c>
      <c r="I410" s="353" t="str">
        <f>IFERROR(F410/#REF!,"-")</f>
        <v>-</v>
      </c>
      <c r="J410" s="333">
        <f t="shared" si="372"/>
        <v>346276</v>
      </c>
      <c r="K410" s="278">
        <f t="shared" si="367"/>
        <v>341000</v>
      </c>
      <c r="L410" s="436">
        <f t="shared" si="368"/>
        <v>5276</v>
      </c>
      <c r="M410" s="338" t="str">
        <f t="shared" si="373"/>
        <v>-</v>
      </c>
      <c r="N410" s="344">
        <f t="shared" ref="N410:N417" si="374">IFERROR(L410/J410,"-")</f>
        <v>1.5236401021150758E-2</v>
      </c>
      <c r="O410" s="629">
        <v>2.2141000000000002</v>
      </c>
      <c r="P410" s="405">
        <f t="shared" si="369"/>
        <v>65869.475000000006</v>
      </c>
      <c r="Q410" s="450">
        <f t="shared" si="370"/>
        <v>755008.10000000009</v>
      </c>
    </row>
    <row r="411" spans="1:17" ht="24" x14ac:dyDescent="0.25">
      <c r="A411" s="248" t="s">
        <v>101</v>
      </c>
      <c r="B411" s="440"/>
      <c r="C411" s="627" t="s">
        <v>353</v>
      </c>
      <c r="D411" s="510"/>
      <c r="E411" s="529"/>
      <c r="F411" s="333">
        <f t="shared" si="371"/>
        <v>0</v>
      </c>
      <c r="G411" s="547"/>
      <c r="H411" s="547"/>
      <c r="I411" s="352" t="str">
        <f>IFERROR(F411/#REF!,"-")</f>
        <v>-</v>
      </c>
      <c r="J411" s="333">
        <f t="shared" si="372"/>
        <v>0</v>
      </c>
      <c r="K411" s="278">
        <f t="shared" si="367"/>
        <v>0</v>
      </c>
      <c r="L411" s="436">
        <f t="shared" si="368"/>
        <v>0</v>
      </c>
      <c r="M411" s="682"/>
      <c r="N411" s="265" t="str">
        <f t="shared" si="374"/>
        <v>-</v>
      </c>
      <c r="O411" s="540">
        <v>4.8285999999999998</v>
      </c>
      <c r="P411" s="404">
        <f t="shared" si="369"/>
        <v>0</v>
      </c>
      <c r="Q411" s="449">
        <f t="shared" si="370"/>
        <v>0</v>
      </c>
    </row>
    <row r="412" spans="1:17" ht="24" x14ac:dyDescent="0.25">
      <c r="A412" s="248" t="s">
        <v>101</v>
      </c>
      <c r="B412" s="585"/>
      <c r="C412" s="627" t="s">
        <v>349</v>
      </c>
      <c r="D412" s="270"/>
      <c r="E412" s="435"/>
      <c r="F412" s="332">
        <f t="shared" si="371"/>
        <v>0</v>
      </c>
      <c r="G412" s="272"/>
      <c r="H412" s="272"/>
      <c r="I412" s="351" t="str">
        <f>IFERROR(F412/#REF!,"-")</f>
        <v>-</v>
      </c>
      <c r="J412" s="333">
        <f t="shared" si="372"/>
        <v>0</v>
      </c>
      <c r="K412" s="278">
        <f t="shared" si="367"/>
        <v>0</v>
      </c>
      <c r="L412" s="436">
        <f t="shared" si="368"/>
        <v>0</v>
      </c>
      <c r="M412" s="336" t="str">
        <f t="shared" ref="M412:M413" si="375">IFERROR(J412/D412,"-")</f>
        <v>-</v>
      </c>
      <c r="N412" s="346" t="str">
        <f t="shared" si="374"/>
        <v>-</v>
      </c>
      <c r="O412" s="507">
        <v>4.1712999999999996</v>
      </c>
      <c r="P412" s="402">
        <f t="shared" si="369"/>
        <v>0</v>
      </c>
      <c r="Q412" s="447">
        <f t="shared" si="370"/>
        <v>0</v>
      </c>
    </row>
    <row r="413" spans="1:17" ht="24.75" thickBot="1" x14ac:dyDescent="0.3">
      <c r="A413" s="248" t="s">
        <v>101</v>
      </c>
      <c r="B413" s="583"/>
      <c r="C413" s="275"/>
      <c r="D413" s="276"/>
      <c r="E413" s="436"/>
      <c r="F413" s="333">
        <f t="shared" si="371"/>
        <v>0</v>
      </c>
      <c r="G413" s="278"/>
      <c r="H413" s="278"/>
      <c r="I413" s="352" t="str">
        <f>IFERROR(F413/#REF!,"-")</f>
        <v>-</v>
      </c>
      <c r="J413" s="460">
        <f t="shared" si="372"/>
        <v>0</v>
      </c>
      <c r="K413" s="461">
        <f t="shared" si="367"/>
        <v>0</v>
      </c>
      <c r="L413" s="462">
        <f t="shared" si="368"/>
        <v>0</v>
      </c>
      <c r="M413" s="337" t="str">
        <f t="shared" si="375"/>
        <v>-</v>
      </c>
      <c r="N413" s="263" t="str">
        <f t="shared" si="374"/>
        <v>-</v>
      </c>
      <c r="O413" s="448"/>
      <c r="P413" s="404">
        <f t="shared" si="369"/>
        <v>0</v>
      </c>
      <c r="Q413" s="449">
        <f t="shared" si="370"/>
        <v>0</v>
      </c>
    </row>
    <row r="414" spans="1:17" ht="23.25" customHeight="1" thickBot="1" x14ac:dyDescent="0.3">
      <c r="A414" s="274" t="s">
        <v>101</v>
      </c>
      <c r="B414" s="1028" t="s">
        <v>21</v>
      </c>
      <c r="C414" s="964"/>
      <c r="D414" s="320">
        <v>0</v>
      </c>
      <c r="E414" s="285">
        <v>15000</v>
      </c>
      <c r="F414" s="320">
        <f>SUM(F407:F413)</f>
        <v>30720</v>
      </c>
      <c r="G414" s="321">
        <f t="shared" ref="G414:H414" si="376">SUM(G407:G413)</f>
        <v>29750</v>
      </c>
      <c r="H414" s="321">
        <f t="shared" si="376"/>
        <v>970</v>
      </c>
      <c r="I414" s="345" t="str">
        <f>IFERROR(F414/#REF!,"-")</f>
        <v>-</v>
      </c>
      <c r="J414" s="513">
        <f t="shared" ref="J414" si="377">SUM(J407:J413)</f>
        <v>346276</v>
      </c>
      <c r="K414" s="519">
        <f>SUM(K407:K413)</f>
        <v>341000</v>
      </c>
      <c r="L414" s="519">
        <f>SUM(L407:L413)</f>
        <v>5276</v>
      </c>
      <c r="M414" s="339" t="str">
        <f>IFERROR(J414/D414,"-")</f>
        <v>-</v>
      </c>
      <c r="N414" s="345">
        <f t="shared" si="374"/>
        <v>1.5236401021150758E-2</v>
      </c>
      <c r="O414" s="391"/>
      <c r="P414" s="406">
        <f>SUM(P407:P413)</f>
        <v>65869.475000000006</v>
      </c>
      <c r="Q414" s="425">
        <f>SUM(Q407:Q413)</f>
        <v>755008.10000000009</v>
      </c>
    </row>
    <row r="415" spans="1:17" ht="23.25" customHeight="1" thickBot="1" x14ac:dyDescent="0.3">
      <c r="A415" s="274" t="s">
        <v>101</v>
      </c>
      <c r="B415" s="1029" t="s">
        <v>248</v>
      </c>
      <c r="C415" s="1030"/>
      <c r="D415" s="512">
        <f>+D411+D414</f>
        <v>0</v>
      </c>
      <c r="E415" s="525">
        <f>+E411+E414</f>
        <v>15000</v>
      </c>
      <c r="F415" s="512">
        <f>+F411+F414</f>
        <v>30720</v>
      </c>
      <c r="G415" s="514">
        <f>+G411+G414</f>
        <v>29750</v>
      </c>
      <c r="H415" s="514">
        <f>+H411+H414</f>
        <v>970</v>
      </c>
      <c r="I415" s="515" t="str">
        <f>IFERROR(F415/#REF!,"-")</f>
        <v>-</v>
      </c>
      <c r="J415" s="512">
        <f>+J411+J414</f>
        <v>346276</v>
      </c>
      <c r="K415" s="514">
        <f>+K414</f>
        <v>341000</v>
      </c>
      <c r="L415" s="514">
        <f>+L414</f>
        <v>5276</v>
      </c>
      <c r="M415" s="516" t="str">
        <f t="shared" ref="M415" si="378">IFERROR(J415/D415,"-")</f>
        <v>-</v>
      </c>
      <c r="N415" s="515">
        <f t="shared" si="374"/>
        <v>1.5236401021150758E-2</v>
      </c>
      <c r="O415" s="517"/>
      <c r="P415" s="518">
        <f>+P414</f>
        <v>65869.475000000006</v>
      </c>
      <c r="Q415" s="518">
        <f>+Q414</f>
        <v>755008.10000000009</v>
      </c>
    </row>
    <row r="416" spans="1:17" ht="24" x14ac:dyDescent="0.35">
      <c r="A416" s="244" t="s">
        <v>101</v>
      </c>
      <c r="B416" s="1025" t="s">
        <v>250</v>
      </c>
      <c r="C416" s="542" t="s">
        <v>71</v>
      </c>
      <c r="D416" s="527"/>
      <c r="E416" s="459"/>
      <c r="F416" s="457">
        <f>+G416+H416</f>
        <v>5085</v>
      </c>
      <c r="G416" s="458">
        <v>5000</v>
      </c>
      <c r="H416" s="458">
        <v>85</v>
      </c>
      <c r="I416" s="531" t="str">
        <f>IFERROR(F416/#REF!,"-")</f>
        <v>-</v>
      </c>
      <c r="J416" s="457">
        <f>+K416+L416</f>
        <v>5085</v>
      </c>
      <c r="K416" s="458">
        <f t="shared" ref="K416:K447" si="379">+G416+K353</f>
        <v>5000</v>
      </c>
      <c r="L416" s="459">
        <f t="shared" ref="L416:L447" si="380">+H416+L353</f>
        <v>85</v>
      </c>
      <c r="M416" s="586" t="str">
        <f>IFERROR(J416/D416,"-")</f>
        <v>-</v>
      </c>
      <c r="N416" s="533">
        <f t="shared" si="374"/>
        <v>1.6715830875122909E-2</v>
      </c>
      <c r="O416" s="538">
        <v>32.946300000000001</v>
      </c>
      <c r="P416" s="534">
        <f t="shared" ref="P416:P447" si="381">+O416*G416</f>
        <v>164731.5</v>
      </c>
      <c r="Q416" s="535">
        <f t="shared" ref="Q416:Q447" si="382">+O416*K416</f>
        <v>164731.5</v>
      </c>
    </row>
    <row r="417" spans="1:17" ht="24" x14ac:dyDescent="0.35">
      <c r="A417" s="248" t="s">
        <v>101</v>
      </c>
      <c r="B417" s="1026"/>
      <c r="C417" s="543" t="s">
        <v>72</v>
      </c>
      <c r="D417" s="511"/>
      <c r="E417" s="436"/>
      <c r="F417" s="333">
        <f t="shared" ref="F417:F447" si="383">+G417+H417</f>
        <v>0</v>
      </c>
      <c r="G417" s="278"/>
      <c r="H417" s="278"/>
      <c r="I417" s="352" t="str">
        <f>IFERROR(F417/#REF!,"-")</f>
        <v>-</v>
      </c>
      <c r="J417" s="333">
        <f t="shared" ref="J417:J447" si="384">+K417+L417</f>
        <v>10595</v>
      </c>
      <c r="K417" s="278">
        <f t="shared" si="379"/>
        <v>10500</v>
      </c>
      <c r="L417" s="436">
        <f t="shared" si="380"/>
        <v>95</v>
      </c>
      <c r="M417" s="337" t="str">
        <f t="shared" ref="M417:M419" si="385">IFERROR(J417/D417,"-")</f>
        <v>-</v>
      </c>
      <c r="N417" s="265">
        <f t="shared" si="374"/>
        <v>8.9664936290703157E-3</v>
      </c>
      <c r="O417" s="508">
        <v>35.398400000000002</v>
      </c>
      <c r="P417" s="404">
        <f t="shared" si="381"/>
        <v>0</v>
      </c>
      <c r="Q417" s="449">
        <f t="shared" si="382"/>
        <v>371683.2</v>
      </c>
    </row>
    <row r="418" spans="1:17" ht="24.75" thickBot="1" x14ac:dyDescent="0.4">
      <c r="A418" s="248" t="s">
        <v>101</v>
      </c>
      <c r="B418" s="1027"/>
      <c r="C418" s="543" t="s">
        <v>455</v>
      </c>
      <c r="D418" s="276"/>
      <c r="E418" s="436"/>
      <c r="F418" s="333">
        <f t="shared" si="383"/>
        <v>2092</v>
      </c>
      <c r="G418" s="278">
        <v>2000</v>
      </c>
      <c r="H418" s="278">
        <v>92</v>
      </c>
      <c r="I418" s="352" t="str">
        <f>IFERROR(F418/#REF!,"-")</f>
        <v>-</v>
      </c>
      <c r="J418" s="333">
        <f t="shared" si="384"/>
        <v>10147</v>
      </c>
      <c r="K418" s="278">
        <f t="shared" si="379"/>
        <v>9900</v>
      </c>
      <c r="L418" s="436">
        <f t="shared" si="380"/>
        <v>247</v>
      </c>
      <c r="M418" s="337" t="str">
        <f t="shared" si="385"/>
        <v>-</v>
      </c>
      <c r="N418" s="265">
        <f>IFERROR(L418/J418,"-")</f>
        <v>2.4342170099536809E-2</v>
      </c>
      <c r="O418" s="508">
        <v>35.398400000000002</v>
      </c>
      <c r="P418" s="404">
        <f t="shared" si="381"/>
        <v>70796.800000000003</v>
      </c>
      <c r="Q418" s="449">
        <f t="shared" si="382"/>
        <v>350444.16000000003</v>
      </c>
    </row>
    <row r="419" spans="1:17" ht="24" x14ac:dyDescent="0.35">
      <c r="A419" s="248" t="s">
        <v>101</v>
      </c>
      <c r="B419" s="1025" t="s">
        <v>251</v>
      </c>
      <c r="C419" s="545" t="s">
        <v>75</v>
      </c>
      <c r="D419" s="276"/>
      <c r="E419" s="528"/>
      <c r="F419" s="334">
        <f t="shared" si="383"/>
        <v>2442</v>
      </c>
      <c r="G419" s="278">
        <v>2400</v>
      </c>
      <c r="H419" s="278">
        <v>42</v>
      </c>
      <c r="I419" s="352" t="str">
        <f>IFERROR(F419/#REF!,"-")</f>
        <v>-</v>
      </c>
      <c r="J419" s="333">
        <f t="shared" si="384"/>
        <v>15602</v>
      </c>
      <c r="K419" s="278">
        <f t="shared" si="379"/>
        <v>15163</v>
      </c>
      <c r="L419" s="436">
        <f t="shared" si="380"/>
        <v>439</v>
      </c>
      <c r="M419" s="337" t="str">
        <f t="shared" si="385"/>
        <v>-</v>
      </c>
      <c r="N419" s="265">
        <f t="shared" ref="N419" si="386">IFERROR(L419/J419,"-")</f>
        <v>2.813741827970773E-2</v>
      </c>
      <c r="O419" s="508">
        <v>55.4758</v>
      </c>
      <c r="P419" s="404">
        <f t="shared" si="381"/>
        <v>133141.92000000001</v>
      </c>
      <c r="Q419" s="449">
        <f t="shared" si="382"/>
        <v>841179.55539999995</v>
      </c>
    </row>
    <row r="420" spans="1:17" ht="24" x14ac:dyDescent="0.35">
      <c r="A420" s="248" t="s">
        <v>101</v>
      </c>
      <c r="B420" s="1026"/>
      <c r="C420" s="545" t="s">
        <v>72</v>
      </c>
      <c r="D420" s="276"/>
      <c r="E420" s="529"/>
      <c r="F420" s="334">
        <f t="shared" si="383"/>
        <v>0</v>
      </c>
      <c r="G420" s="278"/>
      <c r="H420" s="278"/>
      <c r="I420" s="352" t="str">
        <f>IFERROR(F420/#REF!,"-")</f>
        <v>-</v>
      </c>
      <c r="J420" s="333">
        <f t="shared" si="384"/>
        <v>0</v>
      </c>
      <c r="K420" s="278">
        <f t="shared" si="379"/>
        <v>0</v>
      </c>
      <c r="L420" s="436">
        <f t="shared" si="380"/>
        <v>0</v>
      </c>
      <c r="M420" s="682"/>
      <c r="N420" s="372"/>
      <c r="O420" s="540">
        <v>58.836300000000001</v>
      </c>
      <c r="P420" s="404">
        <f t="shared" si="381"/>
        <v>0</v>
      </c>
      <c r="Q420" s="449">
        <f t="shared" si="382"/>
        <v>0</v>
      </c>
    </row>
    <row r="421" spans="1:17" ht="24" x14ac:dyDescent="0.35">
      <c r="A421" s="248" t="s">
        <v>101</v>
      </c>
      <c r="B421" s="1026"/>
      <c r="C421" s="545" t="s">
        <v>347</v>
      </c>
      <c r="D421" s="276"/>
      <c r="E421" s="435"/>
      <c r="F421" s="334">
        <f t="shared" si="383"/>
        <v>0</v>
      </c>
      <c r="G421" s="278"/>
      <c r="H421" s="278"/>
      <c r="I421" s="352" t="str">
        <f>IFERROR(F421/#REF!,"-")</f>
        <v>-</v>
      </c>
      <c r="J421" s="333">
        <f t="shared" si="384"/>
        <v>0</v>
      </c>
      <c r="K421" s="278">
        <f t="shared" si="379"/>
        <v>0</v>
      </c>
      <c r="L421" s="436">
        <f t="shared" si="380"/>
        <v>0</v>
      </c>
      <c r="M421" s="337" t="str">
        <f t="shared" ref="M421" si="387">IFERROR(J421/D421,"-")</f>
        <v>-</v>
      </c>
      <c r="N421" s="263" t="str">
        <f t="shared" ref="N421" si="388">IFERROR(L421/J421,"-")</f>
        <v>-</v>
      </c>
      <c r="O421" s="710">
        <v>58.836300000000001</v>
      </c>
      <c r="P421" s="404">
        <f t="shared" si="381"/>
        <v>0</v>
      </c>
      <c r="Q421" s="449">
        <f t="shared" si="382"/>
        <v>0</v>
      </c>
    </row>
    <row r="422" spans="1:17" ht="24.75" thickBot="1" x14ac:dyDescent="0.4">
      <c r="A422" s="248"/>
      <c r="B422" s="1027"/>
      <c r="C422" s="545" t="s">
        <v>361</v>
      </c>
      <c r="D422" s="276"/>
      <c r="E422" s="435"/>
      <c r="F422" s="334">
        <f t="shared" si="383"/>
        <v>0</v>
      </c>
      <c r="G422" s="278"/>
      <c r="H422" s="278"/>
      <c r="I422" s="352"/>
      <c r="J422" s="333">
        <f t="shared" si="384"/>
        <v>0</v>
      </c>
      <c r="K422" s="278">
        <f t="shared" si="379"/>
        <v>0</v>
      </c>
      <c r="L422" s="436">
        <f t="shared" si="380"/>
        <v>0</v>
      </c>
      <c r="M422" s="337"/>
      <c r="N422" s="263" t="str">
        <f>IFERROR(L422/J422,"-")</f>
        <v>-</v>
      </c>
      <c r="O422" s="508">
        <v>55.4758</v>
      </c>
      <c r="P422" s="404">
        <f t="shared" si="381"/>
        <v>0</v>
      </c>
      <c r="Q422" s="449">
        <f t="shared" si="382"/>
        <v>0</v>
      </c>
    </row>
    <row r="423" spans="1:17" ht="24" x14ac:dyDescent="0.35">
      <c r="A423" s="248" t="s">
        <v>101</v>
      </c>
      <c r="B423" s="1025" t="s">
        <v>409</v>
      </c>
      <c r="C423" s="543" t="s">
        <v>77</v>
      </c>
      <c r="D423" s="276"/>
      <c r="E423" s="436"/>
      <c r="F423" s="333">
        <f t="shared" si="383"/>
        <v>6088</v>
      </c>
      <c r="G423" s="278">
        <v>6000</v>
      </c>
      <c r="H423" s="278">
        <v>88</v>
      </c>
      <c r="I423" s="352" t="str">
        <f>IFERROR(F423/#REF!,"-")</f>
        <v>-</v>
      </c>
      <c r="J423" s="333">
        <f t="shared" si="384"/>
        <v>14648</v>
      </c>
      <c r="K423" s="719">
        <f t="shared" si="379"/>
        <v>14500</v>
      </c>
      <c r="L423" s="815">
        <f t="shared" si="380"/>
        <v>148</v>
      </c>
      <c r="M423" s="337" t="str">
        <f t="shared" ref="M423:M450" si="389">IFERROR(J423/D423,"-")</f>
        <v>-</v>
      </c>
      <c r="N423" s="263">
        <f t="shared" ref="N423:N449" si="390">IFERROR(L423/J423,"-")</f>
        <v>1.0103768432550519E-2</v>
      </c>
      <c r="O423" s="508">
        <v>25.687200000000001</v>
      </c>
      <c r="P423" s="404">
        <f t="shared" si="381"/>
        <v>154123.20000000001</v>
      </c>
      <c r="Q423" s="449">
        <f t="shared" si="382"/>
        <v>372464.4</v>
      </c>
    </row>
    <row r="424" spans="1:17" ht="24.75" thickBot="1" x14ac:dyDescent="0.4">
      <c r="A424" s="248" t="s">
        <v>101</v>
      </c>
      <c r="B424" s="1027"/>
      <c r="C424" s="543" t="s">
        <v>117</v>
      </c>
      <c r="D424" s="276"/>
      <c r="E424" s="436"/>
      <c r="F424" s="333">
        <f t="shared" si="383"/>
        <v>0</v>
      </c>
      <c r="G424" s="278"/>
      <c r="H424" s="278"/>
      <c r="I424" s="352" t="str">
        <f>IFERROR(F424/#REF!,"-")</f>
        <v>-</v>
      </c>
      <c r="J424" s="333">
        <f t="shared" si="384"/>
        <v>0</v>
      </c>
      <c r="K424" s="278">
        <f t="shared" si="379"/>
        <v>0</v>
      </c>
      <c r="L424" s="436">
        <f t="shared" si="380"/>
        <v>0</v>
      </c>
      <c r="M424" s="337" t="str">
        <f t="shared" si="389"/>
        <v>-</v>
      </c>
      <c r="N424" s="263" t="str">
        <f t="shared" si="390"/>
        <v>-</v>
      </c>
      <c r="O424" s="508">
        <v>25.033899999999999</v>
      </c>
      <c r="P424" s="404">
        <f t="shared" si="381"/>
        <v>0</v>
      </c>
      <c r="Q424" s="449">
        <f t="shared" si="382"/>
        <v>0</v>
      </c>
    </row>
    <row r="425" spans="1:17" ht="24" x14ac:dyDescent="0.35">
      <c r="A425" s="248"/>
      <c r="B425" s="1025" t="s">
        <v>410</v>
      </c>
      <c r="C425" s="543" t="s">
        <v>79</v>
      </c>
      <c r="D425" s="276"/>
      <c r="E425" s="436"/>
      <c r="F425" s="333">
        <f t="shared" si="383"/>
        <v>1742</v>
      </c>
      <c r="G425" s="278">
        <v>1700</v>
      </c>
      <c r="H425" s="278">
        <v>42</v>
      </c>
      <c r="I425" s="352" t="str">
        <f>IFERROR(F425/#REF!,"-")</f>
        <v>-</v>
      </c>
      <c r="J425" s="333">
        <f t="shared" si="384"/>
        <v>5620</v>
      </c>
      <c r="K425" s="278">
        <f t="shared" si="379"/>
        <v>5500</v>
      </c>
      <c r="L425" s="436">
        <f t="shared" si="380"/>
        <v>120</v>
      </c>
      <c r="M425" s="337" t="str">
        <f t="shared" si="389"/>
        <v>-</v>
      </c>
      <c r="N425" s="263">
        <f t="shared" si="390"/>
        <v>2.1352313167259787E-2</v>
      </c>
      <c r="O425" s="508">
        <v>41.992699999999999</v>
      </c>
      <c r="P425" s="404">
        <f t="shared" si="381"/>
        <v>71387.59</v>
      </c>
      <c r="Q425" s="449">
        <f t="shared" si="382"/>
        <v>230959.85</v>
      </c>
    </row>
    <row r="426" spans="1:17" ht="24" x14ac:dyDescent="0.35">
      <c r="A426" s="248"/>
      <c r="B426" s="1026"/>
      <c r="C426" s="543" t="s">
        <v>72</v>
      </c>
      <c r="D426" s="276"/>
      <c r="E426" s="436"/>
      <c r="F426" s="333">
        <f t="shared" si="383"/>
        <v>0</v>
      </c>
      <c r="G426" s="278"/>
      <c r="H426" s="278"/>
      <c r="I426" s="352" t="str">
        <f>IFERROR(F426/#REF!,"-")</f>
        <v>-</v>
      </c>
      <c r="J426" s="333">
        <f t="shared" si="384"/>
        <v>0</v>
      </c>
      <c r="K426" s="278">
        <f t="shared" si="379"/>
        <v>0</v>
      </c>
      <c r="L426" s="436">
        <f t="shared" si="380"/>
        <v>0</v>
      </c>
      <c r="M426" s="337" t="str">
        <f t="shared" si="389"/>
        <v>-</v>
      </c>
      <c r="N426" s="263" t="str">
        <f t="shared" si="390"/>
        <v>-</v>
      </c>
      <c r="O426" s="508">
        <v>42.283799999999999</v>
      </c>
      <c r="P426" s="404">
        <f t="shared" si="381"/>
        <v>0</v>
      </c>
      <c r="Q426" s="449">
        <f t="shared" si="382"/>
        <v>0</v>
      </c>
    </row>
    <row r="427" spans="1:17" ht="24" x14ac:dyDescent="0.35">
      <c r="A427" s="248"/>
      <c r="B427" s="1026"/>
      <c r="C427" s="543" t="s">
        <v>380</v>
      </c>
      <c r="D427" s="276"/>
      <c r="E427" s="436"/>
      <c r="F427" s="333">
        <f t="shared" si="383"/>
        <v>0</v>
      </c>
      <c r="G427" s="278"/>
      <c r="H427" s="278"/>
      <c r="I427" s="352" t="str">
        <f>IFERROR(F427/#REF!,"-")</f>
        <v>-</v>
      </c>
      <c r="J427" s="333">
        <f t="shared" si="384"/>
        <v>0</v>
      </c>
      <c r="K427" s="278">
        <f t="shared" si="379"/>
        <v>0</v>
      </c>
      <c r="L427" s="436">
        <f t="shared" si="380"/>
        <v>0</v>
      </c>
      <c r="M427" s="337" t="str">
        <f t="shared" si="389"/>
        <v>-</v>
      </c>
      <c r="N427" s="263" t="str">
        <f t="shared" si="390"/>
        <v>-</v>
      </c>
      <c r="O427" s="710">
        <v>41.992699999999999</v>
      </c>
      <c r="P427" s="404">
        <f t="shared" si="381"/>
        <v>0</v>
      </c>
      <c r="Q427" s="449">
        <f t="shared" si="382"/>
        <v>0</v>
      </c>
    </row>
    <row r="428" spans="1:17" ht="24.75" thickBot="1" x14ac:dyDescent="0.4">
      <c r="A428" s="248"/>
      <c r="B428" s="1027"/>
      <c r="C428" s="543" t="s">
        <v>381</v>
      </c>
      <c r="D428" s="276"/>
      <c r="E428" s="436"/>
      <c r="F428" s="333">
        <f t="shared" si="383"/>
        <v>0</v>
      </c>
      <c r="G428" s="278"/>
      <c r="H428" s="278"/>
      <c r="I428" s="352" t="str">
        <f>IFERROR(F428/#REF!,"-")</f>
        <v>-</v>
      </c>
      <c r="J428" s="333">
        <f t="shared" si="384"/>
        <v>0</v>
      </c>
      <c r="K428" s="278">
        <f t="shared" si="379"/>
        <v>0</v>
      </c>
      <c r="L428" s="436">
        <f t="shared" si="380"/>
        <v>0</v>
      </c>
      <c r="M428" s="337" t="str">
        <f t="shared" si="389"/>
        <v>-</v>
      </c>
      <c r="N428" s="263" t="str">
        <f t="shared" si="390"/>
        <v>-</v>
      </c>
      <c r="O428" s="710">
        <v>42.283799999999999</v>
      </c>
      <c r="P428" s="404">
        <f t="shared" si="381"/>
        <v>0</v>
      </c>
      <c r="Q428" s="449">
        <f t="shared" si="382"/>
        <v>0</v>
      </c>
    </row>
    <row r="429" spans="1:17" ht="24.75" thickBot="1" x14ac:dyDescent="0.4">
      <c r="A429" s="248"/>
      <c r="B429" s="717" t="s">
        <v>80</v>
      </c>
      <c r="C429" s="543" t="s">
        <v>81</v>
      </c>
      <c r="D429" s="276"/>
      <c r="E429" s="436"/>
      <c r="F429" s="333">
        <f t="shared" si="383"/>
        <v>3320</v>
      </c>
      <c r="G429" s="278">
        <v>3200</v>
      </c>
      <c r="H429" s="278">
        <v>120</v>
      </c>
      <c r="I429" s="352" t="str">
        <f>IFERROR(F429/#REF!,"-")</f>
        <v>-</v>
      </c>
      <c r="J429" s="333">
        <f t="shared" si="384"/>
        <v>11608</v>
      </c>
      <c r="K429" s="278">
        <f t="shared" si="379"/>
        <v>11000</v>
      </c>
      <c r="L429" s="436">
        <f t="shared" si="380"/>
        <v>608</v>
      </c>
      <c r="M429" s="337" t="str">
        <f t="shared" si="389"/>
        <v>-</v>
      </c>
      <c r="N429" s="263">
        <f t="shared" si="390"/>
        <v>5.2377670572019294E-2</v>
      </c>
      <c r="O429" s="508">
        <v>4.3535000000000004</v>
      </c>
      <c r="P429" s="404">
        <f t="shared" si="381"/>
        <v>13931.2</v>
      </c>
      <c r="Q429" s="449">
        <f t="shared" si="382"/>
        <v>47888.500000000007</v>
      </c>
    </row>
    <row r="430" spans="1:17" ht="24" x14ac:dyDescent="0.35">
      <c r="A430" s="248"/>
      <c r="B430" s="1025" t="s">
        <v>253</v>
      </c>
      <c r="C430" s="543" t="s">
        <v>77</v>
      </c>
      <c r="D430" s="276"/>
      <c r="E430" s="436"/>
      <c r="F430" s="333">
        <f t="shared" si="383"/>
        <v>45314</v>
      </c>
      <c r="G430" s="278">
        <v>45100</v>
      </c>
      <c r="H430" s="278">
        <v>214</v>
      </c>
      <c r="I430" s="352" t="str">
        <f>IFERROR(F430/#REF!,"-")</f>
        <v>-</v>
      </c>
      <c r="J430" s="333">
        <f t="shared" si="384"/>
        <v>296050</v>
      </c>
      <c r="K430" s="278">
        <f t="shared" si="379"/>
        <v>294800</v>
      </c>
      <c r="L430" s="436">
        <f t="shared" si="380"/>
        <v>1250</v>
      </c>
      <c r="M430" s="337" t="str">
        <f t="shared" si="389"/>
        <v>-</v>
      </c>
      <c r="N430" s="263">
        <f t="shared" si="390"/>
        <v>4.2222597534200303E-3</v>
      </c>
      <c r="O430" s="508">
        <v>4.6184000000000003</v>
      </c>
      <c r="P430" s="404">
        <f t="shared" si="381"/>
        <v>208289.84000000003</v>
      </c>
      <c r="Q430" s="449">
        <f t="shared" si="382"/>
        <v>1361504.32</v>
      </c>
    </row>
    <row r="431" spans="1:17" ht="24" x14ac:dyDescent="0.35">
      <c r="A431" s="248"/>
      <c r="B431" s="1026"/>
      <c r="C431" s="543" t="s">
        <v>340</v>
      </c>
      <c r="D431" s="276"/>
      <c r="E431" s="436"/>
      <c r="F431" s="333">
        <f t="shared" si="383"/>
        <v>0</v>
      </c>
      <c r="G431" s="278"/>
      <c r="H431" s="278"/>
      <c r="I431" s="352" t="str">
        <f>IFERROR(F431/#REF!,"-")</f>
        <v>-</v>
      </c>
      <c r="J431" s="333">
        <f t="shared" si="384"/>
        <v>0</v>
      </c>
      <c r="K431" s="278">
        <f t="shared" si="379"/>
        <v>0</v>
      </c>
      <c r="L431" s="436">
        <f t="shared" si="380"/>
        <v>0</v>
      </c>
      <c r="M431" s="337" t="str">
        <f t="shared" si="389"/>
        <v>-</v>
      </c>
      <c r="N431" s="263" t="str">
        <f t="shared" si="390"/>
        <v>-</v>
      </c>
      <c r="O431" s="508">
        <v>4.6184000000000003</v>
      </c>
      <c r="P431" s="404">
        <f t="shared" si="381"/>
        <v>0</v>
      </c>
      <c r="Q431" s="449">
        <f t="shared" si="382"/>
        <v>0</v>
      </c>
    </row>
    <row r="432" spans="1:17" ht="24" x14ac:dyDescent="0.35">
      <c r="A432" s="248"/>
      <c r="B432" s="1026"/>
      <c r="C432" s="543" t="s">
        <v>252</v>
      </c>
      <c r="D432" s="276"/>
      <c r="E432" s="436"/>
      <c r="F432" s="333">
        <f t="shared" si="383"/>
        <v>0</v>
      </c>
      <c r="G432" s="278"/>
      <c r="H432" s="278"/>
      <c r="I432" s="352" t="str">
        <f>IFERROR(F432/#REF!,"-")</f>
        <v>-</v>
      </c>
      <c r="J432" s="333">
        <f t="shared" si="384"/>
        <v>0</v>
      </c>
      <c r="K432" s="278">
        <f t="shared" si="379"/>
        <v>0</v>
      </c>
      <c r="L432" s="436">
        <f t="shared" si="380"/>
        <v>0</v>
      </c>
      <c r="M432" s="337" t="str">
        <f t="shared" si="389"/>
        <v>-</v>
      </c>
      <c r="N432" s="263" t="str">
        <f t="shared" si="390"/>
        <v>-</v>
      </c>
      <c r="O432" s="508">
        <v>4.6184000000000003</v>
      </c>
      <c r="P432" s="404">
        <f t="shared" si="381"/>
        <v>0</v>
      </c>
      <c r="Q432" s="449">
        <f t="shared" si="382"/>
        <v>0</v>
      </c>
    </row>
    <row r="433" spans="1:17" ht="24" x14ac:dyDescent="0.35">
      <c r="A433" s="248"/>
      <c r="B433" s="1026"/>
      <c r="C433" s="543" t="s">
        <v>350</v>
      </c>
      <c r="D433" s="276"/>
      <c r="E433" s="436"/>
      <c r="F433" s="333">
        <f t="shared" si="383"/>
        <v>0</v>
      </c>
      <c r="G433" s="278"/>
      <c r="H433" s="278"/>
      <c r="I433" s="352" t="str">
        <f>IFERROR(F433/#REF!,"-")</f>
        <v>-</v>
      </c>
      <c r="J433" s="333">
        <f t="shared" si="384"/>
        <v>0</v>
      </c>
      <c r="K433" s="686">
        <f t="shared" si="379"/>
        <v>0</v>
      </c>
      <c r="L433" s="687">
        <f t="shared" si="380"/>
        <v>0</v>
      </c>
      <c r="M433" s="337" t="str">
        <f t="shared" si="389"/>
        <v>-</v>
      </c>
      <c r="N433" s="263" t="str">
        <f t="shared" si="390"/>
        <v>-</v>
      </c>
      <c r="O433" s="508">
        <v>4.7636000000000003</v>
      </c>
      <c r="P433" s="404">
        <f t="shared" si="381"/>
        <v>0</v>
      </c>
      <c r="Q433" s="449">
        <f t="shared" si="382"/>
        <v>0</v>
      </c>
    </row>
    <row r="434" spans="1:17" ht="24.75" thickBot="1" x14ac:dyDescent="0.4">
      <c r="A434" s="248"/>
      <c r="B434" s="1027"/>
      <c r="C434" s="543" t="s">
        <v>346</v>
      </c>
      <c r="D434" s="276"/>
      <c r="E434" s="436"/>
      <c r="F434" s="333">
        <f t="shared" si="383"/>
        <v>0</v>
      </c>
      <c r="G434" s="278"/>
      <c r="H434" s="278"/>
      <c r="I434" s="352" t="str">
        <f>IFERROR(F434/#REF!,"-")</f>
        <v>-</v>
      </c>
      <c r="J434" s="333">
        <f t="shared" si="384"/>
        <v>0</v>
      </c>
      <c r="K434" s="278">
        <f t="shared" si="379"/>
        <v>0</v>
      </c>
      <c r="L434" s="436">
        <f t="shared" si="380"/>
        <v>0</v>
      </c>
      <c r="M434" s="337" t="str">
        <f t="shared" si="389"/>
        <v>-</v>
      </c>
      <c r="N434" s="263" t="str">
        <f t="shared" si="390"/>
        <v>-</v>
      </c>
      <c r="O434" s="508">
        <v>4.8738000000000001</v>
      </c>
      <c r="P434" s="404">
        <f t="shared" si="381"/>
        <v>0</v>
      </c>
      <c r="Q434" s="449">
        <f t="shared" si="382"/>
        <v>0</v>
      </c>
    </row>
    <row r="435" spans="1:17" ht="24.75" thickBot="1" x14ac:dyDescent="0.4">
      <c r="A435" s="248"/>
      <c r="B435" s="717" t="s">
        <v>254</v>
      </c>
      <c r="C435" s="543" t="s">
        <v>520</v>
      </c>
      <c r="D435" s="276"/>
      <c r="E435" s="436"/>
      <c r="F435" s="333">
        <f t="shared" si="383"/>
        <v>11082</v>
      </c>
      <c r="G435" s="278">
        <v>11000</v>
      </c>
      <c r="H435" s="278">
        <v>82</v>
      </c>
      <c r="I435" s="352" t="str">
        <f>IFERROR(F435/#REF!,"-")</f>
        <v>-</v>
      </c>
      <c r="J435" s="333">
        <f t="shared" si="384"/>
        <v>11082</v>
      </c>
      <c r="K435" s="278">
        <f t="shared" si="379"/>
        <v>11000</v>
      </c>
      <c r="L435" s="436">
        <f t="shared" si="380"/>
        <v>82</v>
      </c>
      <c r="M435" s="337" t="str">
        <f t="shared" si="389"/>
        <v>-</v>
      </c>
      <c r="N435" s="263">
        <f t="shared" si="390"/>
        <v>7.3993863923479519E-3</v>
      </c>
      <c r="O435" s="508">
        <v>4.8738000000000001</v>
      </c>
      <c r="P435" s="404">
        <f t="shared" si="381"/>
        <v>53611.8</v>
      </c>
      <c r="Q435" s="449">
        <f t="shared" si="382"/>
        <v>53611.8</v>
      </c>
    </row>
    <row r="436" spans="1:17" ht="24" x14ac:dyDescent="0.35">
      <c r="A436" s="248"/>
      <c r="B436" s="1025" t="s">
        <v>256</v>
      </c>
      <c r="C436" s="543" t="s">
        <v>77</v>
      </c>
      <c r="D436" s="276"/>
      <c r="E436" s="436"/>
      <c r="F436" s="333">
        <f t="shared" si="383"/>
        <v>29153</v>
      </c>
      <c r="G436" s="278">
        <v>28560</v>
      </c>
      <c r="H436" s="278">
        <v>593</v>
      </c>
      <c r="I436" s="352" t="str">
        <f>IFERROR(F436/#REF!,"-")</f>
        <v>-</v>
      </c>
      <c r="J436" s="333">
        <f t="shared" si="384"/>
        <v>225022</v>
      </c>
      <c r="K436" s="719">
        <f t="shared" si="379"/>
        <v>220780</v>
      </c>
      <c r="L436" s="815">
        <f t="shared" si="380"/>
        <v>4242</v>
      </c>
      <c r="M436" s="337" t="str">
        <f t="shared" si="389"/>
        <v>-</v>
      </c>
      <c r="N436" s="263">
        <f t="shared" si="390"/>
        <v>1.885149007652585E-2</v>
      </c>
      <c r="O436" s="508">
        <v>4.9344999999999999</v>
      </c>
      <c r="P436" s="404">
        <f t="shared" si="381"/>
        <v>140929.32</v>
      </c>
      <c r="Q436" s="449">
        <f t="shared" si="382"/>
        <v>1089438.9099999999</v>
      </c>
    </row>
    <row r="437" spans="1:17" ht="24" x14ac:dyDescent="0.35">
      <c r="A437" s="248"/>
      <c r="B437" s="1026"/>
      <c r="C437" s="543" t="s">
        <v>135</v>
      </c>
      <c r="D437" s="276"/>
      <c r="E437" s="436"/>
      <c r="F437" s="333">
        <f t="shared" si="383"/>
        <v>0</v>
      </c>
      <c r="G437" s="278"/>
      <c r="H437" s="278"/>
      <c r="I437" s="352" t="str">
        <f>IFERROR(F437/#REF!,"-")</f>
        <v>-</v>
      </c>
      <c r="J437" s="333">
        <f t="shared" si="384"/>
        <v>0</v>
      </c>
      <c r="K437" s="278">
        <f t="shared" si="379"/>
        <v>0</v>
      </c>
      <c r="L437" s="436">
        <f t="shared" si="380"/>
        <v>0</v>
      </c>
      <c r="M437" s="337" t="str">
        <f t="shared" si="389"/>
        <v>-</v>
      </c>
      <c r="N437" s="263" t="str">
        <f t="shared" si="390"/>
        <v>-</v>
      </c>
      <c r="O437" s="508">
        <v>4.9344999999999999</v>
      </c>
      <c r="P437" s="404">
        <f t="shared" si="381"/>
        <v>0</v>
      </c>
      <c r="Q437" s="449">
        <f t="shared" si="382"/>
        <v>0</v>
      </c>
    </row>
    <row r="438" spans="1:17" ht="24" x14ac:dyDescent="0.35">
      <c r="A438" s="248"/>
      <c r="B438" s="1026"/>
      <c r="C438" s="543" t="s">
        <v>129</v>
      </c>
      <c r="D438" s="276"/>
      <c r="E438" s="436"/>
      <c r="F438" s="333">
        <f t="shared" si="383"/>
        <v>0</v>
      </c>
      <c r="G438" s="278"/>
      <c r="H438" s="278"/>
      <c r="I438" s="352" t="str">
        <f>IFERROR(F438/#REF!,"-")</f>
        <v>-</v>
      </c>
      <c r="J438" s="333">
        <f t="shared" si="384"/>
        <v>0</v>
      </c>
      <c r="K438" s="278">
        <f t="shared" si="379"/>
        <v>0</v>
      </c>
      <c r="L438" s="436">
        <f t="shared" si="380"/>
        <v>0</v>
      </c>
      <c r="M438" s="337" t="str">
        <f t="shared" si="389"/>
        <v>-</v>
      </c>
      <c r="N438" s="263" t="str">
        <f t="shared" si="390"/>
        <v>-</v>
      </c>
      <c r="O438" s="508">
        <v>4.9344999999999999</v>
      </c>
      <c r="P438" s="404">
        <f t="shared" si="381"/>
        <v>0</v>
      </c>
      <c r="Q438" s="449">
        <f t="shared" si="382"/>
        <v>0</v>
      </c>
    </row>
    <row r="439" spans="1:17" ht="24.75" thickBot="1" x14ac:dyDescent="0.4">
      <c r="A439" s="248"/>
      <c r="B439" s="1027"/>
      <c r="C439" s="543" t="s">
        <v>255</v>
      </c>
      <c r="D439" s="276"/>
      <c r="E439" s="436"/>
      <c r="F439" s="333">
        <f t="shared" si="383"/>
        <v>0</v>
      </c>
      <c r="G439" s="278"/>
      <c r="H439" s="278"/>
      <c r="I439" s="352" t="str">
        <f>IFERROR(F439/#REF!,"-")</f>
        <v>-</v>
      </c>
      <c r="J439" s="333">
        <f t="shared" si="384"/>
        <v>0</v>
      </c>
      <c r="K439" s="278">
        <f t="shared" si="379"/>
        <v>0</v>
      </c>
      <c r="L439" s="436">
        <f t="shared" si="380"/>
        <v>0</v>
      </c>
      <c r="M439" s="337" t="str">
        <f t="shared" si="389"/>
        <v>-</v>
      </c>
      <c r="N439" s="263" t="str">
        <f t="shared" si="390"/>
        <v>-</v>
      </c>
      <c r="O439" s="508">
        <v>5.5069999999999997</v>
      </c>
      <c r="P439" s="404">
        <f t="shared" si="381"/>
        <v>0</v>
      </c>
      <c r="Q439" s="449">
        <f t="shared" si="382"/>
        <v>0</v>
      </c>
    </row>
    <row r="440" spans="1:17" ht="24" x14ac:dyDescent="0.35">
      <c r="A440" s="248"/>
      <c r="B440" s="1025" t="s">
        <v>261</v>
      </c>
      <c r="C440" s="543" t="s">
        <v>257</v>
      </c>
      <c r="D440" s="276"/>
      <c r="E440" s="436"/>
      <c r="F440" s="333">
        <f t="shared" si="383"/>
        <v>31892</v>
      </c>
      <c r="G440" s="278">
        <v>31500</v>
      </c>
      <c r="H440" s="278">
        <v>392</v>
      </c>
      <c r="I440" s="352" t="str">
        <f>IFERROR(F440/#REF!,"-")</f>
        <v>-</v>
      </c>
      <c r="J440" s="333">
        <f t="shared" si="384"/>
        <v>249123</v>
      </c>
      <c r="K440" s="278">
        <f t="shared" si="379"/>
        <v>246750</v>
      </c>
      <c r="L440" s="687">
        <f t="shared" si="380"/>
        <v>2373</v>
      </c>
      <c r="M440" s="337" t="str">
        <f t="shared" si="389"/>
        <v>-</v>
      </c>
      <c r="N440" s="263">
        <f t="shared" si="390"/>
        <v>9.5254151563685403E-3</v>
      </c>
      <c r="O440" s="710">
        <v>5.5069999999999997</v>
      </c>
      <c r="P440" s="404">
        <f t="shared" si="381"/>
        <v>173470.5</v>
      </c>
      <c r="Q440" s="449">
        <f t="shared" si="382"/>
        <v>1358852.25</v>
      </c>
    </row>
    <row r="441" spans="1:17" ht="24" x14ac:dyDescent="0.35">
      <c r="A441" s="248"/>
      <c r="B441" s="1026"/>
      <c r="C441" s="543" t="s">
        <v>258</v>
      </c>
      <c r="D441" s="276"/>
      <c r="E441" s="436"/>
      <c r="F441" s="333">
        <f t="shared" si="383"/>
        <v>0</v>
      </c>
      <c r="G441" s="278"/>
      <c r="H441" s="278"/>
      <c r="I441" s="352" t="str">
        <f>IFERROR(F441/#REF!,"-")</f>
        <v>-</v>
      </c>
      <c r="J441" s="333">
        <f t="shared" si="384"/>
        <v>0</v>
      </c>
      <c r="K441" s="278">
        <f t="shared" si="379"/>
        <v>0</v>
      </c>
      <c r="L441" s="436">
        <f t="shared" si="380"/>
        <v>0</v>
      </c>
      <c r="M441" s="337" t="str">
        <f t="shared" si="389"/>
        <v>-</v>
      </c>
      <c r="N441" s="263" t="str">
        <f t="shared" si="390"/>
        <v>-</v>
      </c>
      <c r="O441" s="508">
        <v>5.6550000000000002</v>
      </c>
      <c r="P441" s="404">
        <f t="shared" si="381"/>
        <v>0</v>
      </c>
      <c r="Q441" s="449">
        <f t="shared" si="382"/>
        <v>0</v>
      </c>
    </row>
    <row r="442" spans="1:17" ht="24" x14ac:dyDescent="0.35">
      <c r="A442" s="248"/>
      <c r="B442" s="1026"/>
      <c r="C442" s="543" t="s">
        <v>321</v>
      </c>
      <c r="D442" s="276"/>
      <c r="E442" s="436"/>
      <c r="F442" s="333">
        <f t="shared" si="383"/>
        <v>0</v>
      </c>
      <c r="G442" s="278"/>
      <c r="H442" s="278"/>
      <c r="I442" s="352" t="str">
        <f>IFERROR(F442/#REF!,"-")</f>
        <v>-</v>
      </c>
      <c r="J442" s="333">
        <f t="shared" si="384"/>
        <v>0</v>
      </c>
      <c r="K442" s="686">
        <f t="shared" si="379"/>
        <v>0</v>
      </c>
      <c r="L442" s="687">
        <f t="shared" si="380"/>
        <v>0</v>
      </c>
      <c r="M442" s="337" t="str">
        <f t="shared" si="389"/>
        <v>-</v>
      </c>
      <c r="N442" s="263" t="str">
        <f t="shared" si="390"/>
        <v>-</v>
      </c>
      <c r="O442" s="508">
        <v>5.6550000000000002</v>
      </c>
      <c r="P442" s="404">
        <f t="shared" si="381"/>
        <v>0</v>
      </c>
      <c r="Q442" s="449">
        <f t="shared" si="382"/>
        <v>0</v>
      </c>
    </row>
    <row r="443" spans="1:17" ht="24" x14ac:dyDescent="0.35">
      <c r="A443" s="248"/>
      <c r="B443" s="1026"/>
      <c r="C443" s="543" t="s">
        <v>259</v>
      </c>
      <c r="D443" s="276"/>
      <c r="E443" s="436"/>
      <c r="F443" s="333">
        <f t="shared" si="383"/>
        <v>0</v>
      </c>
      <c r="G443" s="278"/>
      <c r="H443" s="278"/>
      <c r="I443" s="352" t="str">
        <f>IFERROR(F443/#REF!,"-")</f>
        <v>-</v>
      </c>
      <c r="J443" s="333">
        <f t="shared" si="384"/>
        <v>0</v>
      </c>
      <c r="K443" s="278">
        <f t="shared" si="379"/>
        <v>0</v>
      </c>
      <c r="L443" s="436">
        <f t="shared" si="380"/>
        <v>0</v>
      </c>
      <c r="M443" s="337" t="str">
        <f t="shared" si="389"/>
        <v>-</v>
      </c>
      <c r="N443" s="263" t="str">
        <f t="shared" si="390"/>
        <v>-</v>
      </c>
      <c r="O443" s="508">
        <v>5.6550000000000002</v>
      </c>
      <c r="P443" s="404">
        <f t="shared" si="381"/>
        <v>0</v>
      </c>
      <c r="Q443" s="449">
        <f t="shared" si="382"/>
        <v>0</v>
      </c>
    </row>
    <row r="444" spans="1:17" ht="24" x14ac:dyDescent="0.35">
      <c r="A444" s="248" t="s">
        <v>101</v>
      </c>
      <c r="B444" s="1026"/>
      <c r="C444" s="543" t="s">
        <v>260</v>
      </c>
      <c r="D444" s="276"/>
      <c r="E444" s="436"/>
      <c r="F444" s="333">
        <f t="shared" si="383"/>
        <v>0</v>
      </c>
      <c r="G444" s="278"/>
      <c r="H444" s="278"/>
      <c r="I444" s="352" t="str">
        <f>IFERROR(F444/#REF!,"-")</f>
        <v>-</v>
      </c>
      <c r="J444" s="333">
        <f t="shared" si="384"/>
        <v>0</v>
      </c>
      <c r="K444" s="278">
        <f t="shared" si="379"/>
        <v>0</v>
      </c>
      <c r="L444" s="436">
        <f t="shared" si="380"/>
        <v>0</v>
      </c>
      <c r="M444" s="337" t="str">
        <f t="shared" si="389"/>
        <v>-</v>
      </c>
      <c r="N444" s="263" t="str">
        <f t="shared" si="390"/>
        <v>-</v>
      </c>
      <c r="O444" s="508">
        <v>3.2963</v>
      </c>
      <c r="P444" s="404">
        <f t="shared" si="381"/>
        <v>0</v>
      </c>
      <c r="Q444" s="449">
        <f t="shared" si="382"/>
        <v>0</v>
      </c>
    </row>
    <row r="445" spans="1:17" ht="24.75" thickBot="1" x14ac:dyDescent="0.4">
      <c r="A445" s="248" t="s">
        <v>101</v>
      </c>
      <c r="B445" s="1027"/>
      <c r="C445" s="543" t="s">
        <v>255</v>
      </c>
      <c r="D445" s="276"/>
      <c r="E445" s="436"/>
      <c r="F445" s="333">
        <f t="shared" si="383"/>
        <v>0</v>
      </c>
      <c r="G445" s="278"/>
      <c r="H445" s="278"/>
      <c r="I445" s="352" t="str">
        <f>IFERROR(F445/#REF!,"-")</f>
        <v>-</v>
      </c>
      <c r="J445" s="333">
        <f t="shared" si="384"/>
        <v>0</v>
      </c>
      <c r="K445" s="278">
        <f t="shared" si="379"/>
        <v>0</v>
      </c>
      <c r="L445" s="436">
        <f t="shared" si="380"/>
        <v>0</v>
      </c>
      <c r="M445" s="337" t="str">
        <f t="shared" si="389"/>
        <v>-</v>
      </c>
      <c r="N445" s="263" t="str">
        <f t="shared" si="390"/>
        <v>-</v>
      </c>
      <c r="O445" s="508">
        <v>3.2963</v>
      </c>
      <c r="P445" s="404">
        <f t="shared" si="381"/>
        <v>0</v>
      </c>
      <c r="Q445" s="449">
        <f t="shared" si="382"/>
        <v>0</v>
      </c>
    </row>
    <row r="446" spans="1:17" ht="24" x14ac:dyDescent="0.35">
      <c r="A446" s="248" t="s">
        <v>101</v>
      </c>
      <c r="B446" s="546"/>
      <c r="C446" s="544" t="s">
        <v>89</v>
      </c>
      <c r="D446" s="511"/>
      <c r="E446" s="436"/>
      <c r="F446" s="333">
        <f t="shared" si="383"/>
        <v>0</v>
      </c>
      <c r="G446" s="278"/>
      <c r="H446" s="278"/>
      <c r="I446" s="352" t="str">
        <f>IFERROR(F446/#REF!,"-")</f>
        <v>-</v>
      </c>
      <c r="J446" s="333">
        <f t="shared" si="384"/>
        <v>0</v>
      </c>
      <c r="K446" s="278">
        <f t="shared" si="379"/>
        <v>0</v>
      </c>
      <c r="L446" s="436">
        <f t="shared" si="380"/>
        <v>0</v>
      </c>
      <c r="M446" s="337" t="str">
        <f t="shared" si="389"/>
        <v>-</v>
      </c>
      <c r="N446" s="263" t="str">
        <f t="shared" si="390"/>
        <v>-</v>
      </c>
      <c r="O446" s="508">
        <v>2.3201000000000001</v>
      </c>
      <c r="P446" s="404">
        <f t="shared" si="381"/>
        <v>0</v>
      </c>
      <c r="Q446" s="449">
        <f t="shared" si="382"/>
        <v>0</v>
      </c>
    </row>
    <row r="447" spans="1:17" ht="24.75" thickBot="1" x14ac:dyDescent="0.3">
      <c r="A447" s="248" t="s">
        <v>101</v>
      </c>
      <c r="B447" s="524"/>
      <c r="C447" s="541"/>
      <c r="D447" s="530"/>
      <c r="E447" s="462"/>
      <c r="F447" s="460">
        <f t="shared" si="383"/>
        <v>0</v>
      </c>
      <c r="G447" s="461"/>
      <c r="H447" s="461"/>
      <c r="I447" s="532" t="str">
        <f>IFERROR(F447/#REF!,"-")</f>
        <v>-</v>
      </c>
      <c r="J447" s="460">
        <f t="shared" si="384"/>
        <v>0</v>
      </c>
      <c r="K447" s="461">
        <f t="shared" si="379"/>
        <v>0</v>
      </c>
      <c r="L447" s="462">
        <f t="shared" si="380"/>
        <v>0</v>
      </c>
      <c r="M447" s="683" t="str">
        <f t="shared" si="389"/>
        <v>-</v>
      </c>
      <c r="N447" s="264" t="str">
        <f t="shared" si="390"/>
        <v>-</v>
      </c>
      <c r="O447" s="539"/>
      <c r="P447" s="536">
        <f t="shared" si="381"/>
        <v>0</v>
      </c>
      <c r="Q447" s="537">
        <f t="shared" si="382"/>
        <v>0</v>
      </c>
    </row>
    <row r="448" spans="1:17" ht="23.25" customHeight="1" thickBot="1" x14ac:dyDescent="0.3">
      <c r="A448" s="274" t="s">
        <v>101</v>
      </c>
      <c r="B448" s="1028" t="s">
        <v>25</v>
      </c>
      <c r="C448" s="964"/>
      <c r="D448" s="513">
        <f>SUM(D421:D447)</f>
        <v>0</v>
      </c>
      <c r="E448" s="526">
        <v>100000</v>
      </c>
      <c r="F448" s="519">
        <f>SUM(F416:F447)</f>
        <v>138210</v>
      </c>
      <c r="G448" s="519">
        <f>SUM(G416:G447)</f>
        <v>136460</v>
      </c>
      <c r="H448" s="519">
        <f>SUM(H416:H447)</f>
        <v>1750</v>
      </c>
      <c r="I448" s="520" t="str">
        <f>IFERROR(F448/#REF!,"-")</f>
        <v>-</v>
      </c>
      <c r="J448" s="513">
        <f>SUM(J416:J447)</f>
        <v>854582</v>
      </c>
      <c r="K448" s="513">
        <f t="shared" ref="K448:L448" si="391">SUM(K416:K447)</f>
        <v>844893</v>
      </c>
      <c r="L448" s="513">
        <f t="shared" si="391"/>
        <v>9689</v>
      </c>
      <c r="M448" s="521" t="str">
        <f t="shared" si="389"/>
        <v>-</v>
      </c>
      <c r="N448" s="520">
        <f t="shared" si="390"/>
        <v>1.1337706621482783E-2</v>
      </c>
      <c r="O448" s="522"/>
      <c r="P448" s="523">
        <f>SUM(P416:P447)</f>
        <v>1184413.6700000002</v>
      </c>
      <c r="Q448" s="523">
        <f>SUM(Q416:Q447)</f>
        <v>6242758.4453999996</v>
      </c>
    </row>
    <row r="449" spans="1:17" ht="23.25" customHeight="1" thickBot="1" x14ac:dyDescent="0.3">
      <c r="A449" s="318" t="s">
        <v>101</v>
      </c>
      <c r="B449" s="1029" t="s">
        <v>249</v>
      </c>
      <c r="C449" s="1030"/>
      <c r="D449" s="326">
        <f>+D420+D448</f>
        <v>0</v>
      </c>
      <c r="E449" s="327">
        <f>+E420+E448</f>
        <v>100000</v>
      </c>
      <c r="F449" s="326">
        <f>+F448</f>
        <v>138210</v>
      </c>
      <c r="G449" s="326">
        <f t="shared" ref="G449:H449" si="392">+G448</f>
        <v>136460</v>
      </c>
      <c r="H449" s="326">
        <f t="shared" si="392"/>
        <v>1750</v>
      </c>
      <c r="I449" s="349" t="str">
        <f>IFERROR(F449/#REF!,"-")</f>
        <v>-</v>
      </c>
      <c r="J449" s="326">
        <f>+J448</f>
        <v>854582</v>
      </c>
      <c r="K449" s="326">
        <f t="shared" ref="K449:L449" si="393">+K448</f>
        <v>844893</v>
      </c>
      <c r="L449" s="326">
        <f t="shared" si="393"/>
        <v>9689</v>
      </c>
      <c r="M449" s="341" t="str">
        <f t="shared" si="389"/>
        <v>-</v>
      </c>
      <c r="N449" s="349">
        <f t="shared" si="390"/>
        <v>1.1337706621482783E-2</v>
      </c>
      <c r="O449" s="394"/>
      <c r="P449" s="410">
        <f>+P448</f>
        <v>1184413.6700000002</v>
      </c>
      <c r="Q449" s="428">
        <f>Q448</f>
        <v>6242758.4453999996</v>
      </c>
    </row>
    <row r="450" spans="1:17" ht="26.25" thickBot="1" x14ac:dyDescent="0.3">
      <c r="A450" s="319"/>
      <c r="B450" s="1031" t="s">
        <v>174</v>
      </c>
      <c r="C450" s="1032"/>
      <c r="D450" s="374">
        <f>+D449+D415+D406</f>
        <v>0</v>
      </c>
      <c r="E450" s="374">
        <f>+E449+E415+E406</f>
        <v>230000</v>
      </c>
      <c r="F450" s="374">
        <f>+F449+F415+F406</f>
        <v>410320</v>
      </c>
      <c r="G450" s="374">
        <f>+G449+G415+G406</f>
        <v>405960</v>
      </c>
      <c r="H450" s="374">
        <f>+H449+H415+H406</f>
        <v>4360</v>
      </c>
      <c r="I450" s="375" t="str">
        <f>IFERROR(F450/#REF!,"-")</f>
        <v>-</v>
      </c>
      <c r="J450" s="374">
        <f>+J449+J415+J406</f>
        <v>2436222</v>
      </c>
      <c r="K450" s="374">
        <f>+K449+K415+K406</f>
        <v>2410093</v>
      </c>
      <c r="L450" s="374">
        <f>+L449+L415+L406</f>
        <v>26129</v>
      </c>
      <c r="M450" s="375" t="str">
        <f t="shared" si="389"/>
        <v>-</v>
      </c>
      <c r="N450" s="375">
        <f>IFERROR(L450/J450,"-")</f>
        <v>1.0725213055296274E-2</v>
      </c>
      <c r="O450" s="401"/>
      <c r="P450" s="418">
        <f>+P449+P415+P406</f>
        <v>1961894.3200000003</v>
      </c>
      <c r="Q450" s="418">
        <f>+Q449+Q415+Q406</f>
        <v>13321078.280400001</v>
      </c>
    </row>
    <row r="451" spans="1:17" ht="24.6" customHeight="1" thickBot="1" x14ac:dyDescent="0.3">
      <c r="A451" s="230"/>
      <c r="B451" s="230"/>
      <c r="C451" s="230"/>
      <c r="D451" s="232"/>
      <c r="E451" s="232"/>
      <c r="F451" s="232"/>
      <c r="G451" s="267"/>
      <c r="H451" s="267"/>
      <c r="I451" s="234"/>
      <c r="J451" s="232"/>
      <c r="K451" s="232"/>
      <c r="L451" s="232"/>
      <c r="M451" s="234"/>
      <c r="N451" s="234"/>
    </row>
    <row r="452" spans="1:17" ht="22.5" customHeight="1" x14ac:dyDescent="0.25">
      <c r="A452" s="1033" t="s">
        <v>1</v>
      </c>
      <c r="B452" s="1036" t="s">
        <v>2</v>
      </c>
      <c r="C452" s="1039" t="s">
        <v>396</v>
      </c>
      <c r="D452" s="987" t="s">
        <v>4</v>
      </c>
      <c r="E452" s="988"/>
      <c r="F452" s="988"/>
      <c r="G452" s="988"/>
      <c r="H452" s="988"/>
      <c r="I452" s="988"/>
      <c r="J452" s="988"/>
      <c r="K452" s="988"/>
      <c r="L452" s="988"/>
      <c r="M452" s="988"/>
      <c r="N452" s="989"/>
      <c r="O452" s="1011" t="s">
        <v>167</v>
      </c>
      <c r="P452" s="1012"/>
      <c r="Q452" s="1042"/>
    </row>
    <row r="453" spans="1:17" ht="22.5" customHeight="1" x14ac:dyDescent="0.25">
      <c r="A453" s="1034"/>
      <c r="B453" s="1037"/>
      <c r="C453" s="1040"/>
      <c r="D453" s="990" t="s">
        <v>7</v>
      </c>
      <c r="E453" s="992" t="s">
        <v>108</v>
      </c>
      <c r="F453" s="1043" t="s">
        <v>526</v>
      </c>
      <c r="G453" s="995"/>
      <c r="H453" s="995"/>
      <c r="I453" s="996"/>
      <c r="J453" s="997" t="s">
        <v>8</v>
      </c>
      <c r="K453" s="998"/>
      <c r="L453" s="999"/>
      <c r="M453" s="1000" t="s">
        <v>165</v>
      </c>
      <c r="N453" s="1002" t="s">
        <v>164</v>
      </c>
      <c r="O453" s="1044" t="s">
        <v>169</v>
      </c>
      <c r="P453" s="1045"/>
      <c r="Q453" s="1046"/>
    </row>
    <row r="454" spans="1:17" ht="45.75" thickBot="1" x14ac:dyDescent="0.3">
      <c r="A454" s="1035"/>
      <c r="B454" s="1038"/>
      <c r="C454" s="1041"/>
      <c r="D454" s="991"/>
      <c r="E454" s="993"/>
      <c r="F454" s="452" t="s">
        <v>13</v>
      </c>
      <c r="G454" s="453" t="s">
        <v>14</v>
      </c>
      <c r="H454" s="453" t="s">
        <v>15</v>
      </c>
      <c r="I454" s="454" t="s">
        <v>166</v>
      </c>
      <c r="J454" s="680" t="s">
        <v>13</v>
      </c>
      <c r="K454" s="678" t="s">
        <v>14</v>
      </c>
      <c r="L454" s="679" t="s">
        <v>15</v>
      </c>
      <c r="M454" s="1001"/>
      <c r="N454" s="1003"/>
      <c r="O454" s="444" t="s">
        <v>170</v>
      </c>
      <c r="P454" s="445" t="s">
        <v>11</v>
      </c>
      <c r="Q454" s="446" t="s">
        <v>12</v>
      </c>
    </row>
    <row r="455" spans="1:17" ht="24" x14ac:dyDescent="0.25">
      <c r="A455" s="268" t="s">
        <v>103</v>
      </c>
      <c r="B455" s="439"/>
      <c r="C455" s="269" t="s">
        <v>502</v>
      </c>
      <c r="D455" s="270"/>
      <c r="E455" s="271"/>
      <c r="F455" s="332">
        <f>+G455+H455</f>
        <v>0</v>
      </c>
      <c r="G455" s="272"/>
      <c r="H455" s="272"/>
      <c r="I455" s="351" t="str">
        <f>IFERROR(F455/#REF!,"-")</f>
        <v>-</v>
      </c>
      <c r="J455" s="457">
        <f>+K455+L455</f>
        <v>128000</v>
      </c>
      <c r="K455" s="458">
        <f>+G455+K392</f>
        <v>128000</v>
      </c>
      <c r="L455" s="458">
        <f>+H455+L392</f>
        <v>0</v>
      </c>
      <c r="M455" s="336" t="str">
        <f>IFERROR(J455/D455,"-")</f>
        <v>-</v>
      </c>
      <c r="N455" s="343">
        <f t="shared" ref="N455:N456" si="394">IFERROR(L455/J455,"-")</f>
        <v>0</v>
      </c>
      <c r="O455" s="786">
        <v>0</v>
      </c>
      <c r="P455" s="402">
        <f>+O455*G455</f>
        <v>0</v>
      </c>
      <c r="Q455" s="447">
        <f>+O455*K455</f>
        <v>0</v>
      </c>
    </row>
    <row r="456" spans="1:17" ht="24" x14ac:dyDescent="0.25">
      <c r="A456" s="274" t="s">
        <v>103</v>
      </c>
      <c r="B456" s="438"/>
      <c r="C456" s="275" t="s">
        <v>245</v>
      </c>
      <c r="D456" s="276"/>
      <c r="E456" s="277"/>
      <c r="F456" s="333">
        <f t="shared" ref="F456:F459" si="395">+G456+H456</f>
        <v>0</v>
      </c>
      <c r="G456" s="719"/>
      <c r="H456" s="719"/>
      <c r="I456" s="352" t="str">
        <f>IFERROR(F456/#REF!,"-")</f>
        <v>-</v>
      </c>
      <c r="J456" s="333">
        <f t="shared" ref="J456:J459" si="396">+K456+L456</f>
        <v>115874</v>
      </c>
      <c r="K456" s="278">
        <f t="shared" ref="K456:K459" si="397">+G456+K393</f>
        <v>115000</v>
      </c>
      <c r="L456" s="436">
        <f t="shared" ref="L456:L459" si="398">+H456+L393</f>
        <v>874</v>
      </c>
      <c r="M456" s="337" t="str">
        <f t="shared" ref="M456:M459" si="399">IFERROR(J456/D456,"-")</f>
        <v>-</v>
      </c>
      <c r="N456" s="265">
        <f t="shared" si="394"/>
        <v>7.5426756649464074E-3</v>
      </c>
      <c r="O456" s="508">
        <v>2.3978999999999999</v>
      </c>
      <c r="P456" s="404">
        <f>+O456*G456</f>
        <v>0</v>
      </c>
      <c r="Q456" s="449">
        <f>+O456*K456</f>
        <v>275758.5</v>
      </c>
    </row>
    <row r="457" spans="1:17" ht="24" x14ac:dyDescent="0.25">
      <c r="A457" s="274" t="s">
        <v>103</v>
      </c>
      <c r="B457" s="438"/>
      <c r="C457" s="275" t="s">
        <v>395</v>
      </c>
      <c r="D457" s="276"/>
      <c r="E457" s="277"/>
      <c r="F457" s="333">
        <f t="shared" si="395"/>
        <v>115872</v>
      </c>
      <c r="G457" s="278">
        <v>115000</v>
      </c>
      <c r="H457" s="719">
        <v>872</v>
      </c>
      <c r="I457" s="352" t="str">
        <f>IFERROR(F457/#REF!,"-")</f>
        <v>-</v>
      </c>
      <c r="J457" s="333">
        <f t="shared" si="396"/>
        <v>714001</v>
      </c>
      <c r="K457" s="278">
        <f t="shared" si="397"/>
        <v>707750</v>
      </c>
      <c r="L457" s="436">
        <f t="shared" si="398"/>
        <v>6251</v>
      </c>
      <c r="M457" s="337" t="str">
        <f t="shared" si="399"/>
        <v>-</v>
      </c>
      <c r="N457" s="716">
        <f>IFERROR(L457/J457,"-")</f>
        <v>8.7548896990340356E-3</v>
      </c>
      <c r="O457" s="718">
        <v>3.6777000000000002</v>
      </c>
      <c r="P457" s="404">
        <f t="shared" ref="P457:P459" si="400">+O457*G457</f>
        <v>422935.5</v>
      </c>
      <c r="Q457" s="449">
        <f t="shared" ref="Q457:Q459" si="401">+O457*K457</f>
        <v>2602892.1750000003</v>
      </c>
    </row>
    <row r="458" spans="1:17" ht="24" x14ac:dyDescent="0.25">
      <c r="A458" s="274"/>
      <c r="B458" s="451"/>
      <c r="C458" s="275" t="s">
        <v>319</v>
      </c>
      <c r="D458" s="280"/>
      <c r="E458" s="281"/>
      <c r="F458" s="333">
        <f t="shared" si="395"/>
        <v>44619</v>
      </c>
      <c r="G458" s="282">
        <v>44000</v>
      </c>
      <c r="H458" s="282">
        <v>619</v>
      </c>
      <c r="I458" s="352" t="str">
        <f>IFERROR(F458/#REF!,"-")</f>
        <v>-</v>
      </c>
      <c r="J458" s="333">
        <f t="shared" si="396"/>
        <v>281386</v>
      </c>
      <c r="K458" s="278">
        <f t="shared" si="397"/>
        <v>276800</v>
      </c>
      <c r="L458" s="436">
        <f t="shared" si="398"/>
        <v>4586</v>
      </c>
      <c r="M458" s="337" t="str">
        <f t="shared" si="399"/>
        <v>-</v>
      </c>
      <c r="N458" s="265">
        <f>IFERROR(L458/J458,"-")</f>
        <v>1.6297896839217303E-2</v>
      </c>
      <c r="O458" s="509">
        <v>12.284700000000001</v>
      </c>
      <c r="P458" s="404">
        <f t="shared" si="400"/>
        <v>540526.80000000005</v>
      </c>
      <c r="Q458" s="449">
        <f t="shared" si="401"/>
        <v>3400404.9600000004</v>
      </c>
    </row>
    <row r="459" spans="1:17" ht="24.75" thickBot="1" x14ac:dyDescent="0.3">
      <c r="A459" s="274" t="s">
        <v>103</v>
      </c>
      <c r="B459" s="451"/>
      <c r="C459" s="275" t="s">
        <v>365</v>
      </c>
      <c r="D459" s="280"/>
      <c r="E459" s="281"/>
      <c r="F459" s="334">
        <f t="shared" si="395"/>
        <v>0</v>
      </c>
      <c r="G459" s="282"/>
      <c r="H459" s="282"/>
      <c r="I459" s="353" t="str">
        <f>IFERROR(F459/#REF!,"-")</f>
        <v>-</v>
      </c>
      <c r="J459" s="460">
        <f t="shared" si="396"/>
        <v>45034</v>
      </c>
      <c r="K459" s="461">
        <f t="shared" si="397"/>
        <v>44250</v>
      </c>
      <c r="L459" s="462">
        <f t="shared" si="398"/>
        <v>784</v>
      </c>
      <c r="M459" s="338" t="str">
        <f t="shared" si="399"/>
        <v>-</v>
      </c>
      <c r="N459" s="344">
        <f t="shared" ref="N459:N471" si="402">IFERROR(L459/J459,"-")</f>
        <v>1.7409068703646134E-2</v>
      </c>
      <c r="O459" s="718">
        <v>7.0612000000000004</v>
      </c>
      <c r="P459" s="405">
        <f t="shared" si="400"/>
        <v>0</v>
      </c>
      <c r="Q459" s="450">
        <f t="shared" si="401"/>
        <v>312458.10000000003</v>
      </c>
    </row>
    <row r="460" spans="1:17" ht="23.25" customHeight="1" thickBot="1" x14ac:dyDescent="0.3">
      <c r="A460" s="274" t="s">
        <v>103</v>
      </c>
      <c r="B460" s="1028" t="s">
        <v>21</v>
      </c>
      <c r="C460" s="964"/>
      <c r="D460" s="320">
        <f>SUM(D455:D459)</f>
        <v>0</v>
      </c>
      <c r="E460" s="285">
        <v>15000</v>
      </c>
      <c r="F460" s="320">
        <f>SUM(F455:F459)</f>
        <v>160491</v>
      </c>
      <c r="G460" s="321">
        <f>SUM(G455:G459)</f>
        <v>159000</v>
      </c>
      <c r="H460" s="321">
        <f>SUM(H455:H459)</f>
        <v>1491</v>
      </c>
      <c r="I460" s="345" t="str">
        <f>IFERROR(F460/#REF!,"-")</f>
        <v>-</v>
      </c>
      <c r="J460" s="320">
        <f>SUM(J455:J459)</f>
        <v>1284295</v>
      </c>
      <c r="K460" s="321">
        <f>SUM(K455:K459)</f>
        <v>1271800</v>
      </c>
      <c r="L460" s="322">
        <f>SUM(L455:L459)</f>
        <v>12495</v>
      </c>
      <c r="M460" s="339" t="str">
        <f>IFERROR(J460/D460,"-")</f>
        <v>-</v>
      </c>
      <c r="N460" s="345">
        <f t="shared" si="402"/>
        <v>9.7290731490817916E-3</v>
      </c>
      <c r="O460" s="391"/>
      <c r="P460" s="406">
        <f>SUM(P455:P459)</f>
        <v>963462.3</v>
      </c>
      <c r="Q460" s="425">
        <f>SUM(Q455:Q459)</f>
        <v>6591513.7350000003</v>
      </c>
    </row>
    <row r="461" spans="1:17" ht="24" x14ac:dyDescent="0.25">
      <c r="A461" s="274" t="s">
        <v>103</v>
      </c>
      <c r="B461" s="439"/>
      <c r="C461" s="269" t="s">
        <v>244</v>
      </c>
      <c r="D461" s="270"/>
      <c r="E461" s="271"/>
      <c r="F461" s="332">
        <f t="shared" ref="F461:F467" si="403">+G461+H461</f>
        <v>0</v>
      </c>
      <c r="G461" s="272"/>
      <c r="H461" s="272"/>
      <c r="I461" s="351" t="str">
        <f>IFERROR(F461/#REF!,"-")</f>
        <v>-</v>
      </c>
      <c r="J461" s="457">
        <f t="shared" ref="J461:J467" si="404">+K461+L461</f>
        <v>0</v>
      </c>
      <c r="K461" s="458">
        <f t="shared" ref="K461:K467" si="405">+G461+K398</f>
        <v>0</v>
      </c>
      <c r="L461" s="459">
        <f t="shared" ref="L461:L467" si="406">+H461+L398</f>
        <v>0</v>
      </c>
      <c r="M461" s="336" t="str">
        <f t="shared" ref="M461:M469" si="407">IFERROR(J461/D461,"-")</f>
        <v>-</v>
      </c>
      <c r="N461" s="346" t="str">
        <f t="shared" si="402"/>
        <v>-</v>
      </c>
      <c r="O461" s="507">
        <v>18.2316</v>
      </c>
      <c r="P461" s="402">
        <f t="shared" ref="P461:P467" si="408">+O461*G461</f>
        <v>0</v>
      </c>
      <c r="Q461" s="447">
        <f t="shared" ref="Q461:Q467" si="409">+O461*K461</f>
        <v>0</v>
      </c>
    </row>
    <row r="462" spans="1:17" ht="24" x14ac:dyDescent="0.25">
      <c r="A462" s="274" t="s">
        <v>103</v>
      </c>
      <c r="B462" s="438"/>
      <c r="C462" s="275" t="s">
        <v>89</v>
      </c>
      <c r="D462" s="276"/>
      <c r="E462" s="277"/>
      <c r="F462" s="333">
        <f t="shared" si="403"/>
        <v>0</v>
      </c>
      <c r="G462" s="278"/>
      <c r="H462" s="278"/>
      <c r="I462" s="352" t="str">
        <f>IFERROR(F462/#REF!,"-")</f>
        <v>-</v>
      </c>
      <c r="J462" s="333">
        <f t="shared" si="404"/>
        <v>60000</v>
      </c>
      <c r="K462" s="278">
        <f t="shared" si="405"/>
        <v>60000</v>
      </c>
      <c r="L462" s="436">
        <f t="shared" si="406"/>
        <v>0</v>
      </c>
      <c r="M462" s="337" t="str">
        <f t="shared" si="407"/>
        <v>-</v>
      </c>
      <c r="N462" s="263">
        <f t="shared" si="402"/>
        <v>0</v>
      </c>
      <c r="O462" s="508">
        <v>1.2824</v>
      </c>
      <c r="P462" s="404">
        <f t="shared" si="408"/>
        <v>0</v>
      </c>
      <c r="Q462" s="449">
        <f t="shared" si="409"/>
        <v>76944</v>
      </c>
    </row>
    <row r="463" spans="1:17" ht="24" x14ac:dyDescent="0.25">
      <c r="A463" s="274" t="s">
        <v>103</v>
      </c>
      <c r="B463" s="438"/>
      <c r="C463" s="275" t="s">
        <v>300</v>
      </c>
      <c r="D463" s="276"/>
      <c r="E463" s="277"/>
      <c r="F463" s="333">
        <f t="shared" si="403"/>
        <v>0</v>
      </c>
      <c r="G463" s="278"/>
      <c r="H463" s="278"/>
      <c r="I463" s="352" t="str">
        <f>IFERROR(F463/#REF!,"-")</f>
        <v>-</v>
      </c>
      <c r="J463" s="333">
        <f t="shared" si="404"/>
        <v>0</v>
      </c>
      <c r="K463" s="278">
        <f t="shared" si="405"/>
        <v>0</v>
      </c>
      <c r="L463" s="436">
        <f t="shared" si="406"/>
        <v>0</v>
      </c>
      <c r="M463" s="337" t="str">
        <f t="shared" si="407"/>
        <v>-</v>
      </c>
      <c r="N463" s="263" t="str">
        <f t="shared" si="402"/>
        <v>-</v>
      </c>
      <c r="O463" s="710">
        <v>5.7342000000000004</v>
      </c>
      <c r="P463" s="404">
        <f t="shared" si="408"/>
        <v>0</v>
      </c>
      <c r="Q463" s="449">
        <f t="shared" si="409"/>
        <v>0</v>
      </c>
    </row>
    <row r="464" spans="1:17" ht="24" x14ac:dyDescent="0.25">
      <c r="A464" s="274" t="s">
        <v>103</v>
      </c>
      <c r="B464" s="438"/>
      <c r="C464" s="275" t="s">
        <v>314</v>
      </c>
      <c r="D464" s="276"/>
      <c r="E464" s="277"/>
      <c r="F464" s="333">
        <f t="shared" si="403"/>
        <v>0</v>
      </c>
      <c r="G464" s="278"/>
      <c r="H464" s="278"/>
      <c r="I464" s="352" t="str">
        <f>IFERROR(F464/#REF!,"-")</f>
        <v>-</v>
      </c>
      <c r="J464" s="333">
        <f t="shared" si="404"/>
        <v>0</v>
      </c>
      <c r="K464" s="278">
        <f t="shared" si="405"/>
        <v>0</v>
      </c>
      <c r="L464" s="436">
        <f t="shared" si="406"/>
        <v>0</v>
      </c>
      <c r="M464" s="337" t="str">
        <f t="shared" si="407"/>
        <v>-</v>
      </c>
      <c r="N464" s="263" t="str">
        <f t="shared" si="402"/>
        <v>-</v>
      </c>
      <c r="O464" s="508"/>
      <c r="P464" s="404">
        <f t="shared" si="408"/>
        <v>0</v>
      </c>
      <c r="Q464" s="449">
        <f t="shared" si="409"/>
        <v>0</v>
      </c>
    </row>
    <row r="465" spans="1:17" ht="24" x14ac:dyDescent="0.25">
      <c r="A465" s="274" t="s">
        <v>103</v>
      </c>
      <c r="B465" s="438"/>
      <c r="C465" s="275" t="s">
        <v>320</v>
      </c>
      <c r="D465" s="276"/>
      <c r="E465" s="277"/>
      <c r="F465" s="333">
        <f t="shared" si="403"/>
        <v>0</v>
      </c>
      <c r="G465" s="278"/>
      <c r="H465" s="278"/>
      <c r="I465" s="352" t="str">
        <f>IFERROR(F465/#REF!,"-")</f>
        <v>-</v>
      </c>
      <c r="J465" s="333">
        <f t="shared" si="404"/>
        <v>51560</v>
      </c>
      <c r="K465" s="278">
        <f t="shared" si="405"/>
        <v>51400</v>
      </c>
      <c r="L465" s="436">
        <f t="shared" si="406"/>
        <v>160</v>
      </c>
      <c r="M465" s="337" t="str">
        <f t="shared" si="407"/>
        <v>-</v>
      </c>
      <c r="N465" s="263">
        <f t="shared" si="402"/>
        <v>3.1031807602792862E-3</v>
      </c>
      <c r="O465" s="508">
        <v>12.029500000000001</v>
      </c>
      <c r="P465" s="404">
        <f t="shared" si="408"/>
        <v>0</v>
      </c>
      <c r="Q465" s="449">
        <f t="shared" si="409"/>
        <v>618316.30000000005</v>
      </c>
    </row>
    <row r="466" spans="1:17" ht="24" x14ac:dyDescent="0.25">
      <c r="A466" s="274" t="s">
        <v>103</v>
      </c>
      <c r="B466" s="438"/>
      <c r="C466" s="275"/>
      <c r="D466" s="276"/>
      <c r="E466" s="277"/>
      <c r="F466" s="333">
        <f t="shared" si="403"/>
        <v>0</v>
      </c>
      <c r="G466" s="278"/>
      <c r="H466" s="278"/>
      <c r="I466" s="352" t="str">
        <f>IFERROR(F466/#REF!,"-")</f>
        <v>-</v>
      </c>
      <c r="J466" s="333">
        <f t="shared" si="404"/>
        <v>0</v>
      </c>
      <c r="K466" s="278">
        <f t="shared" si="405"/>
        <v>0</v>
      </c>
      <c r="L466" s="436">
        <f t="shared" si="406"/>
        <v>0</v>
      </c>
      <c r="M466" s="337" t="str">
        <f t="shared" si="407"/>
        <v>-</v>
      </c>
      <c r="N466" s="263" t="str">
        <f t="shared" si="402"/>
        <v>-</v>
      </c>
      <c r="O466" s="508"/>
      <c r="P466" s="404">
        <f t="shared" si="408"/>
        <v>0</v>
      </c>
      <c r="Q466" s="449">
        <f t="shared" si="409"/>
        <v>0</v>
      </c>
    </row>
    <row r="467" spans="1:17" ht="24.75" thickBot="1" x14ac:dyDescent="0.3">
      <c r="A467" s="274" t="s">
        <v>103</v>
      </c>
      <c r="B467" s="451"/>
      <c r="C467" s="279"/>
      <c r="D467" s="280">
        <v>0</v>
      </c>
      <c r="E467" s="281"/>
      <c r="F467" s="334">
        <f t="shared" si="403"/>
        <v>0</v>
      </c>
      <c r="G467" s="282"/>
      <c r="H467" s="282"/>
      <c r="I467" s="353" t="str">
        <f>IFERROR(F467/#REF!,"-")</f>
        <v>-</v>
      </c>
      <c r="J467" s="460">
        <f t="shared" si="404"/>
        <v>0</v>
      </c>
      <c r="K467" s="461">
        <f t="shared" si="405"/>
        <v>0</v>
      </c>
      <c r="L467" s="462">
        <f t="shared" si="406"/>
        <v>0</v>
      </c>
      <c r="M467" s="338" t="str">
        <f t="shared" si="407"/>
        <v>-</v>
      </c>
      <c r="N467" s="347" t="str">
        <f t="shared" si="402"/>
        <v>-</v>
      </c>
      <c r="O467" s="509"/>
      <c r="P467" s="405">
        <f t="shared" si="408"/>
        <v>0</v>
      </c>
      <c r="Q467" s="450">
        <f t="shared" si="409"/>
        <v>0</v>
      </c>
    </row>
    <row r="468" spans="1:17" ht="23.25" customHeight="1" thickBot="1" x14ac:dyDescent="0.3">
      <c r="A468" s="274" t="s">
        <v>103</v>
      </c>
      <c r="B468" s="1028" t="s">
        <v>25</v>
      </c>
      <c r="C468" s="964"/>
      <c r="D468" s="320">
        <f t="shared" ref="D468" si="410">SUM(D461:D467)</f>
        <v>0</v>
      </c>
      <c r="E468" s="285">
        <v>100000</v>
      </c>
      <c r="F468" s="320">
        <f>SUM(F461:F467)</f>
        <v>0</v>
      </c>
      <c r="G468" s="321">
        <f t="shared" ref="G468:H468" si="411">SUM(G461:G467)</f>
        <v>0</v>
      </c>
      <c r="H468" s="321">
        <f t="shared" si="411"/>
        <v>0</v>
      </c>
      <c r="I468" s="345" t="str">
        <f>IFERROR(F468/#REF!,"-")</f>
        <v>-</v>
      </c>
      <c r="J468" s="320">
        <f t="shared" ref="J468:L468" si="412">SUM(J461:J467)</f>
        <v>111560</v>
      </c>
      <c r="K468" s="321">
        <f t="shared" si="412"/>
        <v>111400</v>
      </c>
      <c r="L468" s="322">
        <f t="shared" si="412"/>
        <v>160</v>
      </c>
      <c r="M468" s="339" t="str">
        <f t="shared" si="407"/>
        <v>-</v>
      </c>
      <c r="N468" s="345">
        <f t="shared" si="402"/>
        <v>1.4342058085335247E-3</v>
      </c>
      <c r="O468" s="391"/>
      <c r="P468" s="406">
        <f t="shared" ref="P468:Q468" si="413">SUM(P461:P467)</f>
        <v>0</v>
      </c>
      <c r="Q468" s="425">
        <f t="shared" si="413"/>
        <v>695260.3</v>
      </c>
    </row>
    <row r="469" spans="1:17" ht="23.25" customHeight="1" thickBot="1" x14ac:dyDescent="0.3">
      <c r="A469" s="274" t="s">
        <v>103</v>
      </c>
      <c r="B469" s="1029" t="s">
        <v>172</v>
      </c>
      <c r="C469" s="1030"/>
      <c r="D469" s="326">
        <f>+D460+D468</f>
        <v>0</v>
      </c>
      <c r="E469" s="327">
        <f t="shared" ref="E469:H469" si="414">+E460+E468</f>
        <v>115000</v>
      </c>
      <c r="F469" s="326">
        <f t="shared" si="414"/>
        <v>160491</v>
      </c>
      <c r="G469" s="324">
        <f t="shared" si="414"/>
        <v>159000</v>
      </c>
      <c r="H469" s="324">
        <f t="shared" si="414"/>
        <v>1491</v>
      </c>
      <c r="I469" s="349" t="str">
        <f>IFERROR(F469/#REF!,"-")</f>
        <v>-</v>
      </c>
      <c r="J469" s="326">
        <f t="shared" ref="J469:L469" si="415">+J460+J468</f>
        <v>1395855</v>
      </c>
      <c r="K469" s="324">
        <f t="shared" si="415"/>
        <v>1383200</v>
      </c>
      <c r="L469" s="325">
        <f t="shared" si="415"/>
        <v>12655</v>
      </c>
      <c r="M469" s="341" t="str">
        <f t="shared" si="407"/>
        <v>-</v>
      </c>
      <c r="N469" s="349">
        <f t="shared" si="402"/>
        <v>9.066127928760508E-3</v>
      </c>
      <c r="O469" s="394"/>
      <c r="P469" s="410">
        <f t="shared" ref="P469:Q469" si="416">+P460+P468</f>
        <v>963462.3</v>
      </c>
      <c r="Q469" s="428">
        <f t="shared" si="416"/>
        <v>7286774.0350000001</v>
      </c>
    </row>
    <row r="470" spans="1:17" ht="24" x14ac:dyDescent="0.25">
      <c r="A470" s="244" t="s">
        <v>101</v>
      </c>
      <c r="B470" s="581"/>
      <c r="C470" s="582" t="s">
        <v>283</v>
      </c>
      <c r="D470" s="527"/>
      <c r="E470" s="459"/>
      <c r="F470" s="457">
        <f>+G470+H470</f>
        <v>0</v>
      </c>
      <c r="G470" s="458"/>
      <c r="H470" s="458"/>
      <c r="I470" s="531" t="str">
        <f>IFERROR(F470/#REF!,"-")</f>
        <v>-</v>
      </c>
      <c r="J470" s="457">
        <f>+K470+L470</f>
        <v>0</v>
      </c>
      <c r="K470" s="458">
        <f t="shared" ref="K470:K476" si="417">+G470+K407</f>
        <v>0</v>
      </c>
      <c r="L470" s="459">
        <f t="shared" ref="L470:L476" si="418">+H470+L407</f>
        <v>0</v>
      </c>
      <c r="M470" s="586" t="str">
        <f>IFERROR(J470/D470,"-")</f>
        <v>-</v>
      </c>
      <c r="N470" s="533" t="str">
        <f t="shared" si="402"/>
        <v>-</v>
      </c>
      <c r="O470" s="628">
        <v>4.8285999999999998</v>
      </c>
      <c r="P470" s="534">
        <f t="shared" ref="P470:P476" si="419">+O470*G470</f>
        <v>0</v>
      </c>
      <c r="Q470" s="535">
        <f t="shared" ref="Q470:Q476" si="420">+O470*K470</f>
        <v>0</v>
      </c>
    </row>
    <row r="471" spans="1:17" ht="24" x14ac:dyDescent="0.25">
      <c r="A471" s="248" t="s">
        <v>101</v>
      </c>
      <c r="B471" s="583"/>
      <c r="C471" s="275" t="s">
        <v>284</v>
      </c>
      <c r="D471" s="276"/>
      <c r="E471" s="436"/>
      <c r="F471" s="333">
        <f t="shared" ref="F471:F476" si="421">+G471+H471</f>
        <v>0</v>
      </c>
      <c r="G471" s="278"/>
      <c r="H471" s="278"/>
      <c r="I471" s="352" t="str">
        <f>IFERROR(F471/#REF!,"-")</f>
        <v>-</v>
      </c>
      <c r="J471" s="333">
        <f t="shared" ref="J471:J476" si="422">+K471+L471</f>
        <v>0</v>
      </c>
      <c r="K471" s="278">
        <f t="shared" si="417"/>
        <v>0</v>
      </c>
      <c r="L471" s="436">
        <f t="shared" si="418"/>
        <v>0</v>
      </c>
      <c r="M471" s="337" t="str">
        <f t="shared" ref="M471:M473" si="423">IFERROR(J471/D471,"-")</f>
        <v>-</v>
      </c>
      <c r="N471" s="265" t="str">
        <f t="shared" si="402"/>
        <v>-</v>
      </c>
      <c r="O471" s="629">
        <v>1.4086000000000001</v>
      </c>
      <c r="P471" s="404">
        <f t="shared" si="419"/>
        <v>0</v>
      </c>
      <c r="Q471" s="449">
        <f t="shared" si="420"/>
        <v>0</v>
      </c>
    </row>
    <row r="472" spans="1:17" ht="24" x14ac:dyDescent="0.25">
      <c r="A472" s="248" t="s">
        <v>101</v>
      </c>
      <c r="B472" s="583"/>
      <c r="C472" s="275" t="s">
        <v>315</v>
      </c>
      <c r="D472" s="276"/>
      <c r="E472" s="436"/>
      <c r="F472" s="333">
        <f t="shared" si="421"/>
        <v>0</v>
      </c>
      <c r="G472" s="278"/>
      <c r="H472" s="278"/>
      <c r="I472" s="352" t="str">
        <f>IFERROR(F472/#REF!,"-")</f>
        <v>-</v>
      </c>
      <c r="J472" s="333">
        <f t="shared" si="422"/>
        <v>0</v>
      </c>
      <c r="K472" s="278">
        <f t="shared" si="417"/>
        <v>0</v>
      </c>
      <c r="L472" s="436">
        <f t="shared" si="418"/>
        <v>0</v>
      </c>
      <c r="M472" s="337" t="str">
        <f t="shared" si="423"/>
        <v>-</v>
      </c>
      <c r="N472" s="265" t="str">
        <f>IFERROR(L472/J472,"-")</f>
        <v>-</v>
      </c>
      <c r="O472" s="629">
        <v>2.2141000000000002</v>
      </c>
      <c r="P472" s="404">
        <f t="shared" si="419"/>
        <v>0</v>
      </c>
      <c r="Q472" s="449">
        <f t="shared" si="420"/>
        <v>0</v>
      </c>
    </row>
    <row r="473" spans="1:17" ht="24" x14ac:dyDescent="0.25">
      <c r="A473" s="248" t="s">
        <v>101</v>
      </c>
      <c r="B473" s="584"/>
      <c r="C473" s="275" t="s">
        <v>447</v>
      </c>
      <c r="D473" s="280"/>
      <c r="E473" s="528"/>
      <c r="F473" s="334">
        <f t="shared" si="421"/>
        <v>0</v>
      </c>
      <c r="G473" s="282"/>
      <c r="H473" s="282"/>
      <c r="I473" s="353" t="str">
        <f>IFERROR(F473/#REF!,"-")</f>
        <v>-</v>
      </c>
      <c r="J473" s="333">
        <f t="shared" si="422"/>
        <v>346276</v>
      </c>
      <c r="K473" s="278">
        <f t="shared" si="417"/>
        <v>341000</v>
      </c>
      <c r="L473" s="436">
        <f t="shared" si="418"/>
        <v>5276</v>
      </c>
      <c r="M473" s="338" t="str">
        <f t="shared" si="423"/>
        <v>-</v>
      </c>
      <c r="N473" s="344">
        <f t="shared" ref="N473:N480" si="424">IFERROR(L473/J473,"-")</f>
        <v>1.5236401021150758E-2</v>
      </c>
      <c r="O473" s="629">
        <v>2.2141000000000002</v>
      </c>
      <c r="P473" s="405">
        <f t="shared" si="419"/>
        <v>0</v>
      </c>
      <c r="Q473" s="450">
        <f t="shared" si="420"/>
        <v>755008.10000000009</v>
      </c>
    </row>
    <row r="474" spans="1:17" ht="24" x14ac:dyDescent="0.25">
      <c r="A474" s="248" t="s">
        <v>101</v>
      </c>
      <c r="B474" s="440"/>
      <c r="C474" s="627" t="s">
        <v>353</v>
      </c>
      <c r="D474" s="510"/>
      <c r="E474" s="529"/>
      <c r="F474" s="333">
        <f t="shared" si="421"/>
        <v>0</v>
      </c>
      <c r="G474" s="547"/>
      <c r="H474" s="547"/>
      <c r="I474" s="352" t="str">
        <f>IFERROR(F474/#REF!,"-")</f>
        <v>-</v>
      </c>
      <c r="J474" s="333">
        <f t="shared" si="422"/>
        <v>0</v>
      </c>
      <c r="K474" s="278">
        <f t="shared" si="417"/>
        <v>0</v>
      </c>
      <c r="L474" s="436">
        <f t="shared" si="418"/>
        <v>0</v>
      </c>
      <c r="M474" s="682"/>
      <c r="N474" s="265" t="str">
        <f t="shared" si="424"/>
        <v>-</v>
      </c>
      <c r="O474" s="540">
        <v>4.8285999999999998</v>
      </c>
      <c r="P474" s="404">
        <f t="shared" si="419"/>
        <v>0</v>
      </c>
      <c r="Q474" s="449">
        <f t="shared" si="420"/>
        <v>0</v>
      </c>
    </row>
    <row r="475" spans="1:17" ht="24" x14ac:dyDescent="0.25">
      <c r="A475" s="248" t="s">
        <v>101</v>
      </c>
      <c r="B475" s="585"/>
      <c r="C475" s="627" t="s">
        <v>349</v>
      </c>
      <c r="D475" s="270"/>
      <c r="E475" s="435"/>
      <c r="F475" s="332">
        <f t="shared" si="421"/>
        <v>0</v>
      </c>
      <c r="G475" s="272"/>
      <c r="H475" s="272"/>
      <c r="I475" s="351" t="str">
        <f>IFERROR(F475/#REF!,"-")</f>
        <v>-</v>
      </c>
      <c r="J475" s="333">
        <f t="shared" si="422"/>
        <v>0</v>
      </c>
      <c r="K475" s="278">
        <f t="shared" si="417"/>
        <v>0</v>
      </c>
      <c r="L475" s="436">
        <f t="shared" si="418"/>
        <v>0</v>
      </c>
      <c r="M475" s="336" t="str">
        <f t="shared" ref="M475:M476" si="425">IFERROR(J475/D475,"-")</f>
        <v>-</v>
      </c>
      <c r="N475" s="346" t="str">
        <f t="shared" si="424"/>
        <v>-</v>
      </c>
      <c r="O475" s="507">
        <v>4.1712999999999996</v>
      </c>
      <c r="P475" s="402">
        <f t="shared" si="419"/>
        <v>0</v>
      </c>
      <c r="Q475" s="447">
        <f t="shared" si="420"/>
        <v>0</v>
      </c>
    </row>
    <row r="476" spans="1:17" ht="24.75" thickBot="1" x14ac:dyDescent="0.3">
      <c r="A476" s="248" t="s">
        <v>101</v>
      </c>
      <c r="B476" s="583"/>
      <c r="C476" s="275"/>
      <c r="D476" s="276"/>
      <c r="E476" s="436"/>
      <c r="F476" s="333">
        <f t="shared" si="421"/>
        <v>0</v>
      </c>
      <c r="G476" s="278"/>
      <c r="H476" s="278"/>
      <c r="I476" s="352" t="str">
        <f>IFERROR(F476/#REF!,"-")</f>
        <v>-</v>
      </c>
      <c r="J476" s="460">
        <f t="shared" si="422"/>
        <v>0</v>
      </c>
      <c r="K476" s="461">
        <f t="shared" si="417"/>
        <v>0</v>
      </c>
      <c r="L476" s="462">
        <f t="shared" si="418"/>
        <v>0</v>
      </c>
      <c r="M476" s="337" t="str">
        <f t="shared" si="425"/>
        <v>-</v>
      </c>
      <c r="N476" s="263" t="str">
        <f t="shared" si="424"/>
        <v>-</v>
      </c>
      <c r="O476" s="448"/>
      <c r="P476" s="404">
        <f t="shared" si="419"/>
        <v>0</v>
      </c>
      <c r="Q476" s="449">
        <f t="shared" si="420"/>
        <v>0</v>
      </c>
    </row>
    <row r="477" spans="1:17" ht="23.25" customHeight="1" thickBot="1" x14ac:dyDescent="0.3">
      <c r="A477" s="274" t="s">
        <v>101</v>
      </c>
      <c r="B477" s="1028" t="s">
        <v>21</v>
      </c>
      <c r="C477" s="964"/>
      <c r="D477" s="320">
        <v>0</v>
      </c>
      <c r="E477" s="285">
        <v>15000</v>
      </c>
      <c r="F477" s="320">
        <f>SUM(F470:F476)</f>
        <v>0</v>
      </c>
      <c r="G477" s="321">
        <f t="shared" ref="G477:H477" si="426">SUM(G470:G476)</f>
        <v>0</v>
      </c>
      <c r="H477" s="321">
        <f t="shared" si="426"/>
        <v>0</v>
      </c>
      <c r="I477" s="345" t="str">
        <f>IFERROR(F477/#REF!,"-")</f>
        <v>-</v>
      </c>
      <c r="J477" s="513">
        <f t="shared" ref="J477" si="427">SUM(J470:J476)</f>
        <v>346276</v>
      </c>
      <c r="K477" s="519">
        <f>SUM(K470:K476)</f>
        <v>341000</v>
      </c>
      <c r="L477" s="519">
        <f>SUM(L470:L476)</f>
        <v>5276</v>
      </c>
      <c r="M477" s="339" t="str">
        <f>IFERROR(J477/D477,"-")</f>
        <v>-</v>
      </c>
      <c r="N477" s="345">
        <f t="shared" si="424"/>
        <v>1.5236401021150758E-2</v>
      </c>
      <c r="O477" s="391"/>
      <c r="P477" s="406">
        <f>SUM(P470:P476)</f>
        <v>0</v>
      </c>
      <c r="Q477" s="425">
        <f>SUM(Q470:Q476)</f>
        <v>755008.10000000009</v>
      </c>
    </row>
    <row r="478" spans="1:17" ht="23.25" customHeight="1" thickBot="1" x14ac:dyDescent="0.3">
      <c r="A478" s="274" t="s">
        <v>101</v>
      </c>
      <c r="B478" s="1029" t="s">
        <v>248</v>
      </c>
      <c r="C478" s="1030"/>
      <c r="D478" s="512">
        <f>+D474+D477</f>
        <v>0</v>
      </c>
      <c r="E478" s="525">
        <f>+E474+E477</f>
        <v>15000</v>
      </c>
      <c r="F478" s="512">
        <f>+F474+F477</f>
        <v>0</v>
      </c>
      <c r="G478" s="514">
        <f>+G474+G477</f>
        <v>0</v>
      </c>
      <c r="H478" s="514">
        <f>+H474+H477</f>
        <v>0</v>
      </c>
      <c r="I478" s="515" t="str">
        <f>IFERROR(F478/#REF!,"-")</f>
        <v>-</v>
      </c>
      <c r="J478" s="512">
        <f>+J474+J477</f>
        <v>346276</v>
      </c>
      <c r="K478" s="514">
        <f>+K477</f>
        <v>341000</v>
      </c>
      <c r="L478" s="514">
        <f>+L477</f>
        <v>5276</v>
      </c>
      <c r="M478" s="516" t="str">
        <f t="shared" ref="M478" si="428">IFERROR(J478/D478,"-")</f>
        <v>-</v>
      </c>
      <c r="N478" s="515">
        <f t="shared" si="424"/>
        <v>1.5236401021150758E-2</v>
      </c>
      <c r="O478" s="517"/>
      <c r="P478" s="518">
        <f>+P477</f>
        <v>0</v>
      </c>
      <c r="Q478" s="518">
        <f>+Q477</f>
        <v>755008.10000000009</v>
      </c>
    </row>
    <row r="479" spans="1:17" ht="24" x14ac:dyDescent="0.35">
      <c r="A479" s="244" t="s">
        <v>101</v>
      </c>
      <c r="B479" s="1025" t="s">
        <v>250</v>
      </c>
      <c r="C479" s="542" t="s">
        <v>71</v>
      </c>
      <c r="D479" s="527"/>
      <c r="E479" s="459"/>
      <c r="F479" s="457">
        <f>+G479+H479</f>
        <v>3015</v>
      </c>
      <c r="G479" s="458">
        <v>3000</v>
      </c>
      <c r="H479" s="458">
        <v>15</v>
      </c>
      <c r="I479" s="531" t="str">
        <f>IFERROR(F479/#REF!,"-")</f>
        <v>-</v>
      </c>
      <c r="J479" s="457">
        <f>+K479+L479</f>
        <v>8100</v>
      </c>
      <c r="K479" s="458">
        <f t="shared" ref="K479:K510" si="429">+G479+K416</f>
        <v>8000</v>
      </c>
      <c r="L479" s="459">
        <f t="shared" ref="L479:L510" si="430">+H479+L416</f>
        <v>100</v>
      </c>
      <c r="M479" s="586" t="str">
        <f>IFERROR(J479/D479,"-")</f>
        <v>-</v>
      </c>
      <c r="N479" s="533">
        <f t="shared" si="424"/>
        <v>1.2345679012345678E-2</v>
      </c>
      <c r="O479" s="538">
        <v>32.946300000000001</v>
      </c>
      <c r="P479" s="534">
        <f t="shared" ref="P479:P510" si="431">+O479*G479</f>
        <v>98838.900000000009</v>
      </c>
      <c r="Q479" s="535">
        <f t="shared" ref="Q479:Q510" si="432">+O479*K479</f>
        <v>263570.40000000002</v>
      </c>
    </row>
    <row r="480" spans="1:17" ht="24" x14ac:dyDescent="0.35">
      <c r="A480" s="248" t="s">
        <v>101</v>
      </c>
      <c r="B480" s="1026"/>
      <c r="C480" s="543" t="s">
        <v>72</v>
      </c>
      <c r="D480" s="511"/>
      <c r="E480" s="436"/>
      <c r="F480" s="333">
        <f t="shared" ref="F480:F510" si="433">+G480+H480</f>
        <v>0</v>
      </c>
      <c r="G480" s="278"/>
      <c r="H480" s="278"/>
      <c r="I480" s="352" t="str">
        <f>IFERROR(F480/#REF!,"-")</f>
        <v>-</v>
      </c>
      <c r="J480" s="333">
        <f t="shared" ref="J480:J510" si="434">+K480+L480</f>
        <v>10595</v>
      </c>
      <c r="K480" s="278">
        <f t="shared" si="429"/>
        <v>10500</v>
      </c>
      <c r="L480" s="436">
        <f t="shared" si="430"/>
        <v>95</v>
      </c>
      <c r="M480" s="337" t="str">
        <f t="shared" ref="M480:M482" si="435">IFERROR(J480/D480,"-")</f>
        <v>-</v>
      </c>
      <c r="N480" s="265">
        <f t="shared" si="424"/>
        <v>8.9664936290703157E-3</v>
      </c>
      <c r="O480" s="508">
        <v>35.398400000000002</v>
      </c>
      <c r="P480" s="404">
        <f t="shared" si="431"/>
        <v>0</v>
      </c>
      <c r="Q480" s="449">
        <f t="shared" si="432"/>
        <v>371683.2</v>
      </c>
    </row>
    <row r="481" spans="1:17" ht="24.75" thickBot="1" x14ac:dyDescent="0.4">
      <c r="A481" s="248" t="s">
        <v>101</v>
      </c>
      <c r="B481" s="1027"/>
      <c r="C481" s="543" t="s">
        <v>455</v>
      </c>
      <c r="D481" s="276"/>
      <c r="E481" s="436"/>
      <c r="F481" s="333">
        <f t="shared" si="433"/>
        <v>0</v>
      </c>
      <c r="G481" s="278"/>
      <c r="H481" s="278"/>
      <c r="I481" s="352" t="str">
        <f>IFERROR(F481/#REF!,"-")</f>
        <v>-</v>
      </c>
      <c r="J481" s="333">
        <f t="shared" si="434"/>
        <v>10147</v>
      </c>
      <c r="K481" s="278">
        <f t="shared" si="429"/>
        <v>9900</v>
      </c>
      <c r="L481" s="436">
        <f t="shared" si="430"/>
        <v>247</v>
      </c>
      <c r="M481" s="337" t="str">
        <f t="shared" si="435"/>
        <v>-</v>
      </c>
      <c r="N481" s="265">
        <f>IFERROR(L481/J481,"-")</f>
        <v>2.4342170099536809E-2</v>
      </c>
      <c r="O481" s="508">
        <v>35.398400000000002</v>
      </c>
      <c r="P481" s="404">
        <f t="shared" si="431"/>
        <v>0</v>
      </c>
      <c r="Q481" s="449">
        <f t="shared" si="432"/>
        <v>350444.16000000003</v>
      </c>
    </row>
    <row r="482" spans="1:17" ht="24" x14ac:dyDescent="0.35">
      <c r="A482" s="248" t="s">
        <v>101</v>
      </c>
      <c r="B482" s="1025" t="s">
        <v>251</v>
      </c>
      <c r="C482" s="545" t="s">
        <v>75</v>
      </c>
      <c r="D482" s="276"/>
      <c r="E482" s="528"/>
      <c r="F482" s="334">
        <f t="shared" si="433"/>
        <v>5198</v>
      </c>
      <c r="G482" s="278">
        <f>320+4800</f>
        <v>5120</v>
      </c>
      <c r="H482" s="278">
        <f>10+68</f>
        <v>78</v>
      </c>
      <c r="I482" s="352" t="str">
        <f>IFERROR(F482/#REF!,"-")</f>
        <v>-</v>
      </c>
      <c r="J482" s="333">
        <f t="shared" si="434"/>
        <v>20800</v>
      </c>
      <c r="K482" s="278">
        <f t="shared" si="429"/>
        <v>20283</v>
      </c>
      <c r="L482" s="436">
        <f t="shared" si="430"/>
        <v>517</v>
      </c>
      <c r="M482" s="337" t="str">
        <f t="shared" si="435"/>
        <v>-</v>
      </c>
      <c r="N482" s="265">
        <f t="shared" ref="N482" si="436">IFERROR(L482/J482,"-")</f>
        <v>2.485576923076923E-2</v>
      </c>
      <c r="O482" s="508">
        <v>55.4758</v>
      </c>
      <c r="P482" s="404">
        <f t="shared" si="431"/>
        <v>284036.09600000002</v>
      </c>
      <c r="Q482" s="449">
        <f t="shared" si="432"/>
        <v>1125215.6514000001</v>
      </c>
    </row>
    <row r="483" spans="1:17" ht="24" x14ac:dyDescent="0.35">
      <c r="A483" s="248" t="s">
        <v>101</v>
      </c>
      <c r="B483" s="1026"/>
      <c r="C483" s="545" t="s">
        <v>72</v>
      </c>
      <c r="D483" s="276"/>
      <c r="E483" s="529"/>
      <c r="F483" s="334">
        <f t="shared" si="433"/>
        <v>0</v>
      </c>
      <c r="G483" s="278"/>
      <c r="H483" s="278"/>
      <c r="I483" s="352" t="str">
        <f>IFERROR(F483/#REF!,"-")</f>
        <v>-</v>
      </c>
      <c r="J483" s="333">
        <f t="shared" si="434"/>
        <v>0</v>
      </c>
      <c r="K483" s="278">
        <f t="shared" si="429"/>
        <v>0</v>
      </c>
      <c r="L483" s="436">
        <f t="shared" si="430"/>
        <v>0</v>
      </c>
      <c r="M483" s="682"/>
      <c r="N483" s="372"/>
      <c r="O483" s="540">
        <v>58.836300000000001</v>
      </c>
      <c r="P483" s="404">
        <f t="shared" si="431"/>
        <v>0</v>
      </c>
      <c r="Q483" s="449">
        <f t="shared" si="432"/>
        <v>0</v>
      </c>
    </row>
    <row r="484" spans="1:17" ht="24" x14ac:dyDescent="0.35">
      <c r="A484" s="248" t="s">
        <v>101</v>
      </c>
      <c r="B484" s="1026"/>
      <c r="C484" s="545" t="s">
        <v>347</v>
      </c>
      <c r="D484" s="276"/>
      <c r="E484" s="435"/>
      <c r="F484" s="334">
        <f t="shared" si="433"/>
        <v>0</v>
      </c>
      <c r="G484" s="278"/>
      <c r="H484" s="278"/>
      <c r="I484" s="352" t="str">
        <f>IFERROR(F484/#REF!,"-")</f>
        <v>-</v>
      </c>
      <c r="J484" s="333">
        <f t="shared" si="434"/>
        <v>0</v>
      </c>
      <c r="K484" s="278">
        <f t="shared" si="429"/>
        <v>0</v>
      </c>
      <c r="L484" s="436">
        <f t="shared" si="430"/>
        <v>0</v>
      </c>
      <c r="M484" s="337" t="str">
        <f t="shared" ref="M484" si="437">IFERROR(J484/D484,"-")</f>
        <v>-</v>
      </c>
      <c r="N484" s="263" t="str">
        <f t="shared" ref="N484" si="438">IFERROR(L484/J484,"-")</f>
        <v>-</v>
      </c>
      <c r="O484" s="710">
        <v>58.836300000000001</v>
      </c>
      <c r="P484" s="404">
        <f t="shared" si="431"/>
        <v>0</v>
      </c>
      <c r="Q484" s="449">
        <f t="shared" si="432"/>
        <v>0</v>
      </c>
    </row>
    <row r="485" spans="1:17" ht="24.75" thickBot="1" x14ac:dyDescent="0.4">
      <c r="A485" s="248"/>
      <c r="B485" s="1027"/>
      <c r="C485" s="545" t="s">
        <v>361</v>
      </c>
      <c r="D485" s="276"/>
      <c r="E485" s="435"/>
      <c r="F485" s="334">
        <f t="shared" si="433"/>
        <v>0</v>
      </c>
      <c r="G485" s="278"/>
      <c r="H485" s="278"/>
      <c r="I485" s="352"/>
      <c r="J485" s="333">
        <f t="shared" si="434"/>
        <v>0</v>
      </c>
      <c r="K485" s="278">
        <f t="shared" si="429"/>
        <v>0</v>
      </c>
      <c r="L485" s="436">
        <f t="shared" si="430"/>
        <v>0</v>
      </c>
      <c r="M485" s="337"/>
      <c r="N485" s="263" t="str">
        <f>IFERROR(L485/J485,"-")</f>
        <v>-</v>
      </c>
      <c r="O485" s="508">
        <v>55.4758</v>
      </c>
      <c r="P485" s="404">
        <f t="shared" si="431"/>
        <v>0</v>
      </c>
      <c r="Q485" s="449">
        <f t="shared" si="432"/>
        <v>0</v>
      </c>
    </row>
    <row r="486" spans="1:17" ht="24" x14ac:dyDescent="0.35">
      <c r="A486" s="248" t="s">
        <v>101</v>
      </c>
      <c r="B486" s="1025" t="s">
        <v>409</v>
      </c>
      <c r="C486" s="543" t="s">
        <v>77</v>
      </c>
      <c r="D486" s="276"/>
      <c r="E486" s="436"/>
      <c r="F486" s="333">
        <f t="shared" si="433"/>
        <v>3861</v>
      </c>
      <c r="G486" s="278">
        <v>3800</v>
      </c>
      <c r="H486" s="278">
        <v>61</v>
      </c>
      <c r="I486" s="352" t="str">
        <f>IFERROR(F486/#REF!,"-")</f>
        <v>-</v>
      </c>
      <c r="J486" s="333">
        <f t="shared" si="434"/>
        <v>18509</v>
      </c>
      <c r="K486" s="719">
        <f t="shared" si="429"/>
        <v>18300</v>
      </c>
      <c r="L486" s="815">
        <f t="shared" si="430"/>
        <v>209</v>
      </c>
      <c r="M486" s="337" t="str">
        <f t="shared" ref="M486:M513" si="439">IFERROR(J486/D486,"-")</f>
        <v>-</v>
      </c>
      <c r="N486" s="263">
        <f t="shared" ref="N486:N512" si="440">IFERROR(L486/J486,"-")</f>
        <v>1.1291803987249447E-2</v>
      </c>
      <c r="O486" s="508">
        <v>25.687200000000001</v>
      </c>
      <c r="P486" s="404">
        <f t="shared" si="431"/>
        <v>97611.36</v>
      </c>
      <c r="Q486" s="449">
        <f t="shared" si="432"/>
        <v>470075.76</v>
      </c>
    </row>
    <row r="487" spans="1:17" ht="24.75" thickBot="1" x14ac:dyDescent="0.4">
      <c r="A487" s="248" t="s">
        <v>101</v>
      </c>
      <c r="B487" s="1027"/>
      <c r="C487" s="543" t="s">
        <v>117</v>
      </c>
      <c r="D487" s="276"/>
      <c r="E487" s="436"/>
      <c r="F487" s="333">
        <f t="shared" si="433"/>
        <v>0</v>
      </c>
      <c r="G487" s="278"/>
      <c r="H487" s="278"/>
      <c r="I487" s="352" t="str">
        <f>IFERROR(F487/#REF!,"-")</f>
        <v>-</v>
      </c>
      <c r="J487" s="333">
        <f t="shared" si="434"/>
        <v>0</v>
      </c>
      <c r="K487" s="278">
        <f t="shared" si="429"/>
        <v>0</v>
      </c>
      <c r="L487" s="436">
        <f t="shared" si="430"/>
        <v>0</v>
      </c>
      <c r="M487" s="337" t="str">
        <f t="shared" si="439"/>
        <v>-</v>
      </c>
      <c r="N487" s="263" t="str">
        <f t="shared" si="440"/>
        <v>-</v>
      </c>
      <c r="O487" s="508">
        <v>25.033899999999999</v>
      </c>
      <c r="P487" s="404">
        <f t="shared" si="431"/>
        <v>0</v>
      </c>
      <c r="Q487" s="449">
        <f t="shared" si="432"/>
        <v>0</v>
      </c>
    </row>
    <row r="488" spans="1:17" ht="24" x14ac:dyDescent="0.35">
      <c r="A488" s="248"/>
      <c r="B488" s="1025" t="s">
        <v>410</v>
      </c>
      <c r="C488" s="543" t="s">
        <v>79</v>
      </c>
      <c r="D488" s="276"/>
      <c r="E488" s="436"/>
      <c r="F488" s="333">
        <f t="shared" si="433"/>
        <v>3829</v>
      </c>
      <c r="G488" s="278">
        <f>1800+2000</f>
        <v>3800</v>
      </c>
      <c r="H488" s="278">
        <f>14+15</f>
        <v>29</v>
      </c>
      <c r="I488" s="352" t="str">
        <f>IFERROR(F488/#REF!,"-")</f>
        <v>-</v>
      </c>
      <c r="J488" s="333">
        <f t="shared" si="434"/>
        <v>9449</v>
      </c>
      <c r="K488" s="278">
        <f t="shared" si="429"/>
        <v>9300</v>
      </c>
      <c r="L488" s="436">
        <f t="shared" si="430"/>
        <v>149</v>
      </c>
      <c r="M488" s="337" t="str">
        <f t="shared" si="439"/>
        <v>-</v>
      </c>
      <c r="N488" s="263">
        <f t="shared" si="440"/>
        <v>1.5768864430098423E-2</v>
      </c>
      <c r="O488" s="508">
        <v>41.992699999999999</v>
      </c>
      <c r="P488" s="404">
        <f t="shared" si="431"/>
        <v>159572.26</v>
      </c>
      <c r="Q488" s="449">
        <f t="shared" si="432"/>
        <v>390532.11</v>
      </c>
    </row>
    <row r="489" spans="1:17" ht="24" x14ac:dyDescent="0.35">
      <c r="A489" s="248"/>
      <c r="B489" s="1026"/>
      <c r="C489" s="543" t="s">
        <v>72</v>
      </c>
      <c r="D489" s="276"/>
      <c r="E489" s="436"/>
      <c r="F489" s="333">
        <f t="shared" si="433"/>
        <v>0</v>
      </c>
      <c r="G489" s="278"/>
      <c r="H489" s="278"/>
      <c r="I489" s="352" t="str">
        <f>IFERROR(F489/#REF!,"-")</f>
        <v>-</v>
      </c>
      <c r="J489" s="333">
        <f t="shared" si="434"/>
        <v>0</v>
      </c>
      <c r="K489" s="278">
        <f t="shared" si="429"/>
        <v>0</v>
      </c>
      <c r="L489" s="436">
        <f t="shared" si="430"/>
        <v>0</v>
      </c>
      <c r="M489" s="337" t="str">
        <f t="shared" si="439"/>
        <v>-</v>
      </c>
      <c r="N489" s="263" t="str">
        <f t="shared" si="440"/>
        <v>-</v>
      </c>
      <c r="O489" s="508">
        <v>42.283799999999999</v>
      </c>
      <c r="P489" s="404">
        <f t="shared" si="431"/>
        <v>0</v>
      </c>
      <c r="Q489" s="449">
        <f t="shared" si="432"/>
        <v>0</v>
      </c>
    </row>
    <row r="490" spans="1:17" ht="24" x14ac:dyDescent="0.35">
      <c r="A490" s="248"/>
      <c r="B490" s="1026"/>
      <c r="C490" s="543" t="s">
        <v>380</v>
      </c>
      <c r="D490" s="276"/>
      <c r="E490" s="436"/>
      <c r="F490" s="333">
        <f t="shared" si="433"/>
        <v>0</v>
      </c>
      <c r="G490" s="278"/>
      <c r="H490" s="278"/>
      <c r="I490" s="352" t="str">
        <f>IFERROR(F490/#REF!,"-")</f>
        <v>-</v>
      </c>
      <c r="J490" s="333">
        <f t="shared" si="434"/>
        <v>0</v>
      </c>
      <c r="K490" s="278">
        <f t="shared" si="429"/>
        <v>0</v>
      </c>
      <c r="L490" s="436">
        <f t="shared" si="430"/>
        <v>0</v>
      </c>
      <c r="M490" s="337" t="str">
        <f t="shared" si="439"/>
        <v>-</v>
      </c>
      <c r="N490" s="263" t="str">
        <f t="shared" si="440"/>
        <v>-</v>
      </c>
      <c r="O490" s="710">
        <v>41.992699999999999</v>
      </c>
      <c r="P490" s="404">
        <f t="shared" si="431"/>
        <v>0</v>
      </c>
      <c r="Q490" s="449">
        <f t="shared" si="432"/>
        <v>0</v>
      </c>
    </row>
    <row r="491" spans="1:17" ht="24.75" thickBot="1" x14ac:dyDescent="0.4">
      <c r="A491" s="248"/>
      <c r="B491" s="1027"/>
      <c r="C491" s="543" t="s">
        <v>381</v>
      </c>
      <c r="D491" s="276"/>
      <c r="E491" s="436"/>
      <c r="F491" s="333">
        <f t="shared" si="433"/>
        <v>0</v>
      </c>
      <c r="G491" s="278"/>
      <c r="H491" s="278"/>
      <c r="I491" s="352" t="str">
        <f>IFERROR(F491/#REF!,"-")</f>
        <v>-</v>
      </c>
      <c r="J491" s="333">
        <f t="shared" si="434"/>
        <v>0</v>
      </c>
      <c r="K491" s="278">
        <f t="shared" si="429"/>
        <v>0</v>
      </c>
      <c r="L491" s="436">
        <f t="shared" si="430"/>
        <v>0</v>
      </c>
      <c r="M491" s="337" t="str">
        <f t="shared" si="439"/>
        <v>-</v>
      </c>
      <c r="N491" s="263" t="str">
        <f t="shared" si="440"/>
        <v>-</v>
      </c>
      <c r="O491" s="710">
        <v>42.283799999999999</v>
      </c>
      <c r="P491" s="404">
        <f t="shared" si="431"/>
        <v>0</v>
      </c>
      <c r="Q491" s="449">
        <f t="shared" si="432"/>
        <v>0</v>
      </c>
    </row>
    <row r="492" spans="1:17" ht="24.75" thickBot="1" x14ac:dyDescent="0.4">
      <c r="A492" s="248"/>
      <c r="B492" s="717" t="s">
        <v>80</v>
      </c>
      <c r="C492" s="543" t="s">
        <v>81</v>
      </c>
      <c r="D492" s="276"/>
      <c r="E492" s="436"/>
      <c r="F492" s="333">
        <f t="shared" si="433"/>
        <v>4615</v>
      </c>
      <c r="G492" s="278">
        <v>4500</v>
      </c>
      <c r="H492" s="278">
        <v>115</v>
      </c>
      <c r="I492" s="352" t="str">
        <f>IFERROR(F492/#REF!,"-")</f>
        <v>-</v>
      </c>
      <c r="J492" s="333">
        <f t="shared" si="434"/>
        <v>16223</v>
      </c>
      <c r="K492" s="278">
        <f t="shared" si="429"/>
        <v>15500</v>
      </c>
      <c r="L492" s="436">
        <f t="shared" si="430"/>
        <v>723</v>
      </c>
      <c r="M492" s="337" t="str">
        <f t="shared" si="439"/>
        <v>-</v>
      </c>
      <c r="N492" s="263">
        <f t="shared" si="440"/>
        <v>4.45663564075695E-2</v>
      </c>
      <c r="O492" s="508">
        <v>4.3535000000000004</v>
      </c>
      <c r="P492" s="404">
        <f t="shared" si="431"/>
        <v>19590.75</v>
      </c>
      <c r="Q492" s="449">
        <f t="shared" si="432"/>
        <v>67479.25</v>
      </c>
    </row>
    <row r="493" spans="1:17" ht="24" x14ac:dyDescent="0.35">
      <c r="A493" s="248"/>
      <c r="B493" s="1025" t="s">
        <v>253</v>
      </c>
      <c r="C493" s="543" t="s">
        <v>77</v>
      </c>
      <c r="D493" s="276"/>
      <c r="E493" s="436"/>
      <c r="F493" s="333">
        <f t="shared" si="433"/>
        <v>42381</v>
      </c>
      <c r="G493" s="278">
        <f>27500+14300</f>
        <v>41800</v>
      </c>
      <c r="H493" s="278">
        <f>270+311</f>
        <v>581</v>
      </c>
      <c r="I493" s="352" t="str">
        <f>IFERROR(F493/#REF!,"-")</f>
        <v>-</v>
      </c>
      <c r="J493" s="333">
        <f t="shared" si="434"/>
        <v>338431</v>
      </c>
      <c r="K493" s="278">
        <f t="shared" si="429"/>
        <v>336600</v>
      </c>
      <c r="L493" s="436">
        <f t="shared" si="430"/>
        <v>1831</v>
      </c>
      <c r="M493" s="337" t="str">
        <f t="shared" si="439"/>
        <v>-</v>
      </c>
      <c r="N493" s="263">
        <f t="shared" si="440"/>
        <v>5.4102608803567051E-3</v>
      </c>
      <c r="O493" s="508">
        <v>4.6184000000000003</v>
      </c>
      <c r="P493" s="404">
        <f t="shared" si="431"/>
        <v>193049.12000000002</v>
      </c>
      <c r="Q493" s="449">
        <f t="shared" si="432"/>
        <v>1554553.4400000002</v>
      </c>
    </row>
    <row r="494" spans="1:17" ht="24" x14ac:dyDescent="0.35">
      <c r="A494" s="248"/>
      <c r="B494" s="1026"/>
      <c r="C494" s="543" t="s">
        <v>340</v>
      </c>
      <c r="D494" s="276"/>
      <c r="E494" s="436"/>
      <c r="F494" s="333">
        <f t="shared" si="433"/>
        <v>0</v>
      </c>
      <c r="G494" s="278"/>
      <c r="H494" s="278"/>
      <c r="I494" s="352" t="str">
        <f>IFERROR(F494/#REF!,"-")</f>
        <v>-</v>
      </c>
      <c r="J494" s="333">
        <f t="shared" si="434"/>
        <v>0</v>
      </c>
      <c r="K494" s="278">
        <f t="shared" si="429"/>
        <v>0</v>
      </c>
      <c r="L494" s="436">
        <f t="shared" si="430"/>
        <v>0</v>
      </c>
      <c r="M494" s="337" t="str">
        <f t="shared" si="439"/>
        <v>-</v>
      </c>
      <c r="N494" s="263" t="str">
        <f t="shared" si="440"/>
        <v>-</v>
      </c>
      <c r="O494" s="508">
        <v>4.6184000000000003</v>
      </c>
      <c r="P494" s="404">
        <f t="shared" si="431"/>
        <v>0</v>
      </c>
      <c r="Q494" s="449">
        <f t="shared" si="432"/>
        <v>0</v>
      </c>
    </row>
    <row r="495" spans="1:17" ht="24" x14ac:dyDescent="0.35">
      <c r="A495" s="248"/>
      <c r="B495" s="1026"/>
      <c r="C495" s="543" t="s">
        <v>252</v>
      </c>
      <c r="D495" s="276"/>
      <c r="E495" s="436"/>
      <c r="F495" s="333">
        <f t="shared" si="433"/>
        <v>0</v>
      </c>
      <c r="G495" s="278"/>
      <c r="H495" s="278"/>
      <c r="I495" s="352" t="str">
        <f>IFERROR(F495/#REF!,"-")</f>
        <v>-</v>
      </c>
      <c r="J495" s="333">
        <f t="shared" si="434"/>
        <v>0</v>
      </c>
      <c r="K495" s="278">
        <f t="shared" si="429"/>
        <v>0</v>
      </c>
      <c r="L495" s="436">
        <f t="shared" si="430"/>
        <v>0</v>
      </c>
      <c r="M495" s="337" t="str">
        <f t="shared" si="439"/>
        <v>-</v>
      </c>
      <c r="N495" s="263" t="str">
        <f t="shared" si="440"/>
        <v>-</v>
      </c>
      <c r="O495" s="508">
        <v>4.6184000000000003</v>
      </c>
      <c r="P495" s="404">
        <f t="shared" si="431"/>
        <v>0</v>
      </c>
      <c r="Q495" s="449">
        <f t="shared" si="432"/>
        <v>0</v>
      </c>
    </row>
    <row r="496" spans="1:17" ht="24" x14ac:dyDescent="0.35">
      <c r="A496" s="248"/>
      <c r="B496" s="1026"/>
      <c r="C496" s="543" t="s">
        <v>350</v>
      </c>
      <c r="D496" s="276"/>
      <c r="E496" s="436"/>
      <c r="F496" s="333">
        <f t="shared" si="433"/>
        <v>0</v>
      </c>
      <c r="G496" s="278"/>
      <c r="H496" s="278"/>
      <c r="I496" s="352" t="str">
        <f>IFERROR(F496/#REF!,"-")</f>
        <v>-</v>
      </c>
      <c r="J496" s="333">
        <f t="shared" si="434"/>
        <v>0</v>
      </c>
      <c r="K496" s="686">
        <f t="shared" si="429"/>
        <v>0</v>
      </c>
      <c r="L496" s="687">
        <f t="shared" si="430"/>
        <v>0</v>
      </c>
      <c r="M496" s="337" t="str">
        <f t="shared" si="439"/>
        <v>-</v>
      </c>
      <c r="N496" s="263" t="str">
        <f t="shared" si="440"/>
        <v>-</v>
      </c>
      <c r="O496" s="508">
        <v>4.7636000000000003</v>
      </c>
      <c r="P496" s="404">
        <f t="shared" si="431"/>
        <v>0</v>
      </c>
      <c r="Q496" s="449">
        <f t="shared" si="432"/>
        <v>0</v>
      </c>
    </row>
    <row r="497" spans="1:17" ht="24.75" thickBot="1" x14ac:dyDescent="0.4">
      <c r="A497" s="248"/>
      <c r="B497" s="1027"/>
      <c r="C497" s="543" t="s">
        <v>346</v>
      </c>
      <c r="D497" s="276"/>
      <c r="E497" s="436"/>
      <c r="F497" s="333">
        <f t="shared" si="433"/>
        <v>0</v>
      </c>
      <c r="G497" s="278"/>
      <c r="H497" s="278"/>
      <c r="I497" s="352" t="str">
        <f>IFERROR(F497/#REF!,"-")</f>
        <v>-</v>
      </c>
      <c r="J497" s="333">
        <f t="shared" si="434"/>
        <v>0</v>
      </c>
      <c r="K497" s="278">
        <f t="shared" si="429"/>
        <v>0</v>
      </c>
      <c r="L497" s="436">
        <f t="shared" si="430"/>
        <v>0</v>
      </c>
      <c r="M497" s="337" t="str">
        <f t="shared" si="439"/>
        <v>-</v>
      </c>
      <c r="N497" s="263" t="str">
        <f t="shared" si="440"/>
        <v>-</v>
      </c>
      <c r="O497" s="508">
        <v>4.8738000000000001</v>
      </c>
      <c r="P497" s="404">
        <f t="shared" si="431"/>
        <v>0</v>
      </c>
      <c r="Q497" s="449">
        <f t="shared" si="432"/>
        <v>0</v>
      </c>
    </row>
    <row r="498" spans="1:17" ht="24.75" thickBot="1" x14ac:dyDescent="0.4">
      <c r="A498" s="248"/>
      <c r="B498" s="717" t="s">
        <v>254</v>
      </c>
      <c r="C498" s="543" t="s">
        <v>520</v>
      </c>
      <c r="D498" s="276"/>
      <c r="E498" s="436"/>
      <c r="F498" s="333">
        <f t="shared" si="433"/>
        <v>6670</v>
      </c>
      <c r="G498" s="278">
        <v>6600</v>
      </c>
      <c r="H498" s="278">
        <v>70</v>
      </c>
      <c r="I498" s="352" t="str">
        <f>IFERROR(F498/#REF!,"-")</f>
        <v>-</v>
      </c>
      <c r="J498" s="333">
        <f t="shared" si="434"/>
        <v>17752</v>
      </c>
      <c r="K498" s="278">
        <f t="shared" si="429"/>
        <v>17600</v>
      </c>
      <c r="L498" s="436">
        <f t="shared" si="430"/>
        <v>152</v>
      </c>
      <c r="M498" s="337" t="str">
        <f t="shared" si="439"/>
        <v>-</v>
      </c>
      <c r="N498" s="263">
        <f t="shared" si="440"/>
        <v>8.5624155024785938E-3</v>
      </c>
      <c r="O498" s="508">
        <v>4.8738000000000001</v>
      </c>
      <c r="P498" s="404">
        <f t="shared" si="431"/>
        <v>32167.08</v>
      </c>
      <c r="Q498" s="449">
        <f t="shared" si="432"/>
        <v>85778.880000000005</v>
      </c>
    </row>
    <row r="499" spans="1:17" ht="24" x14ac:dyDescent="0.35">
      <c r="A499" s="248"/>
      <c r="B499" s="1025" t="s">
        <v>256</v>
      </c>
      <c r="C499" s="543" t="s">
        <v>77</v>
      </c>
      <c r="D499" s="276"/>
      <c r="E499" s="436"/>
      <c r="F499" s="333">
        <f t="shared" si="433"/>
        <v>64130</v>
      </c>
      <c r="G499" s="278">
        <f>43470+19600</f>
        <v>63070</v>
      </c>
      <c r="H499" s="278">
        <f>570+490</f>
        <v>1060</v>
      </c>
      <c r="I499" s="352" t="str">
        <f>IFERROR(F499/#REF!,"-")</f>
        <v>-</v>
      </c>
      <c r="J499" s="333">
        <f t="shared" si="434"/>
        <v>289152</v>
      </c>
      <c r="K499" s="719">
        <f t="shared" si="429"/>
        <v>283850</v>
      </c>
      <c r="L499" s="815">
        <f t="shared" si="430"/>
        <v>5302</v>
      </c>
      <c r="M499" s="337" t="str">
        <f t="shared" si="439"/>
        <v>-</v>
      </c>
      <c r="N499" s="263">
        <f t="shared" si="440"/>
        <v>1.8336376715360779E-2</v>
      </c>
      <c r="O499" s="508">
        <v>4.9344999999999999</v>
      </c>
      <c r="P499" s="404">
        <f t="shared" si="431"/>
        <v>311218.91499999998</v>
      </c>
      <c r="Q499" s="449">
        <f t="shared" si="432"/>
        <v>1400657.825</v>
      </c>
    </row>
    <row r="500" spans="1:17" ht="24" x14ac:dyDescent="0.35">
      <c r="A500" s="248"/>
      <c r="B500" s="1026"/>
      <c r="C500" s="543" t="s">
        <v>135</v>
      </c>
      <c r="D500" s="276"/>
      <c r="E500" s="436"/>
      <c r="F500" s="333">
        <f t="shared" si="433"/>
        <v>0</v>
      </c>
      <c r="G500" s="278"/>
      <c r="H500" s="278"/>
      <c r="I500" s="352" t="str">
        <f>IFERROR(F500/#REF!,"-")</f>
        <v>-</v>
      </c>
      <c r="J500" s="333">
        <f t="shared" si="434"/>
        <v>0</v>
      </c>
      <c r="K500" s="278">
        <f t="shared" si="429"/>
        <v>0</v>
      </c>
      <c r="L500" s="436">
        <f t="shared" si="430"/>
        <v>0</v>
      </c>
      <c r="M500" s="337" t="str">
        <f t="shared" si="439"/>
        <v>-</v>
      </c>
      <c r="N500" s="263" t="str">
        <f t="shared" si="440"/>
        <v>-</v>
      </c>
      <c r="O500" s="508">
        <v>4.9344999999999999</v>
      </c>
      <c r="P500" s="404">
        <f t="shared" si="431"/>
        <v>0</v>
      </c>
      <c r="Q500" s="449">
        <f t="shared" si="432"/>
        <v>0</v>
      </c>
    </row>
    <row r="501" spans="1:17" ht="24" x14ac:dyDescent="0.35">
      <c r="A501" s="248"/>
      <c r="B501" s="1026"/>
      <c r="C501" s="543" t="s">
        <v>129</v>
      </c>
      <c r="D501" s="276"/>
      <c r="E501" s="436"/>
      <c r="F501" s="333">
        <f t="shared" si="433"/>
        <v>0</v>
      </c>
      <c r="G501" s="278"/>
      <c r="H501" s="278"/>
      <c r="I501" s="352" t="str">
        <f>IFERROR(F501/#REF!,"-")</f>
        <v>-</v>
      </c>
      <c r="J501" s="333">
        <f t="shared" si="434"/>
        <v>0</v>
      </c>
      <c r="K501" s="278">
        <f t="shared" si="429"/>
        <v>0</v>
      </c>
      <c r="L501" s="436">
        <f t="shared" si="430"/>
        <v>0</v>
      </c>
      <c r="M501" s="337" t="str">
        <f t="shared" si="439"/>
        <v>-</v>
      </c>
      <c r="N501" s="263" t="str">
        <f t="shared" si="440"/>
        <v>-</v>
      </c>
      <c r="O501" s="508">
        <v>4.9344999999999999</v>
      </c>
      <c r="P501" s="404">
        <f t="shared" si="431"/>
        <v>0</v>
      </c>
      <c r="Q501" s="449">
        <f t="shared" si="432"/>
        <v>0</v>
      </c>
    </row>
    <row r="502" spans="1:17" ht="24.75" thickBot="1" x14ac:dyDescent="0.4">
      <c r="A502" s="248"/>
      <c r="B502" s="1027"/>
      <c r="C502" s="543" t="s">
        <v>255</v>
      </c>
      <c r="D502" s="276"/>
      <c r="E502" s="436"/>
      <c r="F502" s="333">
        <f t="shared" si="433"/>
        <v>0</v>
      </c>
      <c r="G502" s="278"/>
      <c r="H502" s="278"/>
      <c r="I502" s="352" t="str">
        <f>IFERROR(F502/#REF!,"-")</f>
        <v>-</v>
      </c>
      <c r="J502" s="333">
        <f t="shared" si="434"/>
        <v>0</v>
      </c>
      <c r="K502" s="278">
        <f t="shared" si="429"/>
        <v>0</v>
      </c>
      <c r="L502" s="436">
        <f t="shared" si="430"/>
        <v>0</v>
      </c>
      <c r="M502" s="337" t="str">
        <f t="shared" si="439"/>
        <v>-</v>
      </c>
      <c r="N502" s="263" t="str">
        <f t="shared" si="440"/>
        <v>-</v>
      </c>
      <c r="O502" s="508">
        <v>5.5069999999999997</v>
      </c>
      <c r="P502" s="404">
        <f t="shared" si="431"/>
        <v>0</v>
      </c>
      <c r="Q502" s="449">
        <f t="shared" si="432"/>
        <v>0</v>
      </c>
    </row>
    <row r="503" spans="1:17" ht="24" x14ac:dyDescent="0.35">
      <c r="A503" s="248"/>
      <c r="B503" s="1025" t="s">
        <v>261</v>
      </c>
      <c r="C503" s="543" t="s">
        <v>257</v>
      </c>
      <c r="D503" s="276"/>
      <c r="E503" s="436"/>
      <c r="F503" s="333">
        <f t="shared" si="433"/>
        <v>47670</v>
      </c>
      <c r="G503" s="278">
        <f>36750+10500</f>
        <v>47250</v>
      </c>
      <c r="H503" s="278">
        <f>240+180</f>
        <v>420</v>
      </c>
      <c r="I503" s="352" t="str">
        <f>IFERROR(F503/#REF!,"-")</f>
        <v>-</v>
      </c>
      <c r="J503" s="333">
        <f t="shared" si="434"/>
        <v>296793</v>
      </c>
      <c r="K503" s="278">
        <f t="shared" si="429"/>
        <v>294000</v>
      </c>
      <c r="L503" s="687">
        <f t="shared" si="430"/>
        <v>2793</v>
      </c>
      <c r="M503" s="337" t="str">
        <f t="shared" si="439"/>
        <v>-</v>
      </c>
      <c r="N503" s="263">
        <f t="shared" si="440"/>
        <v>9.410599306587419E-3</v>
      </c>
      <c r="O503" s="710">
        <v>5.5069999999999997</v>
      </c>
      <c r="P503" s="404">
        <f t="shared" si="431"/>
        <v>260205.74999999997</v>
      </c>
      <c r="Q503" s="449">
        <f t="shared" si="432"/>
        <v>1619058</v>
      </c>
    </row>
    <row r="504" spans="1:17" ht="24" x14ac:dyDescent="0.35">
      <c r="A504" s="248"/>
      <c r="B504" s="1026"/>
      <c r="C504" s="543" t="s">
        <v>258</v>
      </c>
      <c r="D504" s="276"/>
      <c r="E504" s="436"/>
      <c r="F504" s="333">
        <f t="shared" si="433"/>
        <v>0</v>
      </c>
      <c r="G504" s="278"/>
      <c r="H504" s="278"/>
      <c r="I504" s="352" t="str">
        <f>IFERROR(F504/#REF!,"-")</f>
        <v>-</v>
      </c>
      <c r="J504" s="333">
        <f t="shared" si="434"/>
        <v>0</v>
      </c>
      <c r="K504" s="278">
        <f t="shared" si="429"/>
        <v>0</v>
      </c>
      <c r="L504" s="436">
        <f t="shared" si="430"/>
        <v>0</v>
      </c>
      <c r="M504" s="337" t="str">
        <f t="shared" si="439"/>
        <v>-</v>
      </c>
      <c r="N504" s="263" t="str">
        <f t="shared" si="440"/>
        <v>-</v>
      </c>
      <c r="O504" s="508">
        <v>5.6550000000000002</v>
      </c>
      <c r="P504" s="404">
        <f t="shared" si="431"/>
        <v>0</v>
      </c>
      <c r="Q504" s="449">
        <f t="shared" si="432"/>
        <v>0</v>
      </c>
    </row>
    <row r="505" spans="1:17" ht="24" x14ac:dyDescent="0.35">
      <c r="A505" s="248"/>
      <c r="B505" s="1026"/>
      <c r="C505" s="543" t="s">
        <v>321</v>
      </c>
      <c r="D505" s="276"/>
      <c r="E505" s="436"/>
      <c r="F505" s="333">
        <f t="shared" si="433"/>
        <v>0</v>
      </c>
      <c r="G505" s="278"/>
      <c r="H505" s="278"/>
      <c r="I505" s="352" t="str">
        <f>IFERROR(F505/#REF!,"-")</f>
        <v>-</v>
      </c>
      <c r="J505" s="333">
        <f t="shared" si="434"/>
        <v>0</v>
      </c>
      <c r="K505" s="686">
        <f t="shared" si="429"/>
        <v>0</v>
      </c>
      <c r="L505" s="687">
        <f t="shared" si="430"/>
        <v>0</v>
      </c>
      <c r="M505" s="337" t="str">
        <f t="shared" si="439"/>
        <v>-</v>
      </c>
      <c r="N505" s="263" t="str">
        <f t="shared" si="440"/>
        <v>-</v>
      </c>
      <c r="O505" s="508">
        <v>5.6550000000000002</v>
      </c>
      <c r="P505" s="404">
        <f t="shared" si="431"/>
        <v>0</v>
      </c>
      <c r="Q505" s="449">
        <f t="shared" si="432"/>
        <v>0</v>
      </c>
    </row>
    <row r="506" spans="1:17" ht="24" x14ac:dyDescent="0.35">
      <c r="A506" s="248"/>
      <c r="B506" s="1026"/>
      <c r="C506" s="543" t="s">
        <v>259</v>
      </c>
      <c r="D506" s="276"/>
      <c r="E506" s="436"/>
      <c r="F506" s="333">
        <f t="shared" si="433"/>
        <v>0</v>
      </c>
      <c r="G506" s="278"/>
      <c r="H506" s="278"/>
      <c r="I506" s="352" t="str">
        <f>IFERROR(F506/#REF!,"-")</f>
        <v>-</v>
      </c>
      <c r="J506" s="333">
        <f t="shared" si="434"/>
        <v>0</v>
      </c>
      <c r="K506" s="278">
        <f t="shared" si="429"/>
        <v>0</v>
      </c>
      <c r="L506" s="436">
        <f t="shared" si="430"/>
        <v>0</v>
      </c>
      <c r="M506" s="337" t="str">
        <f t="shared" si="439"/>
        <v>-</v>
      </c>
      <c r="N506" s="263" t="str">
        <f t="shared" si="440"/>
        <v>-</v>
      </c>
      <c r="O506" s="508">
        <v>5.6550000000000002</v>
      </c>
      <c r="P506" s="404">
        <f t="shared" si="431"/>
        <v>0</v>
      </c>
      <c r="Q506" s="449">
        <f t="shared" si="432"/>
        <v>0</v>
      </c>
    </row>
    <row r="507" spans="1:17" ht="24" x14ac:dyDescent="0.35">
      <c r="A507" s="248" t="s">
        <v>101</v>
      </c>
      <c r="B507" s="1026"/>
      <c r="C507" s="543" t="s">
        <v>260</v>
      </c>
      <c r="D507" s="276"/>
      <c r="E507" s="436"/>
      <c r="F507" s="333">
        <f t="shared" si="433"/>
        <v>0</v>
      </c>
      <c r="G507" s="278"/>
      <c r="H507" s="278"/>
      <c r="I507" s="352" t="str">
        <f>IFERROR(F507/#REF!,"-")</f>
        <v>-</v>
      </c>
      <c r="J507" s="333">
        <f t="shared" si="434"/>
        <v>0</v>
      </c>
      <c r="K507" s="278">
        <f t="shared" si="429"/>
        <v>0</v>
      </c>
      <c r="L507" s="436">
        <f t="shared" si="430"/>
        <v>0</v>
      </c>
      <c r="M507" s="337" t="str">
        <f t="shared" si="439"/>
        <v>-</v>
      </c>
      <c r="N507" s="263" t="str">
        <f t="shared" si="440"/>
        <v>-</v>
      </c>
      <c r="O507" s="508">
        <v>3.2963</v>
      </c>
      <c r="P507" s="404">
        <f t="shared" si="431"/>
        <v>0</v>
      </c>
      <c r="Q507" s="449">
        <f t="shared" si="432"/>
        <v>0</v>
      </c>
    </row>
    <row r="508" spans="1:17" ht="24.75" thickBot="1" x14ac:dyDescent="0.4">
      <c r="A508" s="248" t="s">
        <v>101</v>
      </c>
      <c r="B508" s="1027"/>
      <c r="C508" s="543" t="s">
        <v>255</v>
      </c>
      <c r="D508" s="276"/>
      <c r="E508" s="436"/>
      <c r="F508" s="333">
        <f t="shared" si="433"/>
        <v>0</v>
      </c>
      <c r="G508" s="278"/>
      <c r="H508" s="278"/>
      <c r="I508" s="352" t="str">
        <f>IFERROR(F508/#REF!,"-")</f>
        <v>-</v>
      </c>
      <c r="J508" s="333">
        <f t="shared" si="434"/>
        <v>0</v>
      </c>
      <c r="K508" s="278">
        <f t="shared" si="429"/>
        <v>0</v>
      </c>
      <c r="L508" s="436">
        <f t="shared" si="430"/>
        <v>0</v>
      </c>
      <c r="M508" s="337" t="str">
        <f t="shared" si="439"/>
        <v>-</v>
      </c>
      <c r="N508" s="263" t="str">
        <f t="shared" si="440"/>
        <v>-</v>
      </c>
      <c r="O508" s="508">
        <v>3.2963</v>
      </c>
      <c r="P508" s="404">
        <f t="shared" si="431"/>
        <v>0</v>
      </c>
      <c r="Q508" s="449">
        <f t="shared" si="432"/>
        <v>0</v>
      </c>
    </row>
    <row r="509" spans="1:17" ht="24" x14ac:dyDescent="0.35">
      <c r="A509" s="248" t="s">
        <v>101</v>
      </c>
      <c r="B509" s="546"/>
      <c r="C509" s="544" t="s">
        <v>89</v>
      </c>
      <c r="D509" s="511"/>
      <c r="E509" s="436"/>
      <c r="F509" s="333">
        <f t="shared" si="433"/>
        <v>83715</v>
      </c>
      <c r="G509" s="278">
        <v>83400</v>
      </c>
      <c r="H509" s="278">
        <v>315</v>
      </c>
      <c r="I509" s="352" t="str">
        <f>IFERROR(F509/#REF!,"-")</f>
        <v>-</v>
      </c>
      <c r="J509" s="333">
        <f t="shared" si="434"/>
        <v>83715</v>
      </c>
      <c r="K509" s="278">
        <f t="shared" si="429"/>
        <v>83400</v>
      </c>
      <c r="L509" s="436">
        <f t="shared" si="430"/>
        <v>315</v>
      </c>
      <c r="M509" s="337" t="str">
        <f t="shared" si="439"/>
        <v>-</v>
      </c>
      <c r="N509" s="263">
        <f t="shared" si="440"/>
        <v>3.7627665292958249E-3</v>
      </c>
      <c r="O509" s="508">
        <v>2.3201000000000001</v>
      </c>
      <c r="P509" s="404">
        <f t="shared" si="431"/>
        <v>193496.34</v>
      </c>
      <c r="Q509" s="449">
        <f t="shared" si="432"/>
        <v>193496.34</v>
      </c>
    </row>
    <row r="510" spans="1:17" ht="24.75" thickBot="1" x14ac:dyDescent="0.3">
      <c r="A510" s="248" t="s">
        <v>101</v>
      </c>
      <c r="B510" s="524"/>
      <c r="C510" s="541"/>
      <c r="D510" s="530"/>
      <c r="E510" s="462"/>
      <c r="F510" s="460">
        <f t="shared" si="433"/>
        <v>0</v>
      </c>
      <c r="G510" s="461"/>
      <c r="H510" s="461"/>
      <c r="I510" s="532" t="str">
        <f>IFERROR(F510/#REF!,"-")</f>
        <v>-</v>
      </c>
      <c r="J510" s="460">
        <f t="shared" si="434"/>
        <v>0</v>
      </c>
      <c r="K510" s="461">
        <f t="shared" si="429"/>
        <v>0</v>
      </c>
      <c r="L510" s="462">
        <f t="shared" si="430"/>
        <v>0</v>
      </c>
      <c r="M510" s="683" t="str">
        <f t="shared" si="439"/>
        <v>-</v>
      </c>
      <c r="N510" s="264" t="str">
        <f t="shared" si="440"/>
        <v>-</v>
      </c>
      <c r="O510" s="539"/>
      <c r="P510" s="536">
        <f t="shared" si="431"/>
        <v>0</v>
      </c>
      <c r="Q510" s="537">
        <f t="shared" si="432"/>
        <v>0</v>
      </c>
    </row>
    <row r="511" spans="1:17" ht="23.25" customHeight="1" thickBot="1" x14ac:dyDescent="0.3">
      <c r="A511" s="274" t="s">
        <v>101</v>
      </c>
      <c r="B511" s="1028" t="s">
        <v>25</v>
      </c>
      <c r="C511" s="964"/>
      <c r="D511" s="513">
        <f>SUM(D484:D510)</f>
        <v>0</v>
      </c>
      <c r="E511" s="526">
        <v>100000</v>
      </c>
      <c r="F511" s="519">
        <f>SUM(F479:F510)</f>
        <v>265084</v>
      </c>
      <c r="G511" s="519">
        <f>SUM(G479:G510)</f>
        <v>262340</v>
      </c>
      <c r="H511" s="519">
        <f>SUM(H479:H510)</f>
        <v>2744</v>
      </c>
      <c r="I511" s="520" t="str">
        <f>IFERROR(F511/#REF!,"-")</f>
        <v>-</v>
      </c>
      <c r="J511" s="513">
        <f>SUM(J479:J510)</f>
        <v>1119666</v>
      </c>
      <c r="K511" s="513">
        <f t="shared" ref="K511:L511" si="441">SUM(K479:K510)</f>
        <v>1107233</v>
      </c>
      <c r="L511" s="513">
        <f t="shared" si="441"/>
        <v>12433</v>
      </c>
      <c r="M511" s="521" t="str">
        <f t="shared" si="439"/>
        <v>-</v>
      </c>
      <c r="N511" s="520">
        <f t="shared" si="440"/>
        <v>1.1104204289493474E-2</v>
      </c>
      <c r="O511" s="522"/>
      <c r="P511" s="523">
        <f>SUM(P479:P510)</f>
        <v>1649786.571</v>
      </c>
      <c r="Q511" s="523">
        <f>SUM(Q479:Q510)</f>
        <v>7892545.0164000001</v>
      </c>
    </row>
    <row r="512" spans="1:17" ht="23.25" customHeight="1" thickBot="1" x14ac:dyDescent="0.3">
      <c r="A512" s="318" t="s">
        <v>101</v>
      </c>
      <c r="B512" s="1029" t="s">
        <v>249</v>
      </c>
      <c r="C512" s="1030"/>
      <c r="D512" s="326">
        <f>+D483+D511</f>
        <v>0</v>
      </c>
      <c r="E512" s="327">
        <f>+E483+E511</f>
        <v>100000</v>
      </c>
      <c r="F512" s="326">
        <f>+F511</f>
        <v>265084</v>
      </c>
      <c r="G512" s="326">
        <f t="shared" ref="G512:H512" si="442">+G511</f>
        <v>262340</v>
      </c>
      <c r="H512" s="326">
        <f t="shared" si="442"/>
        <v>2744</v>
      </c>
      <c r="I512" s="349" t="str">
        <f>IFERROR(F512/#REF!,"-")</f>
        <v>-</v>
      </c>
      <c r="J512" s="326">
        <f>+J511</f>
        <v>1119666</v>
      </c>
      <c r="K512" s="326">
        <f t="shared" ref="K512:L512" si="443">+K511</f>
        <v>1107233</v>
      </c>
      <c r="L512" s="326">
        <f t="shared" si="443"/>
        <v>12433</v>
      </c>
      <c r="M512" s="341" t="str">
        <f t="shared" si="439"/>
        <v>-</v>
      </c>
      <c r="N512" s="349">
        <f t="shared" si="440"/>
        <v>1.1104204289493474E-2</v>
      </c>
      <c r="O512" s="394"/>
      <c r="P512" s="410">
        <f>+P511</f>
        <v>1649786.571</v>
      </c>
      <c r="Q512" s="428">
        <f>Q511</f>
        <v>7892545.0164000001</v>
      </c>
    </row>
    <row r="513" spans="1:17" ht="26.25" thickBot="1" x14ac:dyDescent="0.3">
      <c r="A513" s="319"/>
      <c r="B513" s="1031" t="s">
        <v>174</v>
      </c>
      <c r="C513" s="1032"/>
      <c r="D513" s="374">
        <f>+D512+D478+D469</f>
        <v>0</v>
      </c>
      <c r="E513" s="374">
        <f>+E512+E478+E469</f>
        <v>230000</v>
      </c>
      <c r="F513" s="374">
        <f>+F512+F478+F469</f>
        <v>425575</v>
      </c>
      <c r="G513" s="374">
        <f>+G512+G478+G469</f>
        <v>421340</v>
      </c>
      <c r="H513" s="374">
        <f>+H512+H478+H469</f>
        <v>4235</v>
      </c>
      <c r="I513" s="375" t="str">
        <f>IFERROR(F513/#REF!,"-")</f>
        <v>-</v>
      </c>
      <c r="J513" s="374">
        <f>+J512+J478+J469</f>
        <v>2861797</v>
      </c>
      <c r="K513" s="374">
        <f>+K512+K478+K469</f>
        <v>2831433</v>
      </c>
      <c r="L513" s="374">
        <f>+L512+L478+L469</f>
        <v>30364</v>
      </c>
      <c r="M513" s="375" t="str">
        <f t="shared" si="439"/>
        <v>-</v>
      </c>
      <c r="N513" s="375">
        <f>IFERROR(L513/J513,"-")</f>
        <v>1.0610116650482197E-2</v>
      </c>
      <c r="O513" s="401"/>
      <c r="P513" s="418">
        <f>+P512+P478+P469</f>
        <v>2613248.8710000003</v>
      </c>
      <c r="Q513" s="418">
        <f>+Q512+Q478+Q469</f>
        <v>15934327.1514</v>
      </c>
    </row>
    <row r="514" spans="1:17" ht="24.6" customHeight="1" thickBot="1" x14ac:dyDescent="0.3">
      <c r="A514" s="230"/>
      <c r="B514" s="230"/>
      <c r="C514" s="230"/>
      <c r="D514" s="232"/>
      <c r="E514" s="232"/>
      <c r="F514" s="232"/>
      <c r="G514" s="267"/>
      <c r="H514" s="267"/>
      <c r="I514" s="234"/>
      <c r="J514" s="232"/>
      <c r="K514" s="232"/>
      <c r="L514" s="232"/>
      <c r="M514" s="234"/>
      <c r="N514" s="234"/>
    </row>
    <row r="515" spans="1:17" ht="22.5" customHeight="1" x14ac:dyDescent="0.25">
      <c r="A515" s="1033" t="s">
        <v>1</v>
      </c>
      <c r="B515" s="1036" t="s">
        <v>2</v>
      </c>
      <c r="C515" s="1039" t="s">
        <v>396</v>
      </c>
      <c r="D515" s="987" t="s">
        <v>4</v>
      </c>
      <c r="E515" s="988"/>
      <c r="F515" s="988"/>
      <c r="G515" s="988"/>
      <c r="H515" s="988"/>
      <c r="I515" s="988"/>
      <c r="J515" s="988"/>
      <c r="K515" s="988"/>
      <c r="L515" s="988"/>
      <c r="M515" s="988"/>
      <c r="N515" s="989"/>
      <c r="O515" s="1011" t="s">
        <v>167</v>
      </c>
      <c r="P515" s="1012"/>
      <c r="Q515" s="1042"/>
    </row>
    <row r="516" spans="1:17" ht="22.5" customHeight="1" x14ac:dyDescent="0.25">
      <c r="A516" s="1034"/>
      <c r="B516" s="1037"/>
      <c r="C516" s="1040"/>
      <c r="D516" s="990" t="s">
        <v>7</v>
      </c>
      <c r="E516" s="992" t="s">
        <v>108</v>
      </c>
      <c r="F516" s="1043" t="s">
        <v>533</v>
      </c>
      <c r="G516" s="995"/>
      <c r="H516" s="995"/>
      <c r="I516" s="996"/>
      <c r="J516" s="997" t="s">
        <v>8</v>
      </c>
      <c r="K516" s="998"/>
      <c r="L516" s="999"/>
      <c r="M516" s="1000" t="s">
        <v>165</v>
      </c>
      <c r="N516" s="1002" t="s">
        <v>164</v>
      </c>
      <c r="O516" s="1044" t="s">
        <v>169</v>
      </c>
      <c r="P516" s="1045"/>
      <c r="Q516" s="1046"/>
    </row>
    <row r="517" spans="1:17" ht="45.75" thickBot="1" x14ac:dyDescent="0.3">
      <c r="A517" s="1035"/>
      <c r="B517" s="1038"/>
      <c r="C517" s="1041"/>
      <c r="D517" s="991"/>
      <c r="E517" s="993"/>
      <c r="F517" s="452" t="s">
        <v>13</v>
      </c>
      <c r="G517" s="453" t="s">
        <v>14</v>
      </c>
      <c r="H517" s="453" t="s">
        <v>15</v>
      </c>
      <c r="I517" s="454" t="s">
        <v>166</v>
      </c>
      <c r="J517" s="680" t="s">
        <v>13</v>
      </c>
      <c r="K517" s="678" t="s">
        <v>14</v>
      </c>
      <c r="L517" s="679" t="s">
        <v>15</v>
      </c>
      <c r="M517" s="1001"/>
      <c r="N517" s="1003"/>
      <c r="O517" s="444" t="s">
        <v>170</v>
      </c>
      <c r="P517" s="445" t="s">
        <v>11</v>
      </c>
      <c r="Q517" s="446" t="s">
        <v>12</v>
      </c>
    </row>
    <row r="518" spans="1:17" ht="24" x14ac:dyDescent="0.25">
      <c r="A518" s="268" t="s">
        <v>103</v>
      </c>
      <c r="B518" s="439"/>
      <c r="C518" s="269" t="s">
        <v>502</v>
      </c>
      <c r="D518" s="270"/>
      <c r="E518" s="271"/>
      <c r="F518" s="332">
        <f>+G518+H518</f>
        <v>0</v>
      </c>
      <c r="G518" s="272"/>
      <c r="H518" s="272"/>
      <c r="I518" s="351" t="str">
        <f>IFERROR(F518/E518,"-")</f>
        <v>-</v>
      </c>
      <c r="J518" s="457">
        <f>+K518+L518</f>
        <v>128000</v>
      </c>
      <c r="K518" s="458">
        <f>+G518+K455</f>
        <v>128000</v>
      </c>
      <c r="L518" s="458">
        <f>+H518+L455</f>
        <v>0</v>
      </c>
      <c r="M518" s="336" t="str">
        <f>IFERROR(J518/D518,"-")</f>
        <v>-</v>
      </c>
      <c r="N518" s="343">
        <f t="shared" ref="N518:N519" si="444">IFERROR(L518/J518,"-")</f>
        <v>0</v>
      </c>
      <c r="O518" s="786">
        <v>0</v>
      </c>
      <c r="P518" s="402">
        <f>+O518*G518</f>
        <v>0</v>
      </c>
      <c r="Q518" s="447">
        <f>+O518*K518</f>
        <v>0</v>
      </c>
    </row>
    <row r="519" spans="1:17" ht="24" x14ac:dyDescent="0.25">
      <c r="A519" s="274" t="s">
        <v>103</v>
      </c>
      <c r="B519" s="438"/>
      <c r="C519" s="275" t="s">
        <v>245</v>
      </c>
      <c r="D519" s="276"/>
      <c r="E519" s="277"/>
      <c r="F519" s="333">
        <f t="shared" ref="F519:F522" si="445">+G519+H519</f>
        <v>0</v>
      </c>
      <c r="G519" s="719"/>
      <c r="H519" s="719"/>
      <c r="I519" s="351" t="str">
        <f t="shared" ref="I519:I522" si="446">IFERROR(F519/E519,"-")</f>
        <v>-</v>
      </c>
      <c r="J519" s="333">
        <f t="shared" ref="J519:J522" si="447">+K519+L519</f>
        <v>115874</v>
      </c>
      <c r="K519" s="278">
        <f t="shared" ref="K519:K522" si="448">+G519+K456</f>
        <v>115000</v>
      </c>
      <c r="L519" s="436">
        <f t="shared" ref="L519:L522" si="449">+H519+L456</f>
        <v>874</v>
      </c>
      <c r="M519" s="337" t="str">
        <f t="shared" ref="M519:M522" si="450">IFERROR(J519/D519,"-")</f>
        <v>-</v>
      </c>
      <c r="N519" s="265">
        <f t="shared" si="444"/>
        <v>7.5426756649464074E-3</v>
      </c>
      <c r="O519" s="508">
        <v>2.3978999999999999</v>
      </c>
      <c r="P519" s="404">
        <f>+O519*G519</f>
        <v>0</v>
      </c>
      <c r="Q519" s="449">
        <f>+O519*K519</f>
        <v>275758.5</v>
      </c>
    </row>
    <row r="520" spans="1:17" ht="24" x14ac:dyDescent="0.25">
      <c r="A520" s="274" t="s">
        <v>103</v>
      </c>
      <c r="B520" s="438"/>
      <c r="C520" s="275" t="s">
        <v>395</v>
      </c>
      <c r="D520" s="276"/>
      <c r="E520" s="277"/>
      <c r="F520" s="333">
        <f t="shared" si="445"/>
        <v>0</v>
      </c>
      <c r="G520" s="278"/>
      <c r="H520" s="719"/>
      <c r="I520" s="351" t="str">
        <f t="shared" si="446"/>
        <v>-</v>
      </c>
      <c r="J520" s="333">
        <f t="shared" si="447"/>
        <v>714001</v>
      </c>
      <c r="K520" s="278">
        <f t="shared" si="448"/>
        <v>707750</v>
      </c>
      <c r="L520" s="436">
        <f t="shared" si="449"/>
        <v>6251</v>
      </c>
      <c r="M520" s="337" t="str">
        <f t="shared" si="450"/>
        <v>-</v>
      </c>
      <c r="N520" s="716">
        <f>IFERROR(L520/J520,"-")</f>
        <v>8.7548896990340356E-3</v>
      </c>
      <c r="O520" s="718">
        <v>3.6777000000000002</v>
      </c>
      <c r="P520" s="404">
        <f t="shared" ref="P520:P522" si="451">+O520*G520</f>
        <v>0</v>
      </c>
      <c r="Q520" s="449">
        <f t="shared" ref="Q520:Q522" si="452">+O520*K520</f>
        <v>2602892.1750000003</v>
      </c>
    </row>
    <row r="521" spans="1:17" ht="24" x14ac:dyDescent="0.25">
      <c r="A521" s="274"/>
      <c r="B521" s="451"/>
      <c r="C521" s="275" t="s">
        <v>319</v>
      </c>
      <c r="D521" s="280"/>
      <c r="E521" s="281"/>
      <c r="F521" s="333">
        <f t="shared" si="445"/>
        <v>44663</v>
      </c>
      <c r="G521" s="282">
        <v>44000</v>
      </c>
      <c r="H521" s="282">
        <v>663</v>
      </c>
      <c r="I521" s="351" t="str">
        <f t="shared" si="446"/>
        <v>-</v>
      </c>
      <c r="J521" s="333">
        <f t="shared" si="447"/>
        <v>326049</v>
      </c>
      <c r="K521" s="278">
        <f t="shared" si="448"/>
        <v>320800</v>
      </c>
      <c r="L521" s="436">
        <f t="shared" si="449"/>
        <v>5249</v>
      </c>
      <c r="M521" s="337" t="str">
        <f t="shared" si="450"/>
        <v>-</v>
      </c>
      <c r="N521" s="265">
        <f>IFERROR(L521/J521,"-")</f>
        <v>1.609880723449543E-2</v>
      </c>
      <c r="O521" s="509">
        <v>12.284700000000001</v>
      </c>
      <c r="P521" s="404">
        <f t="shared" si="451"/>
        <v>540526.80000000005</v>
      </c>
      <c r="Q521" s="449">
        <f t="shared" si="452"/>
        <v>3940931.7600000002</v>
      </c>
    </row>
    <row r="522" spans="1:17" ht="24.75" thickBot="1" x14ac:dyDescent="0.3">
      <c r="A522" s="274" t="s">
        <v>103</v>
      </c>
      <c r="B522" s="451"/>
      <c r="C522" s="275" t="s">
        <v>365</v>
      </c>
      <c r="D522" s="280"/>
      <c r="E522" s="281"/>
      <c r="F522" s="334">
        <f t="shared" si="445"/>
        <v>0</v>
      </c>
      <c r="G522" s="282"/>
      <c r="H522" s="282"/>
      <c r="I522" s="351" t="str">
        <f t="shared" si="446"/>
        <v>-</v>
      </c>
      <c r="J522" s="460">
        <f t="shared" si="447"/>
        <v>45034</v>
      </c>
      <c r="K522" s="461">
        <f t="shared" si="448"/>
        <v>44250</v>
      </c>
      <c r="L522" s="462">
        <f t="shared" si="449"/>
        <v>784</v>
      </c>
      <c r="M522" s="338" t="str">
        <f t="shared" si="450"/>
        <v>-</v>
      </c>
      <c r="N522" s="344">
        <f t="shared" ref="N522:N534" si="453">IFERROR(L522/J522,"-")</f>
        <v>1.7409068703646134E-2</v>
      </c>
      <c r="O522" s="718">
        <v>7.0612000000000004</v>
      </c>
      <c r="P522" s="405">
        <f t="shared" si="451"/>
        <v>0</v>
      </c>
      <c r="Q522" s="450">
        <f t="shared" si="452"/>
        <v>312458.10000000003</v>
      </c>
    </row>
    <row r="523" spans="1:17" ht="23.25" customHeight="1" thickBot="1" x14ac:dyDescent="0.3">
      <c r="A523" s="274" t="s">
        <v>103</v>
      </c>
      <c r="B523" s="1028" t="s">
        <v>21</v>
      </c>
      <c r="C523" s="964"/>
      <c r="D523" s="320">
        <f>SUM(D518:D522)</f>
        <v>0</v>
      </c>
      <c r="E523" s="285">
        <v>15000</v>
      </c>
      <c r="F523" s="320">
        <f>SUM(F518:F522)</f>
        <v>44663</v>
      </c>
      <c r="G523" s="321">
        <f>SUM(G518:G522)</f>
        <v>44000</v>
      </c>
      <c r="H523" s="321">
        <f>SUM(H518:H522)</f>
        <v>663</v>
      </c>
      <c r="I523" s="345">
        <f>IFERROR(F523/E523,"-")</f>
        <v>2.9775333333333331</v>
      </c>
      <c r="J523" s="320">
        <f>SUM(J518:J522)</f>
        <v>1328958</v>
      </c>
      <c r="K523" s="321">
        <f>SUM(K518:K522)</f>
        <v>1315800</v>
      </c>
      <c r="L523" s="322">
        <f>SUM(L518:L522)</f>
        <v>13158</v>
      </c>
      <c r="M523" s="339" t="str">
        <f>IFERROR(J523/D523,"-")</f>
        <v>-</v>
      </c>
      <c r="N523" s="345">
        <f t="shared" si="453"/>
        <v>9.9009900990099011E-3</v>
      </c>
      <c r="O523" s="391"/>
      <c r="P523" s="406">
        <f>SUM(P518:P522)</f>
        <v>540526.80000000005</v>
      </c>
      <c r="Q523" s="425">
        <f>SUM(Q518:Q522)</f>
        <v>7132040.5350000001</v>
      </c>
    </row>
    <row r="524" spans="1:17" ht="24" x14ac:dyDescent="0.25">
      <c r="A524" s="274" t="s">
        <v>103</v>
      </c>
      <c r="B524" s="439"/>
      <c r="C524" s="269" t="s">
        <v>244</v>
      </c>
      <c r="D524" s="270"/>
      <c r="E524" s="271"/>
      <c r="F524" s="332">
        <f t="shared" ref="F524:F530" si="454">+G524+H524</f>
        <v>0</v>
      </c>
      <c r="G524" s="272"/>
      <c r="H524" s="272"/>
      <c r="I524" s="351" t="str">
        <f>IFERROR(F524/E524,"-")</f>
        <v>-</v>
      </c>
      <c r="J524" s="457">
        <f t="shared" ref="J524:J530" si="455">+K524+L524</f>
        <v>0</v>
      </c>
      <c r="K524" s="458">
        <f t="shared" ref="K524:K530" si="456">+G524+K461</f>
        <v>0</v>
      </c>
      <c r="L524" s="459">
        <f t="shared" ref="L524:L530" si="457">+H524+L461</f>
        <v>0</v>
      </c>
      <c r="M524" s="336" t="str">
        <f t="shared" ref="M524:M532" si="458">IFERROR(J524/D524,"-")</f>
        <v>-</v>
      </c>
      <c r="N524" s="346" t="str">
        <f t="shared" si="453"/>
        <v>-</v>
      </c>
      <c r="O524" s="507">
        <v>18.2316</v>
      </c>
      <c r="P524" s="402">
        <f t="shared" ref="P524:P530" si="459">+O524*G524</f>
        <v>0</v>
      </c>
      <c r="Q524" s="447">
        <f t="shared" ref="Q524:Q530" si="460">+O524*K524</f>
        <v>0</v>
      </c>
    </row>
    <row r="525" spans="1:17" ht="24" x14ac:dyDescent="0.25">
      <c r="A525" s="274" t="s">
        <v>103</v>
      </c>
      <c r="B525" s="438"/>
      <c r="C525" s="275" t="s">
        <v>89</v>
      </c>
      <c r="D525" s="276"/>
      <c r="E525" s="277"/>
      <c r="F525" s="333">
        <f t="shared" si="454"/>
        <v>60000</v>
      </c>
      <c r="G525" s="278">
        <v>60000</v>
      </c>
      <c r="H525" s="278"/>
      <c r="I525" s="351" t="str">
        <f t="shared" ref="I525:I530" si="461">IFERROR(F525/E525,"-")</f>
        <v>-</v>
      </c>
      <c r="J525" s="333">
        <f t="shared" si="455"/>
        <v>120000</v>
      </c>
      <c r="K525" s="278">
        <f t="shared" si="456"/>
        <v>120000</v>
      </c>
      <c r="L525" s="436">
        <f t="shared" si="457"/>
        <v>0</v>
      </c>
      <c r="M525" s="337" t="str">
        <f t="shared" si="458"/>
        <v>-</v>
      </c>
      <c r="N525" s="263">
        <f t="shared" si="453"/>
        <v>0</v>
      </c>
      <c r="O525" s="508">
        <v>1.2824</v>
      </c>
      <c r="P525" s="404">
        <f t="shared" si="459"/>
        <v>76944</v>
      </c>
      <c r="Q525" s="449">
        <f t="shared" si="460"/>
        <v>153888</v>
      </c>
    </row>
    <row r="526" spans="1:17" ht="24" x14ac:dyDescent="0.25">
      <c r="A526" s="274" t="s">
        <v>103</v>
      </c>
      <c r="B526" s="438"/>
      <c r="C526" s="275" t="s">
        <v>300</v>
      </c>
      <c r="D526" s="276"/>
      <c r="E526" s="277"/>
      <c r="F526" s="333">
        <f t="shared" si="454"/>
        <v>0</v>
      </c>
      <c r="G526" s="278"/>
      <c r="H526" s="278"/>
      <c r="I526" s="351" t="str">
        <f t="shared" si="461"/>
        <v>-</v>
      </c>
      <c r="J526" s="333">
        <f t="shared" si="455"/>
        <v>0</v>
      </c>
      <c r="K526" s="278">
        <f t="shared" si="456"/>
        <v>0</v>
      </c>
      <c r="L526" s="436">
        <f t="shared" si="457"/>
        <v>0</v>
      </c>
      <c r="M526" s="337" t="str">
        <f t="shared" si="458"/>
        <v>-</v>
      </c>
      <c r="N526" s="263" t="str">
        <f t="shared" si="453"/>
        <v>-</v>
      </c>
      <c r="O526" s="710">
        <v>5.7342000000000004</v>
      </c>
      <c r="P526" s="404">
        <f t="shared" si="459"/>
        <v>0</v>
      </c>
      <c r="Q526" s="449">
        <f t="shared" si="460"/>
        <v>0</v>
      </c>
    </row>
    <row r="527" spans="1:17" ht="24" x14ac:dyDescent="0.25">
      <c r="A527" s="274" t="s">
        <v>103</v>
      </c>
      <c r="B527" s="438"/>
      <c r="C527" s="275" t="s">
        <v>314</v>
      </c>
      <c r="D527" s="276"/>
      <c r="E527" s="277"/>
      <c r="F527" s="333">
        <f t="shared" si="454"/>
        <v>0</v>
      </c>
      <c r="G527" s="278"/>
      <c r="H527" s="278"/>
      <c r="I527" s="351" t="str">
        <f t="shared" si="461"/>
        <v>-</v>
      </c>
      <c r="J527" s="333">
        <f t="shared" si="455"/>
        <v>0</v>
      </c>
      <c r="K527" s="278">
        <f t="shared" si="456"/>
        <v>0</v>
      </c>
      <c r="L527" s="436">
        <f t="shared" si="457"/>
        <v>0</v>
      </c>
      <c r="M527" s="337" t="str">
        <f t="shared" si="458"/>
        <v>-</v>
      </c>
      <c r="N527" s="263" t="str">
        <f t="shared" si="453"/>
        <v>-</v>
      </c>
      <c r="O527" s="508"/>
      <c r="P527" s="404">
        <f t="shared" si="459"/>
        <v>0</v>
      </c>
      <c r="Q527" s="449">
        <f t="shared" si="460"/>
        <v>0</v>
      </c>
    </row>
    <row r="528" spans="1:17" ht="24" x14ac:dyDescent="0.25">
      <c r="A528" s="274" t="s">
        <v>103</v>
      </c>
      <c r="B528" s="438"/>
      <c r="C528" s="275" t="s">
        <v>320</v>
      </c>
      <c r="D528" s="276"/>
      <c r="E528" s="277"/>
      <c r="F528" s="333">
        <f t="shared" si="454"/>
        <v>6047</v>
      </c>
      <c r="G528" s="278">
        <v>6000</v>
      </c>
      <c r="H528" s="278">
        <v>47</v>
      </c>
      <c r="I528" s="351" t="str">
        <f t="shared" si="461"/>
        <v>-</v>
      </c>
      <c r="J528" s="333">
        <f t="shared" si="455"/>
        <v>57607</v>
      </c>
      <c r="K528" s="278">
        <f t="shared" si="456"/>
        <v>57400</v>
      </c>
      <c r="L528" s="436">
        <f t="shared" si="457"/>
        <v>207</v>
      </c>
      <c r="M528" s="337" t="str">
        <f t="shared" si="458"/>
        <v>-</v>
      </c>
      <c r="N528" s="263">
        <f t="shared" si="453"/>
        <v>3.593313312618258E-3</v>
      </c>
      <c r="O528" s="508">
        <v>12.029500000000001</v>
      </c>
      <c r="P528" s="404">
        <f t="shared" si="459"/>
        <v>72177</v>
      </c>
      <c r="Q528" s="449">
        <f t="shared" si="460"/>
        <v>690493.3</v>
      </c>
    </row>
    <row r="529" spans="1:17" ht="24" x14ac:dyDescent="0.25">
      <c r="A529" s="274" t="s">
        <v>103</v>
      </c>
      <c r="B529" s="438"/>
      <c r="C529" s="275"/>
      <c r="D529" s="276"/>
      <c r="E529" s="277"/>
      <c r="F529" s="333">
        <f t="shared" si="454"/>
        <v>0</v>
      </c>
      <c r="G529" s="278"/>
      <c r="H529" s="278"/>
      <c r="I529" s="351" t="str">
        <f t="shared" si="461"/>
        <v>-</v>
      </c>
      <c r="J529" s="333">
        <f t="shared" si="455"/>
        <v>0</v>
      </c>
      <c r="K529" s="278">
        <f t="shared" si="456"/>
        <v>0</v>
      </c>
      <c r="L529" s="436">
        <f t="shared" si="457"/>
        <v>0</v>
      </c>
      <c r="M529" s="337" t="str">
        <f t="shared" si="458"/>
        <v>-</v>
      </c>
      <c r="N529" s="263" t="str">
        <f t="shared" si="453"/>
        <v>-</v>
      </c>
      <c r="O529" s="508"/>
      <c r="P529" s="404">
        <f t="shared" si="459"/>
        <v>0</v>
      </c>
      <c r="Q529" s="449">
        <f t="shared" si="460"/>
        <v>0</v>
      </c>
    </row>
    <row r="530" spans="1:17" ht="24.75" thickBot="1" x14ac:dyDescent="0.3">
      <c r="A530" s="274" t="s">
        <v>103</v>
      </c>
      <c r="B530" s="451"/>
      <c r="C530" s="279"/>
      <c r="D530" s="280">
        <v>0</v>
      </c>
      <c r="E530" s="281"/>
      <c r="F530" s="334">
        <f t="shared" si="454"/>
        <v>0</v>
      </c>
      <c r="G530" s="282"/>
      <c r="H530" s="282"/>
      <c r="I530" s="351" t="str">
        <f t="shared" si="461"/>
        <v>-</v>
      </c>
      <c r="J530" s="460">
        <f t="shared" si="455"/>
        <v>0</v>
      </c>
      <c r="K530" s="461">
        <f t="shared" si="456"/>
        <v>0</v>
      </c>
      <c r="L530" s="462">
        <f t="shared" si="457"/>
        <v>0</v>
      </c>
      <c r="M530" s="338" t="str">
        <f t="shared" si="458"/>
        <v>-</v>
      </c>
      <c r="N530" s="347" t="str">
        <f t="shared" si="453"/>
        <v>-</v>
      </c>
      <c r="O530" s="509"/>
      <c r="P530" s="405">
        <f t="shared" si="459"/>
        <v>0</v>
      </c>
      <c r="Q530" s="450">
        <f t="shared" si="460"/>
        <v>0</v>
      </c>
    </row>
    <row r="531" spans="1:17" ht="23.25" customHeight="1" thickBot="1" x14ac:dyDescent="0.3">
      <c r="A531" s="274" t="s">
        <v>103</v>
      </c>
      <c r="B531" s="1028" t="s">
        <v>25</v>
      </c>
      <c r="C531" s="964"/>
      <c r="D531" s="320">
        <f t="shared" ref="D531" si="462">SUM(D524:D530)</f>
        <v>0</v>
      </c>
      <c r="E531" s="285">
        <v>100000</v>
      </c>
      <c r="F531" s="320">
        <f>SUM(F524:F530)</f>
        <v>66047</v>
      </c>
      <c r="G531" s="321">
        <f t="shared" ref="G531:H531" si="463">SUM(G524:G530)</f>
        <v>66000</v>
      </c>
      <c r="H531" s="321">
        <f t="shared" si="463"/>
        <v>47</v>
      </c>
      <c r="I531" s="345">
        <f>IFERROR(F531/E531,"-")</f>
        <v>0.66047</v>
      </c>
      <c r="J531" s="320">
        <f t="shared" ref="J531:L531" si="464">SUM(J524:J530)</f>
        <v>177607</v>
      </c>
      <c r="K531" s="321">
        <f t="shared" si="464"/>
        <v>177400</v>
      </c>
      <c r="L531" s="322">
        <f t="shared" si="464"/>
        <v>207</v>
      </c>
      <c r="M531" s="339" t="str">
        <f t="shared" si="458"/>
        <v>-</v>
      </c>
      <c r="N531" s="345">
        <f t="shared" si="453"/>
        <v>1.1654946032532501E-3</v>
      </c>
      <c r="O531" s="391"/>
      <c r="P531" s="406">
        <f t="shared" ref="P531:Q531" si="465">SUM(P524:P530)</f>
        <v>149121</v>
      </c>
      <c r="Q531" s="425">
        <f t="shared" si="465"/>
        <v>844381.3</v>
      </c>
    </row>
    <row r="532" spans="1:17" ht="23.25" customHeight="1" thickBot="1" x14ac:dyDescent="0.3">
      <c r="A532" s="274" t="s">
        <v>103</v>
      </c>
      <c r="B532" s="1029" t="s">
        <v>172</v>
      </c>
      <c r="C532" s="1030"/>
      <c r="D532" s="326">
        <f>+D523+D531</f>
        <v>0</v>
      </c>
      <c r="E532" s="327">
        <f t="shared" ref="E532:H532" si="466">+E523+E531</f>
        <v>115000</v>
      </c>
      <c r="F532" s="512">
        <f t="shared" si="466"/>
        <v>110710</v>
      </c>
      <c r="G532" s="514">
        <f t="shared" si="466"/>
        <v>110000</v>
      </c>
      <c r="H532" s="514">
        <f t="shared" si="466"/>
        <v>710</v>
      </c>
      <c r="I532" s="515">
        <f>IFERROR(F532/E532,"-")</f>
        <v>0.96269565217391306</v>
      </c>
      <c r="J532" s="326">
        <f t="shared" ref="J532:L532" si="467">+J523+J531</f>
        <v>1506565</v>
      </c>
      <c r="K532" s="324">
        <f t="shared" si="467"/>
        <v>1493200</v>
      </c>
      <c r="L532" s="325">
        <f t="shared" si="467"/>
        <v>13365</v>
      </c>
      <c r="M532" s="341" t="str">
        <f t="shared" si="458"/>
        <v>-</v>
      </c>
      <c r="N532" s="349">
        <f t="shared" si="453"/>
        <v>8.8711738292075026E-3</v>
      </c>
      <c r="O532" s="394"/>
      <c r="P532" s="410">
        <f t="shared" ref="P532:Q532" si="468">+P523+P531</f>
        <v>689647.8</v>
      </c>
      <c r="Q532" s="428">
        <f t="shared" si="468"/>
        <v>7976421.835</v>
      </c>
    </row>
    <row r="533" spans="1:17" ht="24" x14ac:dyDescent="0.25">
      <c r="A533" s="244" t="s">
        <v>101</v>
      </c>
      <c r="B533" s="581"/>
      <c r="C533" s="582" t="s">
        <v>283</v>
      </c>
      <c r="D533" s="527"/>
      <c r="E533" s="459"/>
      <c r="F533" s="457">
        <f>+G533+H533</f>
        <v>0</v>
      </c>
      <c r="G533" s="458"/>
      <c r="H533" s="838"/>
      <c r="I533" s="531" t="str">
        <f>IFERROR(F533/E533,"-")</f>
        <v>-</v>
      </c>
      <c r="J533" s="644">
        <f>+K533+L533</f>
        <v>0</v>
      </c>
      <c r="K533" s="458">
        <f t="shared" ref="K533:K539" si="469">+G533+K470</f>
        <v>0</v>
      </c>
      <c r="L533" s="459">
        <f t="shared" ref="L533:L539" si="470">+H533+L470</f>
        <v>0</v>
      </c>
      <c r="M533" s="586" t="str">
        <f>IFERROR(J533/D533,"-")</f>
        <v>-</v>
      </c>
      <c r="N533" s="533" t="str">
        <f t="shared" si="453"/>
        <v>-</v>
      </c>
      <c r="O533" s="628">
        <v>4.8285999999999998</v>
      </c>
      <c r="P533" s="534">
        <f t="shared" ref="P533:P539" si="471">+O533*G533</f>
        <v>0</v>
      </c>
      <c r="Q533" s="535">
        <f t="shared" ref="Q533:Q539" si="472">+O533*K533</f>
        <v>0</v>
      </c>
    </row>
    <row r="534" spans="1:17" ht="24" x14ac:dyDescent="0.25">
      <c r="A534" s="248" t="s">
        <v>101</v>
      </c>
      <c r="B534" s="583"/>
      <c r="C534" s="275" t="s">
        <v>284</v>
      </c>
      <c r="D534" s="276"/>
      <c r="E534" s="436"/>
      <c r="F534" s="333">
        <f t="shared" ref="F534:F539" si="473">+G534+H534</f>
        <v>0</v>
      </c>
      <c r="G534" s="278"/>
      <c r="H534" s="277"/>
      <c r="I534" s="352" t="str">
        <f t="shared" ref="I534:I539" si="474">IFERROR(F534/E534,"-")</f>
        <v>-</v>
      </c>
      <c r="J534" s="874">
        <f t="shared" ref="J534:J539" si="475">+K534+L534</f>
        <v>0</v>
      </c>
      <c r="K534" s="278">
        <f t="shared" si="469"/>
        <v>0</v>
      </c>
      <c r="L534" s="436">
        <f t="shared" si="470"/>
        <v>0</v>
      </c>
      <c r="M534" s="337" t="str">
        <f t="shared" ref="M534:M537" si="476">IFERROR(J534/D534,"-")</f>
        <v>-</v>
      </c>
      <c r="N534" s="265" t="str">
        <f t="shared" si="453"/>
        <v>-</v>
      </c>
      <c r="O534" s="629">
        <v>1.4086000000000001</v>
      </c>
      <c r="P534" s="404">
        <f t="shared" si="471"/>
        <v>0</v>
      </c>
      <c r="Q534" s="449">
        <f t="shared" si="472"/>
        <v>0</v>
      </c>
    </row>
    <row r="535" spans="1:17" ht="24" x14ac:dyDescent="0.25">
      <c r="A535" s="248" t="s">
        <v>101</v>
      </c>
      <c r="B535" s="583"/>
      <c r="C535" s="275" t="s">
        <v>315</v>
      </c>
      <c r="D535" s="276"/>
      <c r="E535" s="436"/>
      <c r="F535" s="333">
        <f t="shared" si="473"/>
        <v>0</v>
      </c>
      <c r="G535" s="278"/>
      <c r="H535" s="277"/>
      <c r="I535" s="352" t="str">
        <f t="shared" si="474"/>
        <v>-</v>
      </c>
      <c r="J535" s="874">
        <f t="shared" si="475"/>
        <v>0</v>
      </c>
      <c r="K535" s="278">
        <f t="shared" si="469"/>
        <v>0</v>
      </c>
      <c r="L535" s="436">
        <f t="shared" si="470"/>
        <v>0</v>
      </c>
      <c r="M535" s="337" t="str">
        <f t="shared" si="476"/>
        <v>-</v>
      </c>
      <c r="N535" s="265" t="str">
        <f>IFERROR(L535/J535,"-")</f>
        <v>-</v>
      </c>
      <c r="O535" s="629">
        <v>2.2141000000000002</v>
      </c>
      <c r="P535" s="404">
        <f t="shared" si="471"/>
        <v>0</v>
      </c>
      <c r="Q535" s="449">
        <f t="shared" si="472"/>
        <v>0</v>
      </c>
    </row>
    <row r="536" spans="1:17" ht="24" x14ac:dyDescent="0.25">
      <c r="A536" s="248" t="s">
        <v>101</v>
      </c>
      <c r="B536" s="584"/>
      <c r="C536" s="275" t="s">
        <v>447</v>
      </c>
      <c r="D536" s="280"/>
      <c r="E536" s="528"/>
      <c r="F536" s="334">
        <f t="shared" si="473"/>
        <v>0</v>
      </c>
      <c r="G536" s="282"/>
      <c r="H536" s="281"/>
      <c r="I536" s="352" t="str">
        <f t="shared" si="474"/>
        <v>-</v>
      </c>
      <c r="J536" s="874">
        <f t="shared" si="475"/>
        <v>346276</v>
      </c>
      <c r="K536" s="278">
        <f t="shared" si="469"/>
        <v>341000</v>
      </c>
      <c r="L536" s="436">
        <f t="shared" si="470"/>
        <v>5276</v>
      </c>
      <c r="M536" s="338" t="str">
        <f t="shared" si="476"/>
        <v>-</v>
      </c>
      <c r="N536" s="344">
        <f t="shared" ref="N536:N543" si="477">IFERROR(L536/J536,"-")</f>
        <v>1.5236401021150758E-2</v>
      </c>
      <c r="O536" s="629">
        <v>2.2141000000000002</v>
      </c>
      <c r="P536" s="405">
        <f t="shared" si="471"/>
        <v>0</v>
      </c>
      <c r="Q536" s="450">
        <f t="shared" si="472"/>
        <v>755008.10000000009</v>
      </c>
    </row>
    <row r="537" spans="1:17" ht="24" x14ac:dyDescent="0.25">
      <c r="A537" s="248" t="s">
        <v>101</v>
      </c>
      <c r="B537" s="440"/>
      <c r="C537" s="627" t="s">
        <v>353</v>
      </c>
      <c r="D537" s="510"/>
      <c r="E537" s="529"/>
      <c r="F537" s="333">
        <f t="shared" si="473"/>
        <v>0</v>
      </c>
      <c r="G537" s="547"/>
      <c r="H537" s="873"/>
      <c r="I537" s="352" t="str">
        <f t="shared" si="474"/>
        <v>-</v>
      </c>
      <c r="J537" s="874">
        <f t="shared" si="475"/>
        <v>0</v>
      </c>
      <c r="K537" s="278">
        <f t="shared" si="469"/>
        <v>0</v>
      </c>
      <c r="L537" s="436">
        <f t="shared" si="470"/>
        <v>0</v>
      </c>
      <c r="M537" s="338" t="str">
        <f t="shared" si="476"/>
        <v>-</v>
      </c>
      <c r="N537" s="265" t="str">
        <f t="shared" si="477"/>
        <v>-</v>
      </c>
      <c r="O537" s="540">
        <v>4.8285999999999998</v>
      </c>
      <c r="P537" s="404">
        <f t="shared" si="471"/>
        <v>0</v>
      </c>
      <c r="Q537" s="449">
        <f t="shared" si="472"/>
        <v>0</v>
      </c>
    </row>
    <row r="538" spans="1:17" ht="24" x14ac:dyDescent="0.25">
      <c r="A538" s="248" t="s">
        <v>101</v>
      </c>
      <c r="B538" s="585"/>
      <c r="C538" s="627" t="s">
        <v>349</v>
      </c>
      <c r="D538" s="270"/>
      <c r="E538" s="435"/>
      <c r="F538" s="332">
        <f t="shared" si="473"/>
        <v>17157</v>
      </c>
      <c r="G538" s="272">
        <v>16250</v>
      </c>
      <c r="H538" s="271">
        <v>907</v>
      </c>
      <c r="I538" s="352" t="str">
        <f t="shared" si="474"/>
        <v>-</v>
      </c>
      <c r="J538" s="874">
        <f t="shared" si="475"/>
        <v>17157</v>
      </c>
      <c r="K538" s="278">
        <f t="shared" si="469"/>
        <v>16250</v>
      </c>
      <c r="L538" s="436">
        <f t="shared" si="470"/>
        <v>907</v>
      </c>
      <c r="M538" s="336" t="str">
        <f t="shared" ref="M538:M539" si="478">IFERROR(J538/D538,"-")</f>
        <v>-</v>
      </c>
      <c r="N538" s="346">
        <f t="shared" si="477"/>
        <v>5.2864719939383339E-2</v>
      </c>
      <c r="O538" s="507">
        <v>4.1712999999999996</v>
      </c>
      <c r="P538" s="402">
        <f t="shared" si="471"/>
        <v>67783.625</v>
      </c>
      <c r="Q538" s="447">
        <f t="shared" si="472"/>
        <v>67783.625</v>
      </c>
    </row>
    <row r="539" spans="1:17" ht="24.75" thickBot="1" x14ac:dyDescent="0.3">
      <c r="A539" s="248" t="s">
        <v>101</v>
      </c>
      <c r="B539" s="583"/>
      <c r="C539" s="275"/>
      <c r="D539" s="276"/>
      <c r="E539" s="436"/>
      <c r="F539" s="460">
        <f t="shared" si="473"/>
        <v>0</v>
      </c>
      <c r="G539" s="461"/>
      <c r="H539" s="839"/>
      <c r="I539" s="532" t="str">
        <f t="shared" si="474"/>
        <v>-</v>
      </c>
      <c r="J539" s="875">
        <f t="shared" si="475"/>
        <v>0</v>
      </c>
      <c r="K539" s="461">
        <f t="shared" si="469"/>
        <v>0</v>
      </c>
      <c r="L539" s="462">
        <f t="shared" si="470"/>
        <v>0</v>
      </c>
      <c r="M539" s="337" t="str">
        <f t="shared" si="478"/>
        <v>-</v>
      </c>
      <c r="N539" s="263" t="str">
        <f t="shared" si="477"/>
        <v>-</v>
      </c>
      <c r="O539" s="448"/>
      <c r="P539" s="404">
        <f t="shared" si="471"/>
        <v>0</v>
      </c>
      <c r="Q539" s="449">
        <f t="shared" si="472"/>
        <v>0</v>
      </c>
    </row>
    <row r="540" spans="1:17" ht="23.25" customHeight="1" thickBot="1" x14ac:dyDescent="0.3">
      <c r="A540" s="274" t="s">
        <v>101</v>
      </c>
      <c r="B540" s="1028" t="s">
        <v>21</v>
      </c>
      <c r="C540" s="964"/>
      <c r="D540" s="320">
        <v>0</v>
      </c>
      <c r="E540" s="285">
        <v>15000</v>
      </c>
      <c r="F540" s="513">
        <f>SUM(F533:F539)</f>
        <v>17157</v>
      </c>
      <c r="G540" s="519">
        <f t="shared" ref="G540:H540" si="479">SUM(G533:G539)</f>
        <v>16250</v>
      </c>
      <c r="H540" s="519">
        <f t="shared" si="479"/>
        <v>907</v>
      </c>
      <c r="I540" s="520">
        <f>IFERROR(F540/E540,"-")</f>
        <v>1.1437999999999999</v>
      </c>
      <c r="J540" s="513">
        <f t="shared" ref="J540" si="480">SUM(J533:J539)</f>
        <v>363433</v>
      </c>
      <c r="K540" s="519">
        <f>SUM(K533:K539)</f>
        <v>357250</v>
      </c>
      <c r="L540" s="519">
        <f>SUM(L533:L539)</f>
        <v>6183</v>
      </c>
      <c r="M540" s="339" t="str">
        <f>IFERROR(J540/D540,"-")</f>
        <v>-</v>
      </c>
      <c r="N540" s="345">
        <f t="shared" si="477"/>
        <v>1.7012764388484258E-2</v>
      </c>
      <c r="O540" s="391"/>
      <c r="P540" s="406">
        <f>SUM(P533:P539)</f>
        <v>67783.625</v>
      </c>
      <c r="Q540" s="425">
        <f>SUM(Q533:Q539)</f>
        <v>822791.72500000009</v>
      </c>
    </row>
    <row r="541" spans="1:17" ht="23.25" customHeight="1" thickBot="1" x14ac:dyDescent="0.3">
      <c r="A541" s="274" t="s">
        <v>101</v>
      </c>
      <c r="B541" s="1029" t="s">
        <v>248</v>
      </c>
      <c r="C541" s="1030"/>
      <c r="D541" s="512">
        <f>+D537+D540</f>
        <v>0</v>
      </c>
      <c r="E541" s="525">
        <f>+E537+E540</f>
        <v>15000</v>
      </c>
      <c r="F541" s="512">
        <f>+F537+F540</f>
        <v>17157</v>
      </c>
      <c r="G541" s="514">
        <f>+G537+G540</f>
        <v>16250</v>
      </c>
      <c r="H541" s="514">
        <f>+H537+H540</f>
        <v>907</v>
      </c>
      <c r="I541" s="515">
        <f>IFERROR(F541/E541,"-")</f>
        <v>1.1437999999999999</v>
      </c>
      <c r="J541" s="512">
        <f>+J537+J540</f>
        <v>363433</v>
      </c>
      <c r="K541" s="514">
        <f>+K540</f>
        <v>357250</v>
      </c>
      <c r="L541" s="514">
        <f>+L540</f>
        <v>6183</v>
      </c>
      <c r="M541" s="516" t="str">
        <f t="shared" ref="M541" si="481">IFERROR(J541/D541,"-")</f>
        <v>-</v>
      </c>
      <c r="N541" s="515">
        <f t="shared" si="477"/>
        <v>1.7012764388484258E-2</v>
      </c>
      <c r="O541" s="517"/>
      <c r="P541" s="518">
        <f>+P540</f>
        <v>67783.625</v>
      </c>
      <c r="Q541" s="518">
        <f>+Q540</f>
        <v>822791.72500000009</v>
      </c>
    </row>
    <row r="542" spans="1:17" ht="24" x14ac:dyDescent="0.35">
      <c r="A542" s="244" t="s">
        <v>101</v>
      </c>
      <c r="B542" s="1025" t="s">
        <v>250</v>
      </c>
      <c r="C542" s="542" t="s">
        <v>71</v>
      </c>
      <c r="D542" s="527"/>
      <c r="E542" s="459"/>
      <c r="F542" s="694">
        <f>+G542+H542</f>
        <v>0</v>
      </c>
      <c r="G542" s="527"/>
      <c r="H542" s="458"/>
      <c r="I542" s="531" t="str">
        <f>IFERROR(F542/E542,"-")</f>
        <v>-</v>
      </c>
      <c r="J542" s="644">
        <f>+K542+L542</f>
        <v>8100</v>
      </c>
      <c r="K542" s="458">
        <f t="shared" ref="K542:K573" si="482">+G542+K479</f>
        <v>8000</v>
      </c>
      <c r="L542" s="459">
        <f t="shared" ref="L542:L573" si="483">+H542+L479</f>
        <v>100</v>
      </c>
      <c r="M542" s="586" t="str">
        <f>IFERROR(J542/D542,"-")</f>
        <v>-</v>
      </c>
      <c r="N542" s="533">
        <f t="shared" si="477"/>
        <v>1.2345679012345678E-2</v>
      </c>
      <c r="O542" s="538">
        <v>32.946300000000001</v>
      </c>
      <c r="P542" s="534">
        <f t="shared" ref="P542:P573" si="484">+O542*G542</f>
        <v>0</v>
      </c>
      <c r="Q542" s="535">
        <f t="shared" ref="Q542:Q573" si="485">+O542*K542</f>
        <v>263570.40000000002</v>
      </c>
    </row>
    <row r="543" spans="1:17" ht="24" x14ac:dyDescent="0.35">
      <c r="A543" s="248" t="s">
        <v>101</v>
      </c>
      <c r="B543" s="1026"/>
      <c r="C543" s="543" t="s">
        <v>72</v>
      </c>
      <c r="D543" s="511"/>
      <c r="E543" s="436"/>
      <c r="F543" s="690">
        <f t="shared" ref="F543:F573" si="486">+G543+H543</f>
        <v>0</v>
      </c>
      <c r="G543" s="276"/>
      <c r="H543" s="278"/>
      <c r="I543" s="352" t="str">
        <f t="shared" ref="I543:I573" si="487">IFERROR(F543/E543,"-")</f>
        <v>-</v>
      </c>
      <c r="J543" s="874">
        <f t="shared" ref="J543:J573" si="488">+K543+L543</f>
        <v>10595</v>
      </c>
      <c r="K543" s="278">
        <f t="shared" si="482"/>
        <v>10500</v>
      </c>
      <c r="L543" s="436">
        <f t="shared" si="483"/>
        <v>95</v>
      </c>
      <c r="M543" s="337" t="str">
        <f t="shared" ref="M543:M546" si="489">IFERROR(J543/D543,"-")</f>
        <v>-</v>
      </c>
      <c r="N543" s="265">
        <f t="shared" si="477"/>
        <v>8.9664936290703157E-3</v>
      </c>
      <c r="O543" s="508">
        <v>35.398400000000002</v>
      </c>
      <c r="P543" s="404">
        <f t="shared" si="484"/>
        <v>0</v>
      </c>
      <c r="Q543" s="449">
        <f t="shared" si="485"/>
        <v>371683.2</v>
      </c>
    </row>
    <row r="544" spans="1:17" ht="24.75" thickBot="1" x14ac:dyDescent="0.4">
      <c r="A544" s="248" t="s">
        <v>101</v>
      </c>
      <c r="B544" s="1027"/>
      <c r="C544" s="543" t="s">
        <v>455</v>
      </c>
      <c r="D544" s="276"/>
      <c r="E544" s="436"/>
      <c r="F544" s="690">
        <f t="shared" si="486"/>
        <v>0</v>
      </c>
      <c r="G544" s="276"/>
      <c r="H544" s="278"/>
      <c r="I544" s="352" t="str">
        <f t="shared" si="487"/>
        <v>-</v>
      </c>
      <c r="J544" s="874">
        <f t="shared" si="488"/>
        <v>10147</v>
      </c>
      <c r="K544" s="278">
        <f t="shared" si="482"/>
        <v>9900</v>
      </c>
      <c r="L544" s="436">
        <f t="shared" si="483"/>
        <v>247</v>
      </c>
      <c r="M544" s="337" t="str">
        <f t="shared" si="489"/>
        <v>-</v>
      </c>
      <c r="N544" s="265">
        <f>IFERROR(L544/J544,"-")</f>
        <v>2.4342170099536809E-2</v>
      </c>
      <c r="O544" s="508">
        <v>35.398400000000002</v>
      </c>
      <c r="P544" s="404">
        <f t="shared" si="484"/>
        <v>0</v>
      </c>
      <c r="Q544" s="449">
        <f t="shared" si="485"/>
        <v>350444.16000000003</v>
      </c>
    </row>
    <row r="545" spans="1:17" ht="24" x14ac:dyDescent="0.35">
      <c r="A545" s="248" t="s">
        <v>101</v>
      </c>
      <c r="B545" s="1025" t="s">
        <v>251</v>
      </c>
      <c r="C545" s="545" t="s">
        <v>75</v>
      </c>
      <c r="D545" s="276"/>
      <c r="E545" s="528"/>
      <c r="F545" s="696">
        <f t="shared" si="486"/>
        <v>2512</v>
      </c>
      <c r="G545" s="276">
        <v>2400</v>
      </c>
      <c r="H545" s="278">
        <v>112</v>
      </c>
      <c r="I545" s="352" t="str">
        <f t="shared" si="487"/>
        <v>-</v>
      </c>
      <c r="J545" s="874">
        <f t="shared" si="488"/>
        <v>23312</v>
      </c>
      <c r="K545" s="278">
        <f t="shared" si="482"/>
        <v>22683</v>
      </c>
      <c r="L545" s="436">
        <f t="shared" si="483"/>
        <v>629</v>
      </c>
      <c r="M545" s="337" t="str">
        <f t="shared" si="489"/>
        <v>-</v>
      </c>
      <c r="N545" s="265">
        <f t="shared" ref="N545:N546" si="490">IFERROR(L545/J545,"-")</f>
        <v>2.6981811942347288E-2</v>
      </c>
      <c r="O545" s="508">
        <v>55.4758</v>
      </c>
      <c r="P545" s="404">
        <f t="shared" si="484"/>
        <v>133141.92000000001</v>
      </c>
      <c r="Q545" s="449">
        <f t="shared" si="485"/>
        <v>1258357.5714</v>
      </c>
    </row>
    <row r="546" spans="1:17" ht="24" x14ac:dyDescent="0.35">
      <c r="A546" s="248" t="s">
        <v>101</v>
      </c>
      <c r="B546" s="1026"/>
      <c r="C546" s="545" t="s">
        <v>72</v>
      </c>
      <c r="D546" s="276"/>
      <c r="E546" s="529"/>
      <c r="F546" s="696">
        <f t="shared" si="486"/>
        <v>0</v>
      </c>
      <c r="G546" s="276"/>
      <c r="H546" s="278"/>
      <c r="I546" s="352" t="str">
        <f t="shared" si="487"/>
        <v>-</v>
      </c>
      <c r="J546" s="874">
        <f t="shared" si="488"/>
        <v>0</v>
      </c>
      <c r="K546" s="278">
        <f t="shared" si="482"/>
        <v>0</v>
      </c>
      <c r="L546" s="436">
        <f t="shared" si="483"/>
        <v>0</v>
      </c>
      <c r="M546" s="337" t="str">
        <f t="shared" si="489"/>
        <v>-</v>
      </c>
      <c r="N546" s="265" t="str">
        <f t="shared" si="490"/>
        <v>-</v>
      </c>
      <c r="O546" s="540">
        <v>58.836300000000001</v>
      </c>
      <c r="P546" s="404">
        <f t="shared" si="484"/>
        <v>0</v>
      </c>
      <c r="Q546" s="449">
        <f t="shared" si="485"/>
        <v>0</v>
      </c>
    </row>
    <row r="547" spans="1:17" ht="24" x14ac:dyDescent="0.35">
      <c r="A547" s="248" t="s">
        <v>101</v>
      </c>
      <c r="B547" s="1026"/>
      <c r="C547" s="545" t="s">
        <v>347</v>
      </c>
      <c r="D547" s="276"/>
      <c r="E547" s="435"/>
      <c r="F547" s="696">
        <f t="shared" si="486"/>
        <v>2745</v>
      </c>
      <c r="G547" s="276">
        <v>2305</v>
      </c>
      <c r="H547" s="278">
        <v>440</v>
      </c>
      <c r="I547" s="352" t="str">
        <f t="shared" si="487"/>
        <v>-</v>
      </c>
      <c r="J547" s="874">
        <f t="shared" si="488"/>
        <v>2745</v>
      </c>
      <c r="K547" s="278">
        <f t="shared" si="482"/>
        <v>2305</v>
      </c>
      <c r="L547" s="436">
        <f t="shared" si="483"/>
        <v>440</v>
      </c>
      <c r="M547" s="337" t="str">
        <f t="shared" ref="M547:M548" si="491">IFERROR(J547/D547,"-")</f>
        <v>-</v>
      </c>
      <c r="N547" s="263">
        <f t="shared" ref="N547" si="492">IFERROR(L547/J547,"-")</f>
        <v>0.16029143897996356</v>
      </c>
      <c r="O547" s="710">
        <v>58.836300000000001</v>
      </c>
      <c r="P547" s="404">
        <f t="shared" si="484"/>
        <v>135617.6715</v>
      </c>
      <c r="Q547" s="449">
        <f t="shared" si="485"/>
        <v>135617.6715</v>
      </c>
    </row>
    <row r="548" spans="1:17" ht="24.75" thickBot="1" x14ac:dyDescent="0.4">
      <c r="A548" s="248"/>
      <c r="B548" s="1027"/>
      <c r="C548" s="545" t="s">
        <v>361</v>
      </c>
      <c r="D548" s="276"/>
      <c r="E548" s="435"/>
      <c r="F548" s="696">
        <f t="shared" si="486"/>
        <v>0</v>
      </c>
      <c r="G548" s="276"/>
      <c r="H548" s="278"/>
      <c r="I548" s="352" t="str">
        <f t="shared" si="487"/>
        <v>-</v>
      </c>
      <c r="J548" s="874">
        <f t="shared" si="488"/>
        <v>0</v>
      </c>
      <c r="K548" s="278">
        <f t="shared" si="482"/>
        <v>0</v>
      </c>
      <c r="L548" s="436">
        <f t="shared" si="483"/>
        <v>0</v>
      </c>
      <c r="M548" s="337" t="str">
        <f t="shared" si="491"/>
        <v>-</v>
      </c>
      <c r="N548" s="263" t="str">
        <f>IFERROR(L548/J548,"-")</f>
        <v>-</v>
      </c>
      <c r="O548" s="508">
        <v>55.4758</v>
      </c>
      <c r="P548" s="404">
        <f t="shared" si="484"/>
        <v>0</v>
      </c>
      <c r="Q548" s="449">
        <f t="shared" si="485"/>
        <v>0</v>
      </c>
    </row>
    <row r="549" spans="1:17" ht="24" x14ac:dyDescent="0.35">
      <c r="A549" s="248" t="s">
        <v>101</v>
      </c>
      <c r="B549" s="1025" t="s">
        <v>409</v>
      </c>
      <c r="C549" s="543" t="s">
        <v>77</v>
      </c>
      <c r="D549" s="276"/>
      <c r="E549" s="436"/>
      <c r="F549" s="690">
        <f t="shared" si="486"/>
        <v>1228</v>
      </c>
      <c r="G549" s="276">
        <v>1200</v>
      </c>
      <c r="H549" s="278">
        <v>28</v>
      </c>
      <c r="I549" s="352" t="str">
        <f t="shared" si="487"/>
        <v>-</v>
      </c>
      <c r="J549" s="874">
        <f t="shared" si="488"/>
        <v>19737</v>
      </c>
      <c r="K549" s="719">
        <f t="shared" si="482"/>
        <v>19500</v>
      </c>
      <c r="L549" s="815">
        <f t="shared" si="483"/>
        <v>237</v>
      </c>
      <c r="M549" s="337" t="str">
        <f t="shared" ref="M549:M576" si="493">IFERROR(J549/D549,"-")</f>
        <v>-</v>
      </c>
      <c r="N549" s="263">
        <f t="shared" ref="N549:N575" si="494">IFERROR(L549/J549,"-")</f>
        <v>1.2007903936768505E-2</v>
      </c>
      <c r="O549" s="508">
        <v>25.687200000000001</v>
      </c>
      <c r="P549" s="404">
        <f t="shared" si="484"/>
        <v>30824.639999999999</v>
      </c>
      <c r="Q549" s="449">
        <f t="shared" si="485"/>
        <v>500900.4</v>
      </c>
    </row>
    <row r="550" spans="1:17" ht="24.75" thickBot="1" x14ac:dyDescent="0.4">
      <c r="A550" s="248" t="s">
        <v>101</v>
      </c>
      <c r="B550" s="1027"/>
      <c r="C550" s="543" t="s">
        <v>117</v>
      </c>
      <c r="D550" s="276"/>
      <c r="E550" s="436"/>
      <c r="F550" s="690">
        <f t="shared" si="486"/>
        <v>0</v>
      </c>
      <c r="G550" s="276"/>
      <c r="H550" s="278"/>
      <c r="I550" s="352" t="str">
        <f t="shared" si="487"/>
        <v>-</v>
      </c>
      <c r="J550" s="874">
        <f t="shared" si="488"/>
        <v>0</v>
      </c>
      <c r="K550" s="278">
        <f t="shared" si="482"/>
        <v>0</v>
      </c>
      <c r="L550" s="436">
        <f t="shared" si="483"/>
        <v>0</v>
      </c>
      <c r="M550" s="337" t="str">
        <f t="shared" si="493"/>
        <v>-</v>
      </c>
      <c r="N550" s="263" t="str">
        <f t="shared" si="494"/>
        <v>-</v>
      </c>
      <c r="O550" s="508">
        <v>25.033899999999999</v>
      </c>
      <c r="P550" s="404">
        <f t="shared" si="484"/>
        <v>0</v>
      </c>
      <c r="Q550" s="449">
        <f t="shared" si="485"/>
        <v>0</v>
      </c>
    </row>
    <row r="551" spans="1:17" ht="24" x14ac:dyDescent="0.35">
      <c r="A551" s="248"/>
      <c r="B551" s="1025" t="s">
        <v>410</v>
      </c>
      <c r="C551" s="543" t="s">
        <v>79</v>
      </c>
      <c r="D551" s="276"/>
      <c r="E551" s="436"/>
      <c r="F551" s="690">
        <f t="shared" si="486"/>
        <v>0</v>
      </c>
      <c r="G551" s="276"/>
      <c r="H551" s="278"/>
      <c r="I551" s="352" t="str">
        <f t="shared" si="487"/>
        <v>-</v>
      </c>
      <c r="J551" s="874">
        <f t="shared" si="488"/>
        <v>9449</v>
      </c>
      <c r="K551" s="278">
        <f t="shared" si="482"/>
        <v>9300</v>
      </c>
      <c r="L551" s="436">
        <f t="shared" si="483"/>
        <v>149</v>
      </c>
      <c r="M551" s="337" t="str">
        <f t="shared" si="493"/>
        <v>-</v>
      </c>
      <c r="N551" s="263">
        <f t="shared" si="494"/>
        <v>1.5768864430098423E-2</v>
      </c>
      <c r="O551" s="508">
        <v>41.992699999999999</v>
      </c>
      <c r="P551" s="404">
        <f t="shared" si="484"/>
        <v>0</v>
      </c>
      <c r="Q551" s="449">
        <f t="shared" si="485"/>
        <v>390532.11</v>
      </c>
    </row>
    <row r="552" spans="1:17" ht="24" x14ac:dyDescent="0.35">
      <c r="A552" s="248"/>
      <c r="B552" s="1026"/>
      <c r="C552" s="543" t="s">
        <v>72</v>
      </c>
      <c r="D552" s="276"/>
      <c r="E552" s="436"/>
      <c r="F552" s="690">
        <f t="shared" si="486"/>
        <v>0</v>
      </c>
      <c r="G552" s="276"/>
      <c r="H552" s="278"/>
      <c r="I552" s="352" t="str">
        <f t="shared" si="487"/>
        <v>-</v>
      </c>
      <c r="J552" s="874">
        <f t="shared" si="488"/>
        <v>0</v>
      </c>
      <c r="K552" s="278">
        <f t="shared" si="482"/>
        <v>0</v>
      </c>
      <c r="L552" s="436">
        <f t="shared" si="483"/>
        <v>0</v>
      </c>
      <c r="M552" s="337" t="str">
        <f t="shared" si="493"/>
        <v>-</v>
      </c>
      <c r="N552" s="263" t="str">
        <f t="shared" si="494"/>
        <v>-</v>
      </c>
      <c r="O552" s="508">
        <v>42.283799999999999</v>
      </c>
      <c r="P552" s="404">
        <f t="shared" si="484"/>
        <v>0</v>
      </c>
      <c r="Q552" s="449">
        <f t="shared" si="485"/>
        <v>0</v>
      </c>
    </row>
    <row r="553" spans="1:17" ht="24" x14ac:dyDescent="0.35">
      <c r="A553" s="248"/>
      <c r="B553" s="1026"/>
      <c r="C553" s="543" t="s">
        <v>380</v>
      </c>
      <c r="D553" s="276"/>
      <c r="E553" s="436"/>
      <c r="F553" s="690">
        <f t="shared" si="486"/>
        <v>0</v>
      </c>
      <c r="G553" s="276"/>
      <c r="H553" s="278"/>
      <c r="I553" s="352" t="str">
        <f t="shared" si="487"/>
        <v>-</v>
      </c>
      <c r="J553" s="874">
        <f t="shared" si="488"/>
        <v>0</v>
      </c>
      <c r="K553" s="278">
        <f t="shared" si="482"/>
        <v>0</v>
      </c>
      <c r="L553" s="436">
        <f t="shared" si="483"/>
        <v>0</v>
      </c>
      <c r="M553" s="337" t="str">
        <f t="shared" si="493"/>
        <v>-</v>
      </c>
      <c r="N553" s="263" t="str">
        <f t="shared" si="494"/>
        <v>-</v>
      </c>
      <c r="O553" s="710">
        <v>41.992699999999999</v>
      </c>
      <c r="P553" s="404">
        <f t="shared" si="484"/>
        <v>0</v>
      </c>
      <c r="Q553" s="449">
        <f t="shared" si="485"/>
        <v>0</v>
      </c>
    </row>
    <row r="554" spans="1:17" ht="24.75" thickBot="1" x14ac:dyDescent="0.4">
      <c r="A554" s="248"/>
      <c r="B554" s="1027"/>
      <c r="C554" s="543" t="s">
        <v>381</v>
      </c>
      <c r="D554" s="276"/>
      <c r="E554" s="436"/>
      <c r="F554" s="690">
        <f t="shared" si="486"/>
        <v>0</v>
      </c>
      <c r="G554" s="276"/>
      <c r="H554" s="278"/>
      <c r="I554" s="352" t="str">
        <f t="shared" si="487"/>
        <v>-</v>
      </c>
      <c r="J554" s="874">
        <f t="shared" si="488"/>
        <v>0</v>
      </c>
      <c r="K554" s="278">
        <f t="shared" si="482"/>
        <v>0</v>
      </c>
      <c r="L554" s="436">
        <f t="shared" si="483"/>
        <v>0</v>
      </c>
      <c r="M554" s="337" t="str">
        <f t="shared" si="493"/>
        <v>-</v>
      </c>
      <c r="N554" s="263" t="str">
        <f t="shared" si="494"/>
        <v>-</v>
      </c>
      <c r="O554" s="710">
        <v>42.283799999999999</v>
      </c>
      <c r="P554" s="404">
        <f t="shared" si="484"/>
        <v>0</v>
      </c>
      <c r="Q554" s="449">
        <f t="shared" si="485"/>
        <v>0</v>
      </c>
    </row>
    <row r="555" spans="1:17" ht="24.75" thickBot="1" x14ac:dyDescent="0.4">
      <c r="A555" s="248"/>
      <c r="B555" s="717" t="s">
        <v>80</v>
      </c>
      <c r="C555" s="543" t="s">
        <v>81</v>
      </c>
      <c r="D555" s="276"/>
      <c r="E555" s="436"/>
      <c r="F555" s="690">
        <f t="shared" si="486"/>
        <v>3330</v>
      </c>
      <c r="G555" s="276">
        <v>3200</v>
      </c>
      <c r="H555" s="278">
        <v>130</v>
      </c>
      <c r="I555" s="352" t="str">
        <f t="shared" si="487"/>
        <v>-</v>
      </c>
      <c r="J555" s="874">
        <f t="shared" si="488"/>
        <v>19553</v>
      </c>
      <c r="K555" s="278">
        <f t="shared" si="482"/>
        <v>18700</v>
      </c>
      <c r="L555" s="436">
        <f t="shared" si="483"/>
        <v>853</v>
      </c>
      <c r="M555" s="337" t="str">
        <f t="shared" si="493"/>
        <v>-</v>
      </c>
      <c r="N555" s="263">
        <f t="shared" si="494"/>
        <v>4.3625019178642664E-2</v>
      </c>
      <c r="O555" s="508">
        <v>4.3535000000000004</v>
      </c>
      <c r="P555" s="404">
        <f t="shared" si="484"/>
        <v>13931.2</v>
      </c>
      <c r="Q555" s="449">
        <f t="shared" si="485"/>
        <v>81410.450000000012</v>
      </c>
    </row>
    <row r="556" spans="1:17" ht="24" x14ac:dyDescent="0.35">
      <c r="A556" s="248"/>
      <c r="B556" s="1025" t="s">
        <v>253</v>
      </c>
      <c r="C556" s="543" t="s">
        <v>77</v>
      </c>
      <c r="D556" s="276"/>
      <c r="E556" s="436"/>
      <c r="F556" s="690">
        <f t="shared" si="486"/>
        <v>40823</v>
      </c>
      <c r="G556" s="276">
        <v>40700</v>
      </c>
      <c r="H556" s="278">
        <v>123</v>
      </c>
      <c r="I556" s="352" t="str">
        <f t="shared" si="487"/>
        <v>-</v>
      </c>
      <c r="J556" s="874">
        <f t="shared" si="488"/>
        <v>379254</v>
      </c>
      <c r="K556" s="278">
        <f t="shared" si="482"/>
        <v>377300</v>
      </c>
      <c r="L556" s="436">
        <f t="shared" si="483"/>
        <v>1954</v>
      </c>
      <c r="M556" s="337" t="str">
        <f t="shared" si="493"/>
        <v>-</v>
      </c>
      <c r="N556" s="263">
        <f t="shared" si="494"/>
        <v>5.1522198842991768E-3</v>
      </c>
      <c r="O556" s="508">
        <v>4.6184000000000003</v>
      </c>
      <c r="P556" s="404">
        <f t="shared" si="484"/>
        <v>187968.88</v>
      </c>
      <c r="Q556" s="449">
        <f t="shared" si="485"/>
        <v>1742522.32</v>
      </c>
    </row>
    <row r="557" spans="1:17" ht="24" x14ac:dyDescent="0.35">
      <c r="A557" s="248"/>
      <c r="B557" s="1026"/>
      <c r="C557" s="543" t="s">
        <v>340</v>
      </c>
      <c r="D557" s="276"/>
      <c r="E557" s="436"/>
      <c r="F557" s="690">
        <f t="shared" si="486"/>
        <v>0</v>
      </c>
      <c r="G557" s="276"/>
      <c r="H557" s="278"/>
      <c r="I557" s="352" t="str">
        <f t="shared" si="487"/>
        <v>-</v>
      </c>
      <c r="J557" s="874">
        <f t="shared" si="488"/>
        <v>0</v>
      </c>
      <c r="K557" s="278">
        <f t="shared" si="482"/>
        <v>0</v>
      </c>
      <c r="L557" s="436">
        <f t="shared" si="483"/>
        <v>0</v>
      </c>
      <c r="M557" s="337" t="str">
        <f t="shared" si="493"/>
        <v>-</v>
      </c>
      <c r="N557" s="263" t="str">
        <f t="shared" si="494"/>
        <v>-</v>
      </c>
      <c r="O557" s="508">
        <v>4.6184000000000003</v>
      </c>
      <c r="P557" s="404">
        <f t="shared" si="484"/>
        <v>0</v>
      </c>
      <c r="Q557" s="449">
        <f t="shared" si="485"/>
        <v>0</v>
      </c>
    </row>
    <row r="558" spans="1:17" ht="24" x14ac:dyDescent="0.35">
      <c r="A558" s="248"/>
      <c r="B558" s="1026"/>
      <c r="C558" s="543" t="s">
        <v>252</v>
      </c>
      <c r="D558" s="276"/>
      <c r="E558" s="436"/>
      <c r="F558" s="690">
        <f t="shared" si="486"/>
        <v>0</v>
      </c>
      <c r="G558" s="276"/>
      <c r="H558" s="278"/>
      <c r="I558" s="352" t="str">
        <f t="shared" si="487"/>
        <v>-</v>
      </c>
      <c r="J558" s="874">
        <f t="shared" si="488"/>
        <v>0</v>
      </c>
      <c r="K558" s="278">
        <f t="shared" si="482"/>
        <v>0</v>
      </c>
      <c r="L558" s="436">
        <f t="shared" si="483"/>
        <v>0</v>
      </c>
      <c r="M558" s="337" t="str">
        <f t="shared" si="493"/>
        <v>-</v>
      </c>
      <c r="N558" s="263" t="str">
        <f t="shared" si="494"/>
        <v>-</v>
      </c>
      <c r="O558" s="508">
        <v>4.6184000000000003</v>
      </c>
      <c r="P558" s="404">
        <f t="shared" si="484"/>
        <v>0</v>
      </c>
      <c r="Q558" s="449">
        <f t="shared" si="485"/>
        <v>0</v>
      </c>
    </row>
    <row r="559" spans="1:17" ht="24" x14ac:dyDescent="0.35">
      <c r="A559" s="248"/>
      <c r="B559" s="1026"/>
      <c r="C559" s="543" t="s">
        <v>350</v>
      </c>
      <c r="D559" s="276"/>
      <c r="E559" s="436"/>
      <c r="F559" s="690">
        <f t="shared" si="486"/>
        <v>0</v>
      </c>
      <c r="G559" s="276"/>
      <c r="H559" s="278"/>
      <c r="I559" s="352" t="str">
        <f t="shared" si="487"/>
        <v>-</v>
      </c>
      <c r="J559" s="874">
        <f t="shared" si="488"/>
        <v>0</v>
      </c>
      <c r="K559" s="686">
        <f t="shared" si="482"/>
        <v>0</v>
      </c>
      <c r="L559" s="687">
        <f t="shared" si="483"/>
        <v>0</v>
      </c>
      <c r="M559" s="337" t="str">
        <f t="shared" si="493"/>
        <v>-</v>
      </c>
      <c r="N559" s="263" t="str">
        <f t="shared" si="494"/>
        <v>-</v>
      </c>
      <c r="O559" s="508">
        <v>4.7636000000000003</v>
      </c>
      <c r="P559" s="404">
        <f t="shared" si="484"/>
        <v>0</v>
      </c>
      <c r="Q559" s="449">
        <f t="shared" si="485"/>
        <v>0</v>
      </c>
    </row>
    <row r="560" spans="1:17" ht="24.75" thickBot="1" x14ac:dyDescent="0.4">
      <c r="A560" s="248"/>
      <c r="B560" s="1027"/>
      <c r="C560" s="543" t="s">
        <v>346</v>
      </c>
      <c r="D560" s="276"/>
      <c r="E560" s="436"/>
      <c r="F560" s="690">
        <f t="shared" si="486"/>
        <v>0</v>
      </c>
      <c r="G560" s="276"/>
      <c r="H560" s="278"/>
      <c r="I560" s="352" t="str">
        <f t="shared" si="487"/>
        <v>-</v>
      </c>
      <c r="J560" s="874">
        <f t="shared" si="488"/>
        <v>0</v>
      </c>
      <c r="K560" s="278">
        <f t="shared" si="482"/>
        <v>0</v>
      </c>
      <c r="L560" s="436">
        <f t="shared" si="483"/>
        <v>0</v>
      </c>
      <c r="M560" s="337" t="str">
        <f t="shared" si="493"/>
        <v>-</v>
      </c>
      <c r="N560" s="263" t="str">
        <f t="shared" si="494"/>
        <v>-</v>
      </c>
      <c r="O560" s="508">
        <v>4.8738000000000001</v>
      </c>
      <c r="P560" s="404">
        <f t="shared" si="484"/>
        <v>0</v>
      </c>
      <c r="Q560" s="449">
        <f t="shared" si="485"/>
        <v>0</v>
      </c>
    </row>
    <row r="561" spans="1:17" ht="24.75" thickBot="1" x14ac:dyDescent="0.4">
      <c r="A561" s="248"/>
      <c r="B561" s="717" t="s">
        <v>254</v>
      </c>
      <c r="C561" s="543" t="s">
        <v>520</v>
      </c>
      <c r="D561" s="276"/>
      <c r="E561" s="436"/>
      <c r="F561" s="690">
        <f t="shared" si="486"/>
        <v>0</v>
      </c>
      <c r="G561" s="276"/>
      <c r="H561" s="278"/>
      <c r="I561" s="352" t="str">
        <f t="shared" si="487"/>
        <v>-</v>
      </c>
      <c r="J561" s="874">
        <f t="shared" si="488"/>
        <v>17752</v>
      </c>
      <c r="K561" s="278">
        <f t="shared" si="482"/>
        <v>17600</v>
      </c>
      <c r="L561" s="436">
        <f t="shared" si="483"/>
        <v>152</v>
      </c>
      <c r="M561" s="337" t="str">
        <f t="shared" si="493"/>
        <v>-</v>
      </c>
      <c r="N561" s="263">
        <f t="shared" si="494"/>
        <v>8.5624155024785938E-3</v>
      </c>
      <c r="O561" s="508">
        <v>4.8738000000000001</v>
      </c>
      <c r="P561" s="404">
        <f t="shared" si="484"/>
        <v>0</v>
      </c>
      <c r="Q561" s="449">
        <f t="shared" si="485"/>
        <v>85778.880000000005</v>
      </c>
    </row>
    <row r="562" spans="1:17" ht="24" x14ac:dyDescent="0.35">
      <c r="A562" s="248"/>
      <c r="B562" s="1025" t="s">
        <v>256</v>
      </c>
      <c r="C562" s="543" t="s">
        <v>77</v>
      </c>
      <c r="D562" s="276"/>
      <c r="E562" s="436"/>
      <c r="F562" s="690">
        <f t="shared" si="486"/>
        <v>36520</v>
      </c>
      <c r="G562" s="276">
        <v>35910</v>
      </c>
      <c r="H562" s="278">
        <v>610</v>
      </c>
      <c r="I562" s="352" t="str">
        <f t="shared" si="487"/>
        <v>-</v>
      </c>
      <c r="J562" s="874">
        <f t="shared" si="488"/>
        <v>325672</v>
      </c>
      <c r="K562" s="719">
        <f t="shared" si="482"/>
        <v>319760</v>
      </c>
      <c r="L562" s="815">
        <f t="shared" si="483"/>
        <v>5912</v>
      </c>
      <c r="M562" s="337" t="str">
        <f t="shared" si="493"/>
        <v>-</v>
      </c>
      <c r="N562" s="263">
        <f t="shared" si="494"/>
        <v>1.8153233928615294E-2</v>
      </c>
      <c r="O562" s="508">
        <v>4.9344999999999999</v>
      </c>
      <c r="P562" s="404">
        <f t="shared" si="484"/>
        <v>177197.89499999999</v>
      </c>
      <c r="Q562" s="449">
        <f t="shared" si="485"/>
        <v>1577855.72</v>
      </c>
    </row>
    <row r="563" spans="1:17" ht="24" x14ac:dyDescent="0.35">
      <c r="A563" s="248"/>
      <c r="B563" s="1026"/>
      <c r="C563" s="543" t="s">
        <v>135</v>
      </c>
      <c r="D563" s="276"/>
      <c r="E563" s="436"/>
      <c r="F563" s="690">
        <f t="shared" si="486"/>
        <v>0</v>
      </c>
      <c r="G563" s="276"/>
      <c r="H563" s="278"/>
      <c r="I563" s="352" t="str">
        <f t="shared" si="487"/>
        <v>-</v>
      </c>
      <c r="J563" s="874">
        <f t="shared" si="488"/>
        <v>0</v>
      </c>
      <c r="K563" s="278">
        <f t="shared" si="482"/>
        <v>0</v>
      </c>
      <c r="L563" s="436">
        <f t="shared" si="483"/>
        <v>0</v>
      </c>
      <c r="M563" s="337" t="str">
        <f t="shared" si="493"/>
        <v>-</v>
      </c>
      <c r="N563" s="263" t="str">
        <f t="shared" si="494"/>
        <v>-</v>
      </c>
      <c r="O563" s="508">
        <v>4.9344999999999999</v>
      </c>
      <c r="P563" s="404">
        <f t="shared" si="484"/>
        <v>0</v>
      </c>
      <c r="Q563" s="449">
        <f t="shared" si="485"/>
        <v>0</v>
      </c>
    </row>
    <row r="564" spans="1:17" ht="24" x14ac:dyDescent="0.35">
      <c r="A564" s="248"/>
      <c r="B564" s="1026"/>
      <c r="C564" s="543" t="s">
        <v>129</v>
      </c>
      <c r="D564" s="276"/>
      <c r="E564" s="436"/>
      <c r="F564" s="690">
        <f t="shared" si="486"/>
        <v>0</v>
      </c>
      <c r="G564" s="276"/>
      <c r="H564" s="278"/>
      <c r="I564" s="352" t="str">
        <f t="shared" si="487"/>
        <v>-</v>
      </c>
      <c r="J564" s="874">
        <f t="shared" si="488"/>
        <v>0</v>
      </c>
      <c r="K564" s="278">
        <f t="shared" si="482"/>
        <v>0</v>
      </c>
      <c r="L564" s="436">
        <f t="shared" si="483"/>
        <v>0</v>
      </c>
      <c r="M564" s="337" t="str">
        <f t="shared" si="493"/>
        <v>-</v>
      </c>
      <c r="N564" s="263" t="str">
        <f t="shared" si="494"/>
        <v>-</v>
      </c>
      <c r="O564" s="508">
        <v>4.9344999999999999</v>
      </c>
      <c r="P564" s="404">
        <f t="shared" si="484"/>
        <v>0</v>
      </c>
      <c r="Q564" s="449">
        <f t="shared" si="485"/>
        <v>0</v>
      </c>
    </row>
    <row r="565" spans="1:17" ht="24.75" thickBot="1" x14ac:dyDescent="0.4">
      <c r="A565" s="248"/>
      <c r="B565" s="1027"/>
      <c r="C565" s="543" t="s">
        <v>255</v>
      </c>
      <c r="D565" s="276"/>
      <c r="E565" s="436"/>
      <c r="F565" s="690">
        <f t="shared" si="486"/>
        <v>0</v>
      </c>
      <c r="G565" s="276"/>
      <c r="H565" s="278"/>
      <c r="I565" s="352" t="str">
        <f t="shared" si="487"/>
        <v>-</v>
      </c>
      <c r="J565" s="874">
        <f t="shared" si="488"/>
        <v>0</v>
      </c>
      <c r="K565" s="278">
        <f t="shared" si="482"/>
        <v>0</v>
      </c>
      <c r="L565" s="436">
        <f t="shared" si="483"/>
        <v>0</v>
      </c>
      <c r="M565" s="337" t="str">
        <f t="shared" si="493"/>
        <v>-</v>
      </c>
      <c r="N565" s="263" t="str">
        <f t="shared" si="494"/>
        <v>-</v>
      </c>
      <c r="O565" s="508">
        <v>5.5069999999999997</v>
      </c>
      <c r="P565" s="404">
        <f t="shared" si="484"/>
        <v>0</v>
      </c>
      <c r="Q565" s="449">
        <f t="shared" si="485"/>
        <v>0</v>
      </c>
    </row>
    <row r="566" spans="1:17" ht="24" x14ac:dyDescent="0.35">
      <c r="A566" s="248"/>
      <c r="B566" s="1025" t="s">
        <v>261</v>
      </c>
      <c r="C566" s="543" t="s">
        <v>257</v>
      </c>
      <c r="D566" s="276"/>
      <c r="E566" s="436"/>
      <c r="F566" s="690">
        <f t="shared" si="486"/>
        <v>38261</v>
      </c>
      <c r="G566" s="276">
        <v>38150</v>
      </c>
      <c r="H566" s="278">
        <v>111</v>
      </c>
      <c r="I566" s="352" t="str">
        <f t="shared" si="487"/>
        <v>-</v>
      </c>
      <c r="J566" s="874">
        <f t="shared" si="488"/>
        <v>335054</v>
      </c>
      <c r="K566" s="278">
        <f t="shared" si="482"/>
        <v>332150</v>
      </c>
      <c r="L566" s="687">
        <f t="shared" si="483"/>
        <v>2904</v>
      </c>
      <c r="M566" s="337" t="str">
        <f t="shared" si="493"/>
        <v>-</v>
      </c>
      <c r="N566" s="263">
        <f t="shared" si="494"/>
        <v>8.6672596059142702E-3</v>
      </c>
      <c r="O566" s="710">
        <v>5.5069999999999997</v>
      </c>
      <c r="P566" s="404">
        <f t="shared" si="484"/>
        <v>210092.05</v>
      </c>
      <c r="Q566" s="449">
        <f t="shared" si="485"/>
        <v>1829150.0499999998</v>
      </c>
    </row>
    <row r="567" spans="1:17" ht="24" x14ac:dyDescent="0.35">
      <c r="A567" s="248"/>
      <c r="B567" s="1026"/>
      <c r="C567" s="543" t="s">
        <v>258</v>
      </c>
      <c r="D567" s="276"/>
      <c r="E567" s="436"/>
      <c r="F567" s="690">
        <f t="shared" si="486"/>
        <v>0</v>
      </c>
      <c r="G567" s="276"/>
      <c r="H567" s="278"/>
      <c r="I567" s="352" t="str">
        <f t="shared" si="487"/>
        <v>-</v>
      </c>
      <c r="J567" s="874">
        <f t="shared" si="488"/>
        <v>0</v>
      </c>
      <c r="K567" s="278">
        <f t="shared" si="482"/>
        <v>0</v>
      </c>
      <c r="L567" s="436">
        <f t="shared" si="483"/>
        <v>0</v>
      </c>
      <c r="M567" s="337" t="str">
        <f t="shared" si="493"/>
        <v>-</v>
      </c>
      <c r="N567" s="263" t="str">
        <f t="shared" si="494"/>
        <v>-</v>
      </c>
      <c r="O567" s="508">
        <v>5.6550000000000002</v>
      </c>
      <c r="P567" s="404">
        <f t="shared" si="484"/>
        <v>0</v>
      </c>
      <c r="Q567" s="449">
        <f t="shared" si="485"/>
        <v>0</v>
      </c>
    </row>
    <row r="568" spans="1:17" ht="24" x14ac:dyDescent="0.35">
      <c r="A568" s="248"/>
      <c r="B568" s="1026"/>
      <c r="C568" s="543" t="s">
        <v>321</v>
      </c>
      <c r="D568" s="276"/>
      <c r="E568" s="436"/>
      <c r="F568" s="690">
        <f t="shared" si="486"/>
        <v>0</v>
      </c>
      <c r="G568" s="276"/>
      <c r="H568" s="278"/>
      <c r="I568" s="352" t="str">
        <f t="shared" si="487"/>
        <v>-</v>
      </c>
      <c r="J568" s="874">
        <f t="shared" si="488"/>
        <v>0</v>
      </c>
      <c r="K568" s="686">
        <f t="shared" si="482"/>
        <v>0</v>
      </c>
      <c r="L568" s="687">
        <f t="shared" si="483"/>
        <v>0</v>
      </c>
      <c r="M568" s="337" t="str">
        <f t="shared" si="493"/>
        <v>-</v>
      </c>
      <c r="N568" s="263" t="str">
        <f t="shared" si="494"/>
        <v>-</v>
      </c>
      <c r="O568" s="508">
        <v>5.6550000000000002</v>
      </c>
      <c r="P568" s="404">
        <f t="shared" si="484"/>
        <v>0</v>
      </c>
      <c r="Q568" s="449">
        <f t="shared" si="485"/>
        <v>0</v>
      </c>
    </row>
    <row r="569" spans="1:17" ht="24" x14ac:dyDescent="0.35">
      <c r="A569" s="248"/>
      <c r="B569" s="1026"/>
      <c r="C569" s="543" t="s">
        <v>259</v>
      </c>
      <c r="D569" s="276"/>
      <c r="E569" s="436"/>
      <c r="F569" s="690">
        <f t="shared" si="486"/>
        <v>0</v>
      </c>
      <c r="G569" s="276"/>
      <c r="H569" s="278"/>
      <c r="I569" s="352" t="str">
        <f t="shared" si="487"/>
        <v>-</v>
      </c>
      <c r="J569" s="874">
        <f t="shared" si="488"/>
        <v>0</v>
      </c>
      <c r="K569" s="278">
        <f t="shared" si="482"/>
        <v>0</v>
      </c>
      <c r="L569" s="436">
        <f t="shared" si="483"/>
        <v>0</v>
      </c>
      <c r="M569" s="337" t="str">
        <f t="shared" si="493"/>
        <v>-</v>
      </c>
      <c r="N569" s="263" t="str">
        <f t="shared" si="494"/>
        <v>-</v>
      </c>
      <c r="O569" s="508">
        <v>5.6550000000000002</v>
      </c>
      <c r="P569" s="404">
        <f t="shared" si="484"/>
        <v>0</v>
      </c>
      <c r="Q569" s="449">
        <f t="shared" si="485"/>
        <v>0</v>
      </c>
    </row>
    <row r="570" spans="1:17" ht="24" x14ac:dyDescent="0.35">
      <c r="A570" s="248" t="s">
        <v>101</v>
      </c>
      <c r="B570" s="1026"/>
      <c r="C570" s="543" t="s">
        <v>260</v>
      </c>
      <c r="D570" s="276"/>
      <c r="E570" s="436"/>
      <c r="F570" s="690">
        <f t="shared" si="486"/>
        <v>0</v>
      </c>
      <c r="G570" s="276"/>
      <c r="H570" s="278"/>
      <c r="I570" s="352" t="str">
        <f t="shared" si="487"/>
        <v>-</v>
      </c>
      <c r="J570" s="874">
        <f t="shared" si="488"/>
        <v>0</v>
      </c>
      <c r="K570" s="278">
        <f t="shared" si="482"/>
        <v>0</v>
      </c>
      <c r="L570" s="436">
        <f t="shared" si="483"/>
        <v>0</v>
      </c>
      <c r="M570" s="337" t="str">
        <f t="shared" si="493"/>
        <v>-</v>
      </c>
      <c r="N570" s="263" t="str">
        <f t="shared" si="494"/>
        <v>-</v>
      </c>
      <c r="O570" s="508">
        <v>3.2963</v>
      </c>
      <c r="P570" s="404">
        <f t="shared" si="484"/>
        <v>0</v>
      </c>
      <c r="Q570" s="449">
        <f t="shared" si="485"/>
        <v>0</v>
      </c>
    </row>
    <row r="571" spans="1:17" ht="24.75" thickBot="1" x14ac:dyDescent="0.4">
      <c r="A571" s="248" t="s">
        <v>101</v>
      </c>
      <c r="B571" s="1027"/>
      <c r="C571" s="543" t="s">
        <v>255</v>
      </c>
      <c r="D571" s="276"/>
      <c r="E571" s="436"/>
      <c r="F571" s="690">
        <f t="shared" si="486"/>
        <v>0</v>
      </c>
      <c r="G571" s="276"/>
      <c r="H571" s="278"/>
      <c r="I571" s="352" t="str">
        <f t="shared" si="487"/>
        <v>-</v>
      </c>
      <c r="J571" s="874">
        <f t="shared" si="488"/>
        <v>0</v>
      </c>
      <c r="K571" s="278">
        <f t="shared" si="482"/>
        <v>0</v>
      </c>
      <c r="L571" s="436">
        <f t="shared" si="483"/>
        <v>0</v>
      </c>
      <c r="M571" s="337" t="str">
        <f t="shared" si="493"/>
        <v>-</v>
      </c>
      <c r="N571" s="263" t="str">
        <f t="shared" si="494"/>
        <v>-</v>
      </c>
      <c r="O571" s="508">
        <v>3.2963</v>
      </c>
      <c r="P571" s="404">
        <f t="shared" si="484"/>
        <v>0</v>
      </c>
      <c r="Q571" s="449">
        <f t="shared" si="485"/>
        <v>0</v>
      </c>
    </row>
    <row r="572" spans="1:17" ht="24" x14ac:dyDescent="0.35">
      <c r="A572" s="248" t="s">
        <v>101</v>
      </c>
      <c r="B572" s="546"/>
      <c r="C572" s="544" t="s">
        <v>89</v>
      </c>
      <c r="D572" s="511"/>
      <c r="E572" s="436"/>
      <c r="F572" s="690">
        <f t="shared" si="486"/>
        <v>0</v>
      </c>
      <c r="G572" s="276"/>
      <c r="H572" s="278"/>
      <c r="I572" s="352" t="str">
        <f t="shared" si="487"/>
        <v>-</v>
      </c>
      <c r="J572" s="874">
        <f t="shared" si="488"/>
        <v>83715</v>
      </c>
      <c r="K572" s="278">
        <f t="shared" si="482"/>
        <v>83400</v>
      </c>
      <c r="L572" s="436">
        <f t="shared" si="483"/>
        <v>315</v>
      </c>
      <c r="M572" s="337" t="str">
        <f t="shared" si="493"/>
        <v>-</v>
      </c>
      <c r="N572" s="263">
        <f t="shared" si="494"/>
        <v>3.7627665292958249E-3</v>
      </c>
      <c r="O572" s="508">
        <v>2.3201000000000001</v>
      </c>
      <c r="P572" s="404">
        <f t="shared" si="484"/>
        <v>0</v>
      </c>
      <c r="Q572" s="449">
        <f t="shared" si="485"/>
        <v>193496.34</v>
      </c>
    </row>
    <row r="573" spans="1:17" ht="24.75" thickBot="1" x14ac:dyDescent="0.3">
      <c r="A573" s="248" t="s">
        <v>101</v>
      </c>
      <c r="B573" s="524"/>
      <c r="C573" s="541"/>
      <c r="D573" s="530"/>
      <c r="E573" s="462"/>
      <c r="F573" s="691">
        <f t="shared" si="486"/>
        <v>0</v>
      </c>
      <c r="G573" s="530"/>
      <c r="H573" s="461"/>
      <c r="I573" s="532" t="str">
        <f t="shared" si="487"/>
        <v>-</v>
      </c>
      <c r="J573" s="875">
        <f t="shared" si="488"/>
        <v>0</v>
      </c>
      <c r="K573" s="461">
        <f t="shared" si="482"/>
        <v>0</v>
      </c>
      <c r="L573" s="462">
        <f t="shared" si="483"/>
        <v>0</v>
      </c>
      <c r="M573" s="683" t="str">
        <f t="shared" si="493"/>
        <v>-</v>
      </c>
      <c r="N573" s="264" t="str">
        <f t="shared" si="494"/>
        <v>-</v>
      </c>
      <c r="O573" s="539"/>
      <c r="P573" s="536">
        <f t="shared" si="484"/>
        <v>0</v>
      </c>
      <c r="Q573" s="537">
        <f t="shared" si="485"/>
        <v>0</v>
      </c>
    </row>
    <row r="574" spans="1:17" ht="23.25" customHeight="1" thickBot="1" x14ac:dyDescent="0.3">
      <c r="A574" s="274" t="s">
        <v>101</v>
      </c>
      <c r="B574" s="1028" t="s">
        <v>25</v>
      </c>
      <c r="C574" s="964"/>
      <c r="D574" s="513">
        <f>SUM(D547:D573)</f>
        <v>0</v>
      </c>
      <c r="E574" s="526">
        <v>100000</v>
      </c>
      <c r="F574" s="519">
        <f>SUM(F542:F573)</f>
        <v>125419</v>
      </c>
      <c r="G574" s="519">
        <f>SUM(G542:G573)</f>
        <v>123865</v>
      </c>
      <c r="H574" s="519">
        <f>SUM(H542:H573)</f>
        <v>1554</v>
      </c>
      <c r="I574" s="520">
        <f>IFERROR(F574/E574,"-")</f>
        <v>1.2541899999999999</v>
      </c>
      <c r="J574" s="513">
        <f>SUM(J542:J573)</f>
        <v>1245085</v>
      </c>
      <c r="K574" s="513">
        <f t="shared" ref="K574:L574" si="495">SUM(K542:K573)</f>
        <v>1231098</v>
      </c>
      <c r="L574" s="513">
        <f t="shared" si="495"/>
        <v>13987</v>
      </c>
      <c r="M574" s="521" t="str">
        <f t="shared" si="493"/>
        <v>-</v>
      </c>
      <c r="N574" s="520">
        <f t="shared" si="494"/>
        <v>1.1233771188312444E-2</v>
      </c>
      <c r="O574" s="522"/>
      <c r="P574" s="523">
        <f>SUM(P542:P573)</f>
        <v>888774.2564999999</v>
      </c>
      <c r="Q574" s="523">
        <f>SUM(Q542:Q573)</f>
        <v>8781319.2729000002</v>
      </c>
    </row>
    <row r="575" spans="1:17" ht="23.25" customHeight="1" thickBot="1" x14ac:dyDescent="0.3">
      <c r="A575" s="318" t="s">
        <v>101</v>
      </c>
      <c r="B575" s="1029" t="s">
        <v>249</v>
      </c>
      <c r="C575" s="1030"/>
      <c r="D575" s="326">
        <f>+D546+D574</f>
        <v>0</v>
      </c>
      <c r="E575" s="327">
        <f>+E546+E574</f>
        <v>100000</v>
      </c>
      <c r="F575" s="326">
        <f>+F574</f>
        <v>125419</v>
      </c>
      <c r="G575" s="326">
        <f t="shared" ref="G575:H575" si="496">+G574</f>
        <v>123865</v>
      </c>
      <c r="H575" s="326">
        <f t="shared" si="496"/>
        <v>1554</v>
      </c>
      <c r="I575" s="349">
        <f>IFERROR(F575/E575,"-")</f>
        <v>1.2541899999999999</v>
      </c>
      <c r="J575" s="326">
        <f>+J574</f>
        <v>1245085</v>
      </c>
      <c r="K575" s="326">
        <f t="shared" ref="K575:L575" si="497">+K574</f>
        <v>1231098</v>
      </c>
      <c r="L575" s="326">
        <f t="shared" si="497"/>
        <v>13987</v>
      </c>
      <c r="M575" s="341" t="str">
        <f t="shared" si="493"/>
        <v>-</v>
      </c>
      <c r="N575" s="349">
        <f t="shared" si="494"/>
        <v>1.1233771188312444E-2</v>
      </c>
      <c r="O575" s="394"/>
      <c r="P575" s="410">
        <f>+P574</f>
        <v>888774.2564999999</v>
      </c>
      <c r="Q575" s="428">
        <f>Q574</f>
        <v>8781319.2729000002</v>
      </c>
    </row>
    <row r="576" spans="1:17" ht="26.25" thickBot="1" x14ac:dyDescent="0.3">
      <c r="A576" s="319"/>
      <c r="B576" s="1031" t="s">
        <v>174</v>
      </c>
      <c r="C576" s="1032"/>
      <c r="D576" s="374">
        <f>+D575+D541+D532</f>
        <v>0</v>
      </c>
      <c r="E576" s="374">
        <f>+E575+E541+E532</f>
        <v>230000</v>
      </c>
      <c r="F576" s="374">
        <f>+F575+F541+F532</f>
        <v>253286</v>
      </c>
      <c r="G576" s="374">
        <f>+G575+G541+G532</f>
        <v>250115</v>
      </c>
      <c r="H576" s="374">
        <f>+H575+H541+H532</f>
        <v>3171</v>
      </c>
      <c r="I576" s="375">
        <f>IFERROR(F576/E576,"-")</f>
        <v>1.1012434782608695</v>
      </c>
      <c r="J576" s="374">
        <f>+J575+J541+J532</f>
        <v>3115083</v>
      </c>
      <c r="K576" s="374">
        <f>+K575+K541+K532</f>
        <v>3081548</v>
      </c>
      <c r="L576" s="374">
        <f>+L575+L541+L532</f>
        <v>33535</v>
      </c>
      <c r="M576" s="375" t="str">
        <f t="shared" si="493"/>
        <v>-</v>
      </c>
      <c r="N576" s="375">
        <f>IFERROR(L576/J576,"-")</f>
        <v>1.0765363234302263E-2</v>
      </c>
      <c r="O576" s="401"/>
      <c r="P576" s="418">
        <f>+P575+P541+P532</f>
        <v>1646205.6814999999</v>
      </c>
      <c r="Q576" s="418">
        <f>+Q575+Q541+Q532</f>
        <v>17580532.832899999</v>
      </c>
    </row>
    <row r="577" spans="1:17" ht="24.6" customHeight="1" thickBot="1" x14ac:dyDescent="0.3">
      <c r="A577" s="230"/>
      <c r="B577" s="230"/>
      <c r="C577" s="230"/>
      <c r="D577" s="232"/>
      <c r="E577" s="232"/>
      <c r="F577" s="232"/>
      <c r="G577" s="267"/>
      <c r="H577" s="267"/>
      <c r="I577" s="234"/>
      <c r="J577" s="232"/>
      <c r="K577" s="232"/>
      <c r="L577" s="232"/>
      <c r="M577" s="234"/>
      <c r="N577" s="234"/>
    </row>
    <row r="578" spans="1:17" ht="22.5" customHeight="1" x14ac:dyDescent="0.25">
      <c r="A578" s="1033" t="s">
        <v>1</v>
      </c>
      <c r="B578" s="1036" t="s">
        <v>2</v>
      </c>
      <c r="C578" s="1039" t="s">
        <v>396</v>
      </c>
      <c r="D578" s="987" t="s">
        <v>4</v>
      </c>
      <c r="E578" s="988"/>
      <c r="F578" s="988"/>
      <c r="G578" s="988"/>
      <c r="H578" s="988"/>
      <c r="I578" s="988"/>
      <c r="J578" s="988"/>
      <c r="K578" s="988"/>
      <c r="L578" s="988"/>
      <c r="M578" s="988"/>
      <c r="N578" s="989"/>
      <c r="O578" s="1011" t="s">
        <v>167</v>
      </c>
      <c r="P578" s="1012"/>
      <c r="Q578" s="1042"/>
    </row>
    <row r="579" spans="1:17" ht="22.5" customHeight="1" x14ac:dyDescent="0.25">
      <c r="A579" s="1034"/>
      <c r="B579" s="1037"/>
      <c r="C579" s="1040"/>
      <c r="D579" s="990" t="s">
        <v>7</v>
      </c>
      <c r="E579" s="992" t="s">
        <v>108</v>
      </c>
      <c r="F579" s="1043" t="s">
        <v>543</v>
      </c>
      <c r="G579" s="995"/>
      <c r="H579" s="995"/>
      <c r="I579" s="996"/>
      <c r="J579" s="997" t="s">
        <v>8</v>
      </c>
      <c r="K579" s="998"/>
      <c r="L579" s="999"/>
      <c r="M579" s="1000" t="s">
        <v>165</v>
      </c>
      <c r="N579" s="1002" t="s">
        <v>164</v>
      </c>
      <c r="O579" s="1044" t="s">
        <v>169</v>
      </c>
      <c r="P579" s="1045"/>
      <c r="Q579" s="1046"/>
    </row>
    <row r="580" spans="1:17" ht="45.75" thickBot="1" x14ac:dyDescent="0.3">
      <c r="A580" s="1035"/>
      <c r="B580" s="1038"/>
      <c r="C580" s="1041"/>
      <c r="D580" s="991"/>
      <c r="E580" s="993"/>
      <c r="F580" s="452" t="s">
        <v>13</v>
      </c>
      <c r="G580" s="453" t="s">
        <v>14</v>
      </c>
      <c r="H580" s="453" t="s">
        <v>15</v>
      </c>
      <c r="I580" s="454" t="s">
        <v>166</v>
      </c>
      <c r="J580" s="680" t="s">
        <v>13</v>
      </c>
      <c r="K580" s="678" t="s">
        <v>14</v>
      </c>
      <c r="L580" s="679" t="s">
        <v>15</v>
      </c>
      <c r="M580" s="1001"/>
      <c r="N580" s="1003"/>
      <c r="O580" s="444" t="s">
        <v>170</v>
      </c>
      <c r="P580" s="445" t="s">
        <v>11</v>
      </c>
      <c r="Q580" s="446" t="s">
        <v>12</v>
      </c>
    </row>
    <row r="581" spans="1:17" ht="24" x14ac:dyDescent="0.25">
      <c r="A581" s="268" t="s">
        <v>103</v>
      </c>
      <c r="B581" s="439"/>
      <c r="C581" s="269" t="s">
        <v>502</v>
      </c>
      <c r="D581" s="270"/>
      <c r="E581" s="271"/>
      <c r="F581" s="332">
        <f>+G581+H581</f>
        <v>0</v>
      </c>
      <c r="G581" s="272"/>
      <c r="H581" s="272"/>
      <c r="I581" s="351" t="str">
        <f>IFERROR(F581/E581,"-")</f>
        <v>-</v>
      </c>
      <c r="J581" s="457">
        <f>+K581+L581</f>
        <v>128000</v>
      </c>
      <c r="K581" s="458">
        <f>+G581+K518</f>
        <v>128000</v>
      </c>
      <c r="L581" s="458">
        <f>+H581+L518</f>
        <v>0</v>
      </c>
      <c r="M581" s="336" t="str">
        <f>IFERROR(J581/D581,"-")</f>
        <v>-</v>
      </c>
      <c r="N581" s="343">
        <f t="shared" ref="N581:N582" si="498">IFERROR(L581/J581,"-")</f>
        <v>0</v>
      </c>
      <c r="O581" s="786">
        <v>0</v>
      </c>
      <c r="P581" s="402">
        <f>+O581*G581</f>
        <v>0</v>
      </c>
      <c r="Q581" s="447">
        <f>+O581*K581</f>
        <v>0</v>
      </c>
    </row>
    <row r="582" spans="1:17" ht="24" x14ac:dyDescent="0.25">
      <c r="A582" s="274" t="s">
        <v>103</v>
      </c>
      <c r="B582" s="438"/>
      <c r="C582" s="275" t="s">
        <v>245</v>
      </c>
      <c r="D582" s="276"/>
      <c r="E582" s="277"/>
      <c r="F582" s="333">
        <f t="shared" ref="F582:F585" si="499">+G582+H582</f>
        <v>0</v>
      </c>
      <c r="G582" s="719"/>
      <c r="H582" s="719"/>
      <c r="I582" s="351" t="str">
        <f t="shared" ref="I582:I585" si="500">IFERROR(F582/E582,"-")</f>
        <v>-</v>
      </c>
      <c r="J582" s="333">
        <f t="shared" ref="J582:J585" si="501">+K582+L582</f>
        <v>115874</v>
      </c>
      <c r="K582" s="278">
        <f t="shared" ref="K582:K585" si="502">+G582+K519</f>
        <v>115000</v>
      </c>
      <c r="L582" s="436">
        <f t="shared" ref="L582:L585" si="503">+H582+L519</f>
        <v>874</v>
      </c>
      <c r="M582" s="337" t="str">
        <f t="shared" ref="M582:M585" si="504">IFERROR(J582/D582,"-")</f>
        <v>-</v>
      </c>
      <c r="N582" s="265">
        <f t="shared" si="498"/>
        <v>7.5426756649464074E-3</v>
      </c>
      <c r="O582" s="508">
        <v>2.3978999999999999</v>
      </c>
      <c r="P582" s="404">
        <f>+O582*G582</f>
        <v>0</v>
      </c>
      <c r="Q582" s="449">
        <f>+O582*K582</f>
        <v>275758.5</v>
      </c>
    </row>
    <row r="583" spans="1:17" ht="24" x14ac:dyDescent="0.25">
      <c r="A583" s="274" t="s">
        <v>103</v>
      </c>
      <c r="B583" s="438"/>
      <c r="C583" s="275" t="s">
        <v>395</v>
      </c>
      <c r="D583" s="276"/>
      <c r="E583" s="277"/>
      <c r="F583" s="333">
        <f t="shared" si="499"/>
        <v>80004</v>
      </c>
      <c r="G583" s="278">
        <v>79250</v>
      </c>
      <c r="H583" s="719">
        <v>754</v>
      </c>
      <c r="I583" s="351" t="str">
        <f t="shared" si="500"/>
        <v>-</v>
      </c>
      <c r="J583" s="333">
        <f t="shared" si="501"/>
        <v>794005</v>
      </c>
      <c r="K583" s="278">
        <f t="shared" si="502"/>
        <v>787000</v>
      </c>
      <c r="L583" s="436">
        <f t="shared" si="503"/>
        <v>7005</v>
      </c>
      <c r="M583" s="337" t="str">
        <f t="shared" si="504"/>
        <v>-</v>
      </c>
      <c r="N583" s="716">
        <f>IFERROR(L583/J583,"-")</f>
        <v>8.8223625795807326E-3</v>
      </c>
      <c r="O583" s="718">
        <v>3.6777000000000002</v>
      </c>
      <c r="P583" s="404">
        <f t="shared" ref="P583:P585" si="505">+O583*G583</f>
        <v>291457.72500000003</v>
      </c>
      <c r="Q583" s="449">
        <f t="shared" ref="Q583:Q585" si="506">+O583*K583</f>
        <v>2894349.9000000004</v>
      </c>
    </row>
    <row r="584" spans="1:17" ht="24" x14ac:dyDescent="0.25">
      <c r="A584" s="274"/>
      <c r="B584" s="451"/>
      <c r="C584" s="275" t="s">
        <v>319</v>
      </c>
      <c r="D584" s="280"/>
      <c r="E584" s="281"/>
      <c r="F584" s="333">
        <f t="shared" si="499"/>
        <v>44570</v>
      </c>
      <c r="G584" s="282">
        <v>44000</v>
      </c>
      <c r="H584" s="282">
        <v>570</v>
      </c>
      <c r="I584" s="351" t="str">
        <f t="shared" si="500"/>
        <v>-</v>
      </c>
      <c r="J584" s="333">
        <f t="shared" si="501"/>
        <v>370619</v>
      </c>
      <c r="K584" s="278">
        <f t="shared" si="502"/>
        <v>364800</v>
      </c>
      <c r="L584" s="436">
        <f t="shared" si="503"/>
        <v>5819</v>
      </c>
      <c r="M584" s="337" t="str">
        <f t="shared" si="504"/>
        <v>-</v>
      </c>
      <c r="N584" s="265">
        <f>IFERROR(L584/J584,"-")</f>
        <v>1.5700760079758458E-2</v>
      </c>
      <c r="O584" s="509">
        <v>12.284700000000001</v>
      </c>
      <c r="P584" s="404">
        <f t="shared" si="505"/>
        <v>540526.80000000005</v>
      </c>
      <c r="Q584" s="449">
        <f t="shared" si="506"/>
        <v>4481458.5600000005</v>
      </c>
    </row>
    <row r="585" spans="1:17" ht="24.75" thickBot="1" x14ac:dyDescent="0.3">
      <c r="A585" s="274" t="s">
        <v>103</v>
      </c>
      <c r="B585" s="451"/>
      <c r="C585" s="275" t="s">
        <v>365</v>
      </c>
      <c r="D585" s="280"/>
      <c r="E585" s="281"/>
      <c r="F585" s="334">
        <f t="shared" si="499"/>
        <v>0</v>
      </c>
      <c r="G585" s="282"/>
      <c r="H585" s="282"/>
      <c r="I585" s="351" t="str">
        <f t="shared" si="500"/>
        <v>-</v>
      </c>
      <c r="J585" s="460">
        <f t="shared" si="501"/>
        <v>45034</v>
      </c>
      <c r="K585" s="461">
        <f t="shared" si="502"/>
        <v>44250</v>
      </c>
      <c r="L585" s="462">
        <f t="shared" si="503"/>
        <v>784</v>
      </c>
      <c r="M585" s="338" t="str">
        <f t="shared" si="504"/>
        <v>-</v>
      </c>
      <c r="N585" s="344">
        <f t="shared" ref="N585:N597" si="507">IFERROR(L585/J585,"-")</f>
        <v>1.7409068703646134E-2</v>
      </c>
      <c r="O585" s="718">
        <v>7.0612000000000004</v>
      </c>
      <c r="P585" s="405">
        <f t="shared" si="505"/>
        <v>0</v>
      </c>
      <c r="Q585" s="450">
        <f t="shared" si="506"/>
        <v>312458.10000000003</v>
      </c>
    </row>
    <row r="586" spans="1:17" ht="23.25" customHeight="1" thickBot="1" x14ac:dyDescent="0.3">
      <c r="A586" s="274" t="s">
        <v>103</v>
      </c>
      <c r="B586" s="1028" t="s">
        <v>21</v>
      </c>
      <c r="C586" s="964"/>
      <c r="D586" s="320">
        <f>SUM(D581:D585)</f>
        <v>0</v>
      </c>
      <c r="E586" s="285">
        <v>15000</v>
      </c>
      <c r="F586" s="320">
        <f>SUM(F581:F585)</f>
        <v>124574</v>
      </c>
      <c r="G586" s="321">
        <f>SUM(G581:G585)</f>
        <v>123250</v>
      </c>
      <c r="H586" s="321">
        <f>SUM(H581:H585)</f>
        <v>1324</v>
      </c>
      <c r="I586" s="345">
        <f>IFERROR(F586/E586,"-")</f>
        <v>8.3049333333333326</v>
      </c>
      <c r="J586" s="320">
        <f>SUM(J581:J585)</f>
        <v>1453532</v>
      </c>
      <c r="K586" s="321">
        <f>SUM(K581:K585)</f>
        <v>1439050</v>
      </c>
      <c r="L586" s="322">
        <f>SUM(L581:L585)</f>
        <v>14482</v>
      </c>
      <c r="M586" s="339" t="str">
        <f>IFERROR(J586/D586,"-")</f>
        <v>-</v>
      </c>
      <c r="N586" s="345">
        <f t="shared" si="507"/>
        <v>9.9633169410786974E-3</v>
      </c>
      <c r="O586" s="391"/>
      <c r="P586" s="406">
        <f>SUM(P581:P585)</f>
        <v>831984.52500000014</v>
      </c>
      <c r="Q586" s="425">
        <f>SUM(Q581:Q585)</f>
        <v>7964025.0600000005</v>
      </c>
    </row>
    <row r="587" spans="1:17" ht="24" x14ac:dyDescent="0.25">
      <c r="A587" s="274" t="s">
        <v>103</v>
      </c>
      <c r="B587" s="439"/>
      <c r="C587" s="269" t="s">
        <v>244</v>
      </c>
      <c r="D587" s="270"/>
      <c r="E587" s="271"/>
      <c r="F587" s="332">
        <f t="shared" ref="F587:F593" si="508">+G587+H587</f>
        <v>0</v>
      </c>
      <c r="G587" s="272"/>
      <c r="H587" s="272"/>
      <c r="I587" s="351" t="str">
        <f>IFERROR(F587/E587,"-")</f>
        <v>-</v>
      </c>
      <c r="J587" s="457">
        <f t="shared" ref="J587:J593" si="509">+K587+L587</f>
        <v>0</v>
      </c>
      <c r="K587" s="458">
        <f t="shared" ref="K587:K593" si="510">+G587+K524</f>
        <v>0</v>
      </c>
      <c r="L587" s="459">
        <f t="shared" ref="L587:L593" si="511">+H587+L524</f>
        <v>0</v>
      </c>
      <c r="M587" s="336" t="str">
        <f t="shared" ref="M587:M595" si="512">IFERROR(J587/D587,"-")</f>
        <v>-</v>
      </c>
      <c r="N587" s="346" t="str">
        <f t="shared" si="507"/>
        <v>-</v>
      </c>
      <c r="O587" s="507">
        <v>18.2316</v>
      </c>
      <c r="P587" s="402">
        <f t="shared" ref="P587:P593" si="513">+O587*G587</f>
        <v>0</v>
      </c>
      <c r="Q587" s="447">
        <f t="shared" ref="Q587:Q593" si="514">+O587*K587</f>
        <v>0</v>
      </c>
    </row>
    <row r="588" spans="1:17" ht="24" x14ac:dyDescent="0.25">
      <c r="A588" s="274" t="s">
        <v>103</v>
      </c>
      <c r="B588" s="438"/>
      <c r="C588" s="275" t="s">
        <v>89</v>
      </c>
      <c r="D588" s="276"/>
      <c r="E588" s="277"/>
      <c r="F588" s="333">
        <f t="shared" si="508"/>
        <v>0</v>
      </c>
      <c r="G588" s="278"/>
      <c r="H588" s="278"/>
      <c r="I588" s="351" t="str">
        <f t="shared" ref="I588:I593" si="515">IFERROR(F588/E588,"-")</f>
        <v>-</v>
      </c>
      <c r="J588" s="333">
        <f t="shared" si="509"/>
        <v>120000</v>
      </c>
      <c r="K588" s="278">
        <f t="shared" si="510"/>
        <v>120000</v>
      </c>
      <c r="L588" s="436">
        <f t="shared" si="511"/>
        <v>0</v>
      </c>
      <c r="M588" s="337" t="str">
        <f t="shared" si="512"/>
        <v>-</v>
      </c>
      <c r="N588" s="263">
        <f t="shared" si="507"/>
        <v>0</v>
      </c>
      <c r="O588" s="508">
        <v>1.2824</v>
      </c>
      <c r="P588" s="404">
        <f t="shared" si="513"/>
        <v>0</v>
      </c>
      <c r="Q588" s="449">
        <f t="shared" si="514"/>
        <v>153888</v>
      </c>
    </row>
    <row r="589" spans="1:17" ht="24" x14ac:dyDescent="0.25">
      <c r="A589" s="274" t="s">
        <v>103</v>
      </c>
      <c r="B589" s="438"/>
      <c r="C589" s="275" t="s">
        <v>300</v>
      </c>
      <c r="D589" s="276"/>
      <c r="E589" s="277"/>
      <c r="F589" s="333">
        <f t="shared" si="508"/>
        <v>0</v>
      </c>
      <c r="G589" s="278"/>
      <c r="H589" s="278"/>
      <c r="I589" s="351" t="str">
        <f t="shared" si="515"/>
        <v>-</v>
      </c>
      <c r="J589" s="333">
        <f t="shared" si="509"/>
        <v>0</v>
      </c>
      <c r="K589" s="278">
        <f t="shared" si="510"/>
        <v>0</v>
      </c>
      <c r="L589" s="436">
        <f t="shared" si="511"/>
        <v>0</v>
      </c>
      <c r="M589" s="337" t="str">
        <f t="shared" si="512"/>
        <v>-</v>
      </c>
      <c r="N589" s="263" t="str">
        <f t="shared" si="507"/>
        <v>-</v>
      </c>
      <c r="O589" s="710">
        <v>5.7342000000000004</v>
      </c>
      <c r="P589" s="404">
        <f t="shared" si="513"/>
        <v>0</v>
      </c>
      <c r="Q589" s="449">
        <f t="shared" si="514"/>
        <v>0</v>
      </c>
    </row>
    <row r="590" spans="1:17" ht="24" x14ac:dyDescent="0.25">
      <c r="A590" s="274" t="s">
        <v>103</v>
      </c>
      <c r="B590" s="438"/>
      <c r="C590" s="275" t="s">
        <v>314</v>
      </c>
      <c r="D590" s="276"/>
      <c r="E590" s="277"/>
      <c r="F590" s="333">
        <f t="shared" si="508"/>
        <v>0</v>
      </c>
      <c r="G590" s="278"/>
      <c r="H590" s="278"/>
      <c r="I590" s="351" t="str">
        <f t="shared" si="515"/>
        <v>-</v>
      </c>
      <c r="J590" s="333">
        <f t="shared" si="509"/>
        <v>0</v>
      </c>
      <c r="K590" s="278">
        <f t="shared" si="510"/>
        <v>0</v>
      </c>
      <c r="L590" s="436">
        <f t="shared" si="511"/>
        <v>0</v>
      </c>
      <c r="M590" s="337" t="str">
        <f t="shared" si="512"/>
        <v>-</v>
      </c>
      <c r="N590" s="263" t="str">
        <f t="shared" si="507"/>
        <v>-</v>
      </c>
      <c r="O590" s="508"/>
      <c r="P590" s="404">
        <f t="shared" si="513"/>
        <v>0</v>
      </c>
      <c r="Q590" s="449">
        <f t="shared" si="514"/>
        <v>0</v>
      </c>
    </row>
    <row r="591" spans="1:17" ht="24" x14ac:dyDescent="0.25">
      <c r="A591" s="274" t="s">
        <v>103</v>
      </c>
      <c r="B591" s="438"/>
      <c r="C591" s="275" t="s">
        <v>320</v>
      </c>
      <c r="D591" s="276"/>
      <c r="E591" s="277"/>
      <c r="F591" s="333">
        <f t="shared" si="508"/>
        <v>18062</v>
      </c>
      <c r="G591" s="278">
        <v>18000</v>
      </c>
      <c r="H591" s="278">
        <v>62</v>
      </c>
      <c r="I591" s="351" t="str">
        <f t="shared" si="515"/>
        <v>-</v>
      </c>
      <c r="J591" s="333">
        <f t="shared" si="509"/>
        <v>75669</v>
      </c>
      <c r="K591" s="278">
        <f t="shared" si="510"/>
        <v>75400</v>
      </c>
      <c r="L591" s="436">
        <f t="shared" si="511"/>
        <v>269</v>
      </c>
      <c r="M591" s="337" t="str">
        <f t="shared" si="512"/>
        <v>-</v>
      </c>
      <c r="N591" s="263">
        <f t="shared" si="507"/>
        <v>3.5549564550872879E-3</v>
      </c>
      <c r="O591" s="508">
        <v>12.029500000000001</v>
      </c>
      <c r="P591" s="404">
        <f t="shared" si="513"/>
        <v>216531</v>
      </c>
      <c r="Q591" s="449">
        <f t="shared" si="514"/>
        <v>907024.3</v>
      </c>
    </row>
    <row r="592" spans="1:17" ht="24" x14ac:dyDescent="0.25">
      <c r="A592" s="274" t="s">
        <v>103</v>
      </c>
      <c r="B592" s="438"/>
      <c r="C592" s="275"/>
      <c r="D592" s="276"/>
      <c r="E592" s="277"/>
      <c r="F592" s="333">
        <f t="shared" si="508"/>
        <v>0</v>
      </c>
      <c r="G592" s="278"/>
      <c r="H592" s="278"/>
      <c r="I592" s="351" t="str">
        <f t="shared" si="515"/>
        <v>-</v>
      </c>
      <c r="J592" s="333">
        <f t="shared" si="509"/>
        <v>0</v>
      </c>
      <c r="K592" s="278">
        <f t="shared" si="510"/>
        <v>0</v>
      </c>
      <c r="L592" s="436">
        <f t="shared" si="511"/>
        <v>0</v>
      </c>
      <c r="M592" s="337" t="str">
        <f t="shared" si="512"/>
        <v>-</v>
      </c>
      <c r="N592" s="263" t="str">
        <f t="shared" si="507"/>
        <v>-</v>
      </c>
      <c r="O592" s="508"/>
      <c r="P592" s="404">
        <f t="shared" si="513"/>
        <v>0</v>
      </c>
      <c r="Q592" s="449">
        <f t="shared" si="514"/>
        <v>0</v>
      </c>
    </row>
    <row r="593" spans="1:17" ht="24.75" thickBot="1" x14ac:dyDescent="0.3">
      <c r="A593" s="274" t="s">
        <v>103</v>
      </c>
      <c r="B593" s="451"/>
      <c r="C593" s="279"/>
      <c r="D593" s="280">
        <v>0</v>
      </c>
      <c r="E593" s="281"/>
      <c r="F593" s="334">
        <f t="shared" si="508"/>
        <v>0</v>
      </c>
      <c r="G593" s="282"/>
      <c r="H593" s="282"/>
      <c r="I593" s="351" t="str">
        <f t="shared" si="515"/>
        <v>-</v>
      </c>
      <c r="J593" s="460">
        <f t="shared" si="509"/>
        <v>0</v>
      </c>
      <c r="K593" s="461">
        <f t="shared" si="510"/>
        <v>0</v>
      </c>
      <c r="L593" s="462">
        <f t="shared" si="511"/>
        <v>0</v>
      </c>
      <c r="M593" s="338" t="str">
        <f t="shared" si="512"/>
        <v>-</v>
      </c>
      <c r="N593" s="347" t="str">
        <f t="shared" si="507"/>
        <v>-</v>
      </c>
      <c r="O593" s="509"/>
      <c r="P593" s="405">
        <f t="shared" si="513"/>
        <v>0</v>
      </c>
      <c r="Q593" s="450">
        <f t="shared" si="514"/>
        <v>0</v>
      </c>
    </row>
    <row r="594" spans="1:17" ht="23.25" customHeight="1" thickBot="1" x14ac:dyDescent="0.3">
      <c r="A594" s="274" t="s">
        <v>103</v>
      </c>
      <c r="B594" s="1028" t="s">
        <v>25</v>
      </c>
      <c r="C594" s="964"/>
      <c r="D594" s="320">
        <f t="shared" ref="D594" si="516">SUM(D587:D593)</f>
        <v>0</v>
      </c>
      <c r="E594" s="285">
        <v>100000</v>
      </c>
      <c r="F594" s="320">
        <f>SUM(F587:F593)</f>
        <v>18062</v>
      </c>
      <c r="G594" s="321">
        <f t="shared" ref="G594:H594" si="517">SUM(G587:G593)</f>
        <v>18000</v>
      </c>
      <c r="H594" s="321">
        <f t="shared" si="517"/>
        <v>62</v>
      </c>
      <c r="I594" s="345">
        <f>IFERROR(F594/E594,"-")</f>
        <v>0.18062</v>
      </c>
      <c r="J594" s="320">
        <f t="shared" ref="J594:L594" si="518">SUM(J587:J593)</f>
        <v>195669</v>
      </c>
      <c r="K594" s="321">
        <f t="shared" si="518"/>
        <v>195400</v>
      </c>
      <c r="L594" s="322">
        <f t="shared" si="518"/>
        <v>269</v>
      </c>
      <c r="M594" s="339" t="str">
        <f t="shared" si="512"/>
        <v>-</v>
      </c>
      <c r="N594" s="345">
        <f t="shared" si="507"/>
        <v>1.3747706586122483E-3</v>
      </c>
      <c r="O594" s="391"/>
      <c r="P594" s="406">
        <f t="shared" ref="P594:Q594" si="519">SUM(P587:P593)</f>
        <v>216531</v>
      </c>
      <c r="Q594" s="425">
        <f t="shared" si="519"/>
        <v>1060912.3</v>
      </c>
    </row>
    <row r="595" spans="1:17" ht="23.25" customHeight="1" thickBot="1" x14ac:dyDescent="0.3">
      <c r="A595" s="274" t="s">
        <v>103</v>
      </c>
      <c r="B595" s="1029" t="s">
        <v>172</v>
      </c>
      <c r="C595" s="1030"/>
      <c r="D595" s="326">
        <f>+D586+D594</f>
        <v>0</v>
      </c>
      <c r="E595" s="327">
        <f t="shared" ref="E595:H595" si="520">+E586+E594</f>
        <v>115000</v>
      </c>
      <c r="F595" s="512">
        <f t="shared" si="520"/>
        <v>142636</v>
      </c>
      <c r="G595" s="514">
        <f t="shared" si="520"/>
        <v>141250</v>
      </c>
      <c r="H595" s="514">
        <f t="shared" si="520"/>
        <v>1386</v>
      </c>
      <c r="I595" s="515">
        <f>IFERROR(F595/E595,"-")</f>
        <v>1.2403130434782608</v>
      </c>
      <c r="J595" s="326">
        <f t="shared" ref="J595:L595" si="521">+J586+J594</f>
        <v>1649201</v>
      </c>
      <c r="K595" s="324">
        <f t="shared" si="521"/>
        <v>1634450</v>
      </c>
      <c r="L595" s="325">
        <f t="shared" si="521"/>
        <v>14751</v>
      </c>
      <c r="M595" s="341" t="str">
        <f t="shared" si="512"/>
        <v>-</v>
      </c>
      <c r="N595" s="349">
        <f t="shared" si="507"/>
        <v>8.9443312246354455E-3</v>
      </c>
      <c r="O595" s="394"/>
      <c r="P595" s="410">
        <f t="shared" ref="P595:Q595" si="522">+P586+P594</f>
        <v>1048515.5250000001</v>
      </c>
      <c r="Q595" s="428">
        <f t="shared" si="522"/>
        <v>9024937.3600000013</v>
      </c>
    </row>
    <row r="596" spans="1:17" ht="24" x14ac:dyDescent="0.25">
      <c r="A596" s="244" t="s">
        <v>101</v>
      </c>
      <c r="B596" s="581"/>
      <c r="C596" s="582" t="s">
        <v>283</v>
      </c>
      <c r="D596" s="527"/>
      <c r="E596" s="459"/>
      <c r="F596" s="457">
        <f>+G596+H596</f>
        <v>0</v>
      </c>
      <c r="G596" s="458"/>
      <c r="H596" s="838"/>
      <c r="I596" s="531" t="str">
        <f>IFERROR(F596/E596,"-")</f>
        <v>-</v>
      </c>
      <c r="J596" s="644">
        <f>+K596+L596</f>
        <v>0</v>
      </c>
      <c r="K596" s="458">
        <f t="shared" ref="K596:K602" si="523">+G596+K533</f>
        <v>0</v>
      </c>
      <c r="L596" s="459">
        <f t="shared" ref="L596:L602" si="524">+H596+L533</f>
        <v>0</v>
      </c>
      <c r="M596" s="586" t="str">
        <f>IFERROR(J596/D596,"-")</f>
        <v>-</v>
      </c>
      <c r="N596" s="533" t="str">
        <f t="shared" si="507"/>
        <v>-</v>
      </c>
      <c r="O596" s="628">
        <v>4.8285999999999998</v>
      </c>
      <c r="P596" s="534">
        <f t="shared" ref="P596:P602" si="525">+O596*G596</f>
        <v>0</v>
      </c>
      <c r="Q596" s="535">
        <f t="shared" ref="Q596:Q602" si="526">+O596*K596</f>
        <v>0</v>
      </c>
    </row>
    <row r="597" spans="1:17" ht="24" x14ac:dyDescent="0.25">
      <c r="A597" s="248" t="s">
        <v>101</v>
      </c>
      <c r="B597" s="583"/>
      <c r="C597" s="275" t="s">
        <v>284</v>
      </c>
      <c r="D597" s="276"/>
      <c r="E597" s="436"/>
      <c r="F597" s="333">
        <f t="shared" ref="F597:F602" si="527">+G597+H597</f>
        <v>0</v>
      </c>
      <c r="G597" s="278"/>
      <c r="H597" s="277"/>
      <c r="I597" s="352" t="str">
        <f t="shared" ref="I597:I602" si="528">IFERROR(F597/E597,"-")</f>
        <v>-</v>
      </c>
      <c r="J597" s="874">
        <f t="shared" ref="J597:J602" si="529">+K597+L597</f>
        <v>0</v>
      </c>
      <c r="K597" s="278">
        <f t="shared" si="523"/>
        <v>0</v>
      </c>
      <c r="L597" s="436">
        <f t="shared" si="524"/>
        <v>0</v>
      </c>
      <c r="M597" s="337" t="str">
        <f t="shared" ref="M597:M602" si="530">IFERROR(J597/D597,"-")</f>
        <v>-</v>
      </c>
      <c r="N597" s="265" t="str">
        <f t="shared" si="507"/>
        <v>-</v>
      </c>
      <c r="O597" s="629">
        <v>1.4086000000000001</v>
      </c>
      <c r="P597" s="404">
        <f t="shared" si="525"/>
        <v>0</v>
      </c>
      <c r="Q597" s="449">
        <f t="shared" si="526"/>
        <v>0</v>
      </c>
    </row>
    <row r="598" spans="1:17" ht="24" x14ac:dyDescent="0.25">
      <c r="A598" s="248" t="s">
        <v>101</v>
      </c>
      <c r="B598" s="583"/>
      <c r="C598" s="275" t="s">
        <v>315</v>
      </c>
      <c r="D598" s="276"/>
      <c r="E598" s="436"/>
      <c r="F598" s="333">
        <f t="shared" si="527"/>
        <v>0</v>
      </c>
      <c r="G598" s="278"/>
      <c r="H598" s="277"/>
      <c r="I598" s="352" t="str">
        <f t="shared" si="528"/>
        <v>-</v>
      </c>
      <c r="J598" s="874">
        <f t="shared" si="529"/>
        <v>0</v>
      </c>
      <c r="K598" s="278">
        <f t="shared" si="523"/>
        <v>0</v>
      </c>
      <c r="L598" s="436">
        <f t="shared" si="524"/>
        <v>0</v>
      </c>
      <c r="M598" s="337" t="str">
        <f t="shared" si="530"/>
        <v>-</v>
      </c>
      <c r="N598" s="265" t="str">
        <f>IFERROR(L598/J598,"-")</f>
        <v>-</v>
      </c>
      <c r="O598" s="629">
        <v>2.2141000000000002</v>
      </c>
      <c r="P598" s="404">
        <f t="shared" si="525"/>
        <v>0</v>
      </c>
      <c r="Q598" s="449">
        <f t="shared" si="526"/>
        <v>0</v>
      </c>
    </row>
    <row r="599" spans="1:17" ht="24" x14ac:dyDescent="0.25">
      <c r="A599" s="248" t="s">
        <v>101</v>
      </c>
      <c r="B599" s="584"/>
      <c r="C599" s="275" t="s">
        <v>447</v>
      </c>
      <c r="D599" s="280"/>
      <c r="E599" s="528"/>
      <c r="F599" s="334">
        <f t="shared" si="527"/>
        <v>101137</v>
      </c>
      <c r="G599" s="282">
        <v>100000</v>
      </c>
      <c r="H599" s="281">
        <v>1137</v>
      </c>
      <c r="I599" s="352" t="str">
        <f t="shared" si="528"/>
        <v>-</v>
      </c>
      <c r="J599" s="874">
        <f t="shared" si="529"/>
        <v>447413</v>
      </c>
      <c r="K599" s="278">
        <f t="shared" si="523"/>
        <v>441000</v>
      </c>
      <c r="L599" s="436">
        <f t="shared" si="524"/>
        <v>6413</v>
      </c>
      <c r="M599" s="338" t="str">
        <f t="shared" si="530"/>
        <v>-</v>
      </c>
      <c r="N599" s="344">
        <f t="shared" ref="N599:N606" si="531">IFERROR(L599/J599,"-")</f>
        <v>1.4333512884069081E-2</v>
      </c>
      <c r="O599" s="629">
        <v>2.2141000000000002</v>
      </c>
      <c r="P599" s="405">
        <f t="shared" si="525"/>
        <v>221410.00000000003</v>
      </c>
      <c r="Q599" s="450">
        <f t="shared" si="526"/>
        <v>976418.10000000009</v>
      </c>
    </row>
    <row r="600" spans="1:17" ht="24" x14ac:dyDescent="0.25">
      <c r="A600" s="248" t="s">
        <v>101</v>
      </c>
      <c r="B600" s="440"/>
      <c r="C600" s="627" t="s">
        <v>353</v>
      </c>
      <c r="D600" s="510"/>
      <c r="E600" s="529"/>
      <c r="F600" s="333">
        <f t="shared" si="527"/>
        <v>0</v>
      </c>
      <c r="G600" s="547"/>
      <c r="H600" s="873"/>
      <c r="I600" s="352" t="str">
        <f t="shared" si="528"/>
        <v>-</v>
      </c>
      <c r="J600" s="874">
        <f t="shared" si="529"/>
        <v>0</v>
      </c>
      <c r="K600" s="278">
        <f t="shared" si="523"/>
        <v>0</v>
      </c>
      <c r="L600" s="436">
        <f t="shared" si="524"/>
        <v>0</v>
      </c>
      <c r="M600" s="338" t="str">
        <f t="shared" si="530"/>
        <v>-</v>
      </c>
      <c r="N600" s="265" t="str">
        <f t="shared" si="531"/>
        <v>-</v>
      </c>
      <c r="O600" s="540">
        <v>4.8285999999999998</v>
      </c>
      <c r="P600" s="404">
        <f t="shared" si="525"/>
        <v>0</v>
      </c>
      <c r="Q600" s="449">
        <f t="shared" si="526"/>
        <v>0</v>
      </c>
    </row>
    <row r="601" spans="1:17" ht="24" x14ac:dyDescent="0.25">
      <c r="A601" s="248" t="s">
        <v>101</v>
      </c>
      <c r="B601" s="585"/>
      <c r="C601" s="627" t="s">
        <v>349</v>
      </c>
      <c r="D601" s="270"/>
      <c r="E601" s="435"/>
      <c r="F601" s="332">
        <f t="shared" si="527"/>
        <v>0</v>
      </c>
      <c r="G601" s="272"/>
      <c r="H601" s="271"/>
      <c r="I601" s="352" t="str">
        <f t="shared" si="528"/>
        <v>-</v>
      </c>
      <c r="J601" s="874">
        <f t="shared" si="529"/>
        <v>17157</v>
      </c>
      <c r="K601" s="278">
        <f t="shared" si="523"/>
        <v>16250</v>
      </c>
      <c r="L601" s="436">
        <f t="shared" si="524"/>
        <v>907</v>
      </c>
      <c r="M601" s="336" t="str">
        <f t="shared" si="530"/>
        <v>-</v>
      </c>
      <c r="N601" s="346">
        <f t="shared" si="531"/>
        <v>5.2864719939383339E-2</v>
      </c>
      <c r="O601" s="507">
        <v>4.1712999999999996</v>
      </c>
      <c r="P601" s="402">
        <f t="shared" si="525"/>
        <v>0</v>
      </c>
      <c r="Q601" s="447">
        <f t="shared" si="526"/>
        <v>67783.625</v>
      </c>
    </row>
    <row r="602" spans="1:17" ht="24.75" thickBot="1" x14ac:dyDescent="0.3">
      <c r="A602" s="248" t="s">
        <v>101</v>
      </c>
      <c r="B602" s="583"/>
      <c r="C602" s="275"/>
      <c r="D602" s="276"/>
      <c r="E602" s="436"/>
      <c r="F602" s="460">
        <f t="shared" si="527"/>
        <v>0</v>
      </c>
      <c r="G602" s="461"/>
      <c r="H602" s="839"/>
      <c r="I602" s="532" t="str">
        <f t="shared" si="528"/>
        <v>-</v>
      </c>
      <c r="J602" s="875">
        <f t="shared" si="529"/>
        <v>0</v>
      </c>
      <c r="K602" s="461">
        <f t="shared" si="523"/>
        <v>0</v>
      </c>
      <c r="L602" s="462">
        <f t="shared" si="524"/>
        <v>0</v>
      </c>
      <c r="M602" s="337" t="str">
        <f t="shared" si="530"/>
        <v>-</v>
      </c>
      <c r="N602" s="263" t="str">
        <f t="shared" si="531"/>
        <v>-</v>
      </c>
      <c r="O602" s="448"/>
      <c r="P602" s="404">
        <f t="shared" si="525"/>
        <v>0</v>
      </c>
      <c r="Q602" s="449">
        <f t="shared" si="526"/>
        <v>0</v>
      </c>
    </row>
    <row r="603" spans="1:17" ht="23.25" customHeight="1" thickBot="1" x14ac:dyDescent="0.3">
      <c r="A603" s="274" t="s">
        <v>101</v>
      </c>
      <c r="B603" s="1028" t="s">
        <v>21</v>
      </c>
      <c r="C603" s="964"/>
      <c r="D603" s="320">
        <v>0</v>
      </c>
      <c r="E603" s="285">
        <v>15000</v>
      </c>
      <c r="F603" s="513">
        <f>SUM(F596:F602)</f>
        <v>101137</v>
      </c>
      <c r="G603" s="519">
        <f t="shared" ref="G603:H603" si="532">SUM(G596:G602)</f>
        <v>100000</v>
      </c>
      <c r="H603" s="519">
        <f t="shared" si="532"/>
        <v>1137</v>
      </c>
      <c r="I603" s="520">
        <f>IFERROR(F603/E603,"-")</f>
        <v>6.7424666666666671</v>
      </c>
      <c r="J603" s="513">
        <f t="shared" ref="J603" si="533">SUM(J596:J602)</f>
        <v>464570</v>
      </c>
      <c r="K603" s="519">
        <f>SUM(K596:K602)</f>
        <v>457250</v>
      </c>
      <c r="L603" s="519">
        <f>SUM(L596:L602)</f>
        <v>7320</v>
      </c>
      <c r="M603" s="339" t="str">
        <f>IFERROR(J603/D603,"-")</f>
        <v>-</v>
      </c>
      <c r="N603" s="345">
        <f t="shared" si="531"/>
        <v>1.5756506016316164E-2</v>
      </c>
      <c r="O603" s="391"/>
      <c r="P603" s="406">
        <f>SUM(P596:P602)</f>
        <v>221410.00000000003</v>
      </c>
      <c r="Q603" s="425">
        <f>SUM(Q596:Q602)</f>
        <v>1044201.7250000001</v>
      </c>
    </row>
    <row r="604" spans="1:17" ht="23.25" customHeight="1" thickBot="1" x14ac:dyDescent="0.3">
      <c r="A604" s="274" t="s">
        <v>101</v>
      </c>
      <c r="B604" s="1029" t="s">
        <v>248</v>
      </c>
      <c r="C604" s="1030"/>
      <c r="D604" s="512">
        <f>+D600+D603</f>
        <v>0</v>
      </c>
      <c r="E604" s="525">
        <f>+E600+E603</f>
        <v>15000</v>
      </c>
      <c r="F604" s="512">
        <f>+F600+F603</f>
        <v>101137</v>
      </c>
      <c r="G604" s="514">
        <f>+G600+G603</f>
        <v>100000</v>
      </c>
      <c r="H604" s="514">
        <f>+H600+H603</f>
        <v>1137</v>
      </c>
      <c r="I604" s="515">
        <f>IFERROR(F604/E604,"-")</f>
        <v>6.7424666666666671</v>
      </c>
      <c r="J604" s="512">
        <f>+J600+J603</f>
        <v>464570</v>
      </c>
      <c r="K604" s="514">
        <f>+K603</f>
        <v>457250</v>
      </c>
      <c r="L604" s="514">
        <f>+L603</f>
        <v>7320</v>
      </c>
      <c r="M604" s="516" t="str">
        <f t="shared" ref="M604" si="534">IFERROR(J604/D604,"-")</f>
        <v>-</v>
      </c>
      <c r="N604" s="515">
        <f t="shared" si="531"/>
        <v>1.5756506016316164E-2</v>
      </c>
      <c r="O604" s="517"/>
      <c r="P604" s="518">
        <f>+P603</f>
        <v>221410.00000000003</v>
      </c>
      <c r="Q604" s="518">
        <f>+Q603</f>
        <v>1044201.7250000001</v>
      </c>
    </row>
    <row r="605" spans="1:17" ht="24" x14ac:dyDescent="0.35">
      <c r="A605" s="244" t="s">
        <v>101</v>
      </c>
      <c r="B605" s="1025" t="s">
        <v>250</v>
      </c>
      <c r="C605" s="542" t="s">
        <v>71</v>
      </c>
      <c r="D605" s="527"/>
      <c r="E605" s="459"/>
      <c r="F605" s="694">
        <f>+G605+H605</f>
        <v>3070</v>
      </c>
      <c r="G605" s="527">
        <v>3000</v>
      </c>
      <c r="H605" s="458">
        <v>70</v>
      </c>
      <c r="I605" s="531" t="str">
        <f>IFERROR(F605/E605,"-")</f>
        <v>-</v>
      </c>
      <c r="J605" s="644">
        <f>+K605+L605</f>
        <v>11170</v>
      </c>
      <c r="K605" s="458">
        <f t="shared" ref="K605:K636" si="535">+G605+K542</f>
        <v>11000</v>
      </c>
      <c r="L605" s="459">
        <f t="shared" ref="L605:L636" si="536">+H605+L542</f>
        <v>170</v>
      </c>
      <c r="M605" s="586" t="str">
        <f>IFERROR(J605/D605,"-")</f>
        <v>-</v>
      </c>
      <c r="N605" s="533">
        <f t="shared" si="531"/>
        <v>1.521933751119069E-2</v>
      </c>
      <c r="O605" s="538">
        <v>32.946300000000001</v>
      </c>
      <c r="P605" s="534">
        <f t="shared" ref="P605:P636" si="537">+O605*G605</f>
        <v>98838.900000000009</v>
      </c>
      <c r="Q605" s="535">
        <f t="shared" ref="Q605:Q636" si="538">+O605*K605</f>
        <v>362409.3</v>
      </c>
    </row>
    <row r="606" spans="1:17" ht="24" x14ac:dyDescent="0.35">
      <c r="A606" s="248" t="s">
        <v>101</v>
      </c>
      <c r="B606" s="1026"/>
      <c r="C606" s="543" t="s">
        <v>72</v>
      </c>
      <c r="D606" s="511"/>
      <c r="E606" s="436"/>
      <c r="F606" s="690">
        <f t="shared" ref="F606:F636" si="539">+G606+H606</f>
        <v>0</v>
      </c>
      <c r="G606" s="276"/>
      <c r="H606" s="278"/>
      <c r="I606" s="352" t="str">
        <f t="shared" ref="I606:I636" si="540">IFERROR(F606/E606,"-")</f>
        <v>-</v>
      </c>
      <c r="J606" s="874">
        <f t="shared" ref="J606:J636" si="541">+K606+L606</f>
        <v>10595</v>
      </c>
      <c r="K606" s="278">
        <f t="shared" si="535"/>
        <v>10500</v>
      </c>
      <c r="L606" s="436">
        <f t="shared" si="536"/>
        <v>95</v>
      </c>
      <c r="M606" s="337" t="str">
        <f t="shared" ref="M606:M639" si="542">IFERROR(J606/D606,"-")</f>
        <v>-</v>
      </c>
      <c r="N606" s="265">
        <f t="shared" si="531"/>
        <v>8.9664936290703157E-3</v>
      </c>
      <c r="O606" s="508">
        <v>35.398400000000002</v>
      </c>
      <c r="P606" s="404">
        <f t="shared" si="537"/>
        <v>0</v>
      </c>
      <c r="Q606" s="449">
        <f t="shared" si="538"/>
        <v>371683.2</v>
      </c>
    </row>
    <row r="607" spans="1:17" ht="24.75" thickBot="1" x14ac:dyDescent="0.4">
      <c r="A607" s="248" t="s">
        <v>101</v>
      </c>
      <c r="B607" s="1027"/>
      <c r="C607" s="543" t="s">
        <v>455</v>
      </c>
      <c r="D607" s="276"/>
      <c r="E607" s="436"/>
      <c r="F607" s="690">
        <f t="shared" si="539"/>
        <v>0</v>
      </c>
      <c r="G607" s="276"/>
      <c r="H607" s="278"/>
      <c r="I607" s="352" t="str">
        <f t="shared" si="540"/>
        <v>-</v>
      </c>
      <c r="J607" s="874">
        <f t="shared" si="541"/>
        <v>10147</v>
      </c>
      <c r="K607" s="278">
        <f t="shared" si="535"/>
        <v>9900</v>
      </c>
      <c r="L607" s="436">
        <f t="shared" si="536"/>
        <v>247</v>
      </c>
      <c r="M607" s="337" t="str">
        <f t="shared" si="542"/>
        <v>-</v>
      </c>
      <c r="N607" s="265">
        <f>IFERROR(L607/J607,"-")</f>
        <v>2.4342170099536809E-2</v>
      </c>
      <c r="O607" s="508">
        <v>35.398400000000002</v>
      </c>
      <c r="P607" s="404">
        <f t="shared" si="537"/>
        <v>0</v>
      </c>
      <c r="Q607" s="449">
        <f t="shared" si="538"/>
        <v>350444.16000000003</v>
      </c>
    </row>
    <row r="608" spans="1:17" ht="24" x14ac:dyDescent="0.35">
      <c r="A608" s="248" t="s">
        <v>101</v>
      </c>
      <c r="B608" s="1025" t="s">
        <v>251</v>
      </c>
      <c r="C608" s="545" t="s">
        <v>75</v>
      </c>
      <c r="D608" s="276"/>
      <c r="E608" s="528"/>
      <c r="F608" s="696">
        <f t="shared" si="539"/>
        <v>1415</v>
      </c>
      <c r="G608" s="276">
        <v>1400</v>
      </c>
      <c r="H608" s="278">
        <v>15</v>
      </c>
      <c r="I608" s="352" t="str">
        <f t="shared" si="540"/>
        <v>-</v>
      </c>
      <c r="J608" s="874">
        <f t="shared" si="541"/>
        <v>24727</v>
      </c>
      <c r="K608" s="278">
        <f t="shared" si="535"/>
        <v>24083</v>
      </c>
      <c r="L608" s="436">
        <f t="shared" si="536"/>
        <v>644</v>
      </c>
      <c r="M608" s="337" t="str">
        <f t="shared" si="542"/>
        <v>-</v>
      </c>
      <c r="N608" s="265">
        <f t="shared" ref="N608:N610" si="543">IFERROR(L608/J608,"-")</f>
        <v>2.604440490152465E-2</v>
      </c>
      <c r="O608" s="508">
        <v>55.4758</v>
      </c>
      <c r="P608" s="404">
        <f t="shared" si="537"/>
        <v>77666.12</v>
      </c>
      <c r="Q608" s="449">
        <f t="shared" si="538"/>
        <v>1336023.6913999999</v>
      </c>
    </row>
    <row r="609" spans="1:17" ht="24" x14ac:dyDescent="0.35">
      <c r="A609" s="248" t="s">
        <v>101</v>
      </c>
      <c r="B609" s="1026"/>
      <c r="C609" s="545" t="s">
        <v>72</v>
      </c>
      <c r="D609" s="276"/>
      <c r="E609" s="529"/>
      <c r="F609" s="696">
        <f t="shared" si="539"/>
        <v>0</v>
      </c>
      <c r="G609" s="276"/>
      <c r="H609" s="278"/>
      <c r="I609" s="352" t="str">
        <f t="shared" si="540"/>
        <v>-</v>
      </c>
      <c r="J609" s="874">
        <f t="shared" si="541"/>
        <v>0</v>
      </c>
      <c r="K609" s="278">
        <f t="shared" si="535"/>
        <v>0</v>
      </c>
      <c r="L609" s="436">
        <f t="shared" si="536"/>
        <v>0</v>
      </c>
      <c r="M609" s="337" t="str">
        <f t="shared" si="542"/>
        <v>-</v>
      </c>
      <c r="N609" s="265" t="str">
        <f t="shared" si="543"/>
        <v>-</v>
      </c>
      <c r="O609" s="540">
        <v>58.836300000000001</v>
      </c>
      <c r="P609" s="404">
        <f t="shared" si="537"/>
        <v>0</v>
      </c>
      <c r="Q609" s="449">
        <f t="shared" si="538"/>
        <v>0</v>
      </c>
    </row>
    <row r="610" spans="1:17" ht="24" x14ac:dyDescent="0.35">
      <c r="A610" s="248" t="s">
        <v>101</v>
      </c>
      <c r="B610" s="1026"/>
      <c r="C610" s="545" t="s">
        <v>347</v>
      </c>
      <c r="D610" s="276"/>
      <c r="E610" s="435"/>
      <c r="F610" s="696">
        <f t="shared" si="539"/>
        <v>0</v>
      </c>
      <c r="G610" s="276"/>
      <c r="H610" s="278"/>
      <c r="I610" s="352" t="str">
        <f t="shared" si="540"/>
        <v>-</v>
      </c>
      <c r="J610" s="874">
        <f t="shared" si="541"/>
        <v>2745</v>
      </c>
      <c r="K610" s="278">
        <f t="shared" si="535"/>
        <v>2305</v>
      </c>
      <c r="L610" s="436">
        <f t="shared" si="536"/>
        <v>440</v>
      </c>
      <c r="M610" s="337" t="str">
        <f t="shared" si="542"/>
        <v>-</v>
      </c>
      <c r="N610" s="263">
        <f t="shared" si="543"/>
        <v>0.16029143897996356</v>
      </c>
      <c r="O610" s="710">
        <v>58.836300000000001</v>
      </c>
      <c r="P610" s="404">
        <f t="shared" si="537"/>
        <v>0</v>
      </c>
      <c r="Q610" s="449">
        <f t="shared" si="538"/>
        <v>135617.6715</v>
      </c>
    </row>
    <row r="611" spans="1:17" ht="24.75" thickBot="1" x14ac:dyDescent="0.4">
      <c r="A611" s="248"/>
      <c r="B611" s="1027"/>
      <c r="C611" s="545" t="s">
        <v>361</v>
      </c>
      <c r="D611" s="276"/>
      <c r="E611" s="435"/>
      <c r="F611" s="696">
        <f t="shared" si="539"/>
        <v>0</v>
      </c>
      <c r="G611" s="276"/>
      <c r="H611" s="278"/>
      <c r="I611" s="352" t="str">
        <f t="shared" si="540"/>
        <v>-</v>
      </c>
      <c r="J611" s="874">
        <f t="shared" si="541"/>
        <v>0</v>
      </c>
      <c r="K611" s="278">
        <f t="shared" si="535"/>
        <v>0</v>
      </c>
      <c r="L611" s="436">
        <f t="shared" si="536"/>
        <v>0</v>
      </c>
      <c r="M611" s="337" t="str">
        <f t="shared" si="542"/>
        <v>-</v>
      </c>
      <c r="N611" s="263" t="str">
        <f>IFERROR(L611/J611,"-")</f>
        <v>-</v>
      </c>
      <c r="O611" s="508">
        <v>55.4758</v>
      </c>
      <c r="P611" s="404">
        <f t="shared" si="537"/>
        <v>0</v>
      </c>
      <c r="Q611" s="449">
        <f t="shared" si="538"/>
        <v>0</v>
      </c>
    </row>
    <row r="612" spans="1:17" ht="24" x14ac:dyDescent="0.35">
      <c r="A612" s="248" t="s">
        <v>101</v>
      </c>
      <c r="B612" s="1025" t="s">
        <v>409</v>
      </c>
      <c r="C612" s="543" t="s">
        <v>77</v>
      </c>
      <c r="D612" s="276"/>
      <c r="E612" s="436"/>
      <c r="F612" s="690">
        <f t="shared" si="539"/>
        <v>4563</v>
      </c>
      <c r="G612" s="276">
        <v>4460</v>
      </c>
      <c r="H612" s="278">
        <v>103</v>
      </c>
      <c r="I612" s="352" t="str">
        <f t="shared" si="540"/>
        <v>-</v>
      </c>
      <c r="J612" s="874">
        <f t="shared" si="541"/>
        <v>24300</v>
      </c>
      <c r="K612" s="719">
        <f t="shared" si="535"/>
        <v>23960</v>
      </c>
      <c r="L612" s="815">
        <f t="shared" si="536"/>
        <v>340</v>
      </c>
      <c r="M612" s="337" t="str">
        <f t="shared" si="542"/>
        <v>-</v>
      </c>
      <c r="N612" s="263">
        <f t="shared" ref="N612:N638" si="544">IFERROR(L612/J612,"-")</f>
        <v>1.3991769547325103E-2</v>
      </c>
      <c r="O612" s="508">
        <v>25.687200000000001</v>
      </c>
      <c r="P612" s="404">
        <f t="shared" si="537"/>
        <v>114564.912</v>
      </c>
      <c r="Q612" s="449">
        <f t="shared" si="538"/>
        <v>615465.31200000003</v>
      </c>
    </row>
    <row r="613" spans="1:17" ht="24.75" thickBot="1" x14ac:dyDescent="0.4">
      <c r="A613" s="248" t="s">
        <v>101</v>
      </c>
      <c r="B613" s="1027"/>
      <c r="C613" s="543" t="s">
        <v>117</v>
      </c>
      <c r="D613" s="276"/>
      <c r="E613" s="436"/>
      <c r="F613" s="690">
        <f t="shared" si="539"/>
        <v>0</v>
      </c>
      <c r="G613" s="276"/>
      <c r="H613" s="278"/>
      <c r="I613" s="352" t="str">
        <f t="shared" si="540"/>
        <v>-</v>
      </c>
      <c r="J613" s="874">
        <f t="shared" si="541"/>
        <v>0</v>
      </c>
      <c r="K613" s="278">
        <f t="shared" si="535"/>
        <v>0</v>
      </c>
      <c r="L613" s="436">
        <f t="shared" si="536"/>
        <v>0</v>
      </c>
      <c r="M613" s="337" t="str">
        <f t="shared" si="542"/>
        <v>-</v>
      </c>
      <c r="N613" s="263" t="str">
        <f t="shared" si="544"/>
        <v>-</v>
      </c>
      <c r="O613" s="508">
        <v>25.033899999999999</v>
      </c>
      <c r="P613" s="404">
        <f t="shared" si="537"/>
        <v>0</v>
      </c>
      <c r="Q613" s="449">
        <f t="shared" si="538"/>
        <v>0</v>
      </c>
    </row>
    <row r="614" spans="1:17" ht="24" x14ac:dyDescent="0.35">
      <c r="A614" s="248"/>
      <c r="B614" s="1025" t="s">
        <v>410</v>
      </c>
      <c r="C614" s="543" t="s">
        <v>79</v>
      </c>
      <c r="D614" s="276"/>
      <c r="E614" s="436"/>
      <c r="F614" s="690">
        <f t="shared" si="539"/>
        <v>3415</v>
      </c>
      <c r="G614" s="276">
        <v>3390</v>
      </c>
      <c r="H614" s="278">
        <v>25</v>
      </c>
      <c r="I614" s="352" t="str">
        <f t="shared" si="540"/>
        <v>-</v>
      </c>
      <c r="J614" s="874">
        <f t="shared" si="541"/>
        <v>12864</v>
      </c>
      <c r="K614" s="278">
        <f t="shared" si="535"/>
        <v>12690</v>
      </c>
      <c r="L614" s="436">
        <f t="shared" si="536"/>
        <v>174</v>
      </c>
      <c r="M614" s="337" t="str">
        <f t="shared" si="542"/>
        <v>-</v>
      </c>
      <c r="N614" s="263">
        <f t="shared" si="544"/>
        <v>1.3526119402985074E-2</v>
      </c>
      <c r="O614" s="508">
        <v>41.992699999999999</v>
      </c>
      <c r="P614" s="404">
        <f t="shared" si="537"/>
        <v>142355.253</v>
      </c>
      <c r="Q614" s="449">
        <f t="shared" si="538"/>
        <v>532887.36300000001</v>
      </c>
    </row>
    <row r="615" spans="1:17" ht="24" x14ac:dyDescent="0.35">
      <c r="A615" s="248"/>
      <c r="B615" s="1026"/>
      <c r="C615" s="543" t="s">
        <v>72</v>
      </c>
      <c r="D615" s="276"/>
      <c r="E615" s="436"/>
      <c r="F615" s="690">
        <f t="shared" si="539"/>
        <v>0</v>
      </c>
      <c r="G615" s="276"/>
      <c r="H615" s="278"/>
      <c r="I615" s="352" t="str">
        <f t="shared" si="540"/>
        <v>-</v>
      </c>
      <c r="J615" s="874">
        <f t="shared" si="541"/>
        <v>0</v>
      </c>
      <c r="K615" s="278">
        <f t="shared" si="535"/>
        <v>0</v>
      </c>
      <c r="L615" s="436">
        <f t="shared" si="536"/>
        <v>0</v>
      </c>
      <c r="M615" s="337" t="str">
        <f t="shared" si="542"/>
        <v>-</v>
      </c>
      <c r="N615" s="263" t="str">
        <f t="shared" si="544"/>
        <v>-</v>
      </c>
      <c r="O615" s="508">
        <v>42.283799999999999</v>
      </c>
      <c r="P615" s="404">
        <f t="shared" si="537"/>
        <v>0</v>
      </c>
      <c r="Q615" s="449">
        <f t="shared" si="538"/>
        <v>0</v>
      </c>
    </row>
    <row r="616" spans="1:17" ht="24" x14ac:dyDescent="0.35">
      <c r="A616" s="248"/>
      <c r="B616" s="1026"/>
      <c r="C616" s="543" t="s">
        <v>380</v>
      </c>
      <c r="D616" s="276"/>
      <c r="E616" s="436"/>
      <c r="F616" s="690">
        <f t="shared" si="539"/>
        <v>0</v>
      </c>
      <c r="G616" s="276"/>
      <c r="H616" s="278"/>
      <c r="I616" s="352" t="str">
        <f t="shared" si="540"/>
        <v>-</v>
      </c>
      <c r="J616" s="874">
        <f t="shared" si="541"/>
        <v>0</v>
      </c>
      <c r="K616" s="278">
        <f t="shared" si="535"/>
        <v>0</v>
      </c>
      <c r="L616" s="436">
        <f t="shared" si="536"/>
        <v>0</v>
      </c>
      <c r="M616" s="337" t="str">
        <f t="shared" si="542"/>
        <v>-</v>
      </c>
      <c r="N616" s="263" t="str">
        <f t="shared" si="544"/>
        <v>-</v>
      </c>
      <c r="O616" s="710">
        <v>41.992699999999999</v>
      </c>
      <c r="P616" s="404">
        <f t="shared" si="537"/>
        <v>0</v>
      </c>
      <c r="Q616" s="449">
        <f t="shared" si="538"/>
        <v>0</v>
      </c>
    </row>
    <row r="617" spans="1:17" ht="24.75" thickBot="1" x14ac:dyDescent="0.4">
      <c r="A617" s="248"/>
      <c r="B617" s="1027"/>
      <c r="C617" s="543" t="s">
        <v>381</v>
      </c>
      <c r="D617" s="276"/>
      <c r="E617" s="436"/>
      <c r="F617" s="690">
        <f t="shared" si="539"/>
        <v>0</v>
      </c>
      <c r="G617" s="276"/>
      <c r="H617" s="278"/>
      <c r="I617" s="352" t="str">
        <f t="shared" si="540"/>
        <v>-</v>
      </c>
      <c r="J617" s="874">
        <f t="shared" si="541"/>
        <v>0</v>
      </c>
      <c r="K617" s="278">
        <f t="shared" si="535"/>
        <v>0</v>
      </c>
      <c r="L617" s="436">
        <f t="shared" si="536"/>
        <v>0</v>
      </c>
      <c r="M617" s="337" t="str">
        <f t="shared" si="542"/>
        <v>-</v>
      </c>
      <c r="N617" s="263" t="str">
        <f t="shared" si="544"/>
        <v>-</v>
      </c>
      <c r="O617" s="710">
        <v>42.283799999999999</v>
      </c>
      <c r="P617" s="404">
        <f t="shared" si="537"/>
        <v>0</v>
      </c>
      <c r="Q617" s="449">
        <f t="shared" si="538"/>
        <v>0</v>
      </c>
    </row>
    <row r="618" spans="1:17" ht="24.75" thickBot="1" x14ac:dyDescent="0.4">
      <c r="A618" s="248"/>
      <c r="B618" s="717" t="s">
        <v>80</v>
      </c>
      <c r="C618" s="543" t="s">
        <v>81</v>
      </c>
      <c r="D618" s="276"/>
      <c r="E618" s="436"/>
      <c r="F618" s="690">
        <f t="shared" si="539"/>
        <v>3610</v>
      </c>
      <c r="G618" s="276">
        <v>3500</v>
      </c>
      <c r="H618" s="278">
        <v>110</v>
      </c>
      <c r="I618" s="352" t="str">
        <f t="shared" si="540"/>
        <v>-</v>
      </c>
      <c r="J618" s="874">
        <f t="shared" si="541"/>
        <v>23163</v>
      </c>
      <c r="K618" s="278">
        <f t="shared" si="535"/>
        <v>22200</v>
      </c>
      <c r="L618" s="687">
        <f t="shared" si="536"/>
        <v>963</v>
      </c>
      <c r="M618" s="337" t="str">
        <f t="shared" si="542"/>
        <v>-</v>
      </c>
      <c r="N618" s="263">
        <f t="shared" si="544"/>
        <v>4.1574925527781373E-2</v>
      </c>
      <c r="O618" s="508">
        <v>4.3535000000000004</v>
      </c>
      <c r="P618" s="404">
        <f t="shared" si="537"/>
        <v>15237.250000000002</v>
      </c>
      <c r="Q618" s="449">
        <f t="shared" si="538"/>
        <v>96647.700000000012</v>
      </c>
    </row>
    <row r="619" spans="1:17" ht="24" x14ac:dyDescent="0.35">
      <c r="A619" s="248"/>
      <c r="B619" s="1025" t="s">
        <v>253</v>
      </c>
      <c r="C619" s="543" t="s">
        <v>77</v>
      </c>
      <c r="D619" s="276"/>
      <c r="E619" s="436"/>
      <c r="F619" s="690">
        <f t="shared" si="539"/>
        <v>39728</v>
      </c>
      <c r="G619" s="276">
        <v>39600</v>
      </c>
      <c r="H619" s="278">
        <v>128</v>
      </c>
      <c r="I619" s="352" t="str">
        <f t="shared" si="540"/>
        <v>-</v>
      </c>
      <c r="J619" s="874">
        <f t="shared" si="541"/>
        <v>418982</v>
      </c>
      <c r="K619" s="278">
        <f t="shared" si="535"/>
        <v>416900</v>
      </c>
      <c r="L619" s="436">
        <f t="shared" si="536"/>
        <v>2082</v>
      </c>
      <c r="M619" s="337" t="str">
        <f t="shared" si="542"/>
        <v>-</v>
      </c>
      <c r="N619" s="263">
        <f t="shared" si="544"/>
        <v>4.9691872204533846E-3</v>
      </c>
      <c r="O619" s="508">
        <v>4.6184000000000003</v>
      </c>
      <c r="P619" s="404">
        <f t="shared" si="537"/>
        <v>182888.64</v>
      </c>
      <c r="Q619" s="449">
        <f t="shared" si="538"/>
        <v>1925410.9600000002</v>
      </c>
    </row>
    <row r="620" spans="1:17" ht="24" x14ac:dyDescent="0.35">
      <c r="A620" s="248"/>
      <c r="B620" s="1026"/>
      <c r="C620" s="543" t="s">
        <v>340</v>
      </c>
      <c r="D620" s="276"/>
      <c r="E620" s="436"/>
      <c r="F620" s="690">
        <f t="shared" si="539"/>
        <v>0</v>
      </c>
      <c r="G620" s="276"/>
      <c r="H620" s="278"/>
      <c r="I620" s="352" t="str">
        <f t="shared" si="540"/>
        <v>-</v>
      </c>
      <c r="J620" s="874">
        <f t="shared" si="541"/>
        <v>0</v>
      </c>
      <c r="K620" s="278">
        <f t="shared" si="535"/>
        <v>0</v>
      </c>
      <c r="L620" s="436">
        <f t="shared" si="536"/>
        <v>0</v>
      </c>
      <c r="M620" s="337" t="str">
        <f t="shared" si="542"/>
        <v>-</v>
      </c>
      <c r="N620" s="263" t="str">
        <f t="shared" si="544"/>
        <v>-</v>
      </c>
      <c r="O620" s="508">
        <v>4.6184000000000003</v>
      </c>
      <c r="P620" s="404">
        <f t="shared" si="537"/>
        <v>0</v>
      </c>
      <c r="Q620" s="449">
        <f t="shared" si="538"/>
        <v>0</v>
      </c>
    </row>
    <row r="621" spans="1:17" ht="24" x14ac:dyDescent="0.35">
      <c r="A621" s="248"/>
      <c r="B621" s="1026"/>
      <c r="C621" s="543" t="s">
        <v>252</v>
      </c>
      <c r="D621" s="276"/>
      <c r="E621" s="436"/>
      <c r="F621" s="690">
        <f t="shared" si="539"/>
        <v>0</v>
      </c>
      <c r="G621" s="276"/>
      <c r="H621" s="278"/>
      <c r="I621" s="352" t="str">
        <f t="shared" si="540"/>
        <v>-</v>
      </c>
      <c r="J621" s="874">
        <f t="shared" si="541"/>
        <v>0</v>
      </c>
      <c r="K621" s="278">
        <f t="shared" si="535"/>
        <v>0</v>
      </c>
      <c r="L621" s="436">
        <f t="shared" si="536"/>
        <v>0</v>
      </c>
      <c r="M621" s="337" t="str">
        <f t="shared" si="542"/>
        <v>-</v>
      </c>
      <c r="N621" s="263" t="str">
        <f t="shared" si="544"/>
        <v>-</v>
      </c>
      <c r="O621" s="508">
        <v>4.6184000000000003</v>
      </c>
      <c r="P621" s="404">
        <f t="shared" si="537"/>
        <v>0</v>
      </c>
      <c r="Q621" s="449">
        <f t="shared" si="538"/>
        <v>0</v>
      </c>
    </row>
    <row r="622" spans="1:17" ht="24" x14ac:dyDescent="0.35">
      <c r="A622" s="248"/>
      <c r="B622" s="1026"/>
      <c r="C622" s="543" t="s">
        <v>350</v>
      </c>
      <c r="D622" s="276"/>
      <c r="E622" s="436"/>
      <c r="F622" s="690">
        <f t="shared" si="539"/>
        <v>0</v>
      </c>
      <c r="G622" s="276"/>
      <c r="H622" s="278"/>
      <c r="I622" s="352" t="str">
        <f t="shared" si="540"/>
        <v>-</v>
      </c>
      <c r="J622" s="874">
        <f t="shared" si="541"/>
        <v>0</v>
      </c>
      <c r="K622" s="686">
        <f t="shared" si="535"/>
        <v>0</v>
      </c>
      <c r="L622" s="687">
        <f t="shared" si="536"/>
        <v>0</v>
      </c>
      <c r="M622" s="337" t="str">
        <f t="shared" si="542"/>
        <v>-</v>
      </c>
      <c r="N622" s="263" t="str">
        <f t="shared" si="544"/>
        <v>-</v>
      </c>
      <c r="O622" s="508">
        <v>4.7636000000000003</v>
      </c>
      <c r="P622" s="404">
        <f t="shared" si="537"/>
        <v>0</v>
      </c>
      <c r="Q622" s="449">
        <f t="shared" si="538"/>
        <v>0</v>
      </c>
    </row>
    <row r="623" spans="1:17" ht="24.75" thickBot="1" x14ac:dyDescent="0.4">
      <c r="A623" s="248"/>
      <c r="B623" s="1027"/>
      <c r="C623" s="543" t="s">
        <v>346</v>
      </c>
      <c r="D623" s="276"/>
      <c r="E623" s="436"/>
      <c r="F623" s="690">
        <f t="shared" si="539"/>
        <v>0</v>
      </c>
      <c r="G623" s="276"/>
      <c r="H623" s="278"/>
      <c r="I623" s="352" t="str">
        <f t="shared" si="540"/>
        <v>-</v>
      </c>
      <c r="J623" s="874">
        <f t="shared" si="541"/>
        <v>0</v>
      </c>
      <c r="K623" s="278">
        <f t="shared" si="535"/>
        <v>0</v>
      </c>
      <c r="L623" s="436">
        <f t="shared" si="536"/>
        <v>0</v>
      </c>
      <c r="M623" s="337" t="str">
        <f t="shared" si="542"/>
        <v>-</v>
      </c>
      <c r="N623" s="263" t="str">
        <f t="shared" si="544"/>
        <v>-</v>
      </c>
      <c r="O623" s="508">
        <v>4.8738000000000001</v>
      </c>
      <c r="P623" s="404">
        <f t="shared" si="537"/>
        <v>0</v>
      </c>
      <c r="Q623" s="449">
        <f t="shared" si="538"/>
        <v>0</v>
      </c>
    </row>
    <row r="624" spans="1:17" ht="24.75" thickBot="1" x14ac:dyDescent="0.4">
      <c r="A624" s="248"/>
      <c r="B624" s="717" t="s">
        <v>254</v>
      </c>
      <c r="C624" s="543" t="s">
        <v>520</v>
      </c>
      <c r="D624" s="276"/>
      <c r="E624" s="436"/>
      <c r="F624" s="690">
        <f t="shared" si="539"/>
        <v>0</v>
      </c>
      <c r="G624" s="276"/>
      <c r="H624" s="278"/>
      <c r="I624" s="352" t="str">
        <f t="shared" si="540"/>
        <v>-</v>
      </c>
      <c r="J624" s="874">
        <f t="shared" si="541"/>
        <v>17752</v>
      </c>
      <c r="K624" s="278">
        <f t="shared" si="535"/>
        <v>17600</v>
      </c>
      <c r="L624" s="436">
        <f t="shared" si="536"/>
        <v>152</v>
      </c>
      <c r="M624" s="337" t="str">
        <f t="shared" si="542"/>
        <v>-</v>
      </c>
      <c r="N624" s="263">
        <f t="shared" si="544"/>
        <v>8.5624155024785938E-3</v>
      </c>
      <c r="O624" s="508">
        <v>4.8738000000000001</v>
      </c>
      <c r="P624" s="404">
        <f t="shared" si="537"/>
        <v>0</v>
      </c>
      <c r="Q624" s="449">
        <f t="shared" si="538"/>
        <v>85778.880000000005</v>
      </c>
    </row>
    <row r="625" spans="1:17" ht="24" x14ac:dyDescent="0.35">
      <c r="A625" s="248"/>
      <c r="B625" s="1025" t="s">
        <v>256</v>
      </c>
      <c r="C625" s="543" t="s">
        <v>77</v>
      </c>
      <c r="D625" s="276"/>
      <c r="E625" s="436"/>
      <c r="F625" s="690">
        <f t="shared" si="539"/>
        <v>62790</v>
      </c>
      <c r="G625" s="276">
        <v>61670</v>
      </c>
      <c r="H625" s="278">
        <v>1120</v>
      </c>
      <c r="I625" s="352" t="str">
        <f t="shared" si="540"/>
        <v>-</v>
      </c>
      <c r="J625" s="874">
        <f t="shared" si="541"/>
        <v>388462</v>
      </c>
      <c r="K625" s="719">
        <f t="shared" si="535"/>
        <v>381430</v>
      </c>
      <c r="L625" s="815">
        <f t="shared" si="536"/>
        <v>7032</v>
      </c>
      <c r="M625" s="337" t="str">
        <f t="shared" si="542"/>
        <v>-</v>
      </c>
      <c r="N625" s="263">
        <f t="shared" si="544"/>
        <v>1.8102156710308858E-2</v>
      </c>
      <c r="O625" s="508">
        <v>4.9344999999999999</v>
      </c>
      <c r="P625" s="404">
        <f t="shared" si="537"/>
        <v>304310.61499999999</v>
      </c>
      <c r="Q625" s="449">
        <f t="shared" si="538"/>
        <v>1882166.335</v>
      </c>
    </row>
    <row r="626" spans="1:17" ht="24" x14ac:dyDescent="0.35">
      <c r="A626" s="248"/>
      <c r="B626" s="1026"/>
      <c r="C626" s="543" t="s">
        <v>135</v>
      </c>
      <c r="D626" s="276"/>
      <c r="E626" s="436"/>
      <c r="F626" s="690">
        <f t="shared" si="539"/>
        <v>0</v>
      </c>
      <c r="G626" s="276"/>
      <c r="H626" s="278"/>
      <c r="I626" s="352" t="str">
        <f t="shared" si="540"/>
        <v>-</v>
      </c>
      <c r="J626" s="874">
        <f t="shared" si="541"/>
        <v>0</v>
      </c>
      <c r="K626" s="278">
        <f t="shared" si="535"/>
        <v>0</v>
      </c>
      <c r="L626" s="436">
        <f t="shared" si="536"/>
        <v>0</v>
      </c>
      <c r="M626" s="337" t="str">
        <f t="shared" si="542"/>
        <v>-</v>
      </c>
      <c r="N626" s="263" t="str">
        <f t="shared" si="544"/>
        <v>-</v>
      </c>
      <c r="O626" s="508">
        <v>4.9344999999999999</v>
      </c>
      <c r="P626" s="404">
        <f t="shared" si="537"/>
        <v>0</v>
      </c>
      <c r="Q626" s="449">
        <f t="shared" si="538"/>
        <v>0</v>
      </c>
    </row>
    <row r="627" spans="1:17" ht="24" x14ac:dyDescent="0.35">
      <c r="A627" s="248"/>
      <c r="B627" s="1026"/>
      <c r="C627" s="543" t="s">
        <v>129</v>
      </c>
      <c r="D627" s="276"/>
      <c r="E627" s="436"/>
      <c r="F627" s="690">
        <f t="shared" si="539"/>
        <v>0</v>
      </c>
      <c r="G627" s="276"/>
      <c r="H627" s="278"/>
      <c r="I627" s="352" t="str">
        <f t="shared" si="540"/>
        <v>-</v>
      </c>
      <c r="J627" s="874">
        <f t="shared" si="541"/>
        <v>0</v>
      </c>
      <c r="K627" s="278">
        <f t="shared" si="535"/>
        <v>0</v>
      </c>
      <c r="L627" s="436">
        <f t="shared" si="536"/>
        <v>0</v>
      </c>
      <c r="M627" s="337" t="str">
        <f t="shared" si="542"/>
        <v>-</v>
      </c>
      <c r="N627" s="263" t="str">
        <f t="shared" si="544"/>
        <v>-</v>
      </c>
      <c r="O627" s="508">
        <v>4.9344999999999999</v>
      </c>
      <c r="P627" s="404">
        <f t="shared" si="537"/>
        <v>0</v>
      </c>
      <c r="Q627" s="449">
        <f t="shared" si="538"/>
        <v>0</v>
      </c>
    </row>
    <row r="628" spans="1:17" ht="24.75" thickBot="1" x14ac:dyDescent="0.4">
      <c r="A628" s="248"/>
      <c r="B628" s="1027"/>
      <c r="C628" s="543" t="s">
        <v>255</v>
      </c>
      <c r="D628" s="276"/>
      <c r="E628" s="436"/>
      <c r="F628" s="690">
        <f t="shared" si="539"/>
        <v>0</v>
      </c>
      <c r="G628" s="276"/>
      <c r="H628" s="278"/>
      <c r="I628" s="352" t="str">
        <f t="shared" si="540"/>
        <v>-</v>
      </c>
      <c r="J628" s="874">
        <f t="shared" si="541"/>
        <v>0</v>
      </c>
      <c r="K628" s="278">
        <f t="shared" si="535"/>
        <v>0</v>
      </c>
      <c r="L628" s="436">
        <f t="shared" si="536"/>
        <v>0</v>
      </c>
      <c r="M628" s="337" t="str">
        <f t="shared" si="542"/>
        <v>-</v>
      </c>
      <c r="N628" s="263" t="str">
        <f t="shared" si="544"/>
        <v>-</v>
      </c>
      <c r="O628" s="508">
        <v>5.5069999999999997</v>
      </c>
      <c r="P628" s="404">
        <f t="shared" si="537"/>
        <v>0</v>
      </c>
      <c r="Q628" s="449">
        <f t="shared" si="538"/>
        <v>0</v>
      </c>
    </row>
    <row r="629" spans="1:17" ht="24" x14ac:dyDescent="0.35">
      <c r="A629" s="248"/>
      <c r="B629" s="1025" t="s">
        <v>261</v>
      </c>
      <c r="C629" s="543" t="s">
        <v>257</v>
      </c>
      <c r="D629" s="276"/>
      <c r="E629" s="436"/>
      <c r="F629" s="690">
        <f t="shared" si="539"/>
        <v>35460</v>
      </c>
      <c r="G629" s="276">
        <v>35350</v>
      </c>
      <c r="H629" s="278">
        <v>110</v>
      </c>
      <c r="I629" s="352" t="str">
        <f t="shared" si="540"/>
        <v>-</v>
      </c>
      <c r="J629" s="874">
        <f t="shared" si="541"/>
        <v>370514</v>
      </c>
      <c r="K629" s="278">
        <f t="shared" si="535"/>
        <v>367500</v>
      </c>
      <c r="L629" s="687">
        <f t="shared" si="536"/>
        <v>3014</v>
      </c>
      <c r="M629" s="337" t="str">
        <f t="shared" si="542"/>
        <v>-</v>
      </c>
      <c r="N629" s="263">
        <f t="shared" si="544"/>
        <v>8.1346453845198823E-3</v>
      </c>
      <c r="O629" s="710">
        <v>5.5069999999999997</v>
      </c>
      <c r="P629" s="404">
        <f t="shared" si="537"/>
        <v>194672.44999999998</v>
      </c>
      <c r="Q629" s="449">
        <f t="shared" si="538"/>
        <v>2023822.4999999998</v>
      </c>
    </row>
    <row r="630" spans="1:17" ht="24" x14ac:dyDescent="0.35">
      <c r="A630" s="248"/>
      <c r="B630" s="1026"/>
      <c r="C630" s="543" t="s">
        <v>258</v>
      </c>
      <c r="D630" s="276"/>
      <c r="E630" s="436"/>
      <c r="F630" s="690">
        <f t="shared" si="539"/>
        <v>0</v>
      </c>
      <c r="G630" s="276"/>
      <c r="H630" s="278"/>
      <c r="I630" s="352" t="str">
        <f t="shared" si="540"/>
        <v>-</v>
      </c>
      <c r="J630" s="874">
        <f t="shared" si="541"/>
        <v>0</v>
      </c>
      <c r="K630" s="278">
        <f t="shared" si="535"/>
        <v>0</v>
      </c>
      <c r="L630" s="436">
        <f t="shared" si="536"/>
        <v>0</v>
      </c>
      <c r="M630" s="337" t="str">
        <f t="shared" si="542"/>
        <v>-</v>
      </c>
      <c r="N630" s="263" t="str">
        <f t="shared" si="544"/>
        <v>-</v>
      </c>
      <c r="O630" s="508">
        <v>5.6550000000000002</v>
      </c>
      <c r="P630" s="404">
        <f t="shared" si="537"/>
        <v>0</v>
      </c>
      <c r="Q630" s="449">
        <f t="shared" si="538"/>
        <v>0</v>
      </c>
    </row>
    <row r="631" spans="1:17" ht="24" x14ac:dyDescent="0.35">
      <c r="A631" s="248"/>
      <c r="B631" s="1026"/>
      <c r="C631" s="543" t="s">
        <v>321</v>
      </c>
      <c r="D631" s="276"/>
      <c r="E631" s="436"/>
      <c r="F631" s="690">
        <f t="shared" si="539"/>
        <v>0</v>
      </c>
      <c r="G631" s="276"/>
      <c r="H631" s="278"/>
      <c r="I631" s="352" t="str">
        <f t="shared" si="540"/>
        <v>-</v>
      </c>
      <c r="J631" s="874">
        <f t="shared" si="541"/>
        <v>0</v>
      </c>
      <c r="K631" s="686">
        <f t="shared" si="535"/>
        <v>0</v>
      </c>
      <c r="L631" s="687">
        <f t="shared" si="536"/>
        <v>0</v>
      </c>
      <c r="M631" s="337" t="str">
        <f t="shared" si="542"/>
        <v>-</v>
      </c>
      <c r="N631" s="263" t="str">
        <f t="shared" si="544"/>
        <v>-</v>
      </c>
      <c r="O631" s="508">
        <v>5.6550000000000002</v>
      </c>
      <c r="P631" s="404">
        <f t="shared" si="537"/>
        <v>0</v>
      </c>
      <c r="Q631" s="449">
        <f t="shared" si="538"/>
        <v>0</v>
      </c>
    </row>
    <row r="632" spans="1:17" ht="24" x14ac:dyDescent="0.35">
      <c r="A632" s="248"/>
      <c r="B632" s="1026"/>
      <c r="C632" s="543" t="s">
        <v>259</v>
      </c>
      <c r="D632" s="276"/>
      <c r="E632" s="436"/>
      <c r="F632" s="690">
        <f t="shared" si="539"/>
        <v>0</v>
      </c>
      <c r="G632" s="276"/>
      <c r="H632" s="278"/>
      <c r="I632" s="352" t="str">
        <f t="shared" si="540"/>
        <v>-</v>
      </c>
      <c r="J632" s="874">
        <f t="shared" si="541"/>
        <v>0</v>
      </c>
      <c r="K632" s="278">
        <f t="shared" si="535"/>
        <v>0</v>
      </c>
      <c r="L632" s="436">
        <f t="shared" si="536"/>
        <v>0</v>
      </c>
      <c r="M632" s="337" t="str">
        <f t="shared" si="542"/>
        <v>-</v>
      </c>
      <c r="N632" s="263" t="str">
        <f t="shared" si="544"/>
        <v>-</v>
      </c>
      <c r="O632" s="508">
        <v>5.6550000000000002</v>
      </c>
      <c r="P632" s="404">
        <f t="shared" si="537"/>
        <v>0</v>
      </c>
      <c r="Q632" s="449">
        <f t="shared" si="538"/>
        <v>0</v>
      </c>
    </row>
    <row r="633" spans="1:17" ht="24" x14ac:dyDescent="0.35">
      <c r="A633" s="248" t="s">
        <v>101</v>
      </c>
      <c r="B633" s="1026"/>
      <c r="C633" s="543" t="s">
        <v>260</v>
      </c>
      <c r="D633" s="276"/>
      <c r="E633" s="436"/>
      <c r="F633" s="690">
        <f t="shared" si="539"/>
        <v>0</v>
      </c>
      <c r="G633" s="276"/>
      <c r="H633" s="278"/>
      <c r="I633" s="352" t="str">
        <f t="shared" si="540"/>
        <v>-</v>
      </c>
      <c r="J633" s="874">
        <f t="shared" si="541"/>
        <v>0</v>
      </c>
      <c r="K633" s="278">
        <f t="shared" si="535"/>
        <v>0</v>
      </c>
      <c r="L633" s="436">
        <f t="shared" si="536"/>
        <v>0</v>
      </c>
      <c r="M633" s="337" t="str">
        <f t="shared" si="542"/>
        <v>-</v>
      </c>
      <c r="N633" s="263" t="str">
        <f t="shared" si="544"/>
        <v>-</v>
      </c>
      <c r="O633" s="508">
        <v>3.2963</v>
      </c>
      <c r="P633" s="404">
        <f t="shared" si="537"/>
        <v>0</v>
      </c>
      <c r="Q633" s="449">
        <f t="shared" si="538"/>
        <v>0</v>
      </c>
    </row>
    <row r="634" spans="1:17" ht="24.75" thickBot="1" x14ac:dyDescent="0.4">
      <c r="A634" s="248" t="s">
        <v>101</v>
      </c>
      <c r="B634" s="1027"/>
      <c r="C634" s="543" t="s">
        <v>255</v>
      </c>
      <c r="D634" s="276"/>
      <c r="E634" s="436"/>
      <c r="F634" s="690">
        <f t="shared" si="539"/>
        <v>0</v>
      </c>
      <c r="G634" s="276"/>
      <c r="H634" s="278"/>
      <c r="I634" s="352" t="str">
        <f t="shared" si="540"/>
        <v>-</v>
      </c>
      <c r="J634" s="874">
        <f t="shared" si="541"/>
        <v>0</v>
      </c>
      <c r="K634" s="278">
        <f t="shared" si="535"/>
        <v>0</v>
      </c>
      <c r="L634" s="436">
        <f t="shared" si="536"/>
        <v>0</v>
      </c>
      <c r="M634" s="337" t="str">
        <f t="shared" si="542"/>
        <v>-</v>
      </c>
      <c r="N634" s="263" t="str">
        <f t="shared" si="544"/>
        <v>-</v>
      </c>
      <c r="O634" s="508">
        <v>3.2963</v>
      </c>
      <c r="P634" s="404">
        <f t="shared" si="537"/>
        <v>0</v>
      </c>
      <c r="Q634" s="449">
        <f t="shared" si="538"/>
        <v>0</v>
      </c>
    </row>
    <row r="635" spans="1:17" ht="24" x14ac:dyDescent="0.35">
      <c r="A635" s="248" t="s">
        <v>101</v>
      </c>
      <c r="B635" s="546"/>
      <c r="C635" s="544" t="s">
        <v>89</v>
      </c>
      <c r="D635" s="511"/>
      <c r="E635" s="436"/>
      <c r="F635" s="690">
        <f t="shared" si="539"/>
        <v>0</v>
      </c>
      <c r="G635" s="276"/>
      <c r="H635" s="278"/>
      <c r="I635" s="352" t="str">
        <f t="shared" si="540"/>
        <v>-</v>
      </c>
      <c r="J635" s="874">
        <f t="shared" si="541"/>
        <v>83715</v>
      </c>
      <c r="K635" s="278">
        <f t="shared" si="535"/>
        <v>83400</v>
      </c>
      <c r="L635" s="436">
        <f t="shared" si="536"/>
        <v>315</v>
      </c>
      <c r="M635" s="337" t="str">
        <f t="shared" si="542"/>
        <v>-</v>
      </c>
      <c r="N635" s="263">
        <f t="shared" si="544"/>
        <v>3.7627665292958249E-3</v>
      </c>
      <c r="O635" s="508">
        <v>2.3201000000000001</v>
      </c>
      <c r="P635" s="404">
        <f t="shared" si="537"/>
        <v>0</v>
      </c>
      <c r="Q635" s="449">
        <f t="shared" si="538"/>
        <v>193496.34</v>
      </c>
    </row>
    <row r="636" spans="1:17" ht="24.75" thickBot="1" x14ac:dyDescent="0.3">
      <c r="A636" s="248" t="s">
        <v>101</v>
      </c>
      <c r="B636" s="524"/>
      <c r="C636" s="541"/>
      <c r="D636" s="530"/>
      <c r="E636" s="462"/>
      <c r="F636" s="691">
        <f t="shared" si="539"/>
        <v>0</v>
      </c>
      <c r="G636" s="530"/>
      <c r="H636" s="461"/>
      <c r="I636" s="532" t="str">
        <f t="shared" si="540"/>
        <v>-</v>
      </c>
      <c r="J636" s="875">
        <f t="shared" si="541"/>
        <v>0</v>
      </c>
      <c r="K636" s="461">
        <f t="shared" si="535"/>
        <v>0</v>
      </c>
      <c r="L636" s="462">
        <f t="shared" si="536"/>
        <v>0</v>
      </c>
      <c r="M636" s="683" t="str">
        <f t="shared" si="542"/>
        <v>-</v>
      </c>
      <c r="N636" s="264" t="str">
        <f t="shared" si="544"/>
        <v>-</v>
      </c>
      <c r="O636" s="539"/>
      <c r="P636" s="536">
        <f t="shared" si="537"/>
        <v>0</v>
      </c>
      <c r="Q636" s="537">
        <f t="shared" si="538"/>
        <v>0</v>
      </c>
    </row>
    <row r="637" spans="1:17" ht="23.25" customHeight="1" thickBot="1" x14ac:dyDescent="0.3">
      <c r="A637" s="274" t="s">
        <v>101</v>
      </c>
      <c r="B637" s="1028" t="s">
        <v>25</v>
      </c>
      <c r="C637" s="964"/>
      <c r="D637" s="513">
        <f>SUM(D610:D636)</f>
        <v>0</v>
      </c>
      <c r="E637" s="526">
        <v>100000</v>
      </c>
      <c r="F637" s="519">
        <f>SUM(F605:F636)</f>
        <v>154051</v>
      </c>
      <c r="G637" s="519">
        <f>SUM(G605:G636)</f>
        <v>152370</v>
      </c>
      <c r="H637" s="519">
        <f>SUM(H605:H636)</f>
        <v>1681</v>
      </c>
      <c r="I637" s="520">
        <f>IFERROR(F637/E637,"-")</f>
        <v>1.54051</v>
      </c>
      <c r="J637" s="513">
        <f>SUM(J605:J636)</f>
        <v>1399136</v>
      </c>
      <c r="K637" s="513">
        <f t="shared" ref="K637:L637" si="545">SUM(K605:K636)</f>
        <v>1383468</v>
      </c>
      <c r="L637" s="513">
        <f t="shared" si="545"/>
        <v>15668</v>
      </c>
      <c r="M637" s="521" t="str">
        <f t="shared" si="542"/>
        <v>-</v>
      </c>
      <c r="N637" s="520">
        <f t="shared" si="544"/>
        <v>1.1198339546691673E-2</v>
      </c>
      <c r="O637" s="522"/>
      <c r="P637" s="523">
        <f>SUM(P605:P636)</f>
        <v>1130534.1400000001</v>
      </c>
      <c r="Q637" s="523">
        <f>SUM(Q605:Q636)</f>
        <v>9911853.4128999989</v>
      </c>
    </row>
    <row r="638" spans="1:17" ht="23.25" customHeight="1" thickBot="1" x14ac:dyDescent="0.3">
      <c r="A638" s="318" t="s">
        <v>101</v>
      </c>
      <c r="B638" s="1029" t="s">
        <v>249</v>
      </c>
      <c r="C638" s="1030"/>
      <c r="D638" s="326">
        <f>+D609+D637</f>
        <v>0</v>
      </c>
      <c r="E638" s="327">
        <f>+E609+E637</f>
        <v>100000</v>
      </c>
      <c r="F638" s="326">
        <f>+F637</f>
        <v>154051</v>
      </c>
      <c r="G638" s="326">
        <f t="shared" ref="G638:H638" si="546">+G637</f>
        <v>152370</v>
      </c>
      <c r="H638" s="326">
        <f t="shared" si="546"/>
        <v>1681</v>
      </c>
      <c r="I638" s="349">
        <f>IFERROR(F638/E638,"-")</f>
        <v>1.54051</v>
      </c>
      <c r="J638" s="326">
        <f>+J637</f>
        <v>1399136</v>
      </c>
      <c r="K638" s="326">
        <f t="shared" ref="K638:L638" si="547">+K637</f>
        <v>1383468</v>
      </c>
      <c r="L638" s="326">
        <f t="shared" si="547"/>
        <v>15668</v>
      </c>
      <c r="M638" s="341" t="str">
        <f t="shared" si="542"/>
        <v>-</v>
      </c>
      <c r="N638" s="349">
        <f t="shared" si="544"/>
        <v>1.1198339546691673E-2</v>
      </c>
      <c r="O638" s="394"/>
      <c r="P638" s="410">
        <f>+P637</f>
        <v>1130534.1400000001</v>
      </c>
      <c r="Q638" s="428">
        <f>Q637</f>
        <v>9911853.4128999989</v>
      </c>
    </row>
    <row r="639" spans="1:17" ht="26.25" thickBot="1" x14ac:dyDescent="0.3">
      <c r="A639" s="319"/>
      <c r="B639" s="1031" t="s">
        <v>174</v>
      </c>
      <c r="C639" s="1032"/>
      <c r="D639" s="374">
        <f>+D638+D604+D595</f>
        <v>0</v>
      </c>
      <c r="E639" s="374">
        <f>+E638+E604+E595</f>
        <v>230000</v>
      </c>
      <c r="F639" s="374">
        <f>+F638+F604+F595</f>
        <v>397824</v>
      </c>
      <c r="G639" s="374">
        <f>+G638+G604+G595</f>
        <v>393620</v>
      </c>
      <c r="H639" s="374">
        <f>+H638+H604+H595</f>
        <v>4204</v>
      </c>
      <c r="I639" s="375">
        <f>IFERROR(F639/E639,"-")</f>
        <v>1.7296695652173912</v>
      </c>
      <c r="J639" s="374">
        <f>+J638+J604+J595</f>
        <v>3512907</v>
      </c>
      <c r="K639" s="374">
        <f>+K638+K604+K595</f>
        <v>3475168</v>
      </c>
      <c r="L639" s="374">
        <f>+L638+L604+L595</f>
        <v>37739</v>
      </c>
      <c r="M639" s="375" t="str">
        <f t="shared" si="542"/>
        <v>-</v>
      </c>
      <c r="N639" s="375">
        <f>IFERROR(L639/J639,"-")</f>
        <v>1.0742954481857903E-2</v>
      </c>
      <c r="O639" s="401"/>
      <c r="P639" s="418">
        <f>+P638+P604+P595</f>
        <v>2400459.665</v>
      </c>
      <c r="Q639" s="418">
        <f>+Q638+Q604+Q595</f>
        <v>19980992.497900002</v>
      </c>
    </row>
    <row r="640" spans="1:17" ht="24.6" customHeight="1" thickBot="1" x14ac:dyDescent="0.3">
      <c r="A640" s="230"/>
      <c r="B640" s="230"/>
      <c r="C640" s="230"/>
      <c r="D640" s="232"/>
      <c r="E640" s="232"/>
      <c r="F640" s="232"/>
      <c r="G640" s="267"/>
      <c r="H640" s="267"/>
      <c r="I640" s="234"/>
      <c r="J640" s="232"/>
      <c r="K640" s="232"/>
      <c r="L640" s="232"/>
      <c r="M640" s="234"/>
      <c r="N640" s="234"/>
    </row>
    <row r="641" spans="1:17" ht="22.5" customHeight="1" x14ac:dyDescent="0.25">
      <c r="A641" s="1033" t="s">
        <v>1</v>
      </c>
      <c r="B641" s="1036" t="s">
        <v>2</v>
      </c>
      <c r="C641" s="1039" t="s">
        <v>396</v>
      </c>
      <c r="D641" s="987" t="s">
        <v>4</v>
      </c>
      <c r="E641" s="988"/>
      <c r="F641" s="988"/>
      <c r="G641" s="988"/>
      <c r="H641" s="988"/>
      <c r="I641" s="988"/>
      <c r="J641" s="988"/>
      <c r="K641" s="988"/>
      <c r="L641" s="988"/>
      <c r="M641" s="988"/>
      <c r="N641" s="989"/>
      <c r="O641" s="1011" t="s">
        <v>167</v>
      </c>
      <c r="P641" s="1012"/>
      <c r="Q641" s="1042"/>
    </row>
    <row r="642" spans="1:17" ht="22.5" customHeight="1" x14ac:dyDescent="0.25">
      <c r="A642" s="1034"/>
      <c r="B642" s="1037"/>
      <c r="C642" s="1040"/>
      <c r="D642" s="990" t="s">
        <v>7</v>
      </c>
      <c r="E642" s="992" t="s">
        <v>108</v>
      </c>
      <c r="F642" s="1043" t="s">
        <v>553</v>
      </c>
      <c r="G642" s="995"/>
      <c r="H642" s="995"/>
      <c r="I642" s="996"/>
      <c r="J642" s="997" t="s">
        <v>8</v>
      </c>
      <c r="K642" s="998"/>
      <c r="L642" s="999"/>
      <c r="M642" s="1000" t="s">
        <v>165</v>
      </c>
      <c r="N642" s="1002" t="s">
        <v>164</v>
      </c>
      <c r="O642" s="1044" t="s">
        <v>169</v>
      </c>
      <c r="P642" s="1045"/>
      <c r="Q642" s="1046"/>
    </row>
    <row r="643" spans="1:17" ht="45.75" thickBot="1" x14ac:dyDescent="0.3">
      <c r="A643" s="1035"/>
      <c r="B643" s="1038"/>
      <c r="C643" s="1041"/>
      <c r="D643" s="991"/>
      <c r="E643" s="993"/>
      <c r="F643" s="452" t="s">
        <v>13</v>
      </c>
      <c r="G643" s="453" t="s">
        <v>14</v>
      </c>
      <c r="H643" s="453" t="s">
        <v>15</v>
      </c>
      <c r="I643" s="454" t="s">
        <v>166</v>
      </c>
      <c r="J643" s="680" t="s">
        <v>13</v>
      </c>
      <c r="K643" s="678" t="s">
        <v>14</v>
      </c>
      <c r="L643" s="679" t="s">
        <v>15</v>
      </c>
      <c r="M643" s="1001"/>
      <c r="N643" s="1003"/>
      <c r="O643" s="444" t="s">
        <v>170</v>
      </c>
      <c r="P643" s="445" t="s">
        <v>11</v>
      </c>
      <c r="Q643" s="446" t="s">
        <v>12</v>
      </c>
    </row>
    <row r="644" spans="1:17" ht="24" x14ac:dyDescent="0.25">
      <c r="A644" s="268" t="s">
        <v>103</v>
      </c>
      <c r="B644" s="439"/>
      <c r="C644" s="269" t="s">
        <v>502</v>
      </c>
      <c r="D644" s="270"/>
      <c r="E644" s="271"/>
      <c r="F644" s="332">
        <f>+G644+H644</f>
        <v>0</v>
      </c>
      <c r="G644" s="272"/>
      <c r="H644" s="272"/>
      <c r="I644" s="351" t="str">
        <f>IFERROR(F644/E644,"-")</f>
        <v>-</v>
      </c>
      <c r="J644" s="457">
        <f>+K644+L644</f>
        <v>128000</v>
      </c>
      <c r="K644" s="458">
        <f>+G644+K581</f>
        <v>128000</v>
      </c>
      <c r="L644" s="458">
        <f>+H644+L581</f>
        <v>0</v>
      </c>
      <c r="M644" s="336" t="str">
        <f>IFERROR(J644/D644,"-")</f>
        <v>-</v>
      </c>
      <c r="N644" s="343">
        <f t="shared" ref="N644:N645" si="548">IFERROR(L644/J644,"-")</f>
        <v>0</v>
      </c>
      <c r="O644" s="786">
        <v>0</v>
      </c>
      <c r="P644" s="402">
        <f>+O644*G644</f>
        <v>0</v>
      </c>
      <c r="Q644" s="447">
        <f>+O644*K644</f>
        <v>0</v>
      </c>
    </row>
    <row r="645" spans="1:17" ht="24" x14ac:dyDescent="0.25">
      <c r="A645" s="274" t="s">
        <v>103</v>
      </c>
      <c r="B645" s="438"/>
      <c r="C645" s="275" t="s">
        <v>245</v>
      </c>
      <c r="D645" s="276"/>
      <c r="E645" s="277"/>
      <c r="F645" s="333">
        <f t="shared" ref="F645:F648" si="549">+G645+H645</f>
        <v>0</v>
      </c>
      <c r="G645" s="719"/>
      <c r="H645" s="719"/>
      <c r="I645" s="351" t="str">
        <f t="shared" ref="I645:I648" si="550">IFERROR(F645/E645,"-")</f>
        <v>-</v>
      </c>
      <c r="J645" s="333">
        <f t="shared" ref="J645:J648" si="551">+K645+L645</f>
        <v>115874</v>
      </c>
      <c r="K645" s="278">
        <f t="shared" ref="K645:K648" si="552">+G645+K582</f>
        <v>115000</v>
      </c>
      <c r="L645" s="436">
        <f t="shared" ref="L645:L648" si="553">+H645+L582</f>
        <v>874</v>
      </c>
      <c r="M645" s="337" t="str">
        <f t="shared" ref="M645:M648" si="554">IFERROR(J645/D645,"-")</f>
        <v>-</v>
      </c>
      <c r="N645" s="265">
        <f t="shared" si="548"/>
        <v>7.5426756649464074E-3</v>
      </c>
      <c r="O645" s="508">
        <v>2.3978999999999999</v>
      </c>
      <c r="P645" s="404">
        <f>+O645*G645</f>
        <v>0</v>
      </c>
      <c r="Q645" s="449">
        <f>+O645*K645</f>
        <v>275758.5</v>
      </c>
    </row>
    <row r="646" spans="1:17" ht="24" x14ac:dyDescent="0.25">
      <c r="A646" s="274" t="s">
        <v>103</v>
      </c>
      <c r="B646" s="438"/>
      <c r="C646" s="275" t="s">
        <v>395</v>
      </c>
      <c r="D646" s="276"/>
      <c r="E646" s="277"/>
      <c r="F646" s="333">
        <f t="shared" si="549"/>
        <v>0</v>
      </c>
      <c r="G646" s="278"/>
      <c r="H646" s="719"/>
      <c r="I646" s="351" t="str">
        <f t="shared" si="550"/>
        <v>-</v>
      </c>
      <c r="J646" s="333">
        <f t="shared" si="551"/>
        <v>794005</v>
      </c>
      <c r="K646" s="278">
        <f t="shared" si="552"/>
        <v>787000</v>
      </c>
      <c r="L646" s="436">
        <f t="shared" si="553"/>
        <v>7005</v>
      </c>
      <c r="M646" s="337" t="str">
        <f t="shared" si="554"/>
        <v>-</v>
      </c>
      <c r="N646" s="716">
        <f>IFERROR(L646/J646,"-")</f>
        <v>8.8223625795807326E-3</v>
      </c>
      <c r="O646" s="718">
        <v>3.6777000000000002</v>
      </c>
      <c r="P646" s="404">
        <f t="shared" ref="P646:P648" si="555">+O646*G646</f>
        <v>0</v>
      </c>
      <c r="Q646" s="449">
        <f t="shared" ref="Q646:Q648" si="556">+O646*K646</f>
        <v>2894349.9000000004</v>
      </c>
    </row>
    <row r="647" spans="1:17" ht="24" x14ac:dyDescent="0.25">
      <c r="A647" s="274"/>
      <c r="B647" s="451"/>
      <c r="C647" s="275" t="s">
        <v>319</v>
      </c>
      <c r="D647" s="280"/>
      <c r="E647" s="281"/>
      <c r="F647" s="333">
        <f t="shared" si="549"/>
        <v>44559</v>
      </c>
      <c r="G647" s="282">
        <v>44000</v>
      </c>
      <c r="H647" s="282">
        <v>559</v>
      </c>
      <c r="I647" s="351" t="str">
        <f t="shared" si="550"/>
        <v>-</v>
      </c>
      <c r="J647" s="333">
        <f t="shared" si="551"/>
        <v>415178</v>
      </c>
      <c r="K647" s="278">
        <f t="shared" si="552"/>
        <v>408800</v>
      </c>
      <c r="L647" s="436">
        <f t="shared" si="553"/>
        <v>6378</v>
      </c>
      <c r="M647" s="337" t="str">
        <f t="shared" si="554"/>
        <v>-</v>
      </c>
      <c r="N647" s="265">
        <f>IFERROR(L647/J647,"-")</f>
        <v>1.5362085659644779E-2</v>
      </c>
      <c r="O647" s="509">
        <v>12.284700000000001</v>
      </c>
      <c r="P647" s="404">
        <f t="shared" si="555"/>
        <v>540526.80000000005</v>
      </c>
      <c r="Q647" s="449">
        <f t="shared" si="556"/>
        <v>5021985.3600000003</v>
      </c>
    </row>
    <row r="648" spans="1:17" ht="24.75" thickBot="1" x14ac:dyDescent="0.3">
      <c r="A648" s="274" t="s">
        <v>103</v>
      </c>
      <c r="B648" s="451"/>
      <c r="C648" s="275" t="s">
        <v>365</v>
      </c>
      <c r="D648" s="280"/>
      <c r="E648" s="281"/>
      <c r="F648" s="334">
        <f t="shared" si="549"/>
        <v>0</v>
      </c>
      <c r="G648" s="282"/>
      <c r="H648" s="282"/>
      <c r="I648" s="351" t="str">
        <f t="shared" si="550"/>
        <v>-</v>
      </c>
      <c r="J648" s="460">
        <f t="shared" si="551"/>
        <v>45034</v>
      </c>
      <c r="K648" s="461">
        <f t="shared" si="552"/>
        <v>44250</v>
      </c>
      <c r="L648" s="462">
        <f t="shared" si="553"/>
        <v>784</v>
      </c>
      <c r="M648" s="338" t="str">
        <f t="shared" si="554"/>
        <v>-</v>
      </c>
      <c r="N648" s="344">
        <f t="shared" ref="N648:N660" si="557">IFERROR(L648/J648,"-")</f>
        <v>1.7409068703646134E-2</v>
      </c>
      <c r="O648" s="718">
        <v>7.0612000000000004</v>
      </c>
      <c r="P648" s="405">
        <f t="shared" si="555"/>
        <v>0</v>
      </c>
      <c r="Q648" s="450">
        <f t="shared" si="556"/>
        <v>312458.10000000003</v>
      </c>
    </row>
    <row r="649" spans="1:17" ht="23.25" customHeight="1" thickBot="1" x14ac:dyDescent="0.3">
      <c r="A649" s="274" t="s">
        <v>103</v>
      </c>
      <c r="B649" s="1028" t="s">
        <v>21</v>
      </c>
      <c r="C649" s="964"/>
      <c r="D649" s="320">
        <f>SUM(D644:D648)</f>
        <v>0</v>
      </c>
      <c r="E649" s="285">
        <v>15000</v>
      </c>
      <c r="F649" s="320">
        <f>SUM(F644:F648)</f>
        <v>44559</v>
      </c>
      <c r="G649" s="321">
        <f>SUM(G644:G648)</f>
        <v>44000</v>
      </c>
      <c r="H649" s="321">
        <f>SUM(H644:H648)</f>
        <v>559</v>
      </c>
      <c r="I649" s="345">
        <f>IFERROR(F649/E649,"-")</f>
        <v>2.9706000000000001</v>
      </c>
      <c r="J649" s="320">
        <f>SUM(J644:J648)</f>
        <v>1498091</v>
      </c>
      <c r="K649" s="321">
        <f>SUM(K644:K648)</f>
        <v>1483050</v>
      </c>
      <c r="L649" s="322">
        <f>SUM(L644:L648)</f>
        <v>15041</v>
      </c>
      <c r="M649" s="339" t="str">
        <f>IFERROR(J649/D649,"-")</f>
        <v>-</v>
      </c>
      <c r="N649" s="345">
        <f t="shared" si="557"/>
        <v>1.0040111047993747E-2</v>
      </c>
      <c r="O649" s="391"/>
      <c r="P649" s="406">
        <f>SUM(P644:P648)</f>
        <v>540526.80000000005</v>
      </c>
      <c r="Q649" s="425">
        <f>SUM(Q644:Q648)</f>
        <v>8504551.8600000013</v>
      </c>
    </row>
    <row r="650" spans="1:17" ht="24" x14ac:dyDescent="0.25">
      <c r="A650" s="274" t="s">
        <v>103</v>
      </c>
      <c r="B650" s="439"/>
      <c r="C650" s="269" t="s">
        <v>244</v>
      </c>
      <c r="D650" s="270"/>
      <c r="E650" s="271"/>
      <c r="F650" s="332">
        <f t="shared" ref="F650:F656" si="558">+G650+H650</f>
        <v>0</v>
      </c>
      <c r="G650" s="272"/>
      <c r="H650" s="272"/>
      <c r="I650" s="351" t="str">
        <f>IFERROR(F650/E650,"-")</f>
        <v>-</v>
      </c>
      <c r="J650" s="457">
        <f t="shared" ref="J650:J656" si="559">+K650+L650</f>
        <v>0</v>
      </c>
      <c r="K650" s="458">
        <f t="shared" ref="K650:K656" si="560">+G650+K587</f>
        <v>0</v>
      </c>
      <c r="L650" s="459">
        <f t="shared" ref="L650:L656" si="561">+H650+L587</f>
        <v>0</v>
      </c>
      <c r="M650" s="336" t="str">
        <f t="shared" ref="M650:M658" si="562">IFERROR(J650/D650,"-")</f>
        <v>-</v>
      </c>
      <c r="N650" s="346" t="str">
        <f t="shared" si="557"/>
        <v>-</v>
      </c>
      <c r="O650" s="507">
        <v>18.2316</v>
      </c>
      <c r="P650" s="402">
        <f t="shared" ref="P650:P656" si="563">+O650*G650</f>
        <v>0</v>
      </c>
      <c r="Q650" s="447">
        <f t="shared" ref="Q650:Q656" si="564">+O650*K650</f>
        <v>0</v>
      </c>
    </row>
    <row r="651" spans="1:17" ht="24" x14ac:dyDescent="0.25">
      <c r="A651" s="274" t="s">
        <v>103</v>
      </c>
      <c r="B651" s="438"/>
      <c r="C651" s="275" t="s">
        <v>89</v>
      </c>
      <c r="D651" s="276"/>
      <c r="E651" s="277"/>
      <c r="F651" s="333">
        <f t="shared" si="558"/>
        <v>0</v>
      </c>
      <c r="G651" s="278"/>
      <c r="H651" s="278"/>
      <c r="I651" s="351" t="str">
        <f t="shared" ref="I651:I656" si="565">IFERROR(F651/E651,"-")</f>
        <v>-</v>
      </c>
      <c r="J651" s="333">
        <f t="shared" si="559"/>
        <v>120000</v>
      </c>
      <c r="K651" s="278">
        <f t="shared" si="560"/>
        <v>120000</v>
      </c>
      <c r="L651" s="436">
        <f t="shared" si="561"/>
        <v>0</v>
      </c>
      <c r="M651" s="337" t="str">
        <f t="shared" si="562"/>
        <v>-</v>
      </c>
      <c r="N651" s="263">
        <f t="shared" si="557"/>
        <v>0</v>
      </c>
      <c r="O651" s="508">
        <v>1.2824</v>
      </c>
      <c r="P651" s="404">
        <f t="shared" si="563"/>
        <v>0</v>
      </c>
      <c r="Q651" s="449">
        <f t="shared" si="564"/>
        <v>153888</v>
      </c>
    </row>
    <row r="652" spans="1:17" ht="24" x14ac:dyDescent="0.25">
      <c r="A652" s="274" t="s">
        <v>103</v>
      </c>
      <c r="B652" s="438"/>
      <c r="C652" s="275" t="s">
        <v>300</v>
      </c>
      <c r="D652" s="276"/>
      <c r="E652" s="277"/>
      <c r="F652" s="333">
        <f t="shared" si="558"/>
        <v>0</v>
      </c>
      <c r="G652" s="278"/>
      <c r="H652" s="278"/>
      <c r="I652" s="351" t="str">
        <f t="shared" si="565"/>
        <v>-</v>
      </c>
      <c r="J652" s="333">
        <f t="shared" si="559"/>
        <v>0</v>
      </c>
      <c r="K652" s="278">
        <f t="shared" si="560"/>
        <v>0</v>
      </c>
      <c r="L652" s="436">
        <f t="shared" si="561"/>
        <v>0</v>
      </c>
      <c r="M652" s="337" t="str">
        <f t="shared" si="562"/>
        <v>-</v>
      </c>
      <c r="N652" s="263" t="str">
        <f t="shared" si="557"/>
        <v>-</v>
      </c>
      <c r="O652" s="710">
        <v>5.7342000000000004</v>
      </c>
      <c r="P652" s="404">
        <f t="shared" si="563"/>
        <v>0</v>
      </c>
      <c r="Q652" s="449">
        <f t="shared" si="564"/>
        <v>0</v>
      </c>
    </row>
    <row r="653" spans="1:17" ht="24" x14ac:dyDescent="0.25">
      <c r="A653" s="274" t="s">
        <v>103</v>
      </c>
      <c r="B653" s="438"/>
      <c r="C653" s="275" t="s">
        <v>314</v>
      </c>
      <c r="D653" s="276"/>
      <c r="E653" s="277"/>
      <c r="F653" s="333">
        <f t="shared" si="558"/>
        <v>0</v>
      </c>
      <c r="G653" s="278"/>
      <c r="H653" s="278"/>
      <c r="I653" s="351" t="str">
        <f t="shared" si="565"/>
        <v>-</v>
      </c>
      <c r="J653" s="333">
        <f t="shared" si="559"/>
        <v>0</v>
      </c>
      <c r="K653" s="278">
        <f t="shared" si="560"/>
        <v>0</v>
      </c>
      <c r="L653" s="436">
        <f t="shared" si="561"/>
        <v>0</v>
      </c>
      <c r="M653" s="337" t="str">
        <f t="shared" si="562"/>
        <v>-</v>
      </c>
      <c r="N653" s="263" t="str">
        <f t="shared" si="557"/>
        <v>-</v>
      </c>
      <c r="O653" s="508"/>
      <c r="P653" s="404">
        <f t="shared" si="563"/>
        <v>0</v>
      </c>
      <c r="Q653" s="449">
        <f t="shared" si="564"/>
        <v>0</v>
      </c>
    </row>
    <row r="654" spans="1:17" ht="24" x14ac:dyDescent="0.25">
      <c r="A654" s="274" t="s">
        <v>103</v>
      </c>
      <c r="B654" s="438"/>
      <c r="C654" s="275" t="s">
        <v>320</v>
      </c>
      <c r="D654" s="276"/>
      <c r="E654" s="277"/>
      <c r="F654" s="333">
        <f t="shared" si="558"/>
        <v>18050</v>
      </c>
      <c r="G654" s="278">
        <v>18000</v>
      </c>
      <c r="H654" s="278">
        <v>50</v>
      </c>
      <c r="I654" s="351" t="str">
        <f t="shared" si="565"/>
        <v>-</v>
      </c>
      <c r="J654" s="333">
        <f t="shared" si="559"/>
        <v>93719</v>
      </c>
      <c r="K654" s="278">
        <f t="shared" si="560"/>
        <v>93400</v>
      </c>
      <c r="L654" s="436">
        <f t="shared" si="561"/>
        <v>319</v>
      </c>
      <c r="M654" s="337" t="str">
        <f t="shared" si="562"/>
        <v>-</v>
      </c>
      <c r="N654" s="263">
        <f t="shared" si="557"/>
        <v>3.4037921872832615E-3</v>
      </c>
      <c r="O654" s="508">
        <v>12.029500000000001</v>
      </c>
      <c r="P654" s="404">
        <f t="shared" si="563"/>
        <v>216531</v>
      </c>
      <c r="Q654" s="449">
        <f t="shared" si="564"/>
        <v>1123555.3</v>
      </c>
    </row>
    <row r="655" spans="1:17" ht="24" x14ac:dyDescent="0.25">
      <c r="A655" s="274" t="s">
        <v>103</v>
      </c>
      <c r="B655" s="438"/>
      <c r="C655" s="275"/>
      <c r="D655" s="276"/>
      <c r="E655" s="277"/>
      <c r="F655" s="333">
        <f t="shared" si="558"/>
        <v>0</v>
      </c>
      <c r="G655" s="278"/>
      <c r="H655" s="278"/>
      <c r="I655" s="351" t="str">
        <f t="shared" si="565"/>
        <v>-</v>
      </c>
      <c r="J655" s="333">
        <f t="shared" si="559"/>
        <v>0</v>
      </c>
      <c r="K655" s="278">
        <f t="shared" si="560"/>
        <v>0</v>
      </c>
      <c r="L655" s="436">
        <f t="shared" si="561"/>
        <v>0</v>
      </c>
      <c r="M655" s="337" t="str">
        <f t="shared" si="562"/>
        <v>-</v>
      </c>
      <c r="N655" s="263" t="str">
        <f t="shared" si="557"/>
        <v>-</v>
      </c>
      <c r="O655" s="508"/>
      <c r="P655" s="404">
        <f t="shared" si="563"/>
        <v>0</v>
      </c>
      <c r="Q655" s="449">
        <f t="shared" si="564"/>
        <v>0</v>
      </c>
    </row>
    <row r="656" spans="1:17" ht="24.75" thickBot="1" x14ac:dyDescent="0.3">
      <c r="A656" s="274" t="s">
        <v>103</v>
      </c>
      <c r="B656" s="451"/>
      <c r="C656" s="279"/>
      <c r="D656" s="280">
        <v>0</v>
      </c>
      <c r="E656" s="281"/>
      <c r="F656" s="334">
        <f t="shared" si="558"/>
        <v>0</v>
      </c>
      <c r="G656" s="282"/>
      <c r="H656" s="282"/>
      <c r="I656" s="351" t="str">
        <f t="shared" si="565"/>
        <v>-</v>
      </c>
      <c r="J656" s="460">
        <f t="shared" si="559"/>
        <v>0</v>
      </c>
      <c r="K656" s="461">
        <f t="shared" si="560"/>
        <v>0</v>
      </c>
      <c r="L656" s="462">
        <f t="shared" si="561"/>
        <v>0</v>
      </c>
      <c r="M656" s="338" t="str">
        <f t="shared" si="562"/>
        <v>-</v>
      </c>
      <c r="N656" s="347" t="str">
        <f t="shared" si="557"/>
        <v>-</v>
      </c>
      <c r="O656" s="509"/>
      <c r="P656" s="405">
        <f t="shared" si="563"/>
        <v>0</v>
      </c>
      <c r="Q656" s="450">
        <f t="shared" si="564"/>
        <v>0</v>
      </c>
    </row>
    <row r="657" spans="1:17" ht="23.25" customHeight="1" thickBot="1" x14ac:dyDescent="0.3">
      <c r="A657" s="274" t="s">
        <v>103</v>
      </c>
      <c r="B657" s="1028" t="s">
        <v>25</v>
      </c>
      <c r="C657" s="964"/>
      <c r="D657" s="320">
        <f t="shared" ref="D657" si="566">SUM(D650:D656)</f>
        <v>0</v>
      </c>
      <c r="E657" s="285">
        <v>100000</v>
      </c>
      <c r="F657" s="320">
        <f>SUM(F650:F656)</f>
        <v>18050</v>
      </c>
      <c r="G657" s="321">
        <f t="shared" ref="G657:H657" si="567">SUM(G650:G656)</f>
        <v>18000</v>
      </c>
      <c r="H657" s="321">
        <f t="shared" si="567"/>
        <v>50</v>
      </c>
      <c r="I657" s="345">
        <f>IFERROR(F657/E657,"-")</f>
        <v>0.18049999999999999</v>
      </c>
      <c r="J657" s="320">
        <f t="shared" ref="J657:L657" si="568">SUM(J650:J656)</f>
        <v>213719</v>
      </c>
      <c r="K657" s="321">
        <f t="shared" si="568"/>
        <v>213400</v>
      </c>
      <c r="L657" s="322">
        <f t="shared" si="568"/>
        <v>319</v>
      </c>
      <c r="M657" s="339" t="str">
        <f t="shared" si="562"/>
        <v>-</v>
      </c>
      <c r="N657" s="345">
        <f t="shared" si="557"/>
        <v>1.4926141335117609E-3</v>
      </c>
      <c r="O657" s="391"/>
      <c r="P657" s="406">
        <f t="shared" ref="P657:Q657" si="569">SUM(P650:P656)</f>
        <v>216531</v>
      </c>
      <c r="Q657" s="425">
        <f t="shared" si="569"/>
        <v>1277443.3</v>
      </c>
    </row>
    <row r="658" spans="1:17" ht="23.25" customHeight="1" thickBot="1" x14ac:dyDescent="0.3">
      <c r="A658" s="274" t="s">
        <v>103</v>
      </c>
      <c r="B658" s="1029" t="s">
        <v>172</v>
      </c>
      <c r="C658" s="1030"/>
      <c r="D658" s="326">
        <f>+D649+D657</f>
        <v>0</v>
      </c>
      <c r="E658" s="327">
        <f t="shared" ref="E658:H658" si="570">+E649+E657</f>
        <v>115000</v>
      </c>
      <c r="F658" s="512">
        <f t="shared" si="570"/>
        <v>62609</v>
      </c>
      <c r="G658" s="514">
        <f t="shared" si="570"/>
        <v>62000</v>
      </c>
      <c r="H658" s="514">
        <f t="shared" si="570"/>
        <v>609</v>
      </c>
      <c r="I658" s="515">
        <f>IFERROR(F658/E658,"-")</f>
        <v>0.54442608695652173</v>
      </c>
      <c r="J658" s="326">
        <f t="shared" ref="J658:L658" si="571">+J649+J657</f>
        <v>1711810</v>
      </c>
      <c r="K658" s="324">
        <f t="shared" si="571"/>
        <v>1696450</v>
      </c>
      <c r="L658" s="325">
        <f t="shared" si="571"/>
        <v>15360</v>
      </c>
      <c r="M658" s="341" t="str">
        <f t="shared" si="562"/>
        <v>-</v>
      </c>
      <c r="N658" s="349">
        <f t="shared" si="557"/>
        <v>8.972958447491252E-3</v>
      </c>
      <c r="O658" s="394"/>
      <c r="P658" s="410">
        <f t="shared" ref="P658:Q658" si="572">+P649+P657</f>
        <v>757057.8</v>
      </c>
      <c r="Q658" s="428">
        <f t="shared" si="572"/>
        <v>9781995.160000002</v>
      </c>
    </row>
    <row r="659" spans="1:17" ht="24" x14ac:dyDescent="0.25">
      <c r="A659" s="244" t="s">
        <v>101</v>
      </c>
      <c r="B659" s="581"/>
      <c r="C659" s="582" t="s">
        <v>283</v>
      </c>
      <c r="D659" s="527"/>
      <c r="E659" s="459"/>
      <c r="F659" s="457">
        <f>+G659+H659</f>
        <v>0</v>
      </c>
      <c r="G659" s="458"/>
      <c r="H659" s="838"/>
      <c r="I659" s="531" t="str">
        <f>IFERROR(F659/E659,"-")</f>
        <v>-</v>
      </c>
      <c r="J659" s="644">
        <f>+K659+L659</f>
        <v>0</v>
      </c>
      <c r="K659" s="458">
        <f t="shared" ref="K659:K665" si="573">+G659+K596</f>
        <v>0</v>
      </c>
      <c r="L659" s="459">
        <f t="shared" ref="L659:L665" si="574">+H659+L596</f>
        <v>0</v>
      </c>
      <c r="M659" s="586" t="str">
        <f>IFERROR(J659/D659,"-")</f>
        <v>-</v>
      </c>
      <c r="N659" s="533" t="str">
        <f t="shared" si="557"/>
        <v>-</v>
      </c>
      <c r="O659" s="628">
        <v>4.8285999999999998</v>
      </c>
      <c r="P659" s="534">
        <f t="shared" ref="P659:P665" si="575">+O659*G659</f>
        <v>0</v>
      </c>
      <c r="Q659" s="535">
        <f t="shared" ref="Q659:Q665" si="576">+O659*K659</f>
        <v>0</v>
      </c>
    </row>
    <row r="660" spans="1:17" ht="24" x14ac:dyDescent="0.25">
      <c r="A660" s="248" t="s">
        <v>101</v>
      </c>
      <c r="B660" s="583"/>
      <c r="C660" s="275" t="s">
        <v>284</v>
      </c>
      <c r="D660" s="276"/>
      <c r="E660" s="436"/>
      <c r="F660" s="333">
        <f t="shared" ref="F660:F665" si="577">+G660+H660</f>
        <v>0</v>
      </c>
      <c r="G660" s="278"/>
      <c r="H660" s="277"/>
      <c r="I660" s="352" t="str">
        <f t="shared" ref="I660:I665" si="578">IFERROR(F660/E660,"-")</f>
        <v>-</v>
      </c>
      <c r="J660" s="874">
        <f t="shared" ref="J660:J665" si="579">+K660+L660</f>
        <v>0</v>
      </c>
      <c r="K660" s="278">
        <f t="shared" si="573"/>
        <v>0</v>
      </c>
      <c r="L660" s="436">
        <f t="shared" si="574"/>
        <v>0</v>
      </c>
      <c r="M660" s="337" t="str">
        <f t="shared" ref="M660:M665" si="580">IFERROR(J660/D660,"-")</f>
        <v>-</v>
      </c>
      <c r="N660" s="265" t="str">
        <f t="shared" si="557"/>
        <v>-</v>
      </c>
      <c r="O660" s="629">
        <v>1.4086000000000001</v>
      </c>
      <c r="P660" s="404">
        <f t="shared" si="575"/>
        <v>0</v>
      </c>
      <c r="Q660" s="449">
        <f t="shared" si="576"/>
        <v>0</v>
      </c>
    </row>
    <row r="661" spans="1:17" ht="24" x14ac:dyDescent="0.25">
      <c r="A661" s="248" t="s">
        <v>101</v>
      </c>
      <c r="B661" s="583"/>
      <c r="C661" s="275" t="s">
        <v>315</v>
      </c>
      <c r="D661" s="276"/>
      <c r="E661" s="436"/>
      <c r="F661" s="333">
        <f t="shared" si="577"/>
        <v>0</v>
      </c>
      <c r="G661" s="278"/>
      <c r="H661" s="277"/>
      <c r="I661" s="352" t="str">
        <f t="shared" si="578"/>
        <v>-</v>
      </c>
      <c r="J661" s="874">
        <f t="shared" si="579"/>
        <v>0</v>
      </c>
      <c r="K661" s="278">
        <f t="shared" si="573"/>
        <v>0</v>
      </c>
      <c r="L661" s="436">
        <f t="shared" si="574"/>
        <v>0</v>
      </c>
      <c r="M661" s="337" t="str">
        <f t="shared" si="580"/>
        <v>-</v>
      </c>
      <c r="N661" s="265" t="str">
        <f>IFERROR(L661/J661,"-")</f>
        <v>-</v>
      </c>
      <c r="O661" s="629">
        <v>2.2141000000000002</v>
      </c>
      <c r="P661" s="404">
        <f t="shared" si="575"/>
        <v>0</v>
      </c>
      <c r="Q661" s="449">
        <f t="shared" si="576"/>
        <v>0</v>
      </c>
    </row>
    <row r="662" spans="1:17" ht="24" x14ac:dyDescent="0.25">
      <c r="A662" s="248" t="s">
        <v>101</v>
      </c>
      <c r="B662" s="584"/>
      <c r="C662" s="275" t="s">
        <v>447</v>
      </c>
      <c r="D662" s="280"/>
      <c r="E662" s="528"/>
      <c r="F662" s="334">
        <f t="shared" si="577"/>
        <v>97955</v>
      </c>
      <c r="G662" s="282">
        <v>97000</v>
      </c>
      <c r="H662" s="281">
        <v>955</v>
      </c>
      <c r="I662" s="352" t="str">
        <f t="shared" si="578"/>
        <v>-</v>
      </c>
      <c r="J662" s="874">
        <f t="shared" si="579"/>
        <v>545368</v>
      </c>
      <c r="K662" s="278">
        <f t="shared" si="573"/>
        <v>538000</v>
      </c>
      <c r="L662" s="436">
        <f t="shared" si="574"/>
        <v>7368</v>
      </c>
      <c r="M662" s="338" t="str">
        <f t="shared" si="580"/>
        <v>-</v>
      </c>
      <c r="N662" s="344">
        <f t="shared" ref="N662:N669" si="581">IFERROR(L662/J662,"-")</f>
        <v>1.3510143609452701E-2</v>
      </c>
      <c r="O662" s="629">
        <v>2.2141000000000002</v>
      </c>
      <c r="P662" s="405">
        <f t="shared" si="575"/>
        <v>214767.7</v>
      </c>
      <c r="Q662" s="450">
        <f t="shared" si="576"/>
        <v>1191185.8</v>
      </c>
    </row>
    <row r="663" spans="1:17" ht="24" x14ac:dyDescent="0.25">
      <c r="A663" s="248" t="s">
        <v>101</v>
      </c>
      <c r="B663" s="440"/>
      <c r="C663" s="627" t="s">
        <v>353</v>
      </c>
      <c r="D663" s="510"/>
      <c r="E663" s="529"/>
      <c r="F663" s="333">
        <f t="shared" si="577"/>
        <v>0</v>
      </c>
      <c r="G663" s="547"/>
      <c r="H663" s="873"/>
      <c r="I663" s="352" t="str">
        <f t="shared" si="578"/>
        <v>-</v>
      </c>
      <c r="J663" s="874">
        <f t="shared" si="579"/>
        <v>0</v>
      </c>
      <c r="K663" s="278">
        <f t="shared" si="573"/>
        <v>0</v>
      </c>
      <c r="L663" s="436">
        <f t="shared" si="574"/>
        <v>0</v>
      </c>
      <c r="M663" s="338" t="str">
        <f t="shared" si="580"/>
        <v>-</v>
      </c>
      <c r="N663" s="265" t="str">
        <f t="shared" si="581"/>
        <v>-</v>
      </c>
      <c r="O663" s="540">
        <v>4.8285999999999998</v>
      </c>
      <c r="P663" s="404">
        <f t="shared" si="575"/>
        <v>0</v>
      </c>
      <c r="Q663" s="449">
        <f t="shared" si="576"/>
        <v>0</v>
      </c>
    </row>
    <row r="664" spans="1:17" ht="24" x14ac:dyDescent="0.25">
      <c r="A664" s="248" t="s">
        <v>101</v>
      </c>
      <c r="B664" s="585"/>
      <c r="C664" s="627" t="s">
        <v>349</v>
      </c>
      <c r="D664" s="270"/>
      <c r="E664" s="435"/>
      <c r="F664" s="332">
        <f t="shared" si="577"/>
        <v>0</v>
      </c>
      <c r="G664" s="272"/>
      <c r="H664" s="271"/>
      <c r="I664" s="352" t="str">
        <f t="shared" si="578"/>
        <v>-</v>
      </c>
      <c r="J664" s="874">
        <f t="shared" si="579"/>
        <v>17157</v>
      </c>
      <c r="K664" s="278">
        <f t="shared" si="573"/>
        <v>16250</v>
      </c>
      <c r="L664" s="436">
        <f t="shared" si="574"/>
        <v>907</v>
      </c>
      <c r="M664" s="336" t="str">
        <f t="shared" si="580"/>
        <v>-</v>
      </c>
      <c r="N664" s="346">
        <f t="shared" si="581"/>
        <v>5.2864719939383339E-2</v>
      </c>
      <c r="O664" s="507">
        <v>4.1712999999999996</v>
      </c>
      <c r="P664" s="402">
        <f t="shared" si="575"/>
        <v>0</v>
      </c>
      <c r="Q664" s="447">
        <f t="shared" si="576"/>
        <v>67783.625</v>
      </c>
    </row>
    <row r="665" spans="1:17" ht="24.75" thickBot="1" x14ac:dyDescent="0.3">
      <c r="A665" s="248" t="s">
        <v>101</v>
      </c>
      <c r="B665" s="583"/>
      <c r="C665" s="275"/>
      <c r="D665" s="276"/>
      <c r="E665" s="436"/>
      <c r="F665" s="460">
        <f t="shared" si="577"/>
        <v>0</v>
      </c>
      <c r="G665" s="461"/>
      <c r="H665" s="839"/>
      <c r="I665" s="532" t="str">
        <f t="shared" si="578"/>
        <v>-</v>
      </c>
      <c r="J665" s="875">
        <f t="shared" si="579"/>
        <v>0</v>
      </c>
      <c r="K665" s="461">
        <f t="shared" si="573"/>
        <v>0</v>
      </c>
      <c r="L665" s="462">
        <f t="shared" si="574"/>
        <v>0</v>
      </c>
      <c r="M665" s="337" t="str">
        <f t="shared" si="580"/>
        <v>-</v>
      </c>
      <c r="N665" s="263" t="str">
        <f t="shared" si="581"/>
        <v>-</v>
      </c>
      <c r="O665" s="448"/>
      <c r="P665" s="404">
        <f t="shared" si="575"/>
        <v>0</v>
      </c>
      <c r="Q665" s="449">
        <f t="shared" si="576"/>
        <v>0</v>
      </c>
    </row>
    <row r="666" spans="1:17" ht="23.25" customHeight="1" thickBot="1" x14ac:dyDescent="0.3">
      <c r="A666" s="274" t="s">
        <v>101</v>
      </c>
      <c r="B666" s="1028" t="s">
        <v>21</v>
      </c>
      <c r="C666" s="964"/>
      <c r="D666" s="320">
        <v>0</v>
      </c>
      <c r="E666" s="285">
        <v>15000</v>
      </c>
      <c r="F666" s="513">
        <f>SUM(F659:F665)</f>
        <v>97955</v>
      </c>
      <c r="G666" s="519">
        <f t="shared" ref="G666:H666" si="582">SUM(G659:G665)</f>
        <v>97000</v>
      </c>
      <c r="H666" s="519">
        <f t="shared" si="582"/>
        <v>955</v>
      </c>
      <c r="I666" s="520">
        <f>IFERROR(F666/E666,"-")</f>
        <v>6.5303333333333331</v>
      </c>
      <c r="J666" s="513">
        <f t="shared" ref="J666" si="583">SUM(J659:J665)</f>
        <v>562525</v>
      </c>
      <c r="K666" s="519">
        <f>SUM(K659:K665)</f>
        <v>554250</v>
      </c>
      <c r="L666" s="519">
        <f>SUM(L659:L665)</f>
        <v>8275</v>
      </c>
      <c r="M666" s="339" t="str">
        <f>IFERROR(J666/D666,"-")</f>
        <v>-</v>
      </c>
      <c r="N666" s="345">
        <f t="shared" si="581"/>
        <v>1.471045731300831E-2</v>
      </c>
      <c r="O666" s="391"/>
      <c r="P666" s="406">
        <f>SUM(P659:P665)</f>
        <v>214767.7</v>
      </c>
      <c r="Q666" s="425">
        <f>SUM(Q659:Q665)</f>
        <v>1258969.425</v>
      </c>
    </row>
    <row r="667" spans="1:17" ht="23.25" customHeight="1" thickBot="1" x14ac:dyDescent="0.3">
      <c r="A667" s="274" t="s">
        <v>101</v>
      </c>
      <c r="B667" s="1029" t="s">
        <v>248</v>
      </c>
      <c r="C667" s="1030"/>
      <c r="D667" s="512">
        <f>+D663+D666</f>
        <v>0</v>
      </c>
      <c r="E667" s="525">
        <f>+E663+E666</f>
        <v>15000</v>
      </c>
      <c r="F667" s="512">
        <f>+F663+F666</f>
        <v>97955</v>
      </c>
      <c r="G667" s="514">
        <f>+G663+G666</f>
        <v>97000</v>
      </c>
      <c r="H667" s="514">
        <f>+H663+H666</f>
        <v>955</v>
      </c>
      <c r="I667" s="515">
        <f>IFERROR(F667/E667,"-")</f>
        <v>6.5303333333333331</v>
      </c>
      <c r="J667" s="512">
        <f>+J663+J666</f>
        <v>562525</v>
      </c>
      <c r="K667" s="514">
        <f>+K666</f>
        <v>554250</v>
      </c>
      <c r="L667" s="514">
        <f>+L666</f>
        <v>8275</v>
      </c>
      <c r="M667" s="516" t="str">
        <f t="shared" ref="M667" si="584">IFERROR(J667/D667,"-")</f>
        <v>-</v>
      </c>
      <c r="N667" s="515">
        <f t="shared" si="581"/>
        <v>1.471045731300831E-2</v>
      </c>
      <c r="O667" s="517"/>
      <c r="P667" s="518">
        <f>+P666</f>
        <v>214767.7</v>
      </c>
      <c r="Q667" s="518">
        <f>+Q666</f>
        <v>1258969.425</v>
      </c>
    </row>
    <row r="668" spans="1:17" ht="24" x14ac:dyDescent="0.35">
      <c r="A668" s="244" t="s">
        <v>101</v>
      </c>
      <c r="B668" s="1025" t="s">
        <v>250</v>
      </c>
      <c r="C668" s="542" t="s">
        <v>71</v>
      </c>
      <c r="D668" s="527"/>
      <c r="E668" s="459"/>
      <c r="F668" s="694">
        <f>+G668+H668</f>
        <v>10008</v>
      </c>
      <c r="G668" s="527">
        <v>10000</v>
      </c>
      <c r="H668" s="458">
        <v>8</v>
      </c>
      <c r="I668" s="531" t="str">
        <f>IFERROR(F668/E668,"-")</f>
        <v>-</v>
      </c>
      <c r="J668" s="644">
        <f>+K668+L668</f>
        <v>21178</v>
      </c>
      <c r="K668" s="458">
        <f t="shared" ref="K668:K699" si="585">+G668+K605</f>
        <v>21000</v>
      </c>
      <c r="L668" s="459">
        <f t="shared" ref="L668:L699" si="586">+H668+L605</f>
        <v>178</v>
      </c>
      <c r="M668" s="586" t="str">
        <f>IFERROR(J668/D668,"-")</f>
        <v>-</v>
      </c>
      <c r="N668" s="533">
        <f t="shared" si="581"/>
        <v>8.4049485314949476E-3</v>
      </c>
      <c r="O668" s="538">
        <v>32.946300000000001</v>
      </c>
      <c r="P668" s="534">
        <f t="shared" ref="P668:P699" si="587">+O668*G668</f>
        <v>329463</v>
      </c>
      <c r="Q668" s="535">
        <f t="shared" ref="Q668:Q699" si="588">+O668*K668</f>
        <v>691872.3</v>
      </c>
    </row>
    <row r="669" spans="1:17" ht="24" x14ac:dyDescent="0.35">
      <c r="A669" s="248" t="s">
        <v>101</v>
      </c>
      <c r="B669" s="1026"/>
      <c r="C669" s="543" t="s">
        <v>72</v>
      </c>
      <c r="D669" s="511"/>
      <c r="E669" s="436"/>
      <c r="F669" s="690">
        <f t="shared" ref="F669:F699" si="589">+G669+H669</f>
        <v>0</v>
      </c>
      <c r="G669" s="276"/>
      <c r="H669" s="278"/>
      <c r="I669" s="352" t="str">
        <f t="shared" ref="I669:I699" si="590">IFERROR(F669/E669,"-")</f>
        <v>-</v>
      </c>
      <c r="J669" s="874">
        <f t="shared" ref="J669:J699" si="591">+K669+L669</f>
        <v>10595</v>
      </c>
      <c r="K669" s="278">
        <f t="shared" si="585"/>
        <v>10500</v>
      </c>
      <c r="L669" s="436">
        <f t="shared" si="586"/>
        <v>95</v>
      </c>
      <c r="M669" s="337" t="str">
        <f t="shared" ref="M669:M702" si="592">IFERROR(J669/D669,"-")</f>
        <v>-</v>
      </c>
      <c r="N669" s="265">
        <f t="shared" si="581"/>
        <v>8.9664936290703157E-3</v>
      </c>
      <c r="O669" s="508">
        <v>35.398400000000002</v>
      </c>
      <c r="P669" s="404">
        <f t="shared" si="587"/>
        <v>0</v>
      </c>
      <c r="Q669" s="449">
        <f t="shared" si="588"/>
        <v>371683.2</v>
      </c>
    </row>
    <row r="670" spans="1:17" ht="24.75" thickBot="1" x14ac:dyDescent="0.4">
      <c r="A670" s="248" t="s">
        <v>101</v>
      </c>
      <c r="B670" s="1027"/>
      <c r="C670" s="543" t="s">
        <v>455</v>
      </c>
      <c r="D670" s="276"/>
      <c r="E670" s="436"/>
      <c r="F670" s="690">
        <f t="shared" si="589"/>
        <v>0</v>
      </c>
      <c r="G670" s="276"/>
      <c r="H670" s="278"/>
      <c r="I670" s="352" t="str">
        <f t="shared" si="590"/>
        <v>-</v>
      </c>
      <c r="J670" s="874">
        <f t="shared" si="591"/>
        <v>10147</v>
      </c>
      <c r="K670" s="278">
        <f t="shared" si="585"/>
        <v>9900</v>
      </c>
      <c r="L670" s="436">
        <f t="shared" si="586"/>
        <v>247</v>
      </c>
      <c r="M670" s="337" t="str">
        <f t="shared" si="592"/>
        <v>-</v>
      </c>
      <c r="N670" s="265">
        <f>IFERROR(L670/J670,"-")</f>
        <v>2.4342170099536809E-2</v>
      </c>
      <c r="O670" s="508">
        <v>35.398400000000002</v>
      </c>
      <c r="P670" s="404">
        <f t="shared" si="587"/>
        <v>0</v>
      </c>
      <c r="Q670" s="449">
        <f t="shared" si="588"/>
        <v>350444.16000000003</v>
      </c>
    </row>
    <row r="671" spans="1:17" ht="24" x14ac:dyDescent="0.35">
      <c r="A671" s="248" t="s">
        <v>101</v>
      </c>
      <c r="B671" s="1025" t="s">
        <v>251</v>
      </c>
      <c r="C671" s="545" t="s">
        <v>75</v>
      </c>
      <c r="D671" s="276"/>
      <c r="E671" s="528"/>
      <c r="F671" s="696">
        <f t="shared" si="589"/>
        <v>5120</v>
      </c>
      <c r="G671" s="276">
        <v>5100</v>
      </c>
      <c r="H671" s="278">
        <v>20</v>
      </c>
      <c r="I671" s="352" t="str">
        <f t="shared" si="590"/>
        <v>-</v>
      </c>
      <c r="J671" s="874">
        <f t="shared" si="591"/>
        <v>29847</v>
      </c>
      <c r="K671" s="278">
        <f t="shared" si="585"/>
        <v>29183</v>
      </c>
      <c r="L671" s="436">
        <f t="shared" si="586"/>
        <v>664</v>
      </c>
      <c r="M671" s="337" t="str">
        <f t="shared" si="592"/>
        <v>-</v>
      </c>
      <c r="N671" s="265">
        <f t="shared" ref="N671:N673" si="593">IFERROR(L671/J671,"-")</f>
        <v>2.2246791972392536E-2</v>
      </c>
      <c r="O671" s="508">
        <v>55.4758</v>
      </c>
      <c r="P671" s="404">
        <f t="shared" si="587"/>
        <v>282926.58</v>
      </c>
      <c r="Q671" s="449">
        <f t="shared" si="588"/>
        <v>1618950.2714</v>
      </c>
    </row>
    <row r="672" spans="1:17" ht="24" x14ac:dyDescent="0.35">
      <c r="A672" s="248" t="s">
        <v>101</v>
      </c>
      <c r="B672" s="1026"/>
      <c r="C672" s="545" t="s">
        <v>72</v>
      </c>
      <c r="D672" s="276"/>
      <c r="E672" s="529"/>
      <c r="F672" s="696">
        <f t="shared" si="589"/>
        <v>0</v>
      </c>
      <c r="G672" s="276"/>
      <c r="H672" s="278"/>
      <c r="I672" s="352" t="str">
        <f t="shared" si="590"/>
        <v>-</v>
      </c>
      <c r="J672" s="874">
        <f t="shared" si="591"/>
        <v>0</v>
      </c>
      <c r="K672" s="278">
        <f t="shared" si="585"/>
        <v>0</v>
      </c>
      <c r="L672" s="436">
        <f t="shared" si="586"/>
        <v>0</v>
      </c>
      <c r="M672" s="337" t="str">
        <f t="shared" si="592"/>
        <v>-</v>
      </c>
      <c r="N672" s="265" t="str">
        <f t="shared" si="593"/>
        <v>-</v>
      </c>
      <c r="O672" s="540">
        <v>58.836300000000001</v>
      </c>
      <c r="P672" s="404">
        <f t="shared" si="587"/>
        <v>0</v>
      </c>
      <c r="Q672" s="449">
        <f t="shared" si="588"/>
        <v>0</v>
      </c>
    </row>
    <row r="673" spans="1:17" ht="24" x14ac:dyDescent="0.35">
      <c r="A673" s="248" t="s">
        <v>101</v>
      </c>
      <c r="B673" s="1026"/>
      <c r="C673" s="545" t="s">
        <v>347</v>
      </c>
      <c r="D673" s="276"/>
      <c r="E673" s="435"/>
      <c r="F673" s="696">
        <f t="shared" si="589"/>
        <v>0</v>
      </c>
      <c r="G673" s="276"/>
      <c r="H673" s="278"/>
      <c r="I673" s="352" t="str">
        <f t="shared" si="590"/>
        <v>-</v>
      </c>
      <c r="J673" s="874">
        <f t="shared" si="591"/>
        <v>2745</v>
      </c>
      <c r="K673" s="278">
        <f t="shared" si="585"/>
        <v>2305</v>
      </c>
      <c r="L673" s="436">
        <f t="shared" si="586"/>
        <v>440</v>
      </c>
      <c r="M673" s="337" t="str">
        <f t="shared" si="592"/>
        <v>-</v>
      </c>
      <c r="N673" s="263">
        <f t="shared" si="593"/>
        <v>0.16029143897996356</v>
      </c>
      <c r="O673" s="710">
        <v>58.836300000000001</v>
      </c>
      <c r="P673" s="404">
        <f t="shared" si="587"/>
        <v>0</v>
      </c>
      <c r="Q673" s="449">
        <f t="shared" si="588"/>
        <v>135617.6715</v>
      </c>
    </row>
    <row r="674" spans="1:17" ht="24.75" thickBot="1" x14ac:dyDescent="0.4">
      <c r="A674" s="248"/>
      <c r="B674" s="1027"/>
      <c r="C674" s="545" t="s">
        <v>361</v>
      </c>
      <c r="D674" s="276"/>
      <c r="E674" s="435"/>
      <c r="F674" s="696">
        <f t="shared" si="589"/>
        <v>0</v>
      </c>
      <c r="G674" s="276"/>
      <c r="H674" s="278"/>
      <c r="I674" s="352" t="str">
        <f t="shared" si="590"/>
        <v>-</v>
      </c>
      <c r="J674" s="874">
        <f t="shared" si="591"/>
        <v>0</v>
      </c>
      <c r="K674" s="278">
        <f t="shared" si="585"/>
        <v>0</v>
      </c>
      <c r="L674" s="436">
        <f t="shared" si="586"/>
        <v>0</v>
      </c>
      <c r="M674" s="337" t="str">
        <f t="shared" si="592"/>
        <v>-</v>
      </c>
      <c r="N674" s="263" t="str">
        <f>IFERROR(L674/J674,"-")</f>
        <v>-</v>
      </c>
      <c r="O674" s="508">
        <v>55.4758</v>
      </c>
      <c r="P674" s="404">
        <f t="shared" si="587"/>
        <v>0</v>
      </c>
      <c r="Q674" s="449">
        <f t="shared" si="588"/>
        <v>0</v>
      </c>
    </row>
    <row r="675" spans="1:17" ht="24" x14ac:dyDescent="0.35">
      <c r="A675" s="248" t="s">
        <v>101</v>
      </c>
      <c r="B675" s="1025" t="s">
        <v>409</v>
      </c>
      <c r="C675" s="543" t="s">
        <v>77</v>
      </c>
      <c r="D675" s="276"/>
      <c r="E675" s="436"/>
      <c r="F675" s="690">
        <f t="shared" si="589"/>
        <v>0</v>
      </c>
      <c r="G675" s="276"/>
      <c r="H675" s="278"/>
      <c r="I675" s="352" t="str">
        <f t="shared" si="590"/>
        <v>-</v>
      </c>
      <c r="J675" s="874">
        <f t="shared" si="591"/>
        <v>24300</v>
      </c>
      <c r="K675" s="719">
        <f t="shared" si="585"/>
        <v>23960</v>
      </c>
      <c r="L675" s="815">
        <f t="shared" si="586"/>
        <v>340</v>
      </c>
      <c r="M675" s="337" t="str">
        <f t="shared" si="592"/>
        <v>-</v>
      </c>
      <c r="N675" s="263">
        <f t="shared" ref="N675:N701" si="594">IFERROR(L675/J675,"-")</f>
        <v>1.3991769547325103E-2</v>
      </c>
      <c r="O675" s="508">
        <v>25.687200000000001</v>
      </c>
      <c r="P675" s="404">
        <f t="shared" si="587"/>
        <v>0</v>
      </c>
      <c r="Q675" s="449">
        <f t="shared" si="588"/>
        <v>615465.31200000003</v>
      </c>
    </row>
    <row r="676" spans="1:17" ht="24.75" thickBot="1" x14ac:dyDescent="0.4">
      <c r="A676" s="248" t="s">
        <v>101</v>
      </c>
      <c r="B676" s="1027"/>
      <c r="C676" s="543" t="s">
        <v>117</v>
      </c>
      <c r="D676" s="276"/>
      <c r="E676" s="436"/>
      <c r="F676" s="690">
        <f t="shared" si="589"/>
        <v>0</v>
      </c>
      <c r="G676" s="276"/>
      <c r="H676" s="278"/>
      <c r="I676" s="352" t="str">
        <f t="shared" si="590"/>
        <v>-</v>
      </c>
      <c r="J676" s="874">
        <f t="shared" si="591"/>
        <v>0</v>
      </c>
      <c r="K676" s="278">
        <f t="shared" si="585"/>
        <v>0</v>
      </c>
      <c r="L676" s="436">
        <f t="shared" si="586"/>
        <v>0</v>
      </c>
      <c r="M676" s="337" t="str">
        <f t="shared" si="592"/>
        <v>-</v>
      </c>
      <c r="N676" s="263" t="str">
        <f t="shared" si="594"/>
        <v>-</v>
      </c>
      <c r="O676" s="508">
        <v>25.033899999999999</v>
      </c>
      <c r="P676" s="404">
        <f t="shared" si="587"/>
        <v>0</v>
      </c>
      <c r="Q676" s="449">
        <f t="shared" si="588"/>
        <v>0</v>
      </c>
    </row>
    <row r="677" spans="1:17" ht="24" x14ac:dyDescent="0.35">
      <c r="A677" s="248"/>
      <c r="B677" s="1025" t="s">
        <v>410</v>
      </c>
      <c r="C677" s="543" t="s">
        <v>79</v>
      </c>
      <c r="D677" s="276"/>
      <c r="E677" s="436"/>
      <c r="F677" s="690">
        <f t="shared" si="589"/>
        <v>5835</v>
      </c>
      <c r="G677" s="276">
        <v>5800</v>
      </c>
      <c r="H677" s="278">
        <v>35</v>
      </c>
      <c r="I677" s="352" t="str">
        <f t="shared" si="590"/>
        <v>-</v>
      </c>
      <c r="J677" s="874">
        <f t="shared" si="591"/>
        <v>18699</v>
      </c>
      <c r="K677" s="278">
        <f t="shared" si="585"/>
        <v>18490</v>
      </c>
      <c r="L677" s="436">
        <f t="shared" si="586"/>
        <v>209</v>
      </c>
      <c r="M677" s="337" t="str">
        <f t="shared" si="592"/>
        <v>-</v>
      </c>
      <c r="N677" s="263">
        <f t="shared" si="594"/>
        <v>1.1177068292422055E-2</v>
      </c>
      <c r="O677" s="508">
        <v>41.992699999999999</v>
      </c>
      <c r="P677" s="404">
        <f t="shared" si="587"/>
        <v>243557.66</v>
      </c>
      <c r="Q677" s="449">
        <f t="shared" si="588"/>
        <v>776445.02299999993</v>
      </c>
    </row>
    <row r="678" spans="1:17" ht="24" x14ac:dyDescent="0.35">
      <c r="A678" s="248"/>
      <c r="B678" s="1026"/>
      <c r="C678" s="543" t="s">
        <v>72</v>
      </c>
      <c r="D678" s="276"/>
      <c r="E678" s="436"/>
      <c r="F678" s="690">
        <f t="shared" si="589"/>
        <v>0</v>
      </c>
      <c r="G678" s="276"/>
      <c r="H678" s="278"/>
      <c r="I678" s="352" t="str">
        <f t="shared" si="590"/>
        <v>-</v>
      </c>
      <c r="J678" s="874">
        <f t="shared" si="591"/>
        <v>0</v>
      </c>
      <c r="K678" s="278">
        <f t="shared" si="585"/>
        <v>0</v>
      </c>
      <c r="L678" s="436">
        <f t="shared" si="586"/>
        <v>0</v>
      </c>
      <c r="M678" s="337" t="str">
        <f t="shared" si="592"/>
        <v>-</v>
      </c>
      <c r="N678" s="263" t="str">
        <f t="shared" si="594"/>
        <v>-</v>
      </c>
      <c r="O678" s="508">
        <v>42.283799999999999</v>
      </c>
      <c r="P678" s="404">
        <f t="shared" si="587"/>
        <v>0</v>
      </c>
      <c r="Q678" s="449">
        <f t="shared" si="588"/>
        <v>0</v>
      </c>
    </row>
    <row r="679" spans="1:17" ht="24" x14ac:dyDescent="0.35">
      <c r="A679" s="248"/>
      <c r="B679" s="1026"/>
      <c r="C679" s="543" t="s">
        <v>380</v>
      </c>
      <c r="D679" s="276"/>
      <c r="E679" s="436"/>
      <c r="F679" s="690">
        <f t="shared" si="589"/>
        <v>0</v>
      </c>
      <c r="G679" s="276"/>
      <c r="H679" s="278"/>
      <c r="I679" s="352" t="str">
        <f t="shared" si="590"/>
        <v>-</v>
      </c>
      <c r="J679" s="874">
        <f t="shared" si="591"/>
        <v>0</v>
      </c>
      <c r="K679" s="278">
        <f t="shared" si="585"/>
        <v>0</v>
      </c>
      <c r="L679" s="436">
        <f t="shared" si="586"/>
        <v>0</v>
      </c>
      <c r="M679" s="337" t="str">
        <f t="shared" si="592"/>
        <v>-</v>
      </c>
      <c r="N679" s="263" t="str">
        <f t="shared" si="594"/>
        <v>-</v>
      </c>
      <c r="O679" s="710">
        <v>41.992699999999999</v>
      </c>
      <c r="P679" s="404">
        <f t="shared" si="587"/>
        <v>0</v>
      </c>
      <c r="Q679" s="449">
        <f t="shared" si="588"/>
        <v>0</v>
      </c>
    </row>
    <row r="680" spans="1:17" ht="24.75" thickBot="1" x14ac:dyDescent="0.4">
      <c r="A680" s="248"/>
      <c r="B680" s="1027"/>
      <c r="C680" s="543" t="s">
        <v>381</v>
      </c>
      <c r="D680" s="276"/>
      <c r="E680" s="436"/>
      <c r="F680" s="690">
        <f t="shared" si="589"/>
        <v>0</v>
      </c>
      <c r="G680" s="276"/>
      <c r="H680" s="278"/>
      <c r="I680" s="352" t="str">
        <f t="shared" si="590"/>
        <v>-</v>
      </c>
      <c r="J680" s="874">
        <f t="shared" si="591"/>
        <v>0</v>
      </c>
      <c r="K680" s="278">
        <f t="shared" si="585"/>
        <v>0</v>
      </c>
      <c r="L680" s="436">
        <f t="shared" si="586"/>
        <v>0</v>
      </c>
      <c r="M680" s="337" t="str">
        <f t="shared" si="592"/>
        <v>-</v>
      </c>
      <c r="N680" s="263" t="str">
        <f t="shared" si="594"/>
        <v>-</v>
      </c>
      <c r="O680" s="710">
        <v>42.283799999999999</v>
      </c>
      <c r="P680" s="404">
        <f t="shared" si="587"/>
        <v>0</v>
      </c>
      <c r="Q680" s="449">
        <f t="shared" si="588"/>
        <v>0</v>
      </c>
    </row>
    <row r="681" spans="1:17" ht="24.75" thickBot="1" x14ac:dyDescent="0.4">
      <c r="A681" s="248"/>
      <c r="B681" s="717" t="s">
        <v>80</v>
      </c>
      <c r="C681" s="543" t="s">
        <v>81</v>
      </c>
      <c r="D681" s="276"/>
      <c r="E681" s="436"/>
      <c r="F681" s="690">
        <f t="shared" si="589"/>
        <v>0</v>
      </c>
      <c r="G681" s="276"/>
      <c r="H681" s="278"/>
      <c r="I681" s="352" t="str">
        <f t="shared" si="590"/>
        <v>-</v>
      </c>
      <c r="J681" s="874">
        <f t="shared" si="591"/>
        <v>23163</v>
      </c>
      <c r="K681" s="278">
        <f t="shared" si="585"/>
        <v>22200</v>
      </c>
      <c r="L681" s="687">
        <f t="shared" si="586"/>
        <v>963</v>
      </c>
      <c r="M681" s="337" t="str">
        <f t="shared" si="592"/>
        <v>-</v>
      </c>
      <c r="N681" s="263">
        <f t="shared" si="594"/>
        <v>4.1574925527781373E-2</v>
      </c>
      <c r="O681" s="508">
        <v>4.3535000000000004</v>
      </c>
      <c r="P681" s="404">
        <f t="shared" si="587"/>
        <v>0</v>
      </c>
      <c r="Q681" s="449">
        <f t="shared" si="588"/>
        <v>96647.700000000012</v>
      </c>
    </row>
    <row r="682" spans="1:17" ht="24" x14ac:dyDescent="0.35">
      <c r="A682" s="248"/>
      <c r="B682" s="1025" t="s">
        <v>253</v>
      </c>
      <c r="C682" s="543" t="s">
        <v>77</v>
      </c>
      <c r="D682" s="276"/>
      <c r="E682" s="436"/>
      <c r="F682" s="690">
        <f t="shared" si="589"/>
        <v>46308</v>
      </c>
      <c r="G682" s="276">
        <v>46200</v>
      </c>
      <c r="H682" s="278">
        <v>108</v>
      </c>
      <c r="I682" s="352" t="str">
        <f t="shared" si="590"/>
        <v>-</v>
      </c>
      <c r="J682" s="874">
        <f t="shared" si="591"/>
        <v>465290</v>
      </c>
      <c r="K682" s="278">
        <f t="shared" si="585"/>
        <v>463100</v>
      </c>
      <c r="L682" s="436">
        <f t="shared" si="586"/>
        <v>2190</v>
      </c>
      <c r="M682" s="337" t="str">
        <f t="shared" si="592"/>
        <v>-</v>
      </c>
      <c r="N682" s="263">
        <f t="shared" si="594"/>
        <v>4.7067420318511032E-3</v>
      </c>
      <c r="O682" s="508">
        <v>4.6184000000000003</v>
      </c>
      <c r="P682" s="404">
        <f t="shared" si="587"/>
        <v>213370.08000000002</v>
      </c>
      <c r="Q682" s="449">
        <f t="shared" si="588"/>
        <v>2138781.04</v>
      </c>
    </row>
    <row r="683" spans="1:17" ht="24" x14ac:dyDescent="0.35">
      <c r="A683" s="248"/>
      <c r="B683" s="1026"/>
      <c r="C683" s="543" t="s">
        <v>340</v>
      </c>
      <c r="D683" s="276"/>
      <c r="E683" s="436"/>
      <c r="F683" s="690">
        <f t="shared" si="589"/>
        <v>0</v>
      </c>
      <c r="G683" s="276"/>
      <c r="H683" s="278"/>
      <c r="I683" s="352" t="str">
        <f t="shared" si="590"/>
        <v>-</v>
      </c>
      <c r="J683" s="874">
        <f t="shared" si="591"/>
        <v>0</v>
      </c>
      <c r="K683" s="278">
        <f t="shared" si="585"/>
        <v>0</v>
      </c>
      <c r="L683" s="436">
        <f t="shared" si="586"/>
        <v>0</v>
      </c>
      <c r="M683" s="337" t="str">
        <f t="shared" si="592"/>
        <v>-</v>
      </c>
      <c r="N683" s="263" t="str">
        <f t="shared" si="594"/>
        <v>-</v>
      </c>
      <c r="O683" s="508">
        <v>4.6184000000000003</v>
      </c>
      <c r="P683" s="404">
        <f t="shared" si="587"/>
        <v>0</v>
      </c>
      <c r="Q683" s="449">
        <f t="shared" si="588"/>
        <v>0</v>
      </c>
    </row>
    <row r="684" spans="1:17" ht="24" x14ac:dyDescent="0.35">
      <c r="A684" s="248"/>
      <c r="B684" s="1026"/>
      <c r="C684" s="543" t="s">
        <v>252</v>
      </c>
      <c r="D684" s="276"/>
      <c r="E684" s="436"/>
      <c r="F684" s="690">
        <f t="shared" si="589"/>
        <v>0</v>
      </c>
      <c r="G684" s="276"/>
      <c r="H684" s="278"/>
      <c r="I684" s="352" t="str">
        <f t="shared" si="590"/>
        <v>-</v>
      </c>
      <c r="J684" s="874">
        <f t="shared" si="591"/>
        <v>0</v>
      </c>
      <c r="K684" s="278">
        <f t="shared" si="585"/>
        <v>0</v>
      </c>
      <c r="L684" s="436">
        <f t="shared" si="586"/>
        <v>0</v>
      </c>
      <c r="M684" s="337" t="str">
        <f t="shared" si="592"/>
        <v>-</v>
      </c>
      <c r="N684" s="263" t="str">
        <f t="shared" si="594"/>
        <v>-</v>
      </c>
      <c r="O684" s="508">
        <v>4.6184000000000003</v>
      </c>
      <c r="P684" s="404">
        <f t="shared" si="587"/>
        <v>0</v>
      </c>
      <c r="Q684" s="449">
        <f t="shared" si="588"/>
        <v>0</v>
      </c>
    </row>
    <row r="685" spans="1:17" ht="24" x14ac:dyDescent="0.35">
      <c r="A685" s="248"/>
      <c r="B685" s="1026"/>
      <c r="C685" s="543" t="s">
        <v>350</v>
      </c>
      <c r="D685" s="276"/>
      <c r="E685" s="436"/>
      <c r="F685" s="690">
        <f t="shared" si="589"/>
        <v>0</v>
      </c>
      <c r="G685" s="276"/>
      <c r="H685" s="278"/>
      <c r="I685" s="352" t="str">
        <f t="shared" si="590"/>
        <v>-</v>
      </c>
      <c r="J685" s="874">
        <f t="shared" si="591"/>
        <v>0</v>
      </c>
      <c r="K685" s="686">
        <f t="shared" si="585"/>
        <v>0</v>
      </c>
      <c r="L685" s="687">
        <f t="shared" si="586"/>
        <v>0</v>
      </c>
      <c r="M685" s="337" t="str">
        <f t="shared" si="592"/>
        <v>-</v>
      </c>
      <c r="N685" s="263" t="str">
        <f t="shared" si="594"/>
        <v>-</v>
      </c>
      <c r="O685" s="508">
        <v>4.7636000000000003</v>
      </c>
      <c r="P685" s="404">
        <f t="shared" si="587"/>
        <v>0</v>
      </c>
      <c r="Q685" s="449">
        <f t="shared" si="588"/>
        <v>0</v>
      </c>
    </row>
    <row r="686" spans="1:17" ht="24.75" thickBot="1" x14ac:dyDescent="0.4">
      <c r="A686" s="248"/>
      <c r="B686" s="1027"/>
      <c r="C686" s="543" t="s">
        <v>346</v>
      </c>
      <c r="D686" s="276"/>
      <c r="E686" s="436"/>
      <c r="F686" s="690">
        <f t="shared" si="589"/>
        <v>0</v>
      </c>
      <c r="G686" s="276"/>
      <c r="H686" s="278"/>
      <c r="I686" s="352" t="str">
        <f t="shared" si="590"/>
        <v>-</v>
      </c>
      <c r="J686" s="874">
        <f t="shared" si="591"/>
        <v>0</v>
      </c>
      <c r="K686" s="278">
        <f t="shared" si="585"/>
        <v>0</v>
      </c>
      <c r="L686" s="436">
        <f t="shared" si="586"/>
        <v>0</v>
      </c>
      <c r="M686" s="337" t="str">
        <f t="shared" si="592"/>
        <v>-</v>
      </c>
      <c r="N686" s="263" t="str">
        <f t="shared" si="594"/>
        <v>-</v>
      </c>
      <c r="O686" s="508">
        <v>4.8738000000000001</v>
      </c>
      <c r="P686" s="404">
        <f t="shared" si="587"/>
        <v>0</v>
      </c>
      <c r="Q686" s="449">
        <f t="shared" si="588"/>
        <v>0</v>
      </c>
    </row>
    <row r="687" spans="1:17" ht="24.75" thickBot="1" x14ac:dyDescent="0.4">
      <c r="A687" s="248"/>
      <c r="B687" s="717" t="s">
        <v>254</v>
      </c>
      <c r="C687" s="543" t="s">
        <v>520</v>
      </c>
      <c r="D687" s="276"/>
      <c r="E687" s="436"/>
      <c r="F687" s="690">
        <f t="shared" si="589"/>
        <v>0</v>
      </c>
      <c r="G687" s="276"/>
      <c r="H687" s="278"/>
      <c r="I687" s="352" t="str">
        <f t="shared" si="590"/>
        <v>-</v>
      </c>
      <c r="J687" s="874">
        <f t="shared" si="591"/>
        <v>17752</v>
      </c>
      <c r="K687" s="278">
        <f t="shared" si="585"/>
        <v>17600</v>
      </c>
      <c r="L687" s="436">
        <f t="shared" si="586"/>
        <v>152</v>
      </c>
      <c r="M687" s="337" t="str">
        <f t="shared" si="592"/>
        <v>-</v>
      </c>
      <c r="N687" s="263">
        <f t="shared" si="594"/>
        <v>8.5624155024785938E-3</v>
      </c>
      <c r="O687" s="508">
        <v>4.8738000000000001</v>
      </c>
      <c r="P687" s="404">
        <f t="shared" si="587"/>
        <v>0</v>
      </c>
      <c r="Q687" s="449">
        <f t="shared" si="588"/>
        <v>85778.880000000005</v>
      </c>
    </row>
    <row r="688" spans="1:17" ht="24" x14ac:dyDescent="0.35">
      <c r="A688" s="248"/>
      <c r="B688" s="1025" t="s">
        <v>256</v>
      </c>
      <c r="C688" s="543" t="s">
        <v>77</v>
      </c>
      <c r="D688" s="276"/>
      <c r="E688" s="436"/>
      <c r="F688" s="690">
        <f t="shared" si="589"/>
        <v>49630</v>
      </c>
      <c r="G688" s="276">
        <v>48650</v>
      </c>
      <c r="H688" s="278">
        <v>980</v>
      </c>
      <c r="I688" s="352" t="str">
        <f t="shared" si="590"/>
        <v>-</v>
      </c>
      <c r="J688" s="874">
        <f t="shared" si="591"/>
        <v>438092</v>
      </c>
      <c r="K688" s="719">
        <f t="shared" si="585"/>
        <v>430080</v>
      </c>
      <c r="L688" s="815">
        <f t="shared" si="586"/>
        <v>8012</v>
      </c>
      <c r="M688" s="337" t="str">
        <f t="shared" si="592"/>
        <v>-</v>
      </c>
      <c r="N688" s="263">
        <f t="shared" si="594"/>
        <v>1.8288396044666418E-2</v>
      </c>
      <c r="O688" s="508">
        <v>4.9344999999999999</v>
      </c>
      <c r="P688" s="404">
        <f t="shared" si="587"/>
        <v>240063.42499999999</v>
      </c>
      <c r="Q688" s="449">
        <f t="shared" si="588"/>
        <v>2122229.7599999998</v>
      </c>
    </row>
    <row r="689" spans="1:17" ht="24" x14ac:dyDescent="0.35">
      <c r="A689" s="248"/>
      <c r="B689" s="1026"/>
      <c r="C689" s="543" t="s">
        <v>135</v>
      </c>
      <c r="D689" s="276"/>
      <c r="E689" s="436"/>
      <c r="F689" s="690">
        <f t="shared" si="589"/>
        <v>0</v>
      </c>
      <c r="G689" s="276"/>
      <c r="H689" s="278"/>
      <c r="I689" s="352" t="str">
        <f t="shared" si="590"/>
        <v>-</v>
      </c>
      <c r="J689" s="874">
        <f t="shared" si="591"/>
        <v>0</v>
      </c>
      <c r="K689" s="278">
        <f t="shared" si="585"/>
        <v>0</v>
      </c>
      <c r="L689" s="436">
        <f t="shared" si="586"/>
        <v>0</v>
      </c>
      <c r="M689" s="337" t="str">
        <f t="shared" si="592"/>
        <v>-</v>
      </c>
      <c r="N689" s="263" t="str">
        <f t="shared" si="594"/>
        <v>-</v>
      </c>
      <c r="O689" s="508">
        <v>4.9344999999999999</v>
      </c>
      <c r="P689" s="404">
        <f t="shared" si="587"/>
        <v>0</v>
      </c>
      <c r="Q689" s="449">
        <f t="shared" si="588"/>
        <v>0</v>
      </c>
    </row>
    <row r="690" spans="1:17" ht="24" x14ac:dyDescent="0.35">
      <c r="A690" s="248"/>
      <c r="B690" s="1026"/>
      <c r="C690" s="543" t="s">
        <v>129</v>
      </c>
      <c r="D690" s="276"/>
      <c r="E690" s="436"/>
      <c r="F690" s="690">
        <f t="shared" si="589"/>
        <v>0</v>
      </c>
      <c r="G690" s="276"/>
      <c r="H690" s="278"/>
      <c r="I690" s="352" t="str">
        <f t="shared" si="590"/>
        <v>-</v>
      </c>
      <c r="J690" s="874">
        <f t="shared" si="591"/>
        <v>0</v>
      </c>
      <c r="K690" s="278">
        <f t="shared" si="585"/>
        <v>0</v>
      </c>
      <c r="L690" s="436">
        <f t="shared" si="586"/>
        <v>0</v>
      </c>
      <c r="M690" s="337" t="str">
        <f t="shared" si="592"/>
        <v>-</v>
      </c>
      <c r="N690" s="263" t="str">
        <f t="shared" si="594"/>
        <v>-</v>
      </c>
      <c r="O690" s="508">
        <v>4.9344999999999999</v>
      </c>
      <c r="P690" s="404">
        <f t="shared" si="587"/>
        <v>0</v>
      </c>
      <c r="Q690" s="449">
        <f t="shared" si="588"/>
        <v>0</v>
      </c>
    </row>
    <row r="691" spans="1:17" ht="24.75" thickBot="1" x14ac:dyDescent="0.4">
      <c r="A691" s="248"/>
      <c r="B691" s="1027"/>
      <c r="C691" s="543" t="s">
        <v>255</v>
      </c>
      <c r="D691" s="276"/>
      <c r="E691" s="436"/>
      <c r="F691" s="690">
        <f t="shared" si="589"/>
        <v>0</v>
      </c>
      <c r="G691" s="276"/>
      <c r="H691" s="278"/>
      <c r="I691" s="352" t="str">
        <f t="shared" si="590"/>
        <v>-</v>
      </c>
      <c r="J691" s="874">
        <f t="shared" si="591"/>
        <v>0</v>
      </c>
      <c r="K691" s="278">
        <f t="shared" si="585"/>
        <v>0</v>
      </c>
      <c r="L691" s="436">
        <f t="shared" si="586"/>
        <v>0</v>
      </c>
      <c r="M691" s="337" t="str">
        <f t="shared" si="592"/>
        <v>-</v>
      </c>
      <c r="N691" s="263" t="str">
        <f t="shared" si="594"/>
        <v>-</v>
      </c>
      <c r="O691" s="508">
        <v>5.5069999999999997</v>
      </c>
      <c r="P691" s="404">
        <f t="shared" si="587"/>
        <v>0</v>
      </c>
      <c r="Q691" s="449">
        <f t="shared" si="588"/>
        <v>0</v>
      </c>
    </row>
    <row r="692" spans="1:17" ht="24" x14ac:dyDescent="0.35">
      <c r="A692" s="248"/>
      <c r="B692" s="1025" t="s">
        <v>261</v>
      </c>
      <c r="C692" s="543" t="s">
        <v>257</v>
      </c>
      <c r="D692" s="276"/>
      <c r="E692" s="436"/>
      <c r="F692" s="690">
        <f t="shared" si="589"/>
        <v>41368</v>
      </c>
      <c r="G692" s="276">
        <v>41300</v>
      </c>
      <c r="H692" s="278">
        <v>68</v>
      </c>
      <c r="I692" s="352" t="str">
        <f t="shared" si="590"/>
        <v>-</v>
      </c>
      <c r="J692" s="874">
        <f t="shared" si="591"/>
        <v>411882</v>
      </c>
      <c r="K692" s="278">
        <f t="shared" si="585"/>
        <v>408800</v>
      </c>
      <c r="L692" s="687">
        <f t="shared" si="586"/>
        <v>3082</v>
      </c>
      <c r="M692" s="337" t="str">
        <f t="shared" si="592"/>
        <v>-</v>
      </c>
      <c r="N692" s="263">
        <f t="shared" si="594"/>
        <v>7.4827256350119692E-3</v>
      </c>
      <c r="O692" s="710">
        <v>5.5069999999999997</v>
      </c>
      <c r="P692" s="404">
        <f t="shared" si="587"/>
        <v>227439.09999999998</v>
      </c>
      <c r="Q692" s="449">
        <f t="shared" si="588"/>
        <v>2251261.6</v>
      </c>
    </row>
    <row r="693" spans="1:17" ht="24" x14ac:dyDescent="0.35">
      <c r="A693" s="248"/>
      <c r="B693" s="1026"/>
      <c r="C693" s="543" t="s">
        <v>258</v>
      </c>
      <c r="D693" s="276"/>
      <c r="E693" s="436"/>
      <c r="F693" s="690">
        <f t="shared" si="589"/>
        <v>0</v>
      </c>
      <c r="G693" s="276"/>
      <c r="H693" s="278"/>
      <c r="I693" s="352" t="str">
        <f t="shared" si="590"/>
        <v>-</v>
      </c>
      <c r="J693" s="874">
        <f t="shared" si="591"/>
        <v>0</v>
      </c>
      <c r="K693" s="278">
        <f t="shared" si="585"/>
        <v>0</v>
      </c>
      <c r="L693" s="436">
        <f t="shared" si="586"/>
        <v>0</v>
      </c>
      <c r="M693" s="337" t="str">
        <f t="shared" si="592"/>
        <v>-</v>
      </c>
      <c r="N693" s="263" t="str">
        <f t="shared" si="594"/>
        <v>-</v>
      </c>
      <c r="O693" s="508">
        <v>5.6550000000000002</v>
      </c>
      <c r="P693" s="404">
        <f t="shared" si="587"/>
        <v>0</v>
      </c>
      <c r="Q693" s="449">
        <f t="shared" si="588"/>
        <v>0</v>
      </c>
    </row>
    <row r="694" spans="1:17" ht="24" x14ac:dyDescent="0.35">
      <c r="A694" s="248"/>
      <c r="B694" s="1026"/>
      <c r="C694" s="543" t="s">
        <v>321</v>
      </c>
      <c r="D694" s="276"/>
      <c r="E694" s="436"/>
      <c r="F694" s="690">
        <f t="shared" si="589"/>
        <v>0</v>
      </c>
      <c r="G694" s="276"/>
      <c r="H694" s="278"/>
      <c r="I694" s="352" t="str">
        <f t="shared" si="590"/>
        <v>-</v>
      </c>
      <c r="J694" s="874">
        <f t="shared" si="591"/>
        <v>0</v>
      </c>
      <c r="K694" s="686">
        <f t="shared" si="585"/>
        <v>0</v>
      </c>
      <c r="L694" s="687">
        <f t="shared" si="586"/>
        <v>0</v>
      </c>
      <c r="M694" s="337" t="str">
        <f t="shared" si="592"/>
        <v>-</v>
      </c>
      <c r="N694" s="263" t="str">
        <f t="shared" si="594"/>
        <v>-</v>
      </c>
      <c r="O694" s="508">
        <v>5.6550000000000002</v>
      </c>
      <c r="P694" s="404">
        <f t="shared" si="587"/>
        <v>0</v>
      </c>
      <c r="Q694" s="449">
        <f t="shared" si="588"/>
        <v>0</v>
      </c>
    </row>
    <row r="695" spans="1:17" ht="24" x14ac:dyDescent="0.35">
      <c r="A695" s="248"/>
      <c r="B695" s="1026"/>
      <c r="C695" s="543" t="s">
        <v>259</v>
      </c>
      <c r="D695" s="276"/>
      <c r="E695" s="436"/>
      <c r="F695" s="690">
        <f t="shared" si="589"/>
        <v>0</v>
      </c>
      <c r="G695" s="276"/>
      <c r="H695" s="278"/>
      <c r="I695" s="352" t="str">
        <f t="shared" si="590"/>
        <v>-</v>
      </c>
      <c r="J695" s="874">
        <f t="shared" si="591"/>
        <v>0</v>
      </c>
      <c r="K695" s="278">
        <f t="shared" si="585"/>
        <v>0</v>
      </c>
      <c r="L695" s="436">
        <f t="shared" si="586"/>
        <v>0</v>
      </c>
      <c r="M695" s="337" t="str">
        <f t="shared" si="592"/>
        <v>-</v>
      </c>
      <c r="N695" s="263" t="str">
        <f t="shared" si="594"/>
        <v>-</v>
      </c>
      <c r="O695" s="508">
        <v>5.6550000000000002</v>
      </c>
      <c r="P695" s="404">
        <f t="shared" si="587"/>
        <v>0</v>
      </c>
      <c r="Q695" s="449">
        <f t="shared" si="588"/>
        <v>0</v>
      </c>
    </row>
    <row r="696" spans="1:17" ht="24" x14ac:dyDescent="0.35">
      <c r="A696" s="248" t="s">
        <v>101</v>
      </c>
      <c r="B696" s="1026"/>
      <c r="C696" s="543" t="s">
        <v>260</v>
      </c>
      <c r="D696" s="276"/>
      <c r="E696" s="436"/>
      <c r="F696" s="690">
        <f t="shared" si="589"/>
        <v>0</v>
      </c>
      <c r="G696" s="276"/>
      <c r="H696" s="278"/>
      <c r="I696" s="352" t="str">
        <f t="shared" si="590"/>
        <v>-</v>
      </c>
      <c r="J696" s="874">
        <f t="shared" si="591"/>
        <v>0</v>
      </c>
      <c r="K696" s="278">
        <f t="shared" si="585"/>
        <v>0</v>
      </c>
      <c r="L696" s="436">
        <f t="shared" si="586"/>
        <v>0</v>
      </c>
      <c r="M696" s="337" t="str">
        <f t="shared" si="592"/>
        <v>-</v>
      </c>
      <c r="N696" s="263" t="str">
        <f t="shared" si="594"/>
        <v>-</v>
      </c>
      <c r="O696" s="508">
        <v>3.2963</v>
      </c>
      <c r="P696" s="404">
        <f t="shared" si="587"/>
        <v>0</v>
      </c>
      <c r="Q696" s="449">
        <f t="shared" si="588"/>
        <v>0</v>
      </c>
    </row>
    <row r="697" spans="1:17" ht="24.75" thickBot="1" x14ac:dyDescent="0.4">
      <c r="A697" s="248" t="s">
        <v>101</v>
      </c>
      <c r="B697" s="1027"/>
      <c r="C697" s="543" t="s">
        <v>255</v>
      </c>
      <c r="D697" s="276"/>
      <c r="E697" s="436"/>
      <c r="F697" s="690">
        <f t="shared" si="589"/>
        <v>0</v>
      </c>
      <c r="G697" s="276"/>
      <c r="H697" s="278"/>
      <c r="I697" s="352" t="str">
        <f t="shared" si="590"/>
        <v>-</v>
      </c>
      <c r="J697" s="874">
        <f t="shared" si="591"/>
        <v>0</v>
      </c>
      <c r="K697" s="278">
        <f t="shared" si="585"/>
        <v>0</v>
      </c>
      <c r="L697" s="436">
        <f t="shared" si="586"/>
        <v>0</v>
      </c>
      <c r="M697" s="337" t="str">
        <f t="shared" si="592"/>
        <v>-</v>
      </c>
      <c r="N697" s="263" t="str">
        <f t="shared" si="594"/>
        <v>-</v>
      </c>
      <c r="O697" s="508">
        <v>3.2963</v>
      </c>
      <c r="P697" s="404">
        <f t="shared" si="587"/>
        <v>0</v>
      </c>
      <c r="Q697" s="449">
        <f t="shared" si="588"/>
        <v>0</v>
      </c>
    </row>
    <row r="698" spans="1:17" ht="24" x14ac:dyDescent="0.35">
      <c r="A698" s="248" t="s">
        <v>101</v>
      </c>
      <c r="B698" s="546"/>
      <c r="C698" s="544" t="s">
        <v>89</v>
      </c>
      <c r="D698" s="511"/>
      <c r="E698" s="436"/>
      <c r="F698" s="690">
        <f t="shared" si="589"/>
        <v>0</v>
      </c>
      <c r="G698" s="276"/>
      <c r="H698" s="278"/>
      <c r="I698" s="352" t="str">
        <f t="shared" si="590"/>
        <v>-</v>
      </c>
      <c r="J698" s="874">
        <f t="shared" si="591"/>
        <v>83715</v>
      </c>
      <c r="K698" s="278">
        <f t="shared" si="585"/>
        <v>83400</v>
      </c>
      <c r="L698" s="436">
        <f t="shared" si="586"/>
        <v>315</v>
      </c>
      <c r="M698" s="337" t="str">
        <f t="shared" si="592"/>
        <v>-</v>
      </c>
      <c r="N698" s="263">
        <f t="shared" si="594"/>
        <v>3.7627665292958249E-3</v>
      </c>
      <c r="O698" s="508">
        <v>2.3201000000000001</v>
      </c>
      <c r="P698" s="404">
        <f t="shared" si="587"/>
        <v>0</v>
      </c>
      <c r="Q698" s="449">
        <f t="shared" si="588"/>
        <v>193496.34</v>
      </c>
    </row>
    <row r="699" spans="1:17" ht="24.75" thickBot="1" x14ac:dyDescent="0.3">
      <c r="A699" s="248" t="s">
        <v>101</v>
      </c>
      <c r="B699" s="524"/>
      <c r="C699" s="541"/>
      <c r="D699" s="530"/>
      <c r="E699" s="462"/>
      <c r="F699" s="691">
        <f t="shared" si="589"/>
        <v>0</v>
      </c>
      <c r="G699" s="530"/>
      <c r="H699" s="461"/>
      <c r="I699" s="532" t="str">
        <f t="shared" si="590"/>
        <v>-</v>
      </c>
      <c r="J699" s="875">
        <f t="shared" si="591"/>
        <v>0</v>
      </c>
      <c r="K699" s="461">
        <f t="shared" si="585"/>
        <v>0</v>
      </c>
      <c r="L699" s="462">
        <f t="shared" si="586"/>
        <v>0</v>
      </c>
      <c r="M699" s="683" t="str">
        <f t="shared" si="592"/>
        <v>-</v>
      </c>
      <c r="N699" s="264" t="str">
        <f t="shared" si="594"/>
        <v>-</v>
      </c>
      <c r="O699" s="539"/>
      <c r="P699" s="536">
        <f t="shared" si="587"/>
        <v>0</v>
      </c>
      <c r="Q699" s="537">
        <f t="shared" si="588"/>
        <v>0</v>
      </c>
    </row>
    <row r="700" spans="1:17" ht="23.25" customHeight="1" thickBot="1" x14ac:dyDescent="0.3">
      <c r="A700" s="274" t="s">
        <v>101</v>
      </c>
      <c r="B700" s="1028" t="s">
        <v>25</v>
      </c>
      <c r="C700" s="964"/>
      <c r="D700" s="513">
        <f>SUM(D673:D699)</f>
        <v>0</v>
      </c>
      <c r="E700" s="526">
        <v>100000</v>
      </c>
      <c r="F700" s="519">
        <f>SUM(F668:F699)</f>
        <v>158269</v>
      </c>
      <c r="G700" s="519">
        <f>SUM(G668:G699)</f>
        <v>157050</v>
      </c>
      <c r="H700" s="519">
        <f>SUM(H668:H699)</f>
        <v>1219</v>
      </c>
      <c r="I700" s="520">
        <f>IFERROR(F700/E700,"-")</f>
        <v>1.5826899999999999</v>
      </c>
      <c r="J700" s="513">
        <f>SUM(J668:J699)</f>
        <v>1557405</v>
      </c>
      <c r="K700" s="513">
        <f t="shared" ref="K700:L700" si="595">SUM(K668:K699)</f>
        <v>1540518</v>
      </c>
      <c r="L700" s="513">
        <f t="shared" si="595"/>
        <v>16887</v>
      </c>
      <c r="M700" s="521" t="str">
        <f t="shared" si="592"/>
        <v>-</v>
      </c>
      <c r="N700" s="520">
        <f t="shared" si="594"/>
        <v>1.0843036974967975E-2</v>
      </c>
      <c r="O700" s="522"/>
      <c r="P700" s="523">
        <f>SUM(P668:P699)</f>
        <v>1536819.8450000002</v>
      </c>
      <c r="Q700" s="523">
        <f>SUM(Q668:Q699)</f>
        <v>11448673.2579</v>
      </c>
    </row>
    <row r="701" spans="1:17" ht="23.25" customHeight="1" thickBot="1" x14ac:dyDescent="0.3">
      <c r="A701" s="318" t="s">
        <v>101</v>
      </c>
      <c r="B701" s="1029" t="s">
        <v>249</v>
      </c>
      <c r="C701" s="1030"/>
      <c r="D701" s="326">
        <f>+D672+D700</f>
        <v>0</v>
      </c>
      <c r="E701" s="327">
        <f>+E672+E700</f>
        <v>100000</v>
      </c>
      <c r="F701" s="326">
        <f>+F700</f>
        <v>158269</v>
      </c>
      <c r="G701" s="326">
        <f t="shared" ref="G701:H701" si="596">+G700</f>
        <v>157050</v>
      </c>
      <c r="H701" s="326">
        <f t="shared" si="596"/>
        <v>1219</v>
      </c>
      <c r="I701" s="349">
        <f>IFERROR(F701/E701,"-")</f>
        <v>1.5826899999999999</v>
      </c>
      <c r="J701" s="326">
        <f>+J700</f>
        <v>1557405</v>
      </c>
      <c r="K701" s="326">
        <f t="shared" ref="K701:L701" si="597">+K700</f>
        <v>1540518</v>
      </c>
      <c r="L701" s="326">
        <f t="shared" si="597"/>
        <v>16887</v>
      </c>
      <c r="M701" s="341" t="str">
        <f t="shared" si="592"/>
        <v>-</v>
      </c>
      <c r="N701" s="349">
        <f t="shared" si="594"/>
        <v>1.0843036974967975E-2</v>
      </c>
      <c r="O701" s="394"/>
      <c r="P701" s="410">
        <f>+P700</f>
        <v>1536819.8450000002</v>
      </c>
      <c r="Q701" s="428">
        <f>Q700</f>
        <v>11448673.2579</v>
      </c>
    </row>
    <row r="702" spans="1:17" ht="26.25" thickBot="1" x14ac:dyDescent="0.3">
      <c r="A702" s="319"/>
      <c r="B702" s="1031" t="s">
        <v>174</v>
      </c>
      <c r="C702" s="1032"/>
      <c r="D702" s="374">
        <f>+D701+D667+D658</f>
        <v>0</v>
      </c>
      <c r="E702" s="374">
        <f>+E701+E667+E658</f>
        <v>230000</v>
      </c>
      <c r="F702" s="374">
        <f>+F701+F667+F658</f>
        <v>318833</v>
      </c>
      <c r="G702" s="374">
        <f>+G701+G667+G658</f>
        <v>316050</v>
      </c>
      <c r="H702" s="374">
        <f>+H701+H667+H658</f>
        <v>2783</v>
      </c>
      <c r="I702" s="375">
        <f>IFERROR(F702/E702,"-")</f>
        <v>1.3862304347826087</v>
      </c>
      <c r="J702" s="374">
        <f>+J701+J667+J658</f>
        <v>3831740</v>
      </c>
      <c r="K702" s="374">
        <f>+K701+K667+K658</f>
        <v>3791218</v>
      </c>
      <c r="L702" s="374">
        <f>+L701+L667+L658</f>
        <v>40522</v>
      </c>
      <c r="M702" s="375" t="str">
        <f t="shared" si="592"/>
        <v>-</v>
      </c>
      <c r="N702" s="375">
        <f>IFERROR(L702/J702,"-")</f>
        <v>1.0575352189866745E-2</v>
      </c>
      <c r="O702" s="401"/>
      <c r="P702" s="418">
        <f>+P701+P667+P658</f>
        <v>2508645.3450000002</v>
      </c>
      <c r="Q702" s="418">
        <f>+Q701+Q667+Q658</f>
        <v>22489637.842900001</v>
      </c>
    </row>
    <row r="703" spans="1:17" ht="17.25" thickBot="1" x14ac:dyDescent="0.3"/>
    <row r="704" spans="1:17" ht="22.5" x14ac:dyDescent="0.25">
      <c r="A704" s="1033" t="s">
        <v>1</v>
      </c>
      <c r="B704" s="1036" t="s">
        <v>2</v>
      </c>
      <c r="C704" s="1039" t="s">
        <v>396</v>
      </c>
      <c r="D704" s="987" t="s">
        <v>4</v>
      </c>
      <c r="E704" s="988"/>
      <c r="F704" s="988"/>
      <c r="G704" s="988"/>
      <c r="H704" s="988"/>
      <c r="I704" s="988"/>
      <c r="J704" s="988"/>
      <c r="K704" s="988"/>
      <c r="L704" s="988"/>
      <c r="M704" s="988"/>
      <c r="N704" s="989"/>
      <c r="O704" s="1011" t="s">
        <v>167</v>
      </c>
      <c r="P704" s="1012"/>
      <c r="Q704" s="1042"/>
    </row>
    <row r="705" spans="1:17" ht="22.5" x14ac:dyDescent="0.25">
      <c r="A705" s="1034"/>
      <c r="B705" s="1037"/>
      <c r="C705" s="1040"/>
      <c r="D705" s="990" t="s">
        <v>7</v>
      </c>
      <c r="E705" s="992" t="s">
        <v>108</v>
      </c>
      <c r="F705" s="1043" t="s">
        <v>557</v>
      </c>
      <c r="G705" s="995"/>
      <c r="H705" s="995"/>
      <c r="I705" s="996"/>
      <c r="J705" s="997" t="s">
        <v>8</v>
      </c>
      <c r="K705" s="998"/>
      <c r="L705" s="999"/>
      <c r="M705" s="1000" t="s">
        <v>165</v>
      </c>
      <c r="N705" s="1002" t="s">
        <v>164</v>
      </c>
      <c r="O705" s="1044" t="s">
        <v>169</v>
      </c>
      <c r="P705" s="1045"/>
      <c r="Q705" s="1046"/>
    </row>
    <row r="706" spans="1:17" ht="45.75" thickBot="1" x14ac:dyDescent="0.3">
      <c r="A706" s="1035"/>
      <c r="B706" s="1038"/>
      <c r="C706" s="1041"/>
      <c r="D706" s="991"/>
      <c r="E706" s="993"/>
      <c r="F706" s="452" t="s">
        <v>13</v>
      </c>
      <c r="G706" s="453" t="s">
        <v>14</v>
      </c>
      <c r="H706" s="453" t="s">
        <v>15</v>
      </c>
      <c r="I706" s="454" t="s">
        <v>166</v>
      </c>
      <c r="J706" s="680" t="s">
        <v>13</v>
      </c>
      <c r="K706" s="678" t="s">
        <v>14</v>
      </c>
      <c r="L706" s="679" t="s">
        <v>15</v>
      </c>
      <c r="M706" s="1001"/>
      <c r="N706" s="1003"/>
      <c r="O706" s="444" t="s">
        <v>170</v>
      </c>
      <c r="P706" s="445" t="s">
        <v>11</v>
      </c>
      <c r="Q706" s="446" t="s">
        <v>12</v>
      </c>
    </row>
    <row r="707" spans="1:17" ht="24" x14ac:dyDescent="0.25">
      <c r="A707" s="268" t="s">
        <v>103</v>
      </c>
      <c r="B707" s="439"/>
      <c r="C707" s="269" t="s">
        <v>502</v>
      </c>
      <c r="D707" s="270"/>
      <c r="E707" s="271"/>
      <c r="F707" s="332">
        <f>+G707+H707</f>
        <v>48720</v>
      </c>
      <c r="G707" s="272">
        <v>34720</v>
      </c>
      <c r="H707" s="272">
        <v>14000</v>
      </c>
      <c r="I707" s="351" t="str">
        <f>IFERROR(F707/E707,"-")</f>
        <v>-</v>
      </c>
      <c r="J707" s="457">
        <f>+K707+L707</f>
        <v>176720</v>
      </c>
      <c r="K707" s="458">
        <f>+G707+K644</f>
        <v>162720</v>
      </c>
      <c r="L707" s="458">
        <f>+H707+L644</f>
        <v>14000</v>
      </c>
      <c r="M707" s="336" t="str">
        <f>IFERROR(J707/D707,"-")</f>
        <v>-</v>
      </c>
      <c r="N707" s="343">
        <f t="shared" ref="N707:N708" si="598">IFERROR(L707/J707,"-")</f>
        <v>7.922136713444998E-2</v>
      </c>
      <c r="O707" s="786">
        <v>0</v>
      </c>
      <c r="P707" s="402">
        <f>+O707*G707</f>
        <v>0</v>
      </c>
      <c r="Q707" s="447">
        <f>+O707*K707</f>
        <v>0</v>
      </c>
    </row>
    <row r="708" spans="1:17" ht="24" x14ac:dyDescent="0.25">
      <c r="A708" s="274" t="s">
        <v>103</v>
      </c>
      <c r="B708" s="438"/>
      <c r="C708" s="275" t="s">
        <v>245</v>
      </c>
      <c r="D708" s="276"/>
      <c r="E708" s="277"/>
      <c r="F708" s="333">
        <f t="shared" ref="F708:F711" si="599">+G708+H708</f>
        <v>0</v>
      </c>
      <c r="G708" s="719"/>
      <c r="H708" s="719"/>
      <c r="I708" s="351" t="str">
        <f t="shared" ref="I708:I711" si="600">IFERROR(F708/E708,"-")</f>
        <v>-</v>
      </c>
      <c r="J708" s="333">
        <f t="shared" ref="J708:J711" si="601">+K708+L708</f>
        <v>115874</v>
      </c>
      <c r="K708" s="278">
        <f t="shared" ref="K708:K711" si="602">+G708+K645</f>
        <v>115000</v>
      </c>
      <c r="L708" s="436">
        <f t="shared" ref="L708:L711" si="603">+H708+L645</f>
        <v>874</v>
      </c>
      <c r="M708" s="337" t="str">
        <f t="shared" ref="M708:M711" si="604">IFERROR(J708/D708,"-")</f>
        <v>-</v>
      </c>
      <c r="N708" s="265">
        <f t="shared" si="598"/>
        <v>7.5426756649464074E-3</v>
      </c>
      <c r="O708" s="508">
        <v>2.3978999999999999</v>
      </c>
      <c r="P708" s="404">
        <f>+O708*G708</f>
        <v>0</v>
      </c>
      <c r="Q708" s="449">
        <f>+O708*K708</f>
        <v>275758.5</v>
      </c>
    </row>
    <row r="709" spans="1:17" ht="24" x14ac:dyDescent="0.25">
      <c r="A709" s="274" t="s">
        <v>103</v>
      </c>
      <c r="B709" s="438"/>
      <c r="C709" s="275" t="s">
        <v>395</v>
      </c>
      <c r="D709" s="276"/>
      <c r="E709" s="277"/>
      <c r="F709" s="333">
        <f t="shared" si="599"/>
        <v>34762</v>
      </c>
      <c r="G709" s="278">
        <v>34000</v>
      </c>
      <c r="H709" s="719">
        <v>762</v>
      </c>
      <c r="I709" s="351" t="str">
        <f t="shared" si="600"/>
        <v>-</v>
      </c>
      <c r="J709" s="333">
        <f t="shared" si="601"/>
        <v>828767</v>
      </c>
      <c r="K709" s="278">
        <f t="shared" si="602"/>
        <v>821000</v>
      </c>
      <c r="L709" s="436">
        <f t="shared" si="603"/>
        <v>7767</v>
      </c>
      <c r="M709" s="337" t="str">
        <f t="shared" si="604"/>
        <v>-</v>
      </c>
      <c r="N709" s="716">
        <f>IFERROR(L709/J709,"-")</f>
        <v>9.3717534602608451E-3</v>
      </c>
      <c r="O709" s="718">
        <v>3.6777000000000002</v>
      </c>
      <c r="P709" s="404">
        <f t="shared" ref="P709:P711" si="605">+O709*G709</f>
        <v>125041.8</v>
      </c>
      <c r="Q709" s="449">
        <f t="shared" ref="Q709:Q711" si="606">+O709*K709</f>
        <v>3019391.7</v>
      </c>
    </row>
    <row r="710" spans="1:17" ht="24" x14ac:dyDescent="0.25">
      <c r="A710" s="274"/>
      <c r="B710" s="451"/>
      <c r="C710" s="275" t="s">
        <v>319</v>
      </c>
      <c r="D710" s="280"/>
      <c r="E710" s="281"/>
      <c r="F710" s="333">
        <f t="shared" si="599"/>
        <v>20215</v>
      </c>
      <c r="G710" s="282">
        <v>20000</v>
      </c>
      <c r="H710" s="282">
        <v>215</v>
      </c>
      <c r="I710" s="351" t="str">
        <f t="shared" si="600"/>
        <v>-</v>
      </c>
      <c r="J710" s="333">
        <f t="shared" si="601"/>
        <v>435393</v>
      </c>
      <c r="K710" s="278">
        <f t="shared" si="602"/>
        <v>428800</v>
      </c>
      <c r="L710" s="436">
        <f t="shared" si="603"/>
        <v>6593</v>
      </c>
      <c r="M710" s="337" t="str">
        <f t="shared" si="604"/>
        <v>-</v>
      </c>
      <c r="N710" s="265">
        <f>IFERROR(L710/J710,"-")</f>
        <v>1.5142641245954803E-2</v>
      </c>
      <c r="O710" s="509">
        <v>12.284700000000001</v>
      </c>
      <c r="P710" s="404">
        <f t="shared" si="605"/>
        <v>245694.00000000003</v>
      </c>
      <c r="Q710" s="449">
        <f t="shared" si="606"/>
        <v>5267679.3600000003</v>
      </c>
    </row>
    <row r="711" spans="1:17" ht="24.75" thickBot="1" x14ac:dyDescent="0.3">
      <c r="A711" s="274" t="s">
        <v>103</v>
      </c>
      <c r="B711" s="451"/>
      <c r="C711" s="275" t="s">
        <v>365</v>
      </c>
      <c r="D711" s="280"/>
      <c r="E711" s="281"/>
      <c r="F711" s="334">
        <f t="shared" si="599"/>
        <v>0</v>
      </c>
      <c r="G711" s="282"/>
      <c r="H711" s="282"/>
      <c r="I711" s="351" t="str">
        <f t="shared" si="600"/>
        <v>-</v>
      </c>
      <c r="J711" s="460">
        <f t="shared" si="601"/>
        <v>45034</v>
      </c>
      <c r="K711" s="461">
        <f t="shared" si="602"/>
        <v>44250</v>
      </c>
      <c r="L711" s="462">
        <f t="shared" si="603"/>
        <v>784</v>
      </c>
      <c r="M711" s="338" t="str">
        <f t="shared" si="604"/>
        <v>-</v>
      </c>
      <c r="N711" s="344">
        <f t="shared" ref="N711:N723" si="607">IFERROR(L711/J711,"-")</f>
        <v>1.7409068703646134E-2</v>
      </c>
      <c r="O711" s="718">
        <v>7.0612000000000004</v>
      </c>
      <c r="P711" s="405">
        <f t="shared" si="605"/>
        <v>0</v>
      </c>
      <c r="Q711" s="450">
        <f t="shared" si="606"/>
        <v>312458.10000000003</v>
      </c>
    </row>
    <row r="712" spans="1:17" ht="23.25" thickBot="1" x14ac:dyDescent="0.3">
      <c r="A712" s="274" t="s">
        <v>103</v>
      </c>
      <c r="B712" s="1028" t="s">
        <v>21</v>
      </c>
      <c r="C712" s="964"/>
      <c r="D712" s="320">
        <f>SUM(D707:D711)</f>
        <v>0</v>
      </c>
      <c r="E712" s="285">
        <v>15000</v>
      </c>
      <c r="F712" s="320">
        <f>SUM(F707:F711)</f>
        <v>103697</v>
      </c>
      <c r="G712" s="321">
        <f>SUM(G707:G711)</f>
        <v>88720</v>
      </c>
      <c r="H712" s="321">
        <f>SUM(H707:H711)</f>
        <v>14977</v>
      </c>
      <c r="I712" s="345">
        <f>IFERROR(F712/E712,"-")</f>
        <v>6.9131333333333336</v>
      </c>
      <c r="J712" s="320">
        <f>SUM(J707:J711)</f>
        <v>1601788</v>
      </c>
      <c r="K712" s="321">
        <f>SUM(K707:K711)</f>
        <v>1571770</v>
      </c>
      <c r="L712" s="322">
        <f>SUM(L707:L711)</f>
        <v>30018</v>
      </c>
      <c r="M712" s="339" t="str">
        <f>IFERROR(J712/D712,"-")</f>
        <v>-</v>
      </c>
      <c r="N712" s="345">
        <f t="shared" si="607"/>
        <v>1.8740307706138392E-2</v>
      </c>
      <c r="O712" s="391"/>
      <c r="P712" s="406">
        <f>SUM(P707:P711)</f>
        <v>370735.80000000005</v>
      </c>
      <c r="Q712" s="425">
        <f>SUM(Q707:Q711)</f>
        <v>8875287.6600000001</v>
      </c>
    </row>
    <row r="713" spans="1:17" ht="24" x14ac:dyDescent="0.25">
      <c r="A713" s="274" t="s">
        <v>103</v>
      </c>
      <c r="B713" s="439"/>
      <c r="C713" s="269" t="s">
        <v>244</v>
      </c>
      <c r="D713" s="270"/>
      <c r="E713" s="271"/>
      <c r="F713" s="332">
        <f t="shared" ref="F713:F719" si="608">+G713+H713</f>
        <v>0</v>
      </c>
      <c r="G713" s="272"/>
      <c r="H713" s="272"/>
      <c r="I713" s="351" t="str">
        <f>IFERROR(F713/E713,"-")</f>
        <v>-</v>
      </c>
      <c r="J713" s="457">
        <f t="shared" ref="J713:J719" si="609">+K713+L713</f>
        <v>0</v>
      </c>
      <c r="K713" s="458">
        <f t="shared" ref="K713:K719" si="610">+G713+K650</f>
        <v>0</v>
      </c>
      <c r="L713" s="459">
        <f t="shared" ref="L713:L719" si="611">+H713+L650</f>
        <v>0</v>
      </c>
      <c r="M713" s="336" t="str">
        <f t="shared" ref="M713:M721" si="612">IFERROR(J713/D713,"-")</f>
        <v>-</v>
      </c>
      <c r="N713" s="346" t="str">
        <f t="shared" si="607"/>
        <v>-</v>
      </c>
      <c r="O713" s="507">
        <v>18.2316</v>
      </c>
      <c r="P713" s="402">
        <f t="shared" ref="P713:P719" si="613">+O713*G713</f>
        <v>0</v>
      </c>
      <c r="Q713" s="447">
        <f t="shared" ref="Q713:Q719" si="614">+O713*K713</f>
        <v>0</v>
      </c>
    </row>
    <row r="714" spans="1:17" ht="24" x14ac:dyDescent="0.25">
      <c r="A714" s="274" t="s">
        <v>103</v>
      </c>
      <c r="B714" s="438"/>
      <c r="C714" s="275" t="s">
        <v>89</v>
      </c>
      <c r="D714" s="276"/>
      <c r="E714" s="277"/>
      <c r="F714" s="333">
        <f t="shared" si="608"/>
        <v>0</v>
      </c>
      <c r="G714" s="278"/>
      <c r="H714" s="278"/>
      <c r="I714" s="351" t="str">
        <f t="shared" ref="I714:I719" si="615">IFERROR(F714/E714,"-")</f>
        <v>-</v>
      </c>
      <c r="J714" s="333">
        <f t="shared" si="609"/>
        <v>120000</v>
      </c>
      <c r="K714" s="278">
        <f t="shared" si="610"/>
        <v>120000</v>
      </c>
      <c r="L714" s="436">
        <f t="shared" si="611"/>
        <v>0</v>
      </c>
      <c r="M714" s="337" t="str">
        <f t="shared" si="612"/>
        <v>-</v>
      </c>
      <c r="N714" s="263">
        <f t="shared" si="607"/>
        <v>0</v>
      </c>
      <c r="O714" s="508">
        <v>1.2824</v>
      </c>
      <c r="P714" s="404">
        <f t="shared" si="613"/>
        <v>0</v>
      </c>
      <c r="Q714" s="449">
        <f t="shared" si="614"/>
        <v>153888</v>
      </c>
    </row>
    <row r="715" spans="1:17" ht="24" x14ac:dyDescent="0.25">
      <c r="A715" s="274" t="s">
        <v>103</v>
      </c>
      <c r="B715" s="438"/>
      <c r="C715" s="275" t="s">
        <v>300</v>
      </c>
      <c r="D715" s="276"/>
      <c r="E715" s="277"/>
      <c r="F715" s="333">
        <f t="shared" si="608"/>
        <v>0</v>
      </c>
      <c r="G715" s="278"/>
      <c r="H715" s="278"/>
      <c r="I715" s="351" t="str">
        <f t="shared" si="615"/>
        <v>-</v>
      </c>
      <c r="J715" s="333">
        <f t="shared" si="609"/>
        <v>0</v>
      </c>
      <c r="K715" s="278">
        <f t="shared" si="610"/>
        <v>0</v>
      </c>
      <c r="L715" s="436">
        <f t="shared" si="611"/>
        <v>0</v>
      </c>
      <c r="M715" s="337" t="str">
        <f t="shared" si="612"/>
        <v>-</v>
      </c>
      <c r="N715" s="263" t="str">
        <f t="shared" si="607"/>
        <v>-</v>
      </c>
      <c r="O715" s="710">
        <v>5.7342000000000004</v>
      </c>
      <c r="P715" s="404">
        <f t="shared" si="613"/>
        <v>0</v>
      </c>
      <c r="Q715" s="449">
        <f t="shared" si="614"/>
        <v>0</v>
      </c>
    </row>
    <row r="716" spans="1:17" ht="24" x14ac:dyDescent="0.25">
      <c r="A716" s="274" t="s">
        <v>103</v>
      </c>
      <c r="B716" s="438"/>
      <c r="C716" s="275" t="s">
        <v>314</v>
      </c>
      <c r="D716" s="276"/>
      <c r="E716" s="277"/>
      <c r="F716" s="333">
        <f t="shared" si="608"/>
        <v>0</v>
      </c>
      <c r="G716" s="278"/>
      <c r="H716" s="278"/>
      <c r="I716" s="351" t="str">
        <f t="shared" si="615"/>
        <v>-</v>
      </c>
      <c r="J716" s="333">
        <f t="shared" si="609"/>
        <v>0</v>
      </c>
      <c r="K716" s="278">
        <f t="shared" si="610"/>
        <v>0</v>
      </c>
      <c r="L716" s="436">
        <f t="shared" si="611"/>
        <v>0</v>
      </c>
      <c r="M716" s="337" t="str">
        <f t="shared" si="612"/>
        <v>-</v>
      </c>
      <c r="N716" s="263" t="str">
        <f t="shared" si="607"/>
        <v>-</v>
      </c>
      <c r="O716" s="508"/>
      <c r="P716" s="404">
        <f t="shared" si="613"/>
        <v>0</v>
      </c>
      <c r="Q716" s="449">
        <f t="shared" si="614"/>
        <v>0</v>
      </c>
    </row>
    <row r="717" spans="1:17" ht="24" x14ac:dyDescent="0.25">
      <c r="A717" s="274" t="s">
        <v>103</v>
      </c>
      <c r="B717" s="438"/>
      <c r="C717" s="275" t="s">
        <v>320</v>
      </c>
      <c r="D717" s="276"/>
      <c r="E717" s="277"/>
      <c r="F717" s="333">
        <f t="shared" si="608"/>
        <v>9095</v>
      </c>
      <c r="G717" s="278">
        <v>9000</v>
      </c>
      <c r="H717" s="278">
        <v>95</v>
      </c>
      <c r="I717" s="351" t="str">
        <f t="shared" si="615"/>
        <v>-</v>
      </c>
      <c r="J717" s="333">
        <f t="shared" si="609"/>
        <v>102814</v>
      </c>
      <c r="K717" s="278">
        <f t="shared" si="610"/>
        <v>102400</v>
      </c>
      <c r="L717" s="436">
        <f t="shared" si="611"/>
        <v>414</v>
      </c>
      <c r="M717" s="337" t="str">
        <f t="shared" si="612"/>
        <v>-</v>
      </c>
      <c r="N717" s="263">
        <f t="shared" si="607"/>
        <v>4.0266889723189446E-3</v>
      </c>
      <c r="O717" s="508">
        <v>12.029500000000001</v>
      </c>
      <c r="P717" s="404">
        <f t="shared" si="613"/>
        <v>108265.5</v>
      </c>
      <c r="Q717" s="449">
        <f t="shared" si="614"/>
        <v>1231820.8</v>
      </c>
    </row>
    <row r="718" spans="1:17" ht="24" x14ac:dyDescent="0.25">
      <c r="A718" s="274" t="s">
        <v>103</v>
      </c>
      <c r="B718" s="438"/>
      <c r="C718" s="275"/>
      <c r="D718" s="276"/>
      <c r="E718" s="277"/>
      <c r="F718" s="333">
        <f t="shared" si="608"/>
        <v>0</v>
      </c>
      <c r="G718" s="278"/>
      <c r="H718" s="278"/>
      <c r="I718" s="351" t="str">
        <f t="shared" si="615"/>
        <v>-</v>
      </c>
      <c r="J718" s="333">
        <f t="shared" si="609"/>
        <v>0</v>
      </c>
      <c r="K718" s="278">
        <f t="shared" si="610"/>
        <v>0</v>
      </c>
      <c r="L718" s="436">
        <f t="shared" si="611"/>
        <v>0</v>
      </c>
      <c r="M718" s="337" t="str">
        <f t="shared" si="612"/>
        <v>-</v>
      </c>
      <c r="N718" s="263" t="str">
        <f t="shared" si="607"/>
        <v>-</v>
      </c>
      <c r="O718" s="508"/>
      <c r="P718" s="404">
        <f t="shared" si="613"/>
        <v>0</v>
      </c>
      <c r="Q718" s="449">
        <f t="shared" si="614"/>
        <v>0</v>
      </c>
    </row>
    <row r="719" spans="1:17" ht="24.75" thickBot="1" x14ac:dyDescent="0.3">
      <c r="A719" s="274" t="s">
        <v>103</v>
      </c>
      <c r="B719" s="451"/>
      <c r="C719" s="279"/>
      <c r="D719" s="280">
        <v>0</v>
      </c>
      <c r="E719" s="281"/>
      <c r="F719" s="334">
        <f t="shared" si="608"/>
        <v>0</v>
      </c>
      <c r="G719" s="282"/>
      <c r="H719" s="282"/>
      <c r="I719" s="351" t="str">
        <f t="shared" si="615"/>
        <v>-</v>
      </c>
      <c r="J719" s="460">
        <f t="shared" si="609"/>
        <v>0</v>
      </c>
      <c r="K719" s="461">
        <f t="shared" si="610"/>
        <v>0</v>
      </c>
      <c r="L719" s="462">
        <f t="shared" si="611"/>
        <v>0</v>
      </c>
      <c r="M719" s="338" t="str">
        <f t="shared" si="612"/>
        <v>-</v>
      </c>
      <c r="N719" s="347" t="str">
        <f t="shared" si="607"/>
        <v>-</v>
      </c>
      <c r="O719" s="509"/>
      <c r="P719" s="405">
        <f t="shared" si="613"/>
        <v>0</v>
      </c>
      <c r="Q719" s="450">
        <f t="shared" si="614"/>
        <v>0</v>
      </c>
    </row>
    <row r="720" spans="1:17" ht="23.25" thickBot="1" x14ac:dyDescent="0.3">
      <c r="A720" s="274" t="s">
        <v>103</v>
      </c>
      <c r="B720" s="1028" t="s">
        <v>25</v>
      </c>
      <c r="C720" s="964"/>
      <c r="D720" s="320">
        <f t="shared" ref="D720" si="616">SUM(D713:D719)</f>
        <v>0</v>
      </c>
      <c r="E720" s="285">
        <v>100000</v>
      </c>
      <c r="F720" s="320">
        <f>SUM(F713:F719)</f>
        <v>9095</v>
      </c>
      <c r="G720" s="321">
        <f t="shared" ref="G720:H720" si="617">SUM(G713:G719)</f>
        <v>9000</v>
      </c>
      <c r="H720" s="321">
        <f t="shared" si="617"/>
        <v>95</v>
      </c>
      <c r="I720" s="345">
        <f>IFERROR(F720/E720,"-")</f>
        <v>9.0950000000000003E-2</v>
      </c>
      <c r="J720" s="320">
        <f t="shared" ref="J720:L720" si="618">SUM(J713:J719)</f>
        <v>222814</v>
      </c>
      <c r="K720" s="321">
        <f t="shared" si="618"/>
        <v>222400</v>
      </c>
      <c r="L720" s="322">
        <f t="shared" si="618"/>
        <v>414</v>
      </c>
      <c r="M720" s="339" t="str">
        <f t="shared" si="612"/>
        <v>-</v>
      </c>
      <c r="N720" s="345">
        <f t="shared" si="607"/>
        <v>1.8580520075040167E-3</v>
      </c>
      <c r="O720" s="391"/>
      <c r="P720" s="406">
        <f t="shared" ref="P720:Q720" si="619">SUM(P713:P719)</f>
        <v>108265.5</v>
      </c>
      <c r="Q720" s="425">
        <f t="shared" si="619"/>
        <v>1385708.8</v>
      </c>
    </row>
    <row r="721" spans="1:17" ht="23.25" thickBot="1" x14ac:dyDescent="0.3">
      <c r="A721" s="274" t="s">
        <v>103</v>
      </c>
      <c r="B721" s="1029" t="s">
        <v>172</v>
      </c>
      <c r="C721" s="1030"/>
      <c r="D721" s="326">
        <f>+D712+D720</f>
        <v>0</v>
      </c>
      <c r="E721" s="327">
        <f t="shared" ref="E721:H721" si="620">+E712+E720</f>
        <v>115000</v>
      </c>
      <c r="F721" s="512">
        <f t="shared" si="620"/>
        <v>112792</v>
      </c>
      <c r="G721" s="514">
        <f t="shared" si="620"/>
        <v>97720</v>
      </c>
      <c r="H721" s="514">
        <f t="shared" si="620"/>
        <v>15072</v>
      </c>
      <c r="I721" s="515">
        <f>IFERROR(F721/E721,"-")</f>
        <v>0.98080000000000001</v>
      </c>
      <c r="J721" s="326">
        <f t="shared" ref="J721:L721" si="621">+J712+J720</f>
        <v>1824602</v>
      </c>
      <c r="K721" s="324">
        <f t="shared" si="621"/>
        <v>1794170</v>
      </c>
      <c r="L721" s="325">
        <f t="shared" si="621"/>
        <v>30432</v>
      </c>
      <c r="M721" s="341" t="str">
        <f t="shared" si="612"/>
        <v>-</v>
      </c>
      <c r="N721" s="349">
        <f t="shared" si="607"/>
        <v>1.6678705821872388E-2</v>
      </c>
      <c r="O721" s="394"/>
      <c r="P721" s="410">
        <f t="shared" ref="P721:Q721" si="622">+P712+P720</f>
        <v>479001.30000000005</v>
      </c>
      <c r="Q721" s="428">
        <f t="shared" si="622"/>
        <v>10260996.460000001</v>
      </c>
    </row>
    <row r="722" spans="1:17" ht="24" x14ac:dyDescent="0.25">
      <c r="A722" s="244" t="s">
        <v>101</v>
      </c>
      <c r="B722" s="581"/>
      <c r="C722" s="582" t="s">
        <v>283</v>
      </c>
      <c r="D722" s="527"/>
      <c r="E722" s="459"/>
      <c r="F722" s="457">
        <f>+G722+H722</f>
        <v>0</v>
      </c>
      <c r="G722" s="458"/>
      <c r="H722" s="838"/>
      <c r="I722" s="531" t="str">
        <f>IFERROR(F722/E722,"-")</f>
        <v>-</v>
      </c>
      <c r="J722" s="644">
        <f>+K722+L722</f>
        <v>0</v>
      </c>
      <c r="K722" s="458">
        <f t="shared" ref="K722:K728" si="623">+G722+K659</f>
        <v>0</v>
      </c>
      <c r="L722" s="459">
        <f t="shared" ref="L722:L728" si="624">+H722+L659</f>
        <v>0</v>
      </c>
      <c r="M722" s="586" t="str">
        <f>IFERROR(J722/D722,"-")</f>
        <v>-</v>
      </c>
      <c r="N722" s="533" t="str">
        <f t="shared" si="607"/>
        <v>-</v>
      </c>
      <c r="O722" s="628">
        <v>4.8285999999999998</v>
      </c>
      <c r="P722" s="534">
        <f t="shared" ref="P722:P728" si="625">+O722*G722</f>
        <v>0</v>
      </c>
      <c r="Q722" s="535">
        <f t="shared" ref="Q722:Q728" si="626">+O722*K722</f>
        <v>0</v>
      </c>
    </row>
    <row r="723" spans="1:17" ht="24" x14ac:dyDescent="0.25">
      <c r="A723" s="248" t="s">
        <v>101</v>
      </c>
      <c r="B723" s="583"/>
      <c r="C723" s="275" t="s">
        <v>284</v>
      </c>
      <c r="D723" s="276"/>
      <c r="E723" s="436"/>
      <c r="F723" s="333">
        <f t="shared" ref="F723:F728" si="627">+G723+H723</f>
        <v>0</v>
      </c>
      <c r="G723" s="278"/>
      <c r="H723" s="277"/>
      <c r="I723" s="352" t="str">
        <f t="shared" ref="I723:I728" si="628">IFERROR(F723/E723,"-")</f>
        <v>-</v>
      </c>
      <c r="J723" s="874">
        <f t="shared" ref="J723:J728" si="629">+K723+L723</f>
        <v>0</v>
      </c>
      <c r="K723" s="278">
        <f t="shared" si="623"/>
        <v>0</v>
      </c>
      <c r="L723" s="436">
        <f t="shared" si="624"/>
        <v>0</v>
      </c>
      <c r="M723" s="337" t="str">
        <f t="shared" ref="M723:M728" si="630">IFERROR(J723/D723,"-")</f>
        <v>-</v>
      </c>
      <c r="N723" s="265" t="str">
        <f t="shared" si="607"/>
        <v>-</v>
      </c>
      <c r="O723" s="629">
        <v>1.4086000000000001</v>
      </c>
      <c r="P723" s="404">
        <f t="shared" si="625"/>
        <v>0</v>
      </c>
      <c r="Q723" s="449">
        <f t="shared" si="626"/>
        <v>0</v>
      </c>
    </row>
    <row r="724" spans="1:17" ht="24" x14ac:dyDescent="0.25">
      <c r="A724" s="248" t="s">
        <v>101</v>
      </c>
      <c r="B724" s="583"/>
      <c r="C724" s="275" t="s">
        <v>315</v>
      </c>
      <c r="D724" s="276"/>
      <c r="E724" s="436"/>
      <c r="F724" s="333">
        <f t="shared" si="627"/>
        <v>0</v>
      </c>
      <c r="G724" s="278"/>
      <c r="H724" s="277"/>
      <c r="I724" s="352" t="str">
        <f t="shared" si="628"/>
        <v>-</v>
      </c>
      <c r="J724" s="874">
        <f t="shared" si="629"/>
        <v>0</v>
      </c>
      <c r="K724" s="278">
        <f t="shared" si="623"/>
        <v>0</v>
      </c>
      <c r="L724" s="436">
        <f t="shared" si="624"/>
        <v>0</v>
      </c>
      <c r="M724" s="337" t="str">
        <f t="shared" si="630"/>
        <v>-</v>
      </c>
      <c r="N724" s="265" t="str">
        <f>IFERROR(L724/J724,"-")</f>
        <v>-</v>
      </c>
      <c r="O724" s="629">
        <v>2.2141000000000002</v>
      </c>
      <c r="P724" s="404">
        <f t="shared" si="625"/>
        <v>0</v>
      </c>
      <c r="Q724" s="449">
        <f t="shared" si="626"/>
        <v>0</v>
      </c>
    </row>
    <row r="725" spans="1:17" ht="24" x14ac:dyDescent="0.25">
      <c r="A725" s="248" t="s">
        <v>101</v>
      </c>
      <c r="B725" s="584"/>
      <c r="C725" s="275" t="s">
        <v>447</v>
      </c>
      <c r="D725" s="280"/>
      <c r="E725" s="528"/>
      <c r="F725" s="334">
        <f t="shared" si="627"/>
        <v>101048</v>
      </c>
      <c r="G725" s="282">
        <v>100000</v>
      </c>
      <c r="H725" s="281">
        <v>1048</v>
      </c>
      <c r="I725" s="352" t="str">
        <f t="shared" si="628"/>
        <v>-</v>
      </c>
      <c r="J725" s="874">
        <f t="shared" si="629"/>
        <v>646416</v>
      </c>
      <c r="K725" s="278">
        <f t="shared" si="623"/>
        <v>638000</v>
      </c>
      <c r="L725" s="436">
        <f t="shared" si="624"/>
        <v>8416</v>
      </c>
      <c r="M725" s="338" t="str">
        <f t="shared" si="630"/>
        <v>-</v>
      </c>
      <c r="N725" s="344">
        <f t="shared" ref="N725:N732" si="631">IFERROR(L725/J725,"-")</f>
        <v>1.3019479715848617E-2</v>
      </c>
      <c r="O725" s="629">
        <v>2.2141000000000002</v>
      </c>
      <c r="P725" s="405">
        <f t="shared" si="625"/>
        <v>221410.00000000003</v>
      </c>
      <c r="Q725" s="450">
        <f t="shared" si="626"/>
        <v>1412595.8</v>
      </c>
    </row>
    <row r="726" spans="1:17" ht="24" x14ac:dyDescent="0.25">
      <c r="A726" s="248" t="s">
        <v>101</v>
      </c>
      <c r="B726" s="440"/>
      <c r="C726" s="627" t="s">
        <v>353</v>
      </c>
      <c r="D726" s="510"/>
      <c r="E726" s="529"/>
      <c r="F726" s="333">
        <f t="shared" si="627"/>
        <v>0</v>
      </c>
      <c r="G726" s="547"/>
      <c r="H726" s="873"/>
      <c r="I726" s="352" t="str">
        <f t="shared" si="628"/>
        <v>-</v>
      </c>
      <c r="J726" s="874">
        <f t="shared" si="629"/>
        <v>0</v>
      </c>
      <c r="K726" s="278">
        <f t="shared" si="623"/>
        <v>0</v>
      </c>
      <c r="L726" s="436">
        <f t="shared" si="624"/>
        <v>0</v>
      </c>
      <c r="M726" s="338" t="str">
        <f t="shared" si="630"/>
        <v>-</v>
      </c>
      <c r="N726" s="265" t="str">
        <f t="shared" si="631"/>
        <v>-</v>
      </c>
      <c r="O726" s="540">
        <v>4.8285999999999998</v>
      </c>
      <c r="P726" s="404">
        <f t="shared" si="625"/>
        <v>0</v>
      </c>
      <c r="Q726" s="449">
        <f t="shared" si="626"/>
        <v>0</v>
      </c>
    </row>
    <row r="727" spans="1:17" ht="24" x14ac:dyDescent="0.25">
      <c r="A727" s="248" t="s">
        <v>101</v>
      </c>
      <c r="B727" s="585"/>
      <c r="C727" s="627" t="s">
        <v>349</v>
      </c>
      <c r="D727" s="270"/>
      <c r="E727" s="435"/>
      <c r="F727" s="332">
        <f t="shared" si="627"/>
        <v>0</v>
      </c>
      <c r="G727" s="272"/>
      <c r="H727" s="271"/>
      <c r="I727" s="352" t="str">
        <f t="shared" si="628"/>
        <v>-</v>
      </c>
      <c r="J727" s="874">
        <f t="shared" si="629"/>
        <v>17157</v>
      </c>
      <c r="K727" s="278">
        <f t="shared" si="623"/>
        <v>16250</v>
      </c>
      <c r="L727" s="436">
        <f t="shared" si="624"/>
        <v>907</v>
      </c>
      <c r="M727" s="336" t="str">
        <f t="shared" si="630"/>
        <v>-</v>
      </c>
      <c r="N727" s="346">
        <f t="shared" si="631"/>
        <v>5.2864719939383339E-2</v>
      </c>
      <c r="O727" s="507">
        <v>4.1712999999999996</v>
      </c>
      <c r="P727" s="402">
        <f t="shared" si="625"/>
        <v>0</v>
      </c>
      <c r="Q727" s="447">
        <f t="shared" si="626"/>
        <v>67783.625</v>
      </c>
    </row>
    <row r="728" spans="1:17" ht="24.75" thickBot="1" x14ac:dyDescent="0.3">
      <c r="A728" s="248" t="s">
        <v>101</v>
      </c>
      <c r="B728" s="583"/>
      <c r="C728" s="275"/>
      <c r="D728" s="276"/>
      <c r="E728" s="436"/>
      <c r="F728" s="460">
        <f t="shared" si="627"/>
        <v>0</v>
      </c>
      <c r="G728" s="461"/>
      <c r="H728" s="839"/>
      <c r="I728" s="532" t="str">
        <f t="shared" si="628"/>
        <v>-</v>
      </c>
      <c r="J728" s="875">
        <f t="shared" si="629"/>
        <v>0</v>
      </c>
      <c r="K728" s="461">
        <f t="shared" si="623"/>
        <v>0</v>
      </c>
      <c r="L728" s="462">
        <f t="shared" si="624"/>
        <v>0</v>
      </c>
      <c r="M728" s="337" t="str">
        <f t="shared" si="630"/>
        <v>-</v>
      </c>
      <c r="N728" s="263" t="str">
        <f t="shared" si="631"/>
        <v>-</v>
      </c>
      <c r="O728" s="448"/>
      <c r="P728" s="404">
        <f t="shared" si="625"/>
        <v>0</v>
      </c>
      <c r="Q728" s="449">
        <f t="shared" si="626"/>
        <v>0</v>
      </c>
    </row>
    <row r="729" spans="1:17" ht="23.25" thickBot="1" x14ac:dyDescent="0.3">
      <c r="A729" s="274" t="s">
        <v>101</v>
      </c>
      <c r="B729" s="1028" t="s">
        <v>21</v>
      </c>
      <c r="C729" s="964"/>
      <c r="D729" s="320">
        <v>0</v>
      </c>
      <c r="E729" s="285">
        <v>15000</v>
      </c>
      <c r="F729" s="513">
        <f>SUM(F722:F728)</f>
        <v>101048</v>
      </c>
      <c r="G729" s="519">
        <f t="shared" ref="G729:H729" si="632">SUM(G722:G728)</f>
        <v>100000</v>
      </c>
      <c r="H729" s="519">
        <f t="shared" si="632"/>
        <v>1048</v>
      </c>
      <c r="I729" s="520">
        <f>IFERROR(F729/E729,"-")</f>
        <v>6.736533333333333</v>
      </c>
      <c r="J729" s="513">
        <f t="shared" ref="J729" si="633">SUM(J722:J728)</f>
        <v>663573</v>
      </c>
      <c r="K729" s="519">
        <f>SUM(K722:K728)</f>
        <v>654250</v>
      </c>
      <c r="L729" s="519">
        <f>SUM(L722:L728)</f>
        <v>9323</v>
      </c>
      <c r="M729" s="339" t="str">
        <f>IFERROR(J729/D729,"-")</f>
        <v>-</v>
      </c>
      <c r="N729" s="345">
        <f t="shared" si="631"/>
        <v>1.4049697621814027E-2</v>
      </c>
      <c r="O729" s="391"/>
      <c r="P729" s="406">
        <f>SUM(P722:P728)</f>
        <v>221410.00000000003</v>
      </c>
      <c r="Q729" s="425">
        <f>SUM(Q722:Q728)</f>
        <v>1480379.425</v>
      </c>
    </row>
    <row r="730" spans="1:17" ht="23.25" thickBot="1" x14ac:dyDescent="0.3">
      <c r="A730" s="274" t="s">
        <v>101</v>
      </c>
      <c r="B730" s="1029" t="s">
        <v>248</v>
      </c>
      <c r="C730" s="1030"/>
      <c r="D730" s="512">
        <f>+D726+D729</f>
        <v>0</v>
      </c>
      <c r="E730" s="525">
        <f>+E726+E729</f>
        <v>15000</v>
      </c>
      <c r="F730" s="512">
        <f>+F726+F729</f>
        <v>101048</v>
      </c>
      <c r="G730" s="514">
        <f>+G726+G729</f>
        <v>100000</v>
      </c>
      <c r="H730" s="514">
        <f>+H726+H729</f>
        <v>1048</v>
      </c>
      <c r="I730" s="515">
        <f>IFERROR(F730/E730,"-")</f>
        <v>6.736533333333333</v>
      </c>
      <c r="J730" s="512">
        <f>+J726+J729</f>
        <v>663573</v>
      </c>
      <c r="K730" s="514">
        <f>+K729</f>
        <v>654250</v>
      </c>
      <c r="L730" s="514">
        <f>+L729</f>
        <v>9323</v>
      </c>
      <c r="M730" s="516" t="str">
        <f t="shared" ref="M730" si="634">IFERROR(J730/D730,"-")</f>
        <v>-</v>
      </c>
      <c r="N730" s="515">
        <f t="shared" si="631"/>
        <v>1.4049697621814027E-2</v>
      </c>
      <c r="O730" s="517"/>
      <c r="P730" s="518">
        <f>+P729</f>
        <v>221410.00000000003</v>
      </c>
      <c r="Q730" s="518">
        <f>+Q729</f>
        <v>1480379.425</v>
      </c>
    </row>
    <row r="731" spans="1:17" ht="24" x14ac:dyDescent="0.35">
      <c r="A731" s="244" t="s">
        <v>101</v>
      </c>
      <c r="B731" s="1025" t="s">
        <v>250</v>
      </c>
      <c r="C731" s="542" t="s">
        <v>71</v>
      </c>
      <c r="D731" s="527"/>
      <c r="E731" s="459"/>
      <c r="F731" s="694">
        <f>+G731+H731</f>
        <v>0</v>
      </c>
      <c r="G731" s="527">
        <v>0</v>
      </c>
      <c r="H731" s="458">
        <v>0</v>
      </c>
      <c r="I731" s="531" t="str">
        <f>IFERROR(F731/E731,"-")</f>
        <v>-</v>
      </c>
      <c r="J731" s="644">
        <f>+K731+L731</f>
        <v>21178</v>
      </c>
      <c r="K731" s="458">
        <f t="shared" ref="K731:K762" si="635">+G731+K668</f>
        <v>21000</v>
      </c>
      <c r="L731" s="459">
        <f t="shared" ref="L731:L762" si="636">+H731+L668</f>
        <v>178</v>
      </c>
      <c r="M731" s="586" t="str">
        <f>IFERROR(J731/D731,"-")</f>
        <v>-</v>
      </c>
      <c r="N731" s="533">
        <f t="shared" si="631"/>
        <v>8.4049485314949476E-3</v>
      </c>
      <c r="O731" s="538">
        <v>32.946300000000001</v>
      </c>
      <c r="P731" s="534">
        <f t="shared" ref="P731:P762" si="637">+O731*G731</f>
        <v>0</v>
      </c>
      <c r="Q731" s="535">
        <f t="shared" ref="Q731:Q762" si="638">+O731*K731</f>
        <v>691872.3</v>
      </c>
    </row>
    <row r="732" spans="1:17" ht="24" x14ac:dyDescent="0.35">
      <c r="A732" s="248" t="s">
        <v>101</v>
      </c>
      <c r="B732" s="1026"/>
      <c r="C732" s="543" t="s">
        <v>72</v>
      </c>
      <c r="D732" s="511"/>
      <c r="E732" s="436"/>
      <c r="F732" s="690">
        <f t="shared" ref="F732:F762" si="639">+G732+H732</f>
        <v>0</v>
      </c>
      <c r="G732" s="276"/>
      <c r="H732" s="278"/>
      <c r="I732" s="352" t="str">
        <f t="shared" ref="I732:I762" si="640">IFERROR(F732/E732,"-")</f>
        <v>-</v>
      </c>
      <c r="J732" s="874">
        <f t="shared" ref="J732:J762" si="641">+K732+L732</f>
        <v>10595</v>
      </c>
      <c r="K732" s="278">
        <f t="shared" si="635"/>
        <v>10500</v>
      </c>
      <c r="L732" s="436">
        <f t="shared" si="636"/>
        <v>95</v>
      </c>
      <c r="M732" s="337" t="str">
        <f t="shared" ref="M732:M765" si="642">IFERROR(J732/D732,"-")</f>
        <v>-</v>
      </c>
      <c r="N732" s="265">
        <f t="shared" si="631"/>
        <v>8.9664936290703157E-3</v>
      </c>
      <c r="O732" s="508">
        <v>35.398400000000002</v>
      </c>
      <c r="P732" s="404">
        <f t="shared" si="637"/>
        <v>0</v>
      </c>
      <c r="Q732" s="449">
        <f t="shared" si="638"/>
        <v>371683.2</v>
      </c>
    </row>
    <row r="733" spans="1:17" ht="24.75" thickBot="1" x14ac:dyDescent="0.4">
      <c r="A733" s="248" t="s">
        <v>101</v>
      </c>
      <c r="B733" s="1027"/>
      <c r="C733" s="543" t="s">
        <v>455</v>
      </c>
      <c r="D733" s="276"/>
      <c r="E733" s="436"/>
      <c r="F733" s="690">
        <f t="shared" si="639"/>
        <v>0</v>
      </c>
      <c r="G733" s="276"/>
      <c r="H733" s="278"/>
      <c r="I733" s="352" t="str">
        <f t="shared" si="640"/>
        <v>-</v>
      </c>
      <c r="J733" s="874">
        <f t="shared" si="641"/>
        <v>10147</v>
      </c>
      <c r="K733" s="278">
        <f t="shared" si="635"/>
        <v>9900</v>
      </c>
      <c r="L733" s="436">
        <f t="shared" si="636"/>
        <v>247</v>
      </c>
      <c r="M733" s="337" t="str">
        <f t="shared" si="642"/>
        <v>-</v>
      </c>
      <c r="N733" s="265">
        <f>IFERROR(L733/J733,"-")</f>
        <v>2.4342170099536809E-2</v>
      </c>
      <c r="O733" s="508">
        <v>35.398400000000002</v>
      </c>
      <c r="P733" s="404">
        <f t="shared" si="637"/>
        <v>0</v>
      </c>
      <c r="Q733" s="449">
        <f t="shared" si="638"/>
        <v>350444.16000000003</v>
      </c>
    </row>
    <row r="734" spans="1:17" ht="24" x14ac:dyDescent="0.35">
      <c r="A734" s="248" t="s">
        <v>101</v>
      </c>
      <c r="B734" s="1025" t="s">
        <v>251</v>
      </c>
      <c r="C734" s="545" t="s">
        <v>75</v>
      </c>
      <c r="D734" s="276"/>
      <c r="E734" s="528"/>
      <c r="F734" s="696">
        <f t="shared" si="639"/>
        <v>4294</v>
      </c>
      <c r="G734" s="276">
        <v>4250</v>
      </c>
      <c r="H734" s="278">
        <v>44</v>
      </c>
      <c r="I734" s="352" t="str">
        <f t="shared" si="640"/>
        <v>-</v>
      </c>
      <c r="J734" s="874">
        <f t="shared" si="641"/>
        <v>34141</v>
      </c>
      <c r="K734" s="278">
        <f t="shared" si="635"/>
        <v>33433</v>
      </c>
      <c r="L734" s="436">
        <f t="shared" si="636"/>
        <v>708</v>
      </c>
      <c r="M734" s="337" t="str">
        <f t="shared" si="642"/>
        <v>-</v>
      </c>
      <c r="N734" s="265">
        <f t="shared" ref="N734:N736" si="643">IFERROR(L734/J734,"-")</f>
        <v>2.0737529656424825E-2</v>
      </c>
      <c r="O734" s="508">
        <v>55.4758</v>
      </c>
      <c r="P734" s="404">
        <f t="shared" si="637"/>
        <v>235772.15</v>
      </c>
      <c r="Q734" s="449">
        <f t="shared" si="638"/>
        <v>1854722.4213999999</v>
      </c>
    </row>
    <row r="735" spans="1:17" ht="24" x14ac:dyDescent="0.35">
      <c r="A735" s="248" t="s">
        <v>101</v>
      </c>
      <c r="B735" s="1026"/>
      <c r="C735" s="545" t="s">
        <v>72</v>
      </c>
      <c r="D735" s="276"/>
      <c r="E735" s="529"/>
      <c r="F735" s="696">
        <f t="shared" si="639"/>
        <v>0</v>
      </c>
      <c r="G735" s="276"/>
      <c r="H735" s="278"/>
      <c r="I735" s="352" t="str">
        <f t="shared" si="640"/>
        <v>-</v>
      </c>
      <c r="J735" s="874">
        <f t="shared" si="641"/>
        <v>0</v>
      </c>
      <c r="K735" s="278">
        <f t="shared" si="635"/>
        <v>0</v>
      </c>
      <c r="L735" s="436">
        <f t="shared" si="636"/>
        <v>0</v>
      </c>
      <c r="M735" s="337" t="str">
        <f t="shared" si="642"/>
        <v>-</v>
      </c>
      <c r="N735" s="265" t="str">
        <f t="shared" si="643"/>
        <v>-</v>
      </c>
      <c r="O735" s="540">
        <v>58.836300000000001</v>
      </c>
      <c r="P735" s="404">
        <f t="shared" si="637"/>
        <v>0</v>
      </c>
      <c r="Q735" s="449">
        <f t="shared" si="638"/>
        <v>0</v>
      </c>
    </row>
    <row r="736" spans="1:17" ht="24" x14ac:dyDescent="0.35">
      <c r="A736" s="248" t="s">
        <v>101</v>
      </c>
      <c r="B736" s="1026"/>
      <c r="C736" s="545" t="s">
        <v>347</v>
      </c>
      <c r="D736" s="276"/>
      <c r="E736" s="435"/>
      <c r="F736" s="696">
        <f t="shared" si="639"/>
        <v>0</v>
      </c>
      <c r="G736" s="276"/>
      <c r="H736" s="278"/>
      <c r="I736" s="352" t="str">
        <f t="shared" si="640"/>
        <v>-</v>
      </c>
      <c r="J736" s="874">
        <f t="shared" si="641"/>
        <v>2745</v>
      </c>
      <c r="K736" s="278">
        <f t="shared" si="635"/>
        <v>2305</v>
      </c>
      <c r="L736" s="436">
        <f t="shared" si="636"/>
        <v>440</v>
      </c>
      <c r="M736" s="337" t="str">
        <f t="shared" si="642"/>
        <v>-</v>
      </c>
      <c r="N736" s="263">
        <f t="shared" si="643"/>
        <v>0.16029143897996356</v>
      </c>
      <c r="O736" s="710">
        <v>58.836300000000001</v>
      </c>
      <c r="P736" s="404">
        <f t="shared" si="637"/>
        <v>0</v>
      </c>
      <c r="Q736" s="449">
        <f t="shared" si="638"/>
        <v>135617.6715</v>
      </c>
    </row>
    <row r="737" spans="1:17" ht="24.75" thickBot="1" x14ac:dyDescent="0.4">
      <c r="A737" s="248"/>
      <c r="B737" s="1027"/>
      <c r="C737" s="545" t="s">
        <v>361</v>
      </c>
      <c r="D737" s="276"/>
      <c r="E737" s="435"/>
      <c r="F737" s="696">
        <f t="shared" si="639"/>
        <v>0</v>
      </c>
      <c r="G737" s="276"/>
      <c r="H737" s="278"/>
      <c r="I737" s="352" t="str">
        <f t="shared" si="640"/>
        <v>-</v>
      </c>
      <c r="J737" s="874">
        <f t="shared" si="641"/>
        <v>0</v>
      </c>
      <c r="K737" s="278">
        <f t="shared" si="635"/>
        <v>0</v>
      </c>
      <c r="L737" s="436">
        <f t="shared" si="636"/>
        <v>0</v>
      </c>
      <c r="M737" s="337" t="str">
        <f t="shared" si="642"/>
        <v>-</v>
      </c>
      <c r="N737" s="263" t="str">
        <f>IFERROR(L737/J737,"-")</f>
        <v>-</v>
      </c>
      <c r="O737" s="508">
        <v>55.4758</v>
      </c>
      <c r="P737" s="404">
        <f t="shared" si="637"/>
        <v>0</v>
      </c>
      <c r="Q737" s="449">
        <f t="shared" si="638"/>
        <v>0</v>
      </c>
    </row>
    <row r="738" spans="1:17" ht="24" x14ac:dyDescent="0.35">
      <c r="A738" s="248" t="s">
        <v>101</v>
      </c>
      <c r="B738" s="1025" t="s">
        <v>409</v>
      </c>
      <c r="C738" s="543" t="s">
        <v>77</v>
      </c>
      <c r="D738" s="276"/>
      <c r="E738" s="436"/>
      <c r="F738" s="690">
        <f t="shared" si="639"/>
        <v>0</v>
      </c>
      <c r="G738" s="276"/>
      <c r="H738" s="278"/>
      <c r="I738" s="352" t="str">
        <f t="shared" si="640"/>
        <v>-</v>
      </c>
      <c r="J738" s="874">
        <f t="shared" si="641"/>
        <v>24300</v>
      </c>
      <c r="K738" s="719">
        <f t="shared" si="635"/>
        <v>23960</v>
      </c>
      <c r="L738" s="815">
        <f t="shared" si="636"/>
        <v>340</v>
      </c>
      <c r="M738" s="337" t="str">
        <f t="shared" si="642"/>
        <v>-</v>
      </c>
      <c r="N738" s="263">
        <f t="shared" ref="N738:N764" si="644">IFERROR(L738/J738,"-")</f>
        <v>1.3991769547325103E-2</v>
      </c>
      <c r="O738" s="508">
        <v>25.687200000000001</v>
      </c>
      <c r="P738" s="404">
        <f t="shared" si="637"/>
        <v>0</v>
      </c>
      <c r="Q738" s="449">
        <f t="shared" si="638"/>
        <v>615465.31200000003</v>
      </c>
    </row>
    <row r="739" spans="1:17" ht="24.75" thickBot="1" x14ac:dyDescent="0.4">
      <c r="A739" s="248" t="s">
        <v>101</v>
      </c>
      <c r="B739" s="1027"/>
      <c r="C739" s="543" t="s">
        <v>117</v>
      </c>
      <c r="D739" s="276"/>
      <c r="E739" s="436"/>
      <c r="F739" s="690">
        <f t="shared" si="639"/>
        <v>0</v>
      </c>
      <c r="G739" s="276"/>
      <c r="H739" s="278"/>
      <c r="I739" s="352" t="str">
        <f t="shared" si="640"/>
        <v>-</v>
      </c>
      <c r="J739" s="874">
        <f t="shared" si="641"/>
        <v>0</v>
      </c>
      <c r="K739" s="278">
        <f t="shared" si="635"/>
        <v>0</v>
      </c>
      <c r="L739" s="436">
        <f t="shared" si="636"/>
        <v>0</v>
      </c>
      <c r="M739" s="337" t="str">
        <f t="shared" si="642"/>
        <v>-</v>
      </c>
      <c r="N739" s="263" t="str">
        <f t="shared" si="644"/>
        <v>-</v>
      </c>
      <c r="O739" s="508">
        <v>25.033899999999999</v>
      </c>
      <c r="P739" s="404">
        <f t="shared" si="637"/>
        <v>0</v>
      </c>
      <c r="Q739" s="449">
        <f t="shared" si="638"/>
        <v>0</v>
      </c>
    </row>
    <row r="740" spans="1:17" ht="24" x14ac:dyDescent="0.35">
      <c r="A740" s="248"/>
      <c r="B740" s="1025" t="s">
        <v>410</v>
      </c>
      <c r="C740" s="543" t="s">
        <v>79</v>
      </c>
      <c r="D740" s="276"/>
      <c r="E740" s="436"/>
      <c r="F740" s="690">
        <f t="shared" si="639"/>
        <v>1472</v>
      </c>
      <c r="G740" s="276">
        <v>1460</v>
      </c>
      <c r="H740" s="278">
        <v>12</v>
      </c>
      <c r="I740" s="352" t="str">
        <f t="shared" si="640"/>
        <v>-</v>
      </c>
      <c r="J740" s="874">
        <f t="shared" si="641"/>
        <v>20171</v>
      </c>
      <c r="K740" s="278">
        <f t="shared" si="635"/>
        <v>19950</v>
      </c>
      <c r="L740" s="436">
        <f t="shared" si="636"/>
        <v>221</v>
      </c>
      <c r="M740" s="337" t="str">
        <f t="shared" si="642"/>
        <v>-</v>
      </c>
      <c r="N740" s="263">
        <f t="shared" si="644"/>
        <v>1.095632343463388E-2</v>
      </c>
      <c r="O740" s="508">
        <v>41.992699999999999</v>
      </c>
      <c r="P740" s="404">
        <f t="shared" si="637"/>
        <v>61309.341999999997</v>
      </c>
      <c r="Q740" s="449">
        <f t="shared" si="638"/>
        <v>837754.36499999999</v>
      </c>
    </row>
    <row r="741" spans="1:17" ht="24" x14ac:dyDescent="0.35">
      <c r="A741" s="248"/>
      <c r="B741" s="1026"/>
      <c r="C741" s="543" t="s">
        <v>72</v>
      </c>
      <c r="D741" s="276"/>
      <c r="E741" s="436"/>
      <c r="F741" s="690">
        <f t="shared" si="639"/>
        <v>0</v>
      </c>
      <c r="G741" s="276"/>
      <c r="H741" s="278"/>
      <c r="I741" s="352" t="str">
        <f t="shared" si="640"/>
        <v>-</v>
      </c>
      <c r="J741" s="874">
        <f t="shared" si="641"/>
        <v>0</v>
      </c>
      <c r="K741" s="278">
        <f t="shared" si="635"/>
        <v>0</v>
      </c>
      <c r="L741" s="436">
        <f t="shared" si="636"/>
        <v>0</v>
      </c>
      <c r="M741" s="337" t="str">
        <f t="shared" si="642"/>
        <v>-</v>
      </c>
      <c r="N741" s="263" t="str">
        <f t="shared" si="644"/>
        <v>-</v>
      </c>
      <c r="O741" s="508">
        <v>42.283799999999999</v>
      </c>
      <c r="P741" s="404">
        <f t="shared" si="637"/>
        <v>0</v>
      </c>
      <c r="Q741" s="449">
        <f t="shared" si="638"/>
        <v>0</v>
      </c>
    </row>
    <row r="742" spans="1:17" ht="24" x14ac:dyDescent="0.35">
      <c r="A742" s="248"/>
      <c r="B742" s="1026"/>
      <c r="C742" s="543" t="s">
        <v>380</v>
      </c>
      <c r="D742" s="276"/>
      <c r="E742" s="436"/>
      <c r="F742" s="690">
        <f t="shared" si="639"/>
        <v>0</v>
      </c>
      <c r="G742" s="276"/>
      <c r="H742" s="278"/>
      <c r="I742" s="352" t="str">
        <f t="shared" si="640"/>
        <v>-</v>
      </c>
      <c r="J742" s="874">
        <f t="shared" si="641"/>
        <v>0</v>
      </c>
      <c r="K742" s="278">
        <f t="shared" si="635"/>
        <v>0</v>
      </c>
      <c r="L742" s="436">
        <f t="shared" si="636"/>
        <v>0</v>
      </c>
      <c r="M742" s="337" t="str">
        <f t="shared" si="642"/>
        <v>-</v>
      </c>
      <c r="N742" s="263" t="str">
        <f t="shared" si="644"/>
        <v>-</v>
      </c>
      <c r="O742" s="710">
        <v>41.992699999999999</v>
      </c>
      <c r="P742" s="404">
        <f t="shared" si="637"/>
        <v>0</v>
      </c>
      <c r="Q742" s="449">
        <f t="shared" si="638"/>
        <v>0</v>
      </c>
    </row>
    <row r="743" spans="1:17" ht="24.75" thickBot="1" x14ac:dyDescent="0.4">
      <c r="A743" s="248"/>
      <c r="B743" s="1027"/>
      <c r="C743" s="543" t="s">
        <v>381</v>
      </c>
      <c r="D743" s="276"/>
      <c r="E743" s="436"/>
      <c r="F743" s="690">
        <f t="shared" si="639"/>
        <v>0</v>
      </c>
      <c r="G743" s="276"/>
      <c r="H743" s="278"/>
      <c r="I743" s="352" t="str">
        <f t="shared" si="640"/>
        <v>-</v>
      </c>
      <c r="J743" s="874">
        <f t="shared" si="641"/>
        <v>0</v>
      </c>
      <c r="K743" s="278">
        <f t="shared" si="635"/>
        <v>0</v>
      </c>
      <c r="L743" s="436">
        <f t="shared" si="636"/>
        <v>0</v>
      </c>
      <c r="M743" s="337" t="str">
        <f t="shared" si="642"/>
        <v>-</v>
      </c>
      <c r="N743" s="263" t="str">
        <f t="shared" si="644"/>
        <v>-</v>
      </c>
      <c r="O743" s="710">
        <v>42.283799999999999</v>
      </c>
      <c r="P743" s="404">
        <f t="shared" si="637"/>
        <v>0</v>
      </c>
      <c r="Q743" s="449">
        <f t="shared" si="638"/>
        <v>0</v>
      </c>
    </row>
    <row r="744" spans="1:17" ht="24.75" thickBot="1" x14ac:dyDescent="0.4">
      <c r="A744" s="248"/>
      <c r="B744" s="717" t="s">
        <v>80</v>
      </c>
      <c r="C744" s="543" t="s">
        <v>81</v>
      </c>
      <c r="D744" s="276"/>
      <c r="E744" s="436"/>
      <c r="F744" s="690">
        <f t="shared" si="639"/>
        <v>0</v>
      </c>
      <c r="G744" s="276"/>
      <c r="H744" s="278"/>
      <c r="I744" s="352" t="str">
        <f t="shared" si="640"/>
        <v>-</v>
      </c>
      <c r="J744" s="874">
        <f t="shared" si="641"/>
        <v>23163</v>
      </c>
      <c r="K744" s="278">
        <f t="shared" si="635"/>
        <v>22200</v>
      </c>
      <c r="L744" s="687">
        <f t="shared" si="636"/>
        <v>963</v>
      </c>
      <c r="M744" s="337" t="str">
        <f t="shared" si="642"/>
        <v>-</v>
      </c>
      <c r="N744" s="263">
        <f t="shared" si="644"/>
        <v>4.1574925527781373E-2</v>
      </c>
      <c r="O744" s="508">
        <v>4.3535000000000004</v>
      </c>
      <c r="P744" s="404">
        <f t="shared" si="637"/>
        <v>0</v>
      </c>
      <c r="Q744" s="449">
        <f t="shared" si="638"/>
        <v>96647.700000000012</v>
      </c>
    </row>
    <row r="745" spans="1:17" ht="24" x14ac:dyDescent="0.35">
      <c r="A745" s="248"/>
      <c r="B745" s="1025" t="s">
        <v>253</v>
      </c>
      <c r="C745" s="543" t="s">
        <v>77</v>
      </c>
      <c r="D745" s="276"/>
      <c r="E745" s="436"/>
      <c r="F745" s="690">
        <f t="shared" si="639"/>
        <v>30520</v>
      </c>
      <c r="G745" s="276">
        <v>29700</v>
      </c>
      <c r="H745" s="278">
        <v>820</v>
      </c>
      <c r="I745" s="352" t="str">
        <f t="shared" si="640"/>
        <v>-</v>
      </c>
      <c r="J745" s="874">
        <f t="shared" si="641"/>
        <v>495810</v>
      </c>
      <c r="K745" s="278">
        <f t="shared" si="635"/>
        <v>492800</v>
      </c>
      <c r="L745" s="436">
        <f t="shared" si="636"/>
        <v>3010</v>
      </c>
      <c r="M745" s="337" t="str">
        <f t="shared" si="642"/>
        <v>-</v>
      </c>
      <c r="N745" s="263">
        <f t="shared" si="644"/>
        <v>6.0708739234787519E-3</v>
      </c>
      <c r="O745" s="508">
        <v>4.6184000000000003</v>
      </c>
      <c r="P745" s="404">
        <f t="shared" si="637"/>
        <v>137166.48000000001</v>
      </c>
      <c r="Q745" s="449">
        <f t="shared" si="638"/>
        <v>2275947.52</v>
      </c>
    </row>
    <row r="746" spans="1:17" ht="24" x14ac:dyDescent="0.35">
      <c r="A746" s="248"/>
      <c r="B746" s="1026"/>
      <c r="C746" s="543" t="s">
        <v>340</v>
      </c>
      <c r="D746" s="276"/>
      <c r="E746" s="436"/>
      <c r="F746" s="690">
        <f t="shared" si="639"/>
        <v>0</v>
      </c>
      <c r="G746" s="276"/>
      <c r="H746" s="278"/>
      <c r="I746" s="352" t="str">
        <f t="shared" si="640"/>
        <v>-</v>
      </c>
      <c r="J746" s="874">
        <f t="shared" si="641"/>
        <v>0</v>
      </c>
      <c r="K746" s="278">
        <f t="shared" si="635"/>
        <v>0</v>
      </c>
      <c r="L746" s="436">
        <f t="shared" si="636"/>
        <v>0</v>
      </c>
      <c r="M746" s="337" t="str">
        <f t="shared" si="642"/>
        <v>-</v>
      </c>
      <c r="N746" s="263" t="str">
        <f t="shared" si="644"/>
        <v>-</v>
      </c>
      <c r="O746" s="508">
        <v>4.6184000000000003</v>
      </c>
      <c r="P746" s="404">
        <f t="shared" si="637"/>
        <v>0</v>
      </c>
      <c r="Q746" s="449">
        <f t="shared" si="638"/>
        <v>0</v>
      </c>
    </row>
    <row r="747" spans="1:17" ht="24" x14ac:dyDescent="0.35">
      <c r="A747" s="248"/>
      <c r="B747" s="1026"/>
      <c r="C747" s="543" t="s">
        <v>252</v>
      </c>
      <c r="D747" s="276"/>
      <c r="E747" s="436"/>
      <c r="F747" s="690">
        <f t="shared" si="639"/>
        <v>0</v>
      </c>
      <c r="G747" s="276"/>
      <c r="H747" s="278"/>
      <c r="I747" s="352" t="str">
        <f t="shared" si="640"/>
        <v>-</v>
      </c>
      <c r="J747" s="874">
        <f t="shared" si="641"/>
        <v>0</v>
      </c>
      <c r="K747" s="278">
        <f t="shared" si="635"/>
        <v>0</v>
      </c>
      <c r="L747" s="436">
        <f t="shared" si="636"/>
        <v>0</v>
      </c>
      <c r="M747" s="337" t="str">
        <f t="shared" si="642"/>
        <v>-</v>
      </c>
      <c r="N747" s="263" t="str">
        <f t="shared" si="644"/>
        <v>-</v>
      </c>
      <c r="O747" s="508">
        <v>4.6184000000000003</v>
      </c>
      <c r="P747" s="404">
        <f t="shared" si="637"/>
        <v>0</v>
      </c>
      <c r="Q747" s="449">
        <f t="shared" si="638"/>
        <v>0</v>
      </c>
    </row>
    <row r="748" spans="1:17" ht="24" x14ac:dyDescent="0.35">
      <c r="A748" s="248"/>
      <c r="B748" s="1026"/>
      <c r="C748" s="543" t="s">
        <v>350</v>
      </c>
      <c r="D748" s="276"/>
      <c r="E748" s="436"/>
      <c r="F748" s="690">
        <f t="shared" si="639"/>
        <v>0</v>
      </c>
      <c r="G748" s="276"/>
      <c r="H748" s="278"/>
      <c r="I748" s="352" t="str">
        <f t="shared" si="640"/>
        <v>-</v>
      </c>
      <c r="J748" s="874">
        <f t="shared" si="641"/>
        <v>0</v>
      </c>
      <c r="K748" s="686">
        <f t="shared" si="635"/>
        <v>0</v>
      </c>
      <c r="L748" s="687">
        <f t="shared" si="636"/>
        <v>0</v>
      </c>
      <c r="M748" s="337" t="str">
        <f t="shared" si="642"/>
        <v>-</v>
      </c>
      <c r="N748" s="263" t="str">
        <f t="shared" si="644"/>
        <v>-</v>
      </c>
      <c r="O748" s="508">
        <v>4.7636000000000003</v>
      </c>
      <c r="P748" s="404">
        <f t="shared" si="637"/>
        <v>0</v>
      </c>
      <c r="Q748" s="449">
        <f t="shared" si="638"/>
        <v>0</v>
      </c>
    </row>
    <row r="749" spans="1:17" ht="24.75" thickBot="1" x14ac:dyDescent="0.4">
      <c r="A749" s="248"/>
      <c r="B749" s="1027"/>
      <c r="C749" s="543" t="s">
        <v>346</v>
      </c>
      <c r="D749" s="276"/>
      <c r="E749" s="436"/>
      <c r="F749" s="690">
        <f t="shared" si="639"/>
        <v>0</v>
      </c>
      <c r="G749" s="276"/>
      <c r="H749" s="278"/>
      <c r="I749" s="352" t="str">
        <f t="shared" si="640"/>
        <v>-</v>
      </c>
      <c r="J749" s="874">
        <f t="shared" si="641"/>
        <v>0</v>
      </c>
      <c r="K749" s="278">
        <f t="shared" si="635"/>
        <v>0</v>
      </c>
      <c r="L749" s="436">
        <f t="shared" si="636"/>
        <v>0</v>
      </c>
      <c r="M749" s="337" t="str">
        <f t="shared" si="642"/>
        <v>-</v>
      </c>
      <c r="N749" s="263" t="str">
        <f t="shared" si="644"/>
        <v>-</v>
      </c>
      <c r="O749" s="508">
        <v>4.8738000000000001</v>
      </c>
      <c r="P749" s="404">
        <f t="shared" si="637"/>
        <v>0</v>
      </c>
      <c r="Q749" s="449">
        <f t="shared" si="638"/>
        <v>0</v>
      </c>
    </row>
    <row r="750" spans="1:17" ht="24.75" thickBot="1" x14ac:dyDescent="0.4">
      <c r="A750" s="248"/>
      <c r="B750" s="717" t="s">
        <v>254</v>
      </c>
      <c r="C750" s="543" t="s">
        <v>520</v>
      </c>
      <c r="D750" s="276"/>
      <c r="E750" s="436"/>
      <c r="F750" s="690">
        <f t="shared" si="639"/>
        <v>0</v>
      </c>
      <c r="G750" s="276"/>
      <c r="H750" s="278"/>
      <c r="I750" s="352" t="str">
        <f t="shared" si="640"/>
        <v>-</v>
      </c>
      <c r="J750" s="874">
        <f t="shared" si="641"/>
        <v>17752</v>
      </c>
      <c r="K750" s="278">
        <f t="shared" si="635"/>
        <v>17600</v>
      </c>
      <c r="L750" s="436">
        <f t="shared" si="636"/>
        <v>152</v>
      </c>
      <c r="M750" s="337" t="str">
        <f t="shared" si="642"/>
        <v>-</v>
      </c>
      <c r="N750" s="263">
        <f t="shared" si="644"/>
        <v>8.5624155024785938E-3</v>
      </c>
      <c r="O750" s="508">
        <v>4.8738000000000001</v>
      </c>
      <c r="P750" s="404">
        <f t="shared" si="637"/>
        <v>0</v>
      </c>
      <c r="Q750" s="449">
        <f t="shared" si="638"/>
        <v>85778.880000000005</v>
      </c>
    </row>
    <row r="751" spans="1:17" ht="24" x14ac:dyDescent="0.35">
      <c r="A751" s="248"/>
      <c r="B751" s="1025" t="s">
        <v>256</v>
      </c>
      <c r="C751" s="543" t="s">
        <v>77</v>
      </c>
      <c r="D751" s="276"/>
      <c r="E751" s="436"/>
      <c r="F751" s="690">
        <f t="shared" si="639"/>
        <v>29458</v>
      </c>
      <c r="G751" s="276">
        <v>28560</v>
      </c>
      <c r="H751" s="278">
        <v>898</v>
      </c>
      <c r="I751" s="352" t="str">
        <f t="shared" si="640"/>
        <v>-</v>
      </c>
      <c r="J751" s="874">
        <f t="shared" si="641"/>
        <v>467550</v>
      </c>
      <c r="K751" s="719">
        <f t="shared" si="635"/>
        <v>458640</v>
      </c>
      <c r="L751" s="815">
        <f t="shared" si="636"/>
        <v>8910</v>
      </c>
      <c r="M751" s="337" t="str">
        <f t="shared" si="642"/>
        <v>-</v>
      </c>
      <c r="N751" s="263">
        <f t="shared" si="644"/>
        <v>1.9056785370548605E-2</v>
      </c>
      <c r="O751" s="508">
        <v>4.9344999999999999</v>
      </c>
      <c r="P751" s="404">
        <f t="shared" si="637"/>
        <v>140929.32</v>
      </c>
      <c r="Q751" s="449">
        <f t="shared" si="638"/>
        <v>2263159.08</v>
      </c>
    </row>
    <row r="752" spans="1:17" ht="24" x14ac:dyDescent="0.35">
      <c r="A752" s="248"/>
      <c r="B752" s="1026"/>
      <c r="C752" s="543" t="s">
        <v>135</v>
      </c>
      <c r="D752" s="276"/>
      <c r="E752" s="436"/>
      <c r="F752" s="690">
        <f t="shared" si="639"/>
        <v>0</v>
      </c>
      <c r="G752" s="276"/>
      <c r="H752" s="278"/>
      <c r="I752" s="352" t="str">
        <f t="shared" si="640"/>
        <v>-</v>
      </c>
      <c r="J752" s="874">
        <f t="shared" si="641"/>
        <v>0</v>
      </c>
      <c r="K752" s="278">
        <f t="shared" si="635"/>
        <v>0</v>
      </c>
      <c r="L752" s="436">
        <f t="shared" si="636"/>
        <v>0</v>
      </c>
      <c r="M752" s="337" t="str">
        <f t="shared" si="642"/>
        <v>-</v>
      </c>
      <c r="N752" s="263" t="str">
        <f t="shared" si="644"/>
        <v>-</v>
      </c>
      <c r="O752" s="508">
        <v>4.9344999999999999</v>
      </c>
      <c r="P752" s="404">
        <f t="shared" si="637"/>
        <v>0</v>
      </c>
      <c r="Q752" s="449">
        <f t="shared" si="638"/>
        <v>0</v>
      </c>
    </row>
    <row r="753" spans="1:17" ht="24" x14ac:dyDescent="0.35">
      <c r="A753" s="248"/>
      <c r="B753" s="1026"/>
      <c r="C753" s="543" t="s">
        <v>129</v>
      </c>
      <c r="D753" s="276"/>
      <c r="E753" s="436"/>
      <c r="F753" s="690">
        <f t="shared" si="639"/>
        <v>0</v>
      </c>
      <c r="G753" s="276"/>
      <c r="H753" s="278"/>
      <c r="I753" s="352" t="str">
        <f t="shared" si="640"/>
        <v>-</v>
      </c>
      <c r="J753" s="874">
        <f t="shared" si="641"/>
        <v>0</v>
      </c>
      <c r="K753" s="278">
        <f t="shared" si="635"/>
        <v>0</v>
      </c>
      <c r="L753" s="436">
        <f t="shared" si="636"/>
        <v>0</v>
      </c>
      <c r="M753" s="337" t="str">
        <f t="shared" si="642"/>
        <v>-</v>
      </c>
      <c r="N753" s="263" t="str">
        <f t="shared" si="644"/>
        <v>-</v>
      </c>
      <c r="O753" s="508">
        <v>4.9344999999999999</v>
      </c>
      <c r="P753" s="404">
        <f t="shared" si="637"/>
        <v>0</v>
      </c>
      <c r="Q753" s="449">
        <f t="shared" si="638"/>
        <v>0</v>
      </c>
    </row>
    <row r="754" spans="1:17" ht="24.75" thickBot="1" x14ac:dyDescent="0.4">
      <c r="A754" s="248"/>
      <c r="B754" s="1027"/>
      <c r="C754" s="543" t="s">
        <v>255</v>
      </c>
      <c r="D754" s="276"/>
      <c r="E754" s="436"/>
      <c r="F754" s="690">
        <f t="shared" si="639"/>
        <v>0</v>
      </c>
      <c r="G754" s="276"/>
      <c r="H754" s="278"/>
      <c r="I754" s="352" t="str">
        <f t="shared" si="640"/>
        <v>-</v>
      </c>
      <c r="J754" s="874">
        <f t="shared" si="641"/>
        <v>0</v>
      </c>
      <c r="K754" s="278">
        <f t="shared" si="635"/>
        <v>0</v>
      </c>
      <c r="L754" s="436">
        <f t="shared" si="636"/>
        <v>0</v>
      </c>
      <c r="M754" s="337" t="str">
        <f t="shared" si="642"/>
        <v>-</v>
      </c>
      <c r="N754" s="263" t="str">
        <f t="shared" si="644"/>
        <v>-</v>
      </c>
      <c r="O754" s="508">
        <v>5.5069999999999997</v>
      </c>
      <c r="P754" s="404">
        <f t="shared" si="637"/>
        <v>0</v>
      </c>
      <c r="Q754" s="449">
        <f t="shared" si="638"/>
        <v>0</v>
      </c>
    </row>
    <row r="755" spans="1:17" ht="24" x14ac:dyDescent="0.35">
      <c r="A755" s="248"/>
      <c r="B755" s="1025" t="s">
        <v>261</v>
      </c>
      <c r="C755" s="543" t="s">
        <v>257</v>
      </c>
      <c r="D755" s="276"/>
      <c r="E755" s="436"/>
      <c r="F755" s="690">
        <f t="shared" si="639"/>
        <v>33130</v>
      </c>
      <c r="G755" s="276">
        <v>32900</v>
      </c>
      <c r="H755" s="278">
        <v>230</v>
      </c>
      <c r="I755" s="352" t="str">
        <f t="shared" si="640"/>
        <v>-</v>
      </c>
      <c r="J755" s="874">
        <f t="shared" si="641"/>
        <v>445012</v>
      </c>
      <c r="K755" s="278">
        <f t="shared" si="635"/>
        <v>441700</v>
      </c>
      <c r="L755" s="687">
        <f t="shared" si="636"/>
        <v>3312</v>
      </c>
      <c r="M755" s="337" t="str">
        <f t="shared" si="642"/>
        <v>-</v>
      </c>
      <c r="N755" s="263">
        <f t="shared" si="644"/>
        <v>7.4424959326939502E-3</v>
      </c>
      <c r="O755" s="710">
        <v>5.5069999999999997</v>
      </c>
      <c r="P755" s="404">
        <f t="shared" si="637"/>
        <v>181180.3</v>
      </c>
      <c r="Q755" s="449">
        <f t="shared" si="638"/>
        <v>2432441.9</v>
      </c>
    </row>
    <row r="756" spans="1:17" ht="24" x14ac:dyDescent="0.35">
      <c r="A756" s="248"/>
      <c r="B756" s="1026"/>
      <c r="C756" s="543" t="s">
        <v>258</v>
      </c>
      <c r="D756" s="276"/>
      <c r="E756" s="436"/>
      <c r="F756" s="690">
        <f t="shared" si="639"/>
        <v>0</v>
      </c>
      <c r="G756" s="276"/>
      <c r="H756" s="278"/>
      <c r="I756" s="352" t="str">
        <f t="shared" si="640"/>
        <v>-</v>
      </c>
      <c r="J756" s="874">
        <f t="shared" si="641"/>
        <v>0</v>
      </c>
      <c r="K756" s="278">
        <f t="shared" si="635"/>
        <v>0</v>
      </c>
      <c r="L756" s="436">
        <f t="shared" si="636"/>
        <v>0</v>
      </c>
      <c r="M756" s="337" t="str">
        <f t="shared" si="642"/>
        <v>-</v>
      </c>
      <c r="N756" s="263" t="str">
        <f t="shared" si="644"/>
        <v>-</v>
      </c>
      <c r="O756" s="508">
        <v>5.6550000000000002</v>
      </c>
      <c r="P756" s="404">
        <f t="shared" si="637"/>
        <v>0</v>
      </c>
      <c r="Q756" s="449">
        <f t="shared" si="638"/>
        <v>0</v>
      </c>
    </row>
    <row r="757" spans="1:17" ht="24" x14ac:dyDescent="0.35">
      <c r="A757" s="248"/>
      <c r="B757" s="1026"/>
      <c r="C757" s="543" t="s">
        <v>321</v>
      </c>
      <c r="D757" s="276"/>
      <c r="E757" s="436"/>
      <c r="F757" s="690">
        <f t="shared" si="639"/>
        <v>0</v>
      </c>
      <c r="G757" s="276"/>
      <c r="H757" s="278"/>
      <c r="I757" s="352" t="str">
        <f t="shared" si="640"/>
        <v>-</v>
      </c>
      <c r="J757" s="874">
        <f t="shared" si="641"/>
        <v>0</v>
      </c>
      <c r="K757" s="686">
        <f t="shared" si="635"/>
        <v>0</v>
      </c>
      <c r="L757" s="687">
        <f t="shared" si="636"/>
        <v>0</v>
      </c>
      <c r="M757" s="337" t="str">
        <f t="shared" si="642"/>
        <v>-</v>
      </c>
      <c r="N757" s="263" t="str">
        <f t="shared" si="644"/>
        <v>-</v>
      </c>
      <c r="O757" s="508">
        <v>5.6550000000000002</v>
      </c>
      <c r="P757" s="404">
        <f t="shared" si="637"/>
        <v>0</v>
      </c>
      <c r="Q757" s="449">
        <f t="shared" si="638"/>
        <v>0</v>
      </c>
    </row>
    <row r="758" spans="1:17" ht="24" x14ac:dyDescent="0.35">
      <c r="A758" s="248"/>
      <c r="B758" s="1026"/>
      <c r="C758" s="543" t="s">
        <v>259</v>
      </c>
      <c r="D758" s="276"/>
      <c r="E758" s="436"/>
      <c r="F758" s="690">
        <f t="shared" si="639"/>
        <v>0</v>
      </c>
      <c r="G758" s="276"/>
      <c r="H758" s="278"/>
      <c r="I758" s="352" t="str">
        <f t="shared" si="640"/>
        <v>-</v>
      </c>
      <c r="J758" s="874">
        <f t="shared" si="641"/>
        <v>0</v>
      </c>
      <c r="K758" s="278">
        <f t="shared" si="635"/>
        <v>0</v>
      </c>
      <c r="L758" s="436">
        <f t="shared" si="636"/>
        <v>0</v>
      </c>
      <c r="M758" s="337" t="str">
        <f t="shared" si="642"/>
        <v>-</v>
      </c>
      <c r="N758" s="263" t="str">
        <f t="shared" si="644"/>
        <v>-</v>
      </c>
      <c r="O758" s="508">
        <v>5.6550000000000002</v>
      </c>
      <c r="P758" s="404">
        <f t="shared" si="637"/>
        <v>0</v>
      </c>
      <c r="Q758" s="449">
        <f t="shared" si="638"/>
        <v>0</v>
      </c>
    </row>
    <row r="759" spans="1:17" ht="24" x14ac:dyDescent="0.35">
      <c r="A759" s="248" t="s">
        <v>101</v>
      </c>
      <c r="B759" s="1026"/>
      <c r="C759" s="543" t="s">
        <v>260</v>
      </c>
      <c r="D759" s="276"/>
      <c r="E759" s="436"/>
      <c r="F759" s="690">
        <f t="shared" si="639"/>
        <v>0</v>
      </c>
      <c r="G759" s="276"/>
      <c r="H759" s="278"/>
      <c r="I759" s="352" t="str">
        <f t="shared" si="640"/>
        <v>-</v>
      </c>
      <c r="J759" s="874">
        <f t="shared" si="641"/>
        <v>0</v>
      </c>
      <c r="K759" s="278">
        <f t="shared" si="635"/>
        <v>0</v>
      </c>
      <c r="L759" s="436">
        <f t="shared" si="636"/>
        <v>0</v>
      </c>
      <c r="M759" s="337" t="str">
        <f t="shared" si="642"/>
        <v>-</v>
      </c>
      <c r="N759" s="263" t="str">
        <f t="shared" si="644"/>
        <v>-</v>
      </c>
      <c r="O759" s="508">
        <v>3.2963</v>
      </c>
      <c r="P759" s="404">
        <f t="shared" si="637"/>
        <v>0</v>
      </c>
      <c r="Q759" s="449">
        <f t="shared" si="638"/>
        <v>0</v>
      </c>
    </row>
    <row r="760" spans="1:17" ht="24.75" thickBot="1" x14ac:dyDescent="0.4">
      <c r="A760" s="248" t="s">
        <v>101</v>
      </c>
      <c r="B760" s="1027"/>
      <c r="C760" s="543" t="s">
        <v>255</v>
      </c>
      <c r="D760" s="276"/>
      <c r="E760" s="436"/>
      <c r="F760" s="690">
        <f t="shared" si="639"/>
        <v>0</v>
      </c>
      <c r="G760" s="276"/>
      <c r="H760" s="278"/>
      <c r="I760" s="352" t="str">
        <f t="shared" si="640"/>
        <v>-</v>
      </c>
      <c r="J760" s="874">
        <f t="shared" si="641"/>
        <v>0</v>
      </c>
      <c r="K760" s="278">
        <f t="shared" si="635"/>
        <v>0</v>
      </c>
      <c r="L760" s="436">
        <f t="shared" si="636"/>
        <v>0</v>
      </c>
      <c r="M760" s="337" t="str">
        <f t="shared" si="642"/>
        <v>-</v>
      </c>
      <c r="N760" s="263" t="str">
        <f t="shared" si="644"/>
        <v>-</v>
      </c>
      <c r="O760" s="508">
        <v>3.2963</v>
      </c>
      <c r="P760" s="404">
        <f t="shared" si="637"/>
        <v>0</v>
      </c>
      <c r="Q760" s="449">
        <f t="shared" si="638"/>
        <v>0</v>
      </c>
    </row>
    <row r="761" spans="1:17" ht="24" x14ac:dyDescent="0.35">
      <c r="A761" s="248" t="s">
        <v>101</v>
      </c>
      <c r="B761" s="546"/>
      <c r="C761" s="544" t="s">
        <v>89</v>
      </c>
      <c r="D761" s="511"/>
      <c r="E761" s="436"/>
      <c r="F761" s="690">
        <f t="shared" si="639"/>
        <v>0</v>
      </c>
      <c r="G761" s="276"/>
      <c r="H761" s="278"/>
      <c r="I761" s="352" t="str">
        <f t="shared" si="640"/>
        <v>-</v>
      </c>
      <c r="J761" s="874">
        <f t="shared" si="641"/>
        <v>83715</v>
      </c>
      <c r="K761" s="278">
        <f t="shared" si="635"/>
        <v>83400</v>
      </c>
      <c r="L761" s="436">
        <f t="shared" si="636"/>
        <v>315</v>
      </c>
      <c r="M761" s="337" t="str">
        <f t="shared" si="642"/>
        <v>-</v>
      </c>
      <c r="N761" s="263">
        <f t="shared" si="644"/>
        <v>3.7627665292958249E-3</v>
      </c>
      <c r="O761" s="508">
        <v>2.3201000000000001</v>
      </c>
      <c r="P761" s="404">
        <f t="shared" si="637"/>
        <v>0</v>
      </c>
      <c r="Q761" s="449">
        <f t="shared" si="638"/>
        <v>193496.34</v>
      </c>
    </row>
    <row r="762" spans="1:17" ht="24.75" thickBot="1" x14ac:dyDescent="0.3">
      <c r="A762" s="248" t="s">
        <v>101</v>
      </c>
      <c r="B762" s="524"/>
      <c r="C762" s="541"/>
      <c r="D762" s="530"/>
      <c r="E762" s="462"/>
      <c r="F762" s="691">
        <f t="shared" si="639"/>
        <v>0</v>
      </c>
      <c r="G762" s="530"/>
      <c r="H762" s="461"/>
      <c r="I762" s="532" t="str">
        <f t="shared" si="640"/>
        <v>-</v>
      </c>
      <c r="J762" s="875">
        <f t="shared" si="641"/>
        <v>0</v>
      </c>
      <c r="K762" s="461">
        <f t="shared" si="635"/>
        <v>0</v>
      </c>
      <c r="L762" s="462">
        <f t="shared" si="636"/>
        <v>0</v>
      </c>
      <c r="M762" s="683" t="str">
        <f t="shared" si="642"/>
        <v>-</v>
      </c>
      <c r="N762" s="264" t="str">
        <f t="shared" si="644"/>
        <v>-</v>
      </c>
      <c r="O762" s="539"/>
      <c r="P762" s="536">
        <f t="shared" si="637"/>
        <v>0</v>
      </c>
      <c r="Q762" s="537">
        <f t="shared" si="638"/>
        <v>0</v>
      </c>
    </row>
    <row r="763" spans="1:17" ht="23.25" thickBot="1" x14ac:dyDescent="0.3">
      <c r="A763" s="274" t="s">
        <v>101</v>
      </c>
      <c r="B763" s="1028" t="s">
        <v>25</v>
      </c>
      <c r="C763" s="964"/>
      <c r="D763" s="513">
        <f>SUM(D736:D762)</f>
        <v>0</v>
      </c>
      <c r="E763" s="526">
        <v>100000</v>
      </c>
      <c r="F763" s="519">
        <f>SUM(F731:F762)</f>
        <v>98874</v>
      </c>
      <c r="G763" s="519">
        <f>SUM(G731:G762)</f>
        <v>96870</v>
      </c>
      <c r="H763" s="519">
        <f>SUM(H731:H762)</f>
        <v>2004</v>
      </c>
      <c r="I763" s="520">
        <f>IFERROR(F763/E763,"-")</f>
        <v>0.98873999999999995</v>
      </c>
      <c r="J763" s="513">
        <f>SUM(J731:J762)</f>
        <v>1656279</v>
      </c>
      <c r="K763" s="513">
        <f t="shared" ref="K763:L763" si="645">SUM(K731:K762)</f>
        <v>1637388</v>
      </c>
      <c r="L763" s="513">
        <f t="shared" si="645"/>
        <v>18891</v>
      </c>
      <c r="M763" s="521" t="str">
        <f t="shared" si="642"/>
        <v>-</v>
      </c>
      <c r="N763" s="520">
        <f t="shared" si="644"/>
        <v>1.1405687085328015E-2</v>
      </c>
      <c r="O763" s="522"/>
      <c r="P763" s="523">
        <f>SUM(P731:P762)</f>
        <v>756357.59199999995</v>
      </c>
      <c r="Q763" s="523">
        <f>SUM(Q731:Q762)</f>
        <v>12205030.849900002</v>
      </c>
    </row>
    <row r="764" spans="1:17" ht="23.25" thickBot="1" x14ac:dyDescent="0.3">
      <c r="A764" s="318" t="s">
        <v>101</v>
      </c>
      <c r="B764" s="1029" t="s">
        <v>249</v>
      </c>
      <c r="C764" s="1030"/>
      <c r="D764" s="326">
        <f>+D735+D763</f>
        <v>0</v>
      </c>
      <c r="E764" s="327">
        <f>+E735+E763</f>
        <v>100000</v>
      </c>
      <c r="F764" s="326">
        <f>+F763</f>
        <v>98874</v>
      </c>
      <c r="G764" s="326">
        <f t="shared" ref="G764:H764" si="646">+G763</f>
        <v>96870</v>
      </c>
      <c r="H764" s="326">
        <f t="shared" si="646"/>
        <v>2004</v>
      </c>
      <c r="I764" s="349">
        <f>IFERROR(F764/E764,"-")</f>
        <v>0.98873999999999995</v>
      </c>
      <c r="J764" s="326">
        <f>+J763</f>
        <v>1656279</v>
      </c>
      <c r="K764" s="326">
        <f t="shared" ref="K764:L764" si="647">+K763</f>
        <v>1637388</v>
      </c>
      <c r="L764" s="326">
        <f t="shared" si="647"/>
        <v>18891</v>
      </c>
      <c r="M764" s="341" t="str">
        <f t="shared" si="642"/>
        <v>-</v>
      </c>
      <c r="N764" s="349">
        <f t="shared" si="644"/>
        <v>1.1405687085328015E-2</v>
      </c>
      <c r="O764" s="394"/>
      <c r="P764" s="410">
        <f>+P763</f>
        <v>756357.59199999995</v>
      </c>
      <c r="Q764" s="428">
        <f>Q763</f>
        <v>12205030.849900002</v>
      </c>
    </row>
    <row r="765" spans="1:17" ht="26.25" thickBot="1" x14ac:dyDescent="0.3">
      <c r="A765" s="319"/>
      <c r="B765" s="1031" t="s">
        <v>174</v>
      </c>
      <c r="C765" s="1032"/>
      <c r="D765" s="374">
        <f>+D764+D730+D721</f>
        <v>0</v>
      </c>
      <c r="E765" s="374">
        <f>+E764+E730+E721</f>
        <v>230000</v>
      </c>
      <c r="F765" s="374">
        <f>+F764+F730+F721</f>
        <v>312714</v>
      </c>
      <c r="G765" s="374">
        <f>+G764+G730+G721</f>
        <v>294590</v>
      </c>
      <c r="H765" s="374">
        <f>+H764+H730+H721</f>
        <v>18124</v>
      </c>
      <c r="I765" s="375">
        <f>IFERROR(F765/E765,"-")</f>
        <v>1.3596260869565218</v>
      </c>
      <c r="J765" s="374">
        <f>+J764+J730+J721</f>
        <v>4144454</v>
      </c>
      <c r="K765" s="374">
        <f>+K764+K730+K721</f>
        <v>4085808</v>
      </c>
      <c r="L765" s="374">
        <f>+L764+L730+L721</f>
        <v>58646</v>
      </c>
      <c r="M765" s="375" t="str">
        <f t="shared" si="642"/>
        <v>-</v>
      </c>
      <c r="N765" s="375">
        <f>IFERROR(L765/J765,"-")</f>
        <v>1.4150476757613909E-2</v>
      </c>
      <c r="O765" s="401"/>
      <c r="P765" s="418">
        <f>+P764+P730+P721</f>
        <v>1456768.892</v>
      </c>
      <c r="Q765" s="418">
        <f>+Q764+Q730+Q721</f>
        <v>23946406.734900005</v>
      </c>
    </row>
  </sheetData>
  <mergeCells count="325">
    <mergeCell ref="B639:C639"/>
    <mergeCell ref="B637:C637"/>
    <mergeCell ref="B638:C638"/>
    <mergeCell ref="A578:A580"/>
    <mergeCell ref="B578:B580"/>
    <mergeCell ref="C578:C580"/>
    <mergeCell ref="B586:C586"/>
    <mergeCell ref="B595:C595"/>
    <mergeCell ref="B604:C604"/>
    <mergeCell ref="B605:B607"/>
    <mergeCell ref="B608:B611"/>
    <mergeCell ref="B612:B613"/>
    <mergeCell ref="B614:B617"/>
    <mergeCell ref="B619:B623"/>
    <mergeCell ref="B625:B628"/>
    <mergeCell ref="B629:B634"/>
    <mergeCell ref="B594:C594"/>
    <mergeCell ref="B603:C603"/>
    <mergeCell ref="O578:Q578"/>
    <mergeCell ref="D578:N578"/>
    <mergeCell ref="D579:D580"/>
    <mergeCell ref="E579:E580"/>
    <mergeCell ref="F579:I579"/>
    <mergeCell ref="J579:L579"/>
    <mergeCell ref="M579:M580"/>
    <mergeCell ref="N579:N580"/>
    <mergeCell ref="O579:Q579"/>
    <mergeCell ref="B184:B187"/>
    <mergeCell ref="B188:B193"/>
    <mergeCell ref="B196:C196"/>
    <mergeCell ref="B197:C197"/>
    <mergeCell ref="B198:C198"/>
    <mergeCell ref="B153:C153"/>
    <mergeCell ref="B154:C154"/>
    <mergeCell ref="B162:C162"/>
    <mergeCell ref="B163:C163"/>
    <mergeCell ref="B164:B166"/>
    <mergeCell ref="B167:B170"/>
    <mergeCell ref="B171:B172"/>
    <mergeCell ref="B173:B176"/>
    <mergeCell ref="B178:B182"/>
    <mergeCell ref="O137:Q137"/>
    <mergeCell ref="D138:D139"/>
    <mergeCell ref="E138:E139"/>
    <mergeCell ref="F138:I138"/>
    <mergeCell ref="J138:L138"/>
    <mergeCell ref="M138:M139"/>
    <mergeCell ref="N138:N139"/>
    <mergeCell ref="O138:Q138"/>
    <mergeCell ref="B145:C145"/>
    <mergeCell ref="B121:B124"/>
    <mergeCell ref="B125:B130"/>
    <mergeCell ref="B133:C133"/>
    <mergeCell ref="B134:C134"/>
    <mergeCell ref="B135:C135"/>
    <mergeCell ref="A137:A139"/>
    <mergeCell ref="B137:B139"/>
    <mergeCell ref="C137:C139"/>
    <mergeCell ref="D137:N137"/>
    <mergeCell ref="B90:C90"/>
    <mergeCell ref="B91:C91"/>
    <mergeCell ref="B99:C99"/>
    <mergeCell ref="B100:C100"/>
    <mergeCell ref="B101:B103"/>
    <mergeCell ref="B104:B107"/>
    <mergeCell ref="B108:B109"/>
    <mergeCell ref="B110:B113"/>
    <mergeCell ref="B115:B119"/>
    <mergeCell ref="O74:Q74"/>
    <mergeCell ref="D75:D76"/>
    <mergeCell ref="E75:E76"/>
    <mergeCell ref="F75:I75"/>
    <mergeCell ref="J75:L75"/>
    <mergeCell ref="M75:M76"/>
    <mergeCell ref="N75:N76"/>
    <mergeCell ref="O75:Q75"/>
    <mergeCell ref="B82:C82"/>
    <mergeCell ref="A9:Q9"/>
    <mergeCell ref="A11:A13"/>
    <mergeCell ref="B11:B13"/>
    <mergeCell ref="C11:C13"/>
    <mergeCell ref="D11:N11"/>
    <mergeCell ref="O11:Q11"/>
    <mergeCell ref="D12:D13"/>
    <mergeCell ref="E12:E13"/>
    <mergeCell ref="F12:I12"/>
    <mergeCell ref="J12:L12"/>
    <mergeCell ref="M12:M13"/>
    <mergeCell ref="N12:N13"/>
    <mergeCell ref="O12:Q12"/>
    <mergeCell ref="O200:Q200"/>
    <mergeCell ref="A200:A202"/>
    <mergeCell ref="B200:B202"/>
    <mergeCell ref="C200:C202"/>
    <mergeCell ref="D200:N200"/>
    <mergeCell ref="B72:C72"/>
    <mergeCell ref="B19:C19"/>
    <mergeCell ref="B27:C27"/>
    <mergeCell ref="B28:C28"/>
    <mergeCell ref="B36:C36"/>
    <mergeCell ref="B37:C37"/>
    <mergeCell ref="B38:B40"/>
    <mergeCell ref="B41:B44"/>
    <mergeCell ref="B45:B46"/>
    <mergeCell ref="B47:B50"/>
    <mergeCell ref="B52:B56"/>
    <mergeCell ref="B58:B61"/>
    <mergeCell ref="B62:B67"/>
    <mergeCell ref="B70:C70"/>
    <mergeCell ref="B71:C71"/>
    <mergeCell ref="A74:A76"/>
    <mergeCell ref="B74:B76"/>
    <mergeCell ref="C74:C76"/>
    <mergeCell ref="D74:N74"/>
    <mergeCell ref="B261:C261"/>
    <mergeCell ref="N201:N202"/>
    <mergeCell ref="O201:Q201"/>
    <mergeCell ref="B208:C208"/>
    <mergeCell ref="B217:C217"/>
    <mergeCell ref="B226:C226"/>
    <mergeCell ref="D201:D202"/>
    <mergeCell ref="E201:E202"/>
    <mergeCell ref="F201:I201"/>
    <mergeCell ref="J201:L201"/>
    <mergeCell ref="M201:M202"/>
    <mergeCell ref="B259:C259"/>
    <mergeCell ref="B260:C260"/>
    <mergeCell ref="B247:B250"/>
    <mergeCell ref="B251:B256"/>
    <mergeCell ref="B227:B229"/>
    <mergeCell ref="B230:B233"/>
    <mergeCell ref="B234:B235"/>
    <mergeCell ref="B236:B239"/>
    <mergeCell ref="B241:B245"/>
    <mergeCell ref="B216:C216"/>
    <mergeCell ref="B225:C225"/>
    <mergeCell ref="A263:A265"/>
    <mergeCell ref="B263:B265"/>
    <mergeCell ref="C263:C265"/>
    <mergeCell ref="D263:N263"/>
    <mergeCell ref="O263:Q263"/>
    <mergeCell ref="D264:D265"/>
    <mergeCell ref="E264:E265"/>
    <mergeCell ref="F264:I264"/>
    <mergeCell ref="J264:L264"/>
    <mergeCell ref="M264:M265"/>
    <mergeCell ref="N264:N265"/>
    <mergeCell ref="O264:Q264"/>
    <mergeCell ref="B304:B308"/>
    <mergeCell ref="B310:B313"/>
    <mergeCell ref="B314:B319"/>
    <mergeCell ref="B322:C322"/>
    <mergeCell ref="B323:C323"/>
    <mergeCell ref="B324:C324"/>
    <mergeCell ref="B271:C271"/>
    <mergeCell ref="B279:C279"/>
    <mergeCell ref="B280:C280"/>
    <mergeCell ref="B288:C288"/>
    <mergeCell ref="B289:C289"/>
    <mergeCell ref="B290:B292"/>
    <mergeCell ref="B293:B296"/>
    <mergeCell ref="B297:B298"/>
    <mergeCell ref="B299:B302"/>
    <mergeCell ref="A326:A328"/>
    <mergeCell ref="B326:B328"/>
    <mergeCell ref="C326:C328"/>
    <mergeCell ref="D326:N326"/>
    <mergeCell ref="O326:Q326"/>
    <mergeCell ref="D327:D328"/>
    <mergeCell ref="E327:E328"/>
    <mergeCell ref="F327:I327"/>
    <mergeCell ref="J327:L327"/>
    <mergeCell ref="M327:M328"/>
    <mergeCell ref="N327:N328"/>
    <mergeCell ref="O327:Q327"/>
    <mergeCell ref="B367:B371"/>
    <mergeCell ref="B373:B376"/>
    <mergeCell ref="B377:B382"/>
    <mergeCell ref="B385:C385"/>
    <mergeCell ref="B386:C386"/>
    <mergeCell ref="B387:C387"/>
    <mergeCell ref="B334:C334"/>
    <mergeCell ref="B342:C342"/>
    <mergeCell ref="B343:C343"/>
    <mergeCell ref="B351:C351"/>
    <mergeCell ref="B352:C352"/>
    <mergeCell ref="B353:B355"/>
    <mergeCell ref="B356:B359"/>
    <mergeCell ref="B360:B361"/>
    <mergeCell ref="B362:B365"/>
    <mergeCell ref="A389:A391"/>
    <mergeCell ref="B389:B391"/>
    <mergeCell ref="C389:C391"/>
    <mergeCell ref="D389:N389"/>
    <mergeCell ref="O389:Q389"/>
    <mergeCell ref="D390:D391"/>
    <mergeCell ref="E390:E391"/>
    <mergeCell ref="F390:I390"/>
    <mergeCell ref="J390:L390"/>
    <mergeCell ref="M390:M391"/>
    <mergeCell ref="N390:N391"/>
    <mergeCell ref="O390:Q390"/>
    <mergeCell ref="B430:B434"/>
    <mergeCell ref="B436:B439"/>
    <mergeCell ref="B440:B445"/>
    <mergeCell ref="B448:C448"/>
    <mergeCell ref="B449:C449"/>
    <mergeCell ref="B450:C450"/>
    <mergeCell ref="B397:C397"/>
    <mergeCell ref="B405:C405"/>
    <mergeCell ref="B406:C406"/>
    <mergeCell ref="B414:C414"/>
    <mergeCell ref="B415:C415"/>
    <mergeCell ref="B416:B418"/>
    <mergeCell ref="B419:B422"/>
    <mergeCell ref="B423:B424"/>
    <mergeCell ref="B425:B428"/>
    <mergeCell ref="A452:A454"/>
    <mergeCell ref="B452:B454"/>
    <mergeCell ref="C452:C454"/>
    <mergeCell ref="D452:N452"/>
    <mergeCell ref="O452:Q452"/>
    <mergeCell ref="D453:D454"/>
    <mergeCell ref="E453:E454"/>
    <mergeCell ref="F453:I453"/>
    <mergeCell ref="J453:L453"/>
    <mergeCell ref="M453:M454"/>
    <mergeCell ref="N453:N454"/>
    <mergeCell ref="O453:Q453"/>
    <mergeCell ref="B493:B497"/>
    <mergeCell ref="B499:B502"/>
    <mergeCell ref="B503:B508"/>
    <mergeCell ref="B511:C511"/>
    <mergeCell ref="B512:C512"/>
    <mergeCell ref="B513:C513"/>
    <mergeCell ref="B460:C460"/>
    <mergeCell ref="B468:C468"/>
    <mergeCell ref="B469:C469"/>
    <mergeCell ref="B477:C477"/>
    <mergeCell ref="B478:C478"/>
    <mergeCell ref="B479:B481"/>
    <mergeCell ref="B482:B485"/>
    <mergeCell ref="B486:B487"/>
    <mergeCell ref="B488:B491"/>
    <mergeCell ref="A515:A517"/>
    <mergeCell ref="B515:B517"/>
    <mergeCell ref="C515:C517"/>
    <mergeCell ref="D515:N515"/>
    <mergeCell ref="O515:Q515"/>
    <mergeCell ref="D516:D517"/>
    <mergeCell ref="E516:E517"/>
    <mergeCell ref="F516:I516"/>
    <mergeCell ref="J516:L516"/>
    <mergeCell ref="M516:M517"/>
    <mergeCell ref="N516:N517"/>
    <mergeCell ref="O516:Q516"/>
    <mergeCell ref="B556:B560"/>
    <mergeCell ref="B562:B565"/>
    <mergeCell ref="B566:B571"/>
    <mergeCell ref="B574:C574"/>
    <mergeCell ref="B575:C575"/>
    <mergeCell ref="B576:C576"/>
    <mergeCell ref="B523:C523"/>
    <mergeCell ref="B531:C531"/>
    <mergeCell ref="B532:C532"/>
    <mergeCell ref="B540:C540"/>
    <mergeCell ref="B541:C541"/>
    <mergeCell ref="B542:B544"/>
    <mergeCell ref="B545:B548"/>
    <mergeCell ref="B549:B550"/>
    <mergeCell ref="B551:B554"/>
    <mergeCell ref="A641:A643"/>
    <mergeCell ref="B641:B643"/>
    <mergeCell ref="C641:C643"/>
    <mergeCell ref="D641:N641"/>
    <mergeCell ref="O641:Q641"/>
    <mergeCell ref="D642:D643"/>
    <mergeCell ref="E642:E643"/>
    <mergeCell ref="F642:I642"/>
    <mergeCell ref="J642:L642"/>
    <mergeCell ref="M642:M643"/>
    <mergeCell ref="N642:N643"/>
    <mergeCell ref="O642:Q642"/>
    <mergeCell ref="B682:B686"/>
    <mergeCell ref="B688:B691"/>
    <mergeCell ref="B692:B697"/>
    <mergeCell ref="B700:C700"/>
    <mergeCell ref="B701:C701"/>
    <mergeCell ref="B702:C702"/>
    <mergeCell ref="B649:C649"/>
    <mergeCell ref="B657:C657"/>
    <mergeCell ref="B658:C658"/>
    <mergeCell ref="B666:C666"/>
    <mergeCell ref="B667:C667"/>
    <mergeCell ref="B668:B670"/>
    <mergeCell ref="B671:B674"/>
    <mergeCell ref="B675:B676"/>
    <mergeCell ref="B677:B680"/>
    <mergeCell ref="A704:A706"/>
    <mergeCell ref="B704:B706"/>
    <mergeCell ref="C704:C706"/>
    <mergeCell ref="D704:N704"/>
    <mergeCell ref="O704:Q704"/>
    <mergeCell ref="D705:D706"/>
    <mergeCell ref="E705:E706"/>
    <mergeCell ref="F705:I705"/>
    <mergeCell ref="J705:L705"/>
    <mergeCell ref="M705:M706"/>
    <mergeCell ref="N705:N706"/>
    <mergeCell ref="O705:Q705"/>
    <mergeCell ref="B745:B749"/>
    <mergeCell ref="B751:B754"/>
    <mergeCell ref="B755:B760"/>
    <mergeCell ref="B763:C763"/>
    <mergeCell ref="B764:C764"/>
    <mergeCell ref="B765:C765"/>
    <mergeCell ref="B712:C712"/>
    <mergeCell ref="B720:C720"/>
    <mergeCell ref="B721:C721"/>
    <mergeCell ref="B729:C729"/>
    <mergeCell ref="B730:C730"/>
    <mergeCell ref="B731:B733"/>
    <mergeCell ref="B734:B737"/>
    <mergeCell ref="B738:B739"/>
    <mergeCell ref="B740:B743"/>
  </mergeCells>
  <pageMargins left="0.19685039370078741" right="0.19685039370078741" top="0.19685039370078741" bottom="0.19685039370078741" header="0.19685039370078741" footer="0.19685039370078741"/>
  <pageSetup paperSize="9" scale="26" orientation="portrait" verticalDpi="300" r:id="rId1"/>
  <rowBreaks count="10" manualBreakCount="10">
    <brk id="72" max="16" man="1"/>
    <brk id="135" max="16" man="1"/>
    <brk id="198" max="16" man="1"/>
    <brk id="261" max="16" man="1"/>
    <brk id="324" max="16" man="1"/>
    <brk id="387" max="16" man="1"/>
    <brk id="450" max="16" man="1"/>
    <brk id="576" max="16" man="1"/>
    <brk id="639" max="16" man="1"/>
    <brk id="702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7:M1178"/>
  <sheetViews>
    <sheetView view="pageBreakPreview" topLeftCell="A1102" zoomScale="50" zoomScaleNormal="70" zoomScaleSheetLayoutView="50" workbookViewId="0">
      <selection activeCell="E1100" sqref="E1100"/>
    </sheetView>
  </sheetViews>
  <sheetFormatPr baseColWidth="10" defaultColWidth="9.140625" defaultRowHeight="16.5" x14ac:dyDescent="0.25"/>
  <cols>
    <col min="1" max="1" width="10.140625" style="229" customWidth="1"/>
    <col min="2" max="2" width="14.42578125" style="266" customWidth="1"/>
    <col min="3" max="3" width="86" style="266" customWidth="1"/>
    <col min="4" max="4" width="38.7109375" style="229" customWidth="1"/>
    <col min="5" max="6" width="24" style="222" customWidth="1"/>
    <col min="7" max="7" width="24" style="223" customWidth="1"/>
    <col min="8" max="8" width="30.42578125" style="223" bestFit="1" customWidth="1"/>
    <col min="9" max="9" width="32.28515625" style="222" customWidth="1"/>
    <col min="10" max="10" width="0.28515625" style="224" customWidth="1"/>
    <col min="11" max="11" width="15.28515625" style="229" bestFit="1" customWidth="1"/>
    <col min="12" max="12" width="17.5703125" style="229" customWidth="1"/>
    <col min="13" max="13" width="14.140625" style="229" bestFit="1" customWidth="1"/>
    <col min="14" max="16384" width="9.140625" style="229"/>
  </cols>
  <sheetData>
    <row r="7" spans="1:10" ht="67.150000000000006" customHeight="1" x14ac:dyDescent="0.25">
      <c r="A7" s="220" t="s">
        <v>0</v>
      </c>
    </row>
    <row r="9" spans="1:10" ht="81" customHeight="1" x14ac:dyDescent="0.25">
      <c r="A9" s="1007" t="s">
        <v>476</v>
      </c>
      <c r="B9" s="1008"/>
      <c r="C9" s="1008"/>
      <c r="D9" s="1008"/>
      <c r="E9" s="1008"/>
      <c r="F9" s="1008"/>
      <c r="G9" s="1008"/>
      <c r="H9" s="1008"/>
      <c r="I9" s="1008"/>
      <c r="J9" s="1008"/>
    </row>
    <row r="10" spans="1:10" ht="24.6" customHeight="1" thickBot="1" x14ac:dyDescent="0.3">
      <c r="A10" s="230"/>
      <c r="B10" s="230"/>
      <c r="C10" s="230"/>
      <c r="D10" s="230"/>
      <c r="E10" s="232"/>
      <c r="F10" s="232"/>
      <c r="G10" s="232"/>
      <c r="H10" s="232"/>
      <c r="I10" s="267"/>
      <c r="J10" s="234"/>
    </row>
    <row r="11" spans="1:10" ht="35.25" customHeight="1" x14ac:dyDescent="0.25">
      <c r="A11" s="978" t="s">
        <v>1</v>
      </c>
      <c r="B11" s="981" t="s">
        <v>2</v>
      </c>
      <c r="C11" s="1056" t="s">
        <v>396</v>
      </c>
      <c r="D11" s="1033" t="s">
        <v>397</v>
      </c>
      <c r="E11" s="1060" t="s">
        <v>474</v>
      </c>
      <c r="F11" s="988"/>
      <c r="G11" s="988"/>
      <c r="H11" s="988"/>
      <c r="I11" s="988"/>
      <c r="J11" s="989"/>
    </row>
    <row r="12" spans="1:10" ht="35.25" customHeight="1" x14ac:dyDescent="0.25">
      <c r="A12" s="1054"/>
      <c r="B12" s="1055"/>
      <c r="C12" s="1057"/>
      <c r="D12" s="1034"/>
      <c r="E12" s="1061" t="s">
        <v>412</v>
      </c>
      <c r="F12" s="1062"/>
      <c r="G12" s="1061" t="s">
        <v>411</v>
      </c>
      <c r="H12" s="1063"/>
      <c r="I12" s="1063"/>
      <c r="J12" s="1062"/>
    </row>
    <row r="13" spans="1:10" ht="35.25" customHeight="1" x14ac:dyDescent="0.25">
      <c r="A13" s="979"/>
      <c r="B13" s="982"/>
      <c r="C13" s="1058"/>
      <c r="D13" s="1034"/>
      <c r="E13" s="990" t="s">
        <v>413</v>
      </c>
      <c r="F13" s="992" t="s">
        <v>414</v>
      </c>
      <c r="G13" s="1065" t="s">
        <v>90</v>
      </c>
      <c r="H13" s="1067" t="s">
        <v>91</v>
      </c>
      <c r="I13" s="1067" t="s">
        <v>91</v>
      </c>
      <c r="J13" s="1069" t="s">
        <v>12</v>
      </c>
    </row>
    <row r="14" spans="1:10" ht="35.25" customHeight="1" thickBot="1" x14ac:dyDescent="0.3">
      <c r="A14" s="980"/>
      <c r="B14" s="983"/>
      <c r="C14" s="1059"/>
      <c r="D14" s="1035"/>
      <c r="E14" s="991"/>
      <c r="F14" s="1064"/>
      <c r="G14" s="1066"/>
      <c r="H14" s="1068"/>
      <c r="I14" s="1068"/>
      <c r="J14" s="1070"/>
    </row>
    <row r="15" spans="1:10" ht="35.25" customHeight="1" x14ac:dyDescent="0.25">
      <c r="A15" s="1051" t="s">
        <v>103</v>
      </c>
      <c r="B15" s="439"/>
      <c r="C15" s="577" t="s">
        <v>442</v>
      </c>
      <c r="D15" s="665" t="s">
        <v>374</v>
      </c>
      <c r="E15" s="699"/>
      <c r="F15" s="674">
        <f>+E15</f>
        <v>0</v>
      </c>
      <c r="G15" s="732">
        <v>107.85</v>
      </c>
      <c r="H15" s="591">
        <f t="shared" ref="H15:H30" si="0">E15*G15</f>
        <v>0</v>
      </c>
      <c r="I15" s="594">
        <f>+G15*F15</f>
        <v>0</v>
      </c>
      <c r="J15" s="351"/>
    </row>
    <row r="16" spans="1:10" ht="35.25" customHeight="1" x14ac:dyDescent="0.25">
      <c r="A16" s="1052"/>
      <c r="B16" s="438"/>
      <c r="C16" s="441" t="s">
        <v>264</v>
      </c>
      <c r="D16" s="666" t="s">
        <v>265</v>
      </c>
      <c r="E16" s="700"/>
      <c r="F16" s="701">
        <f t="shared" ref="F16:F30" si="1">+E16</f>
        <v>0</v>
      </c>
      <c r="G16" s="697">
        <v>11</v>
      </c>
      <c r="H16" s="592">
        <f t="shared" si="0"/>
        <v>0</v>
      </c>
      <c r="I16" s="595">
        <f>+G16*F16</f>
        <v>0</v>
      </c>
      <c r="J16" s="352"/>
    </row>
    <row r="17" spans="1:10" ht="35.25" customHeight="1" x14ac:dyDescent="0.25">
      <c r="A17" s="1052"/>
      <c r="B17" s="438"/>
      <c r="C17" s="441" t="s">
        <v>295</v>
      </c>
      <c r="D17" s="666" t="s">
        <v>453</v>
      </c>
      <c r="E17" s="700"/>
      <c r="F17" s="701">
        <f t="shared" si="1"/>
        <v>0</v>
      </c>
      <c r="G17" s="697">
        <v>139.04</v>
      </c>
      <c r="H17" s="592">
        <f t="shared" si="0"/>
        <v>0</v>
      </c>
      <c r="I17" s="595">
        <f t="shared" ref="I17:I30" si="2">+G17*F17</f>
        <v>0</v>
      </c>
      <c r="J17" s="352"/>
    </row>
    <row r="18" spans="1:10" ht="35.25" customHeight="1" x14ac:dyDescent="0.25">
      <c r="A18" s="1052"/>
      <c r="B18" s="438"/>
      <c r="C18" s="441" t="s">
        <v>357</v>
      </c>
      <c r="D18" s="666" t="s">
        <v>358</v>
      </c>
      <c r="E18" s="700"/>
      <c r="F18" s="701">
        <f t="shared" si="1"/>
        <v>0</v>
      </c>
      <c r="G18" s="715">
        <v>20.5</v>
      </c>
      <c r="H18" s="592">
        <f t="shared" si="0"/>
        <v>0</v>
      </c>
      <c r="I18" s="595">
        <f t="shared" si="2"/>
        <v>0</v>
      </c>
      <c r="J18" s="352"/>
    </row>
    <row r="19" spans="1:10" ht="35.25" customHeight="1" x14ac:dyDescent="0.25">
      <c r="A19" s="1052"/>
      <c r="B19" s="438"/>
      <c r="C19" s="441" t="s">
        <v>288</v>
      </c>
      <c r="D19" s="666" t="s">
        <v>177</v>
      </c>
      <c r="E19" s="700"/>
      <c r="F19" s="701">
        <f t="shared" si="1"/>
        <v>0</v>
      </c>
      <c r="G19" s="697">
        <v>14.79</v>
      </c>
      <c r="H19" s="592">
        <f t="shared" si="0"/>
        <v>0</v>
      </c>
      <c r="I19" s="595">
        <f t="shared" si="2"/>
        <v>0</v>
      </c>
      <c r="J19" s="352"/>
    </row>
    <row r="20" spans="1:10" ht="35.25" customHeight="1" x14ac:dyDescent="0.25">
      <c r="A20" s="1052"/>
      <c r="B20" s="438"/>
      <c r="C20" s="441" t="s">
        <v>295</v>
      </c>
      <c r="D20" s="666" t="s">
        <v>265</v>
      </c>
      <c r="E20" s="700"/>
      <c r="F20" s="701">
        <f t="shared" si="1"/>
        <v>0</v>
      </c>
      <c r="G20" s="697">
        <v>139.04</v>
      </c>
      <c r="H20" s="592">
        <f t="shared" si="0"/>
        <v>0</v>
      </c>
      <c r="I20" s="595">
        <f t="shared" si="2"/>
        <v>0</v>
      </c>
      <c r="J20" s="352"/>
    </row>
    <row r="21" spans="1:10" ht="35.25" customHeight="1" x14ac:dyDescent="0.25">
      <c r="A21" s="1052"/>
      <c r="B21" s="438"/>
      <c r="C21" s="441" t="s">
        <v>391</v>
      </c>
      <c r="D21" s="667" t="s">
        <v>356</v>
      </c>
      <c r="E21" s="700"/>
      <c r="F21" s="701">
        <f t="shared" si="1"/>
        <v>0</v>
      </c>
      <c r="G21" s="697">
        <v>147.58000000000001</v>
      </c>
      <c r="H21" s="592">
        <f t="shared" si="0"/>
        <v>0</v>
      </c>
      <c r="I21" s="595">
        <f t="shared" si="2"/>
        <v>0</v>
      </c>
      <c r="J21" s="352"/>
    </row>
    <row r="22" spans="1:10" ht="35.25" customHeight="1" x14ac:dyDescent="0.25">
      <c r="A22" s="1052"/>
      <c r="B22" s="438"/>
      <c r="C22" s="441" t="s">
        <v>313</v>
      </c>
      <c r="D22" s="667" t="s">
        <v>445</v>
      </c>
      <c r="E22" s="700"/>
      <c r="F22" s="701">
        <f t="shared" si="1"/>
        <v>0</v>
      </c>
      <c r="G22" s="697">
        <v>18.84</v>
      </c>
      <c r="H22" s="592">
        <f t="shared" si="0"/>
        <v>0</v>
      </c>
      <c r="I22" s="595">
        <f t="shared" si="2"/>
        <v>0</v>
      </c>
      <c r="J22" s="352"/>
    </row>
    <row r="23" spans="1:10" ht="35.25" customHeight="1" x14ac:dyDescent="0.25">
      <c r="A23" s="1052"/>
      <c r="B23" s="438"/>
      <c r="C23" s="441" t="s">
        <v>313</v>
      </c>
      <c r="D23" s="667" t="s">
        <v>265</v>
      </c>
      <c r="E23" s="700"/>
      <c r="F23" s="701">
        <f t="shared" si="1"/>
        <v>0</v>
      </c>
      <c r="G23" s="697">
        <v>18.84</v>
      </c>
      <c r="H23" s="592">
        <f t="shared" si="0"/>
        <v>0</v>
      </c>
      <c r="I23" s="595">
        <f t="shared" si="2"/>
        <v>0</v>
      </c>
      <c r="J23" s="352"/>
    </row>
    <row r="24" spans="1:10" ht="35.25" customHeight="1" x14ac:dyDescent="0.25">
      <c r="A24" s="1052"/>
      <c r="B24" s="438"/>
      <c r="C24" s="441" t="s">
        <v>322</v>
      </c>
      <c r="D24" s="667" t="s">
        <v>232</v>
      </c>
      <c r="E24" s="700"/>
      <c r="F24" s="701">
        <f t="shared" si="1"/>
        <v>0</v>
      </c>
      <c r="G24" s="697">
        <v>21.18</v>
      </c>
      <c r="H24" s="592">
        <f t="shared" si="0"/>
        <v>0</v>
      </c>
      <c r="I24" s="595">
        <f t="shared" si="2"/>
        <v>0</v>
      </c>
      <c r="J24" s="352"/>
    </row>
    <row r="25" spans="1:10" ht="35.25" customHeight="1" x14ac:dyDescent="0.25">
      <c r="A25" s="1052"/>
      <c r="B25" s="438"/>
      <c r="C25" s="441" t="s">
        <v>324</v>
      </c>
      <c r="D25" s="667" t="s">
        <v>325</v>
      </c>
      <c r="E25" s="700"/>
      <c r="F25" s="701">
        <f t="shared" si="1"/>
        <v>0</v>
      </c>
      <c r="G25" s="697">
        <v>21.28</v>
      </c>
      <c r="H25" s="592">
        <f t="shared" si="0"/>
        <v>0</v>
      </c>
      <c r="I25" s="595">
        <f t="shared" si="2"/>
        <v>0</v>
      </c>
      <c r="J25" s="352"/>
    </row>
    <row r="26" spans="1:10" ht="35.25" customHeight="1" x14ac:dyDescent="0.25">
      <c r="A26" s="1052"/>
      <c r="B26" s="438"/>
      <c r="C26" s="441" t="s">
        <v>378</v>
      </c>
      <c r="D26" s="667" t="s">
        <v>374</v>
      </c>
      <c r="E26" s="700"/>
      <c r="F26" s="701">
        <f t="shared" si="1"/>
        <v>0</v>
      </c>
      <c r="G26" s="697">
        <v>143.28</v>
      </c>
      <c r="H26" s="592">
        <f t="shared" si="0"/>
        <v>0</v>
      </c>
      <c r="I26" s="595">
        <f t="shared" si="2"/>
        <v>0</v>
      </c>
      <c r="J26" s="352"/>
    </row>
    <row r="27" spans="1:10" ht="35.25" customHeight="1" x14ac:dyDescent="0.25">
      <c r="A27" s="1052"/>
      <c r="B27" s="438"/>
      <c r="C27" s="441" t="s">
        <v>472</v>
      </c>
      <c r="D27" s="667"/>
      <c r="E27" s="700"/>
      <c r="F27" s="701">
        <f t="shared" si="1"/>
        <v>0</v>
      </c>
      <c r="G27" s="697">
        <v>14.79</v>
      </c>
      <c r="H27" s="592">
        <f t="shared" si="0"/>
        <v>0</v>
      </c>
      <c r="I27" s="595">
        <f t="shared" si="2"/>
        <v>0</v>
      </c>
      <c r="J27" s="352"/>
    </row>
    <row r="28" spans="1:10" ht="35.25" customHeight="1" x14ac:dyDescent="0.25">
      <c r="A28" s="1052"/>
      <c r="B28" s="438"/>
      <c r="C28" s="441" t="s">
        <v>451</v>
      </c>
      <c r="D28" s="666" t="s">
        <v>177</v>
      </c>
      <c r="E28" s="700"/>
      <c r="F28" s="701">
        <f t="shared" si="1"/>
        <v>0</v>
      </c>
      <c r="G28" s="697">
        <v>14.55</v>
      </c>
      <c r="H28" s="592">
        <f t="shared" si="0"/>
        <v>0</v>
      </c>
      <c r="I28" s="595">
        <f t="shared" si="2"/>
        <v>0</v>
      </c>
      <c r="J28" s="352"/>
    </row>
    <row r="29" spans="1:10" ht="35.25" customHeight="1" x14ac:dyDescent="0.25">
      <c r="A29" s="1052"/>
      <c r="B29" s="438"/>
      <c r="C29" s="441" t="s">
        <v>327</v>
      </c>
      <c r="D29" s="667" t="s">
        <v>188</v>
      </c>
      <c r="E29" s="700"/>
      <c r="F29" s="701">
        <f t="shared" si="1"/>
        <v>0</v>
      </c>
      <c r="G29" s="697">
        <v>21.28</v>
      </c>
      <c r="H29" s="592">
        <f t="shared" si="0"/>
        <v>0</v>
      </c>
      <c r="I29" s="595">
        <f t="shared" si="2"/>
        <v>0</v>
      </c>
      <c r="J29" s="352"/>
    </row>
    <row r="30" spans="1:10" ht="35.25" customHeight="1" thickBot="1" x14ac:dyDescent="0.3">
      <c r="A30" s="1052"/>
      <c r="B30" s="438"/>
      <c r="C30" s="441" t="s">
        <v>336</v>
      </c>
      <c r="D30" s="668" t="s">
        <v>178</v>
      </c>
      <c r="E30" s="700"/>
      <c r="F30" s="676">
        <f t="shared" si="1"/>
        <v>0</v>
      </c>
      <c r="G30" s="697">
        <v>36.44</v>
      </c>
      <c r="H30" s="592">
        <f t="shared" si="0"/>
        <v>0</v>
      </c>
      <c r="I30" s="595">
        <f t="shared" si="2"/>
        <v>0</v>
      </c>
      <c r="J30" s="352"/>
    </row>
    <row r="31" spans="1:10" ht="35.25" customHeight="1" thickBot="1" x14ac:dyDescent="0.3">
      <c r="A31" s="1052"/>
      <c r="B31" s="1047" t="s">
        <v>266</v>
      </c>
      <c r="C31" s="1048"/>
      <c r="D31" s="738"/>
      <c r="E31" s="326">
        <f>SUM(E15:E30)</f>
        <v>0</v>
      </c>
      <c r="F31" s="698">
        <f>SUM(F15:F30)</f>
        <v>0</v>
      </c>
      <c r="G31" s="326"/>
      <c r="H31" s="587">
        <f>SUM(H15:H30)</f>
        <v>0</v>
      </c>
      <c r="I31" s="580">
        <f>SUM(I15:I30)</f>
        <v>0</v>
      </c>
      <c r="J31" s="349"/>
    </row>
    <row r="32" spans="1:10" ht="35.25" customHeight="1" x14ac:dyDescent="0.25">
      <c r="A32" s="1052"/>
      <c r="B32" s="739"/>
      <c r="C32" s="279" t="s">
        <v>271</v>
      </c>
      <c r="D32" s="434" t="s">
        <v>238</v>
      </c>
      <c r="E32" s="280"/>
      <c r="F32" s="435">
        <f t="shared" ref="F32:F45" si="3">+E32</f>
        <v>0</v>
      </c>
      <c r="G32" s="578">
        <v>160.44999999999999</v>
      </c>
      <c r="H32" s="593">
        <f t="shared" ref="H32:H45" si="4">E32*G32</f>
        <v>0</v>
      </c>
      <c r="I32" s="596">
        <f t="shared" ref="I32:I45" si="5">+G32*F32</f>
        <v>0</v>
      </c>
      <c r="J32" s="373"/>
    </row>
    <row r="33" spans="1:10" ht="35.25" customHeight="1" x14ac:dyDescent="0.25">
      <c r="A33" s="1052"/>
      <c r="B33" s="739"/>
      <c r="C33" s="279" t="s">
        <v>286</v>
      </c>
      <c r="D33" s="434" t="s">
        <v>238</v>
      </c>
      <c r="E33" s="280"/>
      <c r="F33" s="435">
        <f t="shared" si="3"/>
        <v>0</v>
      </c>
      <c r="G33" s="578">
        <v>160.44999999999999</v>
      </c>
      <c r="H33" s="593">
        <f t="shared" si="4"/>
        <v>0</v>
      </c>
      <c r="I33" s="596">
        <f t="shared" si="5"/>
        <v>0</v>
      </c>
      <c r="J33" s="373"/>
    </row>
    <row r="34" spans="1:10" ht="35.25" customHeight="1" x14ac:dyDescent="0.25">
      <c r="A34" s="1052"/>
      <c r="B34" s="739"/>
      <c r="C34" s="279" t="s">
        <v>388</v>
      </c>
      <c r="D34" s="434" t="s">
        <v>238</v>
      </c>
      <c r="E34" s="280"/>
      <c r="F34" s="435">
        <f t="shared" si="3"/>
        <v>0</v>
      </c>
      <c r="G34" s="578">
        <v>160.44999999999999</v>
      </c>
      <c r="H34" s="593">
        <f t="shared" si="4"/>
        <v>0</v>
      </c>
      <c r="I34" s="596">
        <f t="shared" si="5"/>
        <v>0</v>
      </c>
      <c r="J34" s="373"/>
    </row>
    <row r="35" spans="1:10" ht="35.25" customHeight="1" x14ac:dyDescent="0.25">
      <c r="A35" s="1052"/>
      <c r="B35" s="739"/>
      <c r="C35" s="279" t="s">
        <v>287</v>
      </c>
      <c r="D35" s="434" t="s">
        <v>93</v>
      </c>
      <c r="E35" s="280">
        <v>37620</v>
      </c>
      <c r="F35" s="435">
        <f t="shared" si="3"/>
        <v>37620</v>
      </c>
      <c r="G35" s="578">
        <v>27</v>
      </c>
      <c r="H35" s="593">
        <f t="shared" si="4"/>
        <v>1015740</v>
      </c>
      <c r="I35" s="596">
        <f t="shared" si="5"/>
        <v>1015740</v>
      </c>
      <c r="J35" s="373"/>
    </row>
    <row r="36" spans="1:10" ht="35.25" customHeight="1" x14ac:dyDescent="0.25">
      <c r="A36" s="1052"/>
      <c r="B36" s="739"/>
      <c r="C36" s="279" t="s">
        <v>287</v>
      </c>
      <c r="D36" s="434" t="s">
        <v>292</v>
      </c>
      <c r="E36" s="280"/>
      <c r="F36" s="435">
        <f t="shared" si="3"/>
        <v>0</v>
      </c>
      <c r="G36" s="578">
        <v>27.5</v>
      </c>
      <c r="H36" s="593">
        <f t="shared" si="4"/>
        <v>0</v>
      </c>
      <c r="I36" s="596">
        <f t="shared" si="5"/>
        <v>0</v>
      </c>
      <c r="J36" s="373"/>
    </row>
    <row r="37" spans="1:10" ht="35.25" customHeight="1" x14ac:dyDescent="0.25">
      <c r="A37" s="1052"/>
      <c r="B37" s="739"/>
      <c r="C37" s="279" t="s">
        <v>276</v>
      </c>
      <c r="D37" s="434" t="s">
        <v>292</v>
      </c>
      <c r="E37" s="280"/>
      <c r="F37" s="435">
        <f t="shared" si="3"/>
        <v>0</v>
      </c>
      <c r="G37" s="578">
        <v>34.5</v>
      </c>
      <c r="H37" s="593">
        <f t="shared" si="4"/>
        <v>0</v>
      </c>
      <c r="I37" s="596">
        <f t="shared" si="5"/>
        <v>0</v>
      </c>
      <c r="J37" s="373"/>
    </row>
    <row r="38" spans="1:10" ht="35.25" customHeight="1" x14ac:dyDescent="0.25">
      <c r="A38" s="1052"/>
      <c r="B38" s="739"/>
      <c r="C38" s="279" t="s">
        <v>473</v>
      </c>
      <c r="D38" s="434" t="s">
        <v>440</v>
      </c>
      <c r="E38" s="280"/>
      <c r="F38" s="435">
        <f t="shared" si="3"/>
        <v>0</v>
      </c>
      <c r="G38" s="578">
        <v>10.57</v>
      </c>
      <c r="H38" s="593">
        <f t="shared" si="4"/>
        <v>0</v>
      </c>
      <c r="I38" s="596">
        <f t="shared" si="5"/>
        <v>0</v>
      </c>
      <c r="J38" s="373"/>
    </row>
    <row r="39" spans="1:10" ht="35.25" customHeight="1" x14ac:dyDescent="0.25">
      <c r="A39" s="1052"/>
      <c r="B39" s="739"/>
      <c r="C39" s="279" t="s">
        <v>276</v>
      </c>
      <c r="D39" s="434" t="s">
        <v>440</v>
      </c>
      <c r="E39" s="280"/>
      <c r="F39" s="435">
        <f t="shared" si="3"/>
        <v>0</v>
      </c>
      <c r="G39" s="578">
        <v>55.76</v>
      </c>
      <c r="H39" s="593">
        <f t="shared" si="4"/>
        <v>0</v>
      </c>
      <c r="I39" s="596">
        <f t="shared" si="5"/>
        <v>0</v>
      </c>
      <c r="J39" s="373"/>
    </row>
    <row r="40" spans="1:10" ht="35.25" customHeight="1" x14ac:dyDescent="0.25">
      <c r="A40" s="1052"/>
      <c r="B40" s="739"/>
      <c r="C40" s="279" t="s">
        <v>421</v>
      </c>
      <c r="D40" s="434" t="s">
        <v>238</v>
      </c>
      <c r="E40" s="280"/>
      <c r="F40" s="435">
        <f t="shared" si="3"/>
        <v>0</v>
      </c>
      <c r="G40" s="578">
        <v>160.44999999999999</v>
      </c>
      <c r="H40" s="593">
        <f t="shared" si="4"/>
        <v>0</v>
      </c>
      <c r="I40" s="596">
        <f t="shared" si="5"/>
        <v>0</v>
      </c>
      <c r="J40" s="373"/>
    </row>
    <row r="41" spans="1:10" ht="35.25" customHeight="1" x14ac:dyDescent="0.25">
      <c r="A41" s="1052"/>
      <c r="B41" s="739"/>
      <c r="C41" s="279" t="s">
        <v>348</v>
      </c>
      <c r="D41" s="434" t="s">
        <v>238</v>
      </c>
      <c r="E41" s="280"/>
      <c r="F41" s="435">
        <f t="shared" si="3"/>
        <v>0</v>
      </c>
      <c r="G41" s="578">
        <v>160.44999999999999</v>
      </c>
      <c r="H41" s="593">
        <f t="shared" si="4"/>
        <v>0</v>
      </c>
      <c r="I41" s="596">
        <f t="shared" si="5"/>
        <v>0</v>
      </c>
      <c r="J41" s="373"/>
    </row>
    <row r="42" spans="1:10" ht="35.25" customHeight="1" x14ac:dyDescent="0.25">
      <c r="A42" s="1052"/>
      <c r="B42" s="739"/>
      <c r="C42" s="279" t="s">
        <v>387</v>
      </c>
      <c r="D42" s="434" t="s">
        <v>238</v>
      </c>
      <c r="E42" s="280"/>
      <c r="F42" s="435">
        <f t="shared" si="3"/>
        <v>0</v>
      </c>
      <c r="G42" s="578">
        <v>160.44999999999999</v>
      </c>
      <c r="H42" s="593">
        <f t="shared" si="4"/>
        <v>0</v>
      </c>
      <c r="I42" s="596">
        <f t="shared" si="5"/>
        <v>0</v>
      </c>
      <c r="J42" s="373"/>
    </row>
    <row r="43" spans="1:10" ht="35.25" customHeight="1" x14ac:dyDescent="0.25">
      <c r="A43" s="1052"/>
      <c r="B43" s="739"/>
      <c r="C43" s="279" t="s">
        <v>441</v>
      </c>
      <c r="D43" s="434" t="s">
        <v>238</v>
      </c>
      <c r="E43" s="280"/>
      <c r="F43" s="435">
        <f t="shared" si="3"/>
        <v>0</v>
      </c>
      <c r="G43" s="578">
        <v>160.44999999999999</v>
      </c>
      <c r="H43" s="593">
        <f t="shared" si="4"/>
        <v>0</v>
      </c>
      <c r="I43" s="596">
        <f t="shared" si="5"/>
        <v>0</v>
      </c>
      <c r="J43" s="373"/>
    </row>
    <row r="44" spans="1:10" ht="35.25" customHeight="1" x14ac:dyDescent="0.25">
      <c r="A44" s="1052"/>
      <c r="B44" s="739"/>
      <c r="C44" s="279" t="s">
        <v>302</v>
      </c>
      <c r="D44" s="434" t="s">
        <v>238</v>
      </c>
      <c r="E44" s="280"/>
      <c r="F44" s="435">
        <f t="shared" si="3"/>
        <v>0</v>
      </c>
      <c r="G44" s="578">
        <v>160.44999999999999</v>
      </c>
      <c r="H44" s="593">
        <f t="shared" si="4"/>
        <v>0</v>
      </c>
      <c r="I44" s="596">
        <f t="shared" si="5"/>
        <v>0</v>
      </c>
      <c r="J44" s="373"/>
    </row>
    <row r="45" spans="1:10" ht="35.25" customHeight="1" thickBot="1" x14ac:dyDescent="0.3">
      <c r="A45" s="1052"/>
      <c r="B45" s="739"/>
      <c r="C45" s="279" t="s">
        <v>310</v>
      </c>
      <c r="D45" s="434" t="s">
        <v>238</v>
      </c>
      <c r="E45" s="280"/>
      <c r="F45" s="435">
        <f t="shared" si="3"/>
        <v>0</v>
      </c>
      <c r="G45" s="578">
        <v>160.44999999999999</v>
      </c>
      <c r="H45" s="593">
        <f t="shared" si="4"/>
        <v>0</v>
      </c>
      <c r="I45" s="596">
        <f t="shared" si="5"/>
        <v>0</v>
      </c>
      <c r="J45" s="373"/>
    </row>
    <row r="46" spans="1:10" ht="35.25" customHeight="1" thickBot="1" x14ac:dyDescent="0.3">
      <c r="A46" s="1052"/>
      <c r="B46" s="1047" t="s">
        <v>267</v>
      </c>
      <c r="C46" s="1048"/>
      <c r="D46" s="738"/>
      <c r="E46" s="326">
        <f>SUM(E32:E45)</f>
        <v>37620</v>
      </c>
      <c r="F46" s="326">
        <f>SUM(F32:F45)</f>
        <v>37620</v>
      </c>
      <c r="G46" s="326"/>
      <c r="H46" s="587">
        <f>SUM(H32:H45)</f>
        <v>1015740</v>
      </c>
      <c r="I46" s="580">
        <f>SUM(I32:I45)</f>
        <v>1015740</v>
      </c>
      <c r="J46" s="349"/>
    </row>
    <row r="47" spans="1:10" ht="35.25" customHeight="1" x14ac:dyDescent="0.25">
      <c r="A47" s="1052"/>
      <c r="B47" s="739"/>
      <c r="C47" s="279" t="s">
        <v>372</v>
      </c>
      <c r="D47" s="434" t="s">
        <v>373</v>
      </c>
      <c r="E47" s="280"/>
      <c r="F47" s="435">
        <f t="shared" ref="F47:F52" si="6">+E47</f>
        <v>0</v>
      </c>
      <c r="G47" s="578">
        <v>5.34</v>
      </c>
      <c r="H47" s="593">
        <f t="shared" ref="H47:H53" si="7">E47*G47</f>
        <v>0</v>
      </c>
      <c r="I47" s="596">
        <f t="shared" ref="I47" si="8">+G47*F47</f>
        <v>0</v>
      </c>
      <c r="J47" s="373"/>
    </row>
    <row r="48" spans="1:10" ht="35.25" customHeight="1" x14ac:dyDescent="0.25">
      <c r="A48" s="1052"/>
      <c r="B48" s="739"/>
      <c r="C48" s="279" t="s">
        <v>389</v>
      </c>
      <c r="D48" s="434" t="s">
        <v>265</v>
      </c>
      <c r="E48" s="280"/>
      <c r="F48" s="435">
        <f t="shared" si="6"/>
        <v>0</v>
      </c>
      <c r="G48" s="578">
        <v>31.73</v>
      </c>
      <c r="H48" s="593">
        <f t="shared" si="7"/>
        <v>0</v>
      </c>
      <c r="I48" s="596">
        <f>+G48*F48</f>
        <v>0</v>
      </c>
      <c r="J48" s="373"/>
    </row>
    <row r="49" spans="1:13" ht="35.25" customHeight="1" x14ac:dyDescent="0.25">
      <c r="A49" s="1052"/>
      <c r="B49" s="739"/>
      <c r="C49" s="279" t="s">
        <v>392</v>
      </c>
      <c r="D49" s="434" t="s">
        <v>393</v>
      </c>
      <c r="E49" s="280"/>
      <c r="F49" s="435">
        <f t="shared" si="6"/>
        <v>0</v>
      </c>
      <c r="G49" s="578">
        <v>10.58</v>
      </c>
      <c r="H49" s="593">
        <f t="shared" si="7"/>
        <v>0</v>
      </c>
      <c r="I49" s="596">
        <f>+G49*F49</f>
        <v>0</v>
      </c>
      <c r="J49" s="373"/>
    </row>
    <row r="50" spans="1:13" ht="35.25" customHeight="1" x14ac:dyDescent="0.25">
      <c r="A50" s="1052"/>
      <c r="B50" s="739"/>
      <c r="C50" s="279" t="s">
        <v>277</v>
      </c>
      <c r="D50" s="434" t="s">
        <v>278</v>
      </c>
      <c r="E50" s="280"/>
      <c r="F50" s="435">
        <f t="shared" si="6"/>
        <v>0</v>
      </c>
      <c r="G50" s="578">
        <v>2500</v>
      </c>
      <c r="H50" s="593">
        <f t="shared" si="7"/>
        <v>0</v>
      </c>
      <c r="I50" s="596">
        <f>+G50*F50</f>
        <v>0</v>
      </c>
      <c r="J50" s="373"/>
    </row>
    <row r="51" spans="1:13" ht="35.25" customHeight="1" x14ac:dyDescent="0.25">
      <c r="A51" s="1052"/>
      <c r="B51" s="739"/>
      <c r="C51" s="279" t="s">
        <v>454</v>
      </c>
      <c r="D51" s="434"/>
      <c r="E51" s="280"/>
      <c r="F51" s="435">
        <f t="shared" si="6"/>
        <v>0</v>
      </c>
      <c r="G51" s="578">
        <v>30000</v>
      </c>
      <c r="H51" s="593">
        <f t="shared" si="7"/>
        <v>0</v>
      </c>
      <c r="I51" s="596">
        <f>+G51*F51</f>
        <v>0</v>
      </c>
      <c r="J51" s="373"/>
    </row>
    <row r="52" spans="1:13" ht="35.25" customHeight="1" x14ac:dyDescent="0.25">
      <c r="A52" s="1052"/>
      <c r="B52" s="739"/>
      <c r="C52" s="279" t="s">
        <v>379</v>
      </c>
      <c r="D52" s="434" t="s">
        <v>304</v>
      </c>
      <c r="E52" s="280"/>
      <c r="F52" s="435">
        <f t="shared" si="6"/>
        <v>0</v>
      </c>
      <c r="G52" s="578">
        <v>360</v>
      </c>
      <c r="H52" s="593">
        <f t="shared" si="7"/>
        <v>0</v>
      </c>
      <c r="I52" s="596">
        <f>+G52*F52</f>
        <v>0</v>
      </c>
      <c r="J52" s="373"/>
    </row>
    <row r="53" spans="1:13" ht="35.25" customHeight="1" thickBot="1" x14ac:dyDescent="0.3">
      <c r="A53" s="1052"/>
      <c r="B53" s="739"/>
      <c r="C53" s="279" t="s">
        <v>427</v>
      </c>
      <c r="D53" s="434" t="s">
        <v>304</v>
      </c>
      <c r="E53" s="280"/>
      <c r="F53" s="435">
        <f>+E53</f>
        <v>0</v>
      </c>
      <c r="G53" s="579">
        <v>10</v>
      </c>
      <c r="H53" s="593">
        <f t="shared" si="7"/>
        <v>0</v>
      </c>
      <c r="I53" s="596">
        <f t="shared" ref="I53" si="9">+G53*F53</f>
        <v>0</v>
      </c>
      <c r="J53" s="373"/>
    </row>
    <row r="54" spans="1:13" ht="35.25" customHeight="1" thickBot="1" x14ac:dyDescent="0.3">
      <c r="A54" s="1052"/>
      <c r="B54" s="1047" t="s">
        <v>272</v>
      </c>
      <c r="C54" s="1048"/>
      <c r="D54" s="738"/>
      <c r="E54" s="326">
        <f>SUM(E47:E53)</f>
        <v>0</v>
      </c>
      <c r="F54" s="326">
        <f>SUM(F47:F53)</f>
        <v>0</v>
      </c>
      <c r="G54" s="326"/>
      <c r="H54" s="587">
        <f>SUM(H47:H53)</f>
        <v>0</v>
      </c>
      <c r="I54" s="580">
        <f>SUM(I47:I53)</f>
        <v>0</v>
      </c>
      <c r="J54" s="373"/>
    </row>
    <row r="55" spans="1:13" ht="35.25" customHeight="1" thickBot="1" x14ac:dyDescent="0.3">
      <c r="A55" s="1052"/>
      <c r="B55" s="739"/>
      <c r="C55" s="279"/>
      <c r="D55" s="434"/>
      <c r="E55" s="280"/>
      <c r="F55" s="317"/>
      <c r="G55" s="579"/>
      <c r="H55" s="588"/>
      <c r="I55" s="282">
        <f t="shared" ref="I55" si="10">+G55*F55</f>
        <v>0</v>
      </c>
      <c r="J55" s="373"/>
    </row>
    <row r="56" spans="1:13" ht="35.25" customHeight="1" thickBot="1" x14ac:dyDescent="0.3">
      <c r="A56" s="1053"/>
      <c r="B56" s="1047" t="s">
        <v>269</v>
      </c>
      <c r="C56" s="1048"/>
      <c r="D56" s="740"/>
      <c r="E56" s="326">
        <f>+E54+E46+E31</f>
        <v>37620</v>
      </c>
      <c r="F56" s="326">
        <f>+F54+F46+F31</f>
        <v>37620</v>
      </c>
      <c r="G56" s="326"/>
      <c r="H56" s="580">
        <f>+H46+H31+H54</f>
        <v>1015740</v>
      </c>
      <c r="I56" s="580">
        <f>+I46+I31+I54</f>
        <v>1015740</v>
      </c>
      <c r="J56" s="373"/>
      <c r="K56" s="704"/>
      <c r="M56" s="704"/>
    </row>
    <row r="57" spans="1:13" ht="35.25" customHeight="1" x14ac:dyDescent="0.25">
      <c r="A57" s="1051" t="s">
        <v>101</v>
      </c>
      <c r="B57" s="739"/>
      <c r="C57" s="279" t="s">
        <v>281</v>
      </c>
      <c r="D57" s="434" t="s">
        <v>178</v>
      </c>
      <c r="E57" s="280"/>
      <c r="F57" s="435">
        <f t="shared" ref="F57:F88" si="11">+E57</f>
        <v>0</v>
      </c>
      <c r="G57" s="602">
        <v>13.25</v>
      </c>
      <c r="H57" s="597">
        <f t="shared" ref="H57:H88" si="12">E57*G57</f>
        <v>0</v>
      </c>
      <c r="I57" s="596">
        <f t="shared" ref="I57:I88" si="13">+G57*F57</f>
        <v>0</v>
      </c>
      <c r="J57" s="373"/>
      <c r="K57" s="704"/>
    </row>
    <row r="58" spans="1:13" ht="35.25" customHeight="1" x14ac:dyDescent="0.25">
      <c r="A58" s="1052"/>
      <c r="B58" s="739"/>
      <c r="C58" s="279" t="s">
        <v>282</v>
      </c>
      <c r="D58" s="434"/>
      <c r="E58" s="280"/>
      <c r="F58" s="435">
        <f t="shared" si="11"/>
        <v>0</v>
      </c>
      <c r="G58" s="603">
        <v>5000</v>
      </c>
      <c r="H58" s="597">
        <f t="shared" si="12"/>
        <v>0</v>
      </c>
      <c r="I58" s="596">
        <f t="shared" si="13"/>
        <v>0</v>
      </c>
      <c r="J58" s="373"/>
      <c r="K58" s="704"/>
    </row>
    <row r="59" spans="1:13" ht="35.25" customHeight="1" x14ac:dyDescent="0.25">
      <c r="A59" s="1052"/>
      <c r="B59" s="739"/>
      <c r="C59" s="279" t="s">
        <v>282</v>
      </c>
      <c r="D59" s="434"/>
      <c r="E59" s="280"/>
      <c r="F59" s="435">
        <f t="shared" si="11"/>
        <v>0</v>
      </c>
      <c r="G59" s="603">
        <v>18000</v>
      </c>
      <c r="H59" s="597">
        <f t="shared" si="12"/>
        <v>0</v>
      </c>
      <c r="I59" s="596">
        <f t="shared" si="13"/>
        <v>0</v>
      </c>
      <c r="J59" s="373"/>
    </row>
    <row r="60" spans="1:13" ht="35.25" customHeight="1" x14ac:dyDescent="0.25">
      <c r="A60" s="1052"/>
      <c r="B60" s="739"/>
      <c r="C60" s="279" t="s">
        <v>465</v>
      </c>
      <c r="D60" s="434" t="s">
        <v>464</v>
      </c>
      <c r="E60" s="280"/>
      <c r="F60" s="435">
        <f t="shared" si="11"/>
        <v>0</v>
      </c>
      <c r="G60" s="602">
        <v>21.01</v>
      </c>
      <c r="H60" s="597">
        <f t="shared" si="12"/>
        <v>0</v>
      </c>
      <c r="I60" s="596">
        <f t="shared" si="13"/>
        <v>0</v>
      </c>
      <c r="J60" s="373"/>
    </row>
    <row r="61" spans="1:13" ht="35.25" customHeight="1" x14ac:dyDescent="0.25">
      <c r="A61" s="1052"/>
      <c r="B61" s="739"/>
      <c r="C61" s="279" t="s">
        <v>465</v>
      </c>
      <c r="D61" s="434" t="s">
        <v>338</v>
      </c>
      <c r="E61" s="280"/>
      <c r="F61" s="435">
        <f t="shared" si="11"/>
        <v>0</v>
      </c>
      <c r="G61" s="602">
        <v>24.93</v>
      </c>
      <c r="H61" s="597">
        <f t="shared" si="12"/>
        <v>0</v>
      </c>
      <c r="I61" s="596">
        <f t="shared" si="13"/>
        <v>0</v>
      </c>
      <c r="J61" s="373"/>
    </row>
    <row r="62" spans="1:13" ht="35.25" customHeight="1" x14ac:dyDescent="0.25">
      <c r="A62" s="1052"/>
      <c r="B62" s="739"/>
      <c r="C62" s="279" t="s">
        <v>465</v>
      </c>
      <c r="D62" s="434" t="s">
        <v>92</v>
      </c>
      <c r="E62" s="280"/>
      <c r="F62" s="435">
        <f t="shared" si="11"/>
        <v>0</v>
      </c>
      <c r="G62" s="602">
        <v>24.93</v>
      </c>
      <c r="H62" s="597">
        <f t="shared" si="12"/>
        <v>0</v>
      </c>
      <c r="I62" s="596">
        <f t="shared" si="13"/>
        <v>0</v>
      </c>
      <c r="J62" s="373"/>
    </row>
    <row r="63" spans="1:13" ht="35.25" customHeight="1" x14ac:dyDescent="0.25">
      <c r="A63" s="1052"/>
      <c r="B63" s="739"/>
      <c r="C63" s="746" t="s">
        <v>466</v>
      </c>
      <c r="D63" s="747" t="s">
        <v>92</v>
      </c>
      <c r="E63" s="280"/>
      <c r="F63" s="435">
        <f t="shared" si="11"/>
        <v>0</v>
      </c>
      <c r="G63" s="602">
        <v>20.8</v>
      </c>
      <c r="H63" s="597">
        <f t="shared" si="12"/>
        <v>0</v>
      </c>
      <c r="I63" s="596">
        <f t="shared" si="13"/>
        <v>0</v>
      </c>
      <c r="J63" s="373"/>
    </row>
    <row r="64" spans="1:13" ht="35.25" customHeight="1" x14ac:dyDescent="0.25">
      <c r="A64" s="1052"/>
      <c r="B64" s="739"/>
      <c r="C64" s="746" t="s">
        <v>467</v>
      </c>
      <c r="D64" s="747" t="s">
        <v>468</v>
      </c>
      <c r="E64" s="280"/>
      <c r="F64" s="435">
        <f t="shared" si="11"/>
        <v>0</v>
      </c>
      <c r="G64" s="602">
        <v>24.93</v>
      </c>
      <c r="H64" s="597">
        <f t="shared" si="12"/>
        <v>0</v>
      </c>
      <c r="I64" s="596">
        <f t="shared" si="13"/>
        <v>0</v>
      </c>
      <c r="J64" s="373"/>
    </row>
    <row r="65" spans="1:10" ht="35.25" customHeight="1" x14ac:dyDescent="0.25">
      <c r="A65" s="1052"/>
      <c r="B65" s="739"/>
      <c r="C65" s="746" t="s">
        <v>467</v>
      </c>
      <c r="D65" s="747" t="s">
        <v>468</v>
      </c>
      <c r="E65" s="280"/>
      <c r="F65" s="435">
        <f t="shared" si="11"/>
        <v>0</v>
      </c>
      <c r="G65" s="602">
        <v>25.49</v>
      </c>
      <c r="H65" s="597">
        <f t="shared" si="12"/>
        <v>0</v>
      </c>
      <c r="I65" s="596">
        <f t="shared" si="13"/>
        <v>0</v>
      </c>
      <c r="J65" s="373"/>
    </row>
    <row r="66" spans="1:10" s="757" customFormat="1" ht="35.25" customHeight="1" x14ac:dyDescent="0.25">
      <c r="A66" s="1052"/>
      <c r="B66" s="748"/>
      <c r="C66" s="749" t="s">
        <v>469</v>
      </c>
      <c r="D66" s="750" t="s">
        <v>309</v>
      </c>
      <c r="E66" s="751"/>
      <c r="F66" s="752">
        <f t="shared" si="11"/>
        <v>0</v>
      </c>
      <c r="G66" s="753">
        <v>24.41</v>
      </c>
      <c r="H66" s="754">
        <f t="shared" si="12"/>
        <v>0</v>
      </c>
      <c r="I66" s="755">
        <f t="shared" si="13"/>
        <v>0</v>
      </c>
      <c r="J66" s="756"/>
    </row>
    <row r="67" spans="1:10" ht="35.25" customHeight="1" x14ac:dyDescent="0.25">
      <c r="A67" s="1052"/>
      <c r="B67" s="739"/>
      <c r="C67" s="279" t="s">
        <v>444</v>
      </c>
      <c r="D67" s="434" t="s">
        <v>423</v>
      </c>
      <c r="E67" s="280"/>
      <c r="F67" s="435">
        <f t="shared" si="11"/>
        <v>0</v>
      </c>
      <c r="G67" s="602">
        <v>20.76</v>
      </c>
      <c r="H67" s="597">
        <f t="shared" si="12"/>
        <v>0</v>
      </c>
      <c r="I67" s="596">
        <f t="shared" si="13"/>
        <v>0</v>
      </c>
      <c r="J67" s="373"/>
    </row>
    <row r="68" spans="1:10" ht="35.25" customHeight="1" x14ac:dyDescent="0.25">
      <c r="A68" s="1052"/>
      <c r="B68" s="739"/>
      <c r="C68" s="279" t="s">
        <v>298</v>
      </c>
      <c r="D68" s="434" t="s">
        <v>107</v>
      </c>
      <c r="E68" s="280"/>
      <c r="F68" s="435">
        <f t="shared" si="11"/>
        <v>0</v>
      </c>
      <c r="G68" s="602">
        <v>24.93</v>
      </c>
      <c r="H68" s="597">
        <f t="shared" si="12"/>
        <v>0</v>
      </c>
      <c r="I68" s="596">
        <f t="shared" si="13"/>
        <v>0</v>
      </c>
      <c r="J68" s="373"/>
    </row>
    <row r="69" spans="1:10" ht="35.25" customHeight="1" x14ac:dyDescent="0.25">
      <c r="A69" s="1052"/>
      <c r="B69" s="739"/>
      <c r="C69" s="279" t="s">
        <v>299</v>
      </c>
      <c r="D69" s="434" t="s">
        <v>280</v>
      </c>
      <c r="E69" s="280"/>
      <c r="F69" s="435">
        <f t="shared" si="11"/>
        <v>0</v>
      </c>
      <c r="G69" s="602">
        <v>24.93</v>
      </c>
      <c r="H69" s="597">
        <f t="shared" si="12"/>
        <v>0</v>
      </c>
      <c r="I69" s="596">
        <f t="shared" si="13"/>
        <v>0</v>
      </c>
      <c r="J69" s="373"/>
    </row>
    <row r="70" spans="1:10" ht="35.25" customHeight="1" x14ac:dyDescent="0.25">
      <c r="A70" s="1052"/>
      <c r="B70" s="739"/>
      <c r="C70" s="279" t="s">
        <v>425</v>
      </c>
      <c r="D70" s="434" t="s">
        <v>360</v>
      </c>
      <c r="E70" s="280"/>
      <c r="F70" s="435">
        <f t="shared" si="11"/>
        <v>0</v>
      </c>
      <c r="G70" s="602">
        <v>23.78</v>
      </c>
      <c r="H70" s="597">
        <f t="shared" si="12"/>
        <v>0</v>
      </c>
      <c r="I70" s="596">
        <f t="shared" si="13"/>
        <v>0</v>
      </c>
      <c r="J70" s="373"/>
    </row>
    <row r="71" spans="1:10" ht="35.25" customHeight="1" x14ac:dyDescent="0.25">
      <c r="A71" s="1052"/>
      <c r="B71" s="739"/>
      <c r="C71" s="279" t="s">
        <v>425</v>
      </c>
      <c r="D71" s="434" t="s">
        <v>309</v>
      </c>
      <c r="E71" s="280"/>
      <c r="F71" s="435">
        <f t="shared" si="11"/>
        <v>0</v>
      </c>
      <c r="G71" s="602">
        <v>23.78</v>
      </c>
      <c r="H71" s="597">
        <f t="shared" si="12"/>
        <v>0</v>
      </c>
      <c r="I71" s="596">
        <f t="shared" si="13"/>
        <v>0</v>
      </c>
      <c r="J71" s="373"/>
    </row>
    <row r="72" spans="1:10" ht="35.25" customHeight="1" x14ac:dyDescent="0.25">
      <c r="A72" s="1052"/>
      <c r="B72" s="739"/>
      <c r="C72" s="279" t="s">
        <v>354</v>
      </c>
      <c r="D72" s="434" t="s">
        <v>309</v>
      </c>
      <c r="E72" s="280"/>
      <c r="F72" s="435">
        <f t="shared" si="11"/>
        <v>0</v>
      </c>
      <c r="G72" s="602">
        <v>37.4566666666</v>
      </c>
      <c r="H72" s="597">
        <f t="shared" si="12"/>
        <v>0</v>
      </c>
      <c r="I72" s="596">
        <f t="shared" si="13"/>
        <v>0</v>
      </c>
      <c r="J72" s="373"/>
    </row>
    <row r="73" spans="1:10" ht="35.25" customHeight="1" x14ac:dyDescent="0.25">
      <c r="A73" s="1052"/>
      <c r="B73" s="739"/>
      <c r="C73" s="279" t="s">
        <v>355</v>
      </c>
      <c r="D73" s="434" t="s">
        <v>309</v>
      </c>
      <c r="E73" s="280"/>
      <c r="F73" s="435">
        <f t="shared" si="11"/>
        <v>0</v>
      </c>
      <c r="G73" s="602">
        <v>37.89</v>
      </c>
      <c r="H73" s="597">
        <f t="shared" si="12"/>
        <v>0</v>
      </c>
      <c r="I73" s="596">
        <f t="shared" si="13"/>
        <v>0</v>
      </c>
      <c r="J73" s="373"/>
    </row>
    <row r="74" spans="1:10" ht="35.25" customHeight="1" x14ac:dyDescent="0.25">
      <c r="A74" s="1052"/>
      <c r="B74" s="739"/>
      <c r="C74" s="279" t="s">
        <v>461</v>
      </c>
      <c r="D74" s="434" t="s">
        <v>92</v>
      </c>
      <c r="E74" s="280"/>
      <c r="F74" s="435">
        <f t="shared" si="11"/>
        <v>0</v>
      </c>
      <c r="G74" s="602">
        <v>28.31</v>
      </c>
      <c r="H74" s="597">
        <f t="shared" si="12"/>
        <v>0</v>
      </c>
      <c r="I74" s="596">
        <f t="shared" si="13"/>
        <v>0</v>
      </c>
      <c r="J74" s="373"/>
    </row>
    <row r="75" spans="1:10" ht="35.25" customHeight="1" x14ac:dyDescent="0.25">
      <c r="A75" s="1052"/>
      <c r="B75" s="739"/>
      <c r="C75" s="279" t="s">
        <v>461</v>
      </c>
      <c r="D75" s="434" t="s">
        <v>423</v>
      </c>
      <c r="E75" s="280"/>
      <c r="F75" s="435">
        <f t="shared" si="11"/>
        <v>0</v>
      </c>
      <c r="G75" s="602">
        <v>28.88</v>
      </c>
      <c r="H75" s="597">
        <f t="shared" si="12"/>
        <v>0</v>
      </c>
      <c r="I75" s="596">
        <f t="shared" si="13"/>
        <v>0</v>
      </c>
      <c r="J75" s="373"/>
    </row>
    <row r="76" spans="1:10" ht="35.25" customHeight="1" x14ac:dyDescent="0.25">
      <c r="A76" s="1052"/>
      <c r="B76" s="739"/>
      <c r="C76" s="279" t="s">
        <v>462</v>
      </c>
      <c r="D76" s="434" t="s">
        <v>423</v>
      </c>
      <c r="E76" s="280"/>
      <c r="F76" s="435">
        <f t="shared" si="11"/>
        <v>0</v>
      </c>
      <c r="G76" s="602">
        <v>28.21</v>
      </c>
      <c r="H76" s="597">
        <f t="shared" si="12"/>
        <v>0</v>
      </c>
      <c r="I76" s="596">
        <f t="shared" si="13"/>
        <v>0</v>
      </c>
      <c r="J76" s="373"/>
    </row>
    <row r="77" spans="1:10" ht="35.25" customHeight="1" x14ac:dyDescent="0.25">
      <c r="A77" s="1052"/>
      <c r="B77" s="739"/>
      <c r="C77" s="279" t="s">
        <v>463</v>
      </c>
      <c r="D77" s="434" t="s">
        <v>338</v>
      </c>
      <c r="E77" s="280"/>
      <c r="F77" s="435">
        <f t="shared" si="11"/>
        <v>0</v>
      </c>
      <c r="G77" s="602">
        <v>39</v>
      </c>
      <c r="H77" s="597">
        <f t="shared" ref="H77:H79" si="14">E77*G77</f>
        <v>0</v>
      </c>
      <c r="I77" s="596">
        <f t="shared" ref="I77:I79" si="15">+G77*F77</f>
        <v>0</v>
      </c>
      <c r="J77" s="373"/>
    </row>
    <row r="78" spans="1:10" ht="35.25" customHeight="1" x14ac:dyDescent="0.25">
      <c r="A78" s="1052"/>
      <c r="B78" s="739"/>
      <c r="C78" s="279" t="s">
        <v>463</v>
      </c>
      <c r="D78" s="434" t="s">
        <v>92</v>
      </c>
      <c r="E78" s="280"/>
      <c r="F78" s="435">
        <f t="shared" si="11"/>
        <v>0</v>
      </c>
      <c r="G78" s="602">
        <v>32.65</v>
      </c>
      <c r="H78" s="597">
        <f t="shared" si="14"/>
        <v>0</v>
      </c>
      <c r="I78" s="596">
        <f t="shared" si="15"/>
        <v>0</v>
      </c>
      <c r="J78" s="373"/>
    </row>
    <row r="79" spans="1:10" ht="35.25" customHeight="1" x14ac:dyDescent="0.25">
      <c r="A79" s="1052"/>
      <c r="B79" s="739"/>
      <c r="C79" s="279" t="s">
        <v>463</v>
      </c>
      <c r="D79" s="434" t="s">
        <v>423</v>
      </c>
      <c r="E79" s="280"/>
      <c r="F79" s="435">
        <f t="shared" si="11"/>
        <v>0</v>
      </c>
      <c r="G79" s="602">
        <v>33.299999999999997</v>
      </c>
      <c r="H79" s="597">
        <f t="shared" si="14"/>
        <v>0</v>
      </c>
      <c r="I79" s="596">
        <f t="shared" si="15"/>
        <v>0</v>
      </c>
      <c r="J79" s="373"/>
    </row>
    <row r="80" spans="1:10" ht="35.25" customHeight="1" x14ac:dyDescent="0.25">
      <c r="A80" s="1052"/>
      <c r="B80" s="739"/>
      <c r="C80" s="279" t="s">
        <v>299</v>
      </c>
      <c r="D80" s="434" t="s">
        <v>279</v>
      </c>
      <c r="E80" s="280"/>
      <c r="F80" s="435">
        <f t="shared" si="11"/>
        <v>0</v>
      </c>
      <c r="G80" s="602">
        <v>24.93</v>
      </c>
      <c r="H80" s="597">
        <f t="shared" si="12"/>
        <v>0</v>
      </c>
      <c r="I80" s="596">
        <f t="shared" si="13"/>
        <v>0</v>
      </c>
      <c r="J80" s="373"/>
    </row>
    <row r="81" spans="1:10" ht="35.25" customHeight="1" x14ac:dyDescent="0.25">
      <c r="A81" s="1052"/>
      <c r="B81" s="739"/>
      <c r="C81" s="279" t="s">
        <v>299</v>
      </c>
      <c r="D81" s="434"/>
      <c r="E81" s="280"/>
      <c r="F81" s="435">
        <f t="shared" si="11"/>
        <v>0</v>
      </c>
      <c r="G81" s="602">
        <v>24.93</v>
      </c>
      <c r="H81" s="597">
        <f t="shared" si="12"/>
        <v>0</v>
      </c>
      <c r="I81" s="596">
        <f t="shared" si="13"/>
        <v>0</v>
      </c>
      <c r="J81" s="373"/>
    </row>
    <row r="82" spans="1:10" ht="35.25" customHeight="1" x14ac:dyDescent="0.25">
      <c r="A82" s="1052"/>
      <c r="B82" s="739"/>
      <c r="C82" s="279" t="s">
        <v>316</v>
      </c>
      <c r="D82" s="434" t="s">
        <v>289</v>
      </c>
      <c r="E82" s="280"/>
      <c r="F82" s="435">
        <f t="shared" si="11"/>
        <v>0</v>
      </c>
      <c r="G82" s="602">
        <v>34.26</v>
      </c>
      <c r="H82" s="597">
        <f t="shared" si="12"/>
        <v>0</v>
      </c>
      <c r="I82" s="596">
        <f t="shared" si="13"/>
        <v>0</v>
      </c>
      <c r="J82" s="373"/>
    </row>
    <row r="83" spans="1:10" ht="35.25" customHeight="1" x14ac:dyDescent="0.25">
      <c r="A83" s="1052"/>
      <c r="B83" s="739"/>
      <c r="C83" s="279" t="s">
        <v>328</v>
      </c>
      <c r="D83" s="434" t="s">
        <v>360</v>
      </c>
      <c r="E83" s="280"/>
      <c r="F83" s="435">
        <f t="shared" si="11"/>
        <v>0</v>
      </c>
      <c r="G83" s="602">
        <v>37.89</v>
      </c>
      <c r="H83" s="597">
        <f t="shared" si="12"/>
        <v>0</v>
      </c>
      <c r="I83" s="596">
        <f t="shared" si="13"/>
        <v>0</v>
      </c>
      <c r="J83" s="373"/>
    </row>
    <row r="84" spans="1:10" ht="35.25" customHeight="1" x14ac:dyDescent="0.25">
      <c r="A84" s="1052"/>
      <c r="B84" s="739"/>
      <c r="C84" s="279" t="s">
        <v>363</v>
      </c>
      <c r="D84" s="434" t="s">
        <v>338</v>
      </c>
      <c r="E84" s="280"/>
      <c r="F84" s="435">
        <f t="shared" si="11"/>
        <v>0</v>
      </c>
      <c r="G84" s="602">
        <v>39</v>
      </c>
      <c r="H84" s="597">
        <f t="shared" si="12"/>
        <v>0</v>
      </c>
      <c r="I84" s="596">
        <f t="shared" si="13"/>
        <v>0</v>
      </c>
      <c r="J84" s="373"/>
    </row>
    <row r="85" spans="1:10" ht="35.25" customHeight="1" x14ac:dyDescent="0.25">
      <c r="A85" s="1052"/>
      <c r="B85" s="739"/>
      <c r="C85" s="279" t="s">
        <v>299</v>
      </c>
      <c r="D85" s="434" t="s">
        <v>177</v>
      </c>
      <c r="E85" s="280"/>
      <c r="F85" s="435">
        <f t="shared" si="11"/>
        <v>0</v>
      </c>
      <c r="G85" s="602">
        <v>21.22</v>
      </c>
      <c r="H85" s="597">
        <f t="shared" si="12"/>
        <v>0</v>
      </c>
      <c r="I85" s="596">
        <f t="shared" si="13"/>
        <v>0</v>
      </c>
      <c r="J85" s="373"/>
    </row>
    <row r="86" spans="1:10" ht="35.25" customHeight="1" x14ac:dyDescent="0.25">
      <c r="A86" s="1052"/>
      <c r="B86" s="739"/>
      <c r="C86" s="279" t="s">
        <v>298</v>
      </c>
      <c r="D86" s="434" t="s">
        <v>177</v>
      </c>
      <c r="E86" s="280"/>
      <c r="F86" s="435">
        <f t="shared" si="11"/>
        <v>0</v>
      </c>
      <c r="G86" s="602">
        <v>21.22</v>
      </c>
      <c r="H86" s="597">
        <f t="shared" si="12"/>
        <v>0</v>
      </c>
      <c r="I86" s="596">
        <f t="shared" si="13"/>
        <v>0</v>
      </c>
      <c r="J86" s="373"/>
    </row>
    <row r="87" spans="1:10" ht="35.25" customHeight="1" x14ac:dyDescent="0.25">
      <c r="A87" s="1052"/>
      <c r="B87" s="739"/>
      <c r="C87" s="279" t="s">
        <v>339</v>
      </c>
      <c r="D87" s="434" t="s">
        <v>304</v>
      </c>
      <c r="E87" s="280"/>
      <c r="F87" s="435">
        <f t="shared" si="11"/>
        <v>0</v>
      </c>
      <c r="G87" s="602">
        <v>10000</v>
      </c>
      <c r="H87" s="597">
        <f t="shared" si="12"/>
        <v>0</v>
      </c>
      <c r="I87" s="596">
        <f t="shared" si="13"/>
        <v>0</v>
      </c>
      <c r="J87" s="373"/>
    </row>
    <row r="88" spans="1:10" ht="35.25" customHeight="1" thickBot="1" x14ac:dyDescent="0.3">
      <c r="A88" s="1052"/>
      <c r="B88" s="739"/>
      <c r="C88" s="279" t="s">
        <v>303</v>
      </c>
      <c r="D88" s="434" t="s">
        <v>304</v>
      </c>
      <c r="E88" s="280"/>
      <c r="F88" s="435">
        <f t="shared" si="11"/>
        <v>0</v>
      </c>
      <c r="G88" s="602">
        <v>360</v>
      </c>
      <c r="H88" s="597">
        <f t="shared" si="12"/>
        <v>0</v>
      </c>
      <c r="I88" s="596">
        <f t="shared" si="13"/>
        <v>0</v>
      </c>
      <c r="J88" s="373"/>
    </row>
    <row r="89" spans="1:10" ht="35.25" customHeight="1" thickBot="1" x14ac:dyDescent="0.3">
      <c r="A89" s="1053"/>
      <c r="B89" s="1047" t="s">
        <v>268</v>
      </c>
      <c r="C89" s="1048"/>
      <c r="D89" s="738"/>
      <c r="E89" s="326">
        <f>SUM(E57:E88)</f>
        <v>0</v>
      </c>
      <c r="F89" s="326">
        <f>SUM(F57:F88)</f>
        <v>0</v>
      </c>
      <c r="G89" s="326"/>
      <c r="H89" s="587">
        <f>SUM(H57:H88)</f>
        <v>0</v>
      </c>
      <c r="I89" s="580">
        <f>SUM(I57:I88)</f>
        <v>0</v>
      </c>
      <c r="J89" s="373"/>
    </row>
    <row r="90" spans="1:10" ht="35.25" customHeight="1" x14ac:dyDescent="0.25">
      <c r="A90" s="1051" t="s">
        <v>102</v>
      </c>
      <c r="B90" s="739"/>
      <c r="C90" s="279" t="s">
        <v>273</v>
      </c>
      <c r="D90" s="434" t="s">
        <v>238</v>
      </c>
      <c r="E90" s="280"/>
      <c r="F90" s="435">
        <f t="shared" ref="F90:F114" si="16">+E90</f>
        <v>0</v>
      </c>
      <c r="G90" s="602">
        <v>430.02</v>
      </c>
      <c r="H90" s="593">
        <f>E90*G90</f>
        <v>0</v>
      </c>
      <c r="I90" s="596">
        <f t="shared" ref="I90:I114" si="17">+G90*F90</f>
        <v>0</v>
      </c>
      <c r="J90" s="373"/>
    </row>
    <row r="91" spans="1:10" ht="35.25" customHeight="1" x14ac:dyDescent="0.25">
      <c r="A91" s="1052"/>
      <c r="B91" s="739"/>
      <c r="C91" s="279" t="s">
        <v>274</v>
      </c>
      <c r="D91" s="434" t="s">
        <v>238</v>
      </c>
      <c r="E91" s="280"/>
      <c r="F91" s="435">
        <f t="shared" si="16"/>
        <v>0</v>
      </c>
      <c r="G91" s="602">
        <v>445.38</v>
      </c>
      <c r="H91" s="593">
        <f t="shared" ref="H91:H114" si="18">E91*G91</f>
        <v>0</v>
      </c>
      <c r="I91" s="596">
        <f t="shared" si="17"/>
        <v>0</v>
      </c>
      <c r="J91" s="373"/>
    </row>
    <row r="92" spans="1:10" ht="35.25" customHeight="1" x14ac:dyDescent="0.25">
      <c r="A92" s="1052"/>
      <c r="B92" s="739"/>
      <c r="C92" s="279" t="s">
        <v>390</v>
      </c>
      <c r="D92" s="434" t="s">
        <v>238</v>
      </c>
      <c r="E92" s="280"/>
      <c r="F92" s="435">
        <f t="shared" si="16"/>
        <v>0</v>
      </c>
      <c r="G92" s="602">
        <v>445.38</v>
      </c>
      <c r="H92" s="593">
        <f t="shared" si="18"/>
        <v>0</v>
      </c>
      <c r="I92" s="596">
        <f t="shared" si="17"/>
        <v>0</v>
      </c>
      <c r="J92" s="373"/>
    </row>
    <row r="93" spans="1:10" ht="35.25" customHeight="1" x14ac:dyDescent="0.25">
      <c r="A93" s="1052"/>
      <c r="B93" s="739"/>
      <c r="C93" s="279" t="s">
        <v>301</v>
      </c>
      <c r="D93" s="434" t="s">
        <v>238</v>
      </c>
      <c r="E93" s="280"/>
      <c r="F93" s="435">
        <f t="shared" si="16"/>
        <v>0</v>
      </c>
      <c r="G93" s="602">
        <v>63.55</v>
      </c>
      <c r="H93" s="593">
        <f t="shared" si="18"/>
        <v>0</v>
      </c>
      <c r="I93" s="596">
        <f t="shared" si="17"/>
        <v>0</v>
      </c>
      <c r="J93" s="373"/>
    </row>
    <row r="94" spans="1:10" ht="35.25" customHeight="1" x14ac:dyDescent="0.25">
      <c r="A94" s="1052"/>
      <c r="B94" s="739"/>
      <c r="C94" s="279" t="s">
        <v>275</v>
      </c>
      <c r="D94" s="434" t="s">
        <v>238</v>
      </c>
      <c r="E94" s="280"/>
      <c r="F94" s="435">
        <f t="shared" si="16"/>
        <v>0</v>
      </c>
      <c r="G94" s="602">
        <v>71.44</v>
      </c>
      <c r="H94" s="593">
        <f t="shared" si="18"/>
        <v>0</v>
      </c>
      <c r="I94" s="596">
        <f t="shared" si="17"/>
        <v>0</v>
      </c>
      <c r="J94" s="373"/>
    </row>
    <row r="95" spans="1:10" ht="35.25" customHeight="1" x14ac:dyDescent="0.25">
      <c r="A95" s="1052"/>
      <c r="B95" s="739"/>
      <c r="C95" s="279" t="s">
        <v>276</v>
      </c>
      <c r="D95" s="434" t="s">
        <v>238</v>
      </c>
      <c r="E95" s="280"/>
      <c r="F95" s="435">
        <f t="shared" si="16"/>
        <v>0</v>
      </c>
      <c r="G95" s="602">
        <v>36.5</v>
      </c>
      <c r="H95" s="593">
        <f t="shared" si="18"/>
        <v>0</v>
      </c>
      <c r="I95" s="596">
        <f t="shared" si="17"/>
        <v>0</v>
      </c>
      <c r="J95" s="373"/>
    </row>
    <row r="96" spans="1:10" ht="35.25" customHeight="1" x14ac:dyDescent="0.25">
      <c r="A96" s="1052"/>
      <c r="B96" s="739"/>
      <c r="C96" s="279" t="s">
        <v>426</v>
      </c>
      <c r="D96" s="434" t="s">
        <v>238</v>
      </c>
      <c r="E96" s="280"/>
      <c r="F96" s="435">
        <f t="shared" si="16"/>
        <v>0</v>
      </c>
      <c r="G96" s="602">
        <v>320.35000000000002</v>
      </c>
      <c r="H96" s="593">
        <f t="shared" si="18"/>
        <v>0</v>
      </c>
      <c r="I96" s="596">
        <f t="shared" si="17"/>
        <v>0</v>
      </c>
      <c r="J96" s="373"/>
    </row>
    <row r="97" spans="1:10" ht="35.25" customHeight="1" x14ac:dyDescent="0.25">
      <c r="A97" s="1052"/>
      <c r="B97" s="739"/>
      <c r="C97" s="279" t="s">
        <v>285</v>
      </c>
      <c r="D97" s="434" t="s">
        <v>238</v>
      </c>
      <c r="E97" s="280"/>
      <c r="F97" s="435">
        <f t="shared" si="16"/>
        <v>0</v>
      </c>
      <c r="G97" s="602">
        <v>320.35000000000002</v>
      </c>
      <c r="H97" s="593">
        <f t="shared" si="18"/>
        <v>0</v>
      </c>
      <c r="I97" s="596">
        <f t="shared" si="17"/>
        <v>0</v>
      </c>
      <c r="J97" s="373"/>
    </row>
    <row r="98" spans="1:10" ht="35.25" customHeight="1" x14ac:dyDescent="0.25">
      <c r="A98" s="1052"/>
      <c r="B98" s="739"/>
      <c r="C98" s="279" t="s">
        <v>296</v>
      </c>
      <c r="D98" s="434" t="s">
        <v>238</v>
      </c>
      <c r="E98" s="280"/>
      <c r="F98" s="435">
        <f t="shared" si="16"/>
        <v>0</v>
      </c>
      <c r="G98" s="602">
        <v>434.41</v>
      </c>
      <c r="H98" s="593">
        <f t="shared" si="18"/>
        <v>0</v>
      </c>
      <c r="I98" s="596">
        <f t="shared" si="17"/>
        <v>0</v>
      </c>
      <c r="J98" s="373"/>
    </row>
    <row r="99" spans="1:10" ht="35.25" customHeight="1" x14ac:dyDescent="0.25">
      <c r="A99" s="1052"/>
      <c r="B99" s="739"/>
      <c r="C99" s="279" t="s">
        <v>282</v>
      </c>
      <c r="D99" s="434" t="s">
        <v>238</v>
      </c>
      <c r="E99" s="280"/>
      <c r="F99" s="435">
        <f t="shared" si="16"/>
        <v>0</v>
      </c>
      <c r="G99" s="602">
        <v>29690</v>
      </c>
      <c r="H99" s="593">
        <f t="shared" si="18"/>
        <v>0</v>
      </c>
      <c r="I99" s="596">
        <f t="shared" si="17"/>
        <v>0</v>
      </c>
      <c r="J99" s="373"/>
    </row>
    <row r="100" spans="1:10" ht="35.25" customHeight="1" x14ac:dyDescent="0.25">
      <c r="A100" s="1052"/>
      <c r="B100" s="739"/>
      <c r="C100" s="279" t="s">
        <v>282</v>
      </c>
      <c r="D100" s="434" t="s">
        <v>238</v>
      </c>
      <c r="E100" s="280"/>
      <c r="F100" s="435">
        <f t="shared" si="16"/>
        <v>0</v>
      </c>
      <c r="G100" s="602">
        <v>26445</v>
      </c>
      <c r="H100" s="593">
        <f t="shared" si="18"/>
        <v>0</v>
      </c>
      <c r="I100" s="596">
        <f t="shared" si="17"/>
        <v>0</v>
      </c>
      <c r="J100" s="373"/>
    </row>
    <row r="101" spans="1:10" ht="35.25" customHeight="1" x14ac:dyDescent="0.25">
      <c r="A101" s="1052"/>
      <c r="B101" s="739"/>
      <c r="C101" s="279" t="s">
        <v>282</v>
      </c>
      <c r="D101" s="434"/>
      <c r="E101" s="280"/>
      <c r="F101" s="435">
        <f t="shared" si="16"/>
        <v>0</v>
      </c>
      <c r="G101" s="602">
        <v>33947.884599999998</v>
      </c>
      <c r="H101" s="593">
        <f t="shared" si="18"/>
        <v>0</v>
      </c>
      <c r="I101" s="596">
        <f t="shared" si="17"/>
        <v>0</v>
      </c>
      <c r="J101" s="373"/>
    </row>
    <row r="102" spans="1:10" ht="35.25" customHeight="1" x14ac:dyDescent="0.25">
      <c r="A102" s="1052"/>
      <c r="B102" s="739"/>
      <c r="C102" s="279" t="s">
        <v>311</v>
      </c>
      <c r="D102" s="434" t="s">
        <v>337</v>
      </c>
      <c r="E102" s="280"/>
      <c r="F102" s="435">
        <f t="shared" si="16"/>
        <v>0</v>
      </c>
      <c r="G102" s="602">
        <v>50</v>
      </c>
      <c r="H102" s="593">
        <f t="shared" si="18"/>
        <v>0</v>
      </c>
      <c r="I102" s="596">
        <f t="shared" si="17"/>
        <v>0</v>
      </c>
      <c r="J102" s="373"/>
    </row>
    <row r="103" spans="1:10" ht="35.25" customHeight="1" x14ac:dyDescent="0.25">
      <c r="A103" s="1052"/>
      <c r="B103" s="739"/>
      <c r="C103" s="279" t="s">
        <v>311</v>
      </c>
      <c r="D103" s="434"/>
      <c r="E103" s="280"/>
      <c r="F103" s="435">
        <f t="shared" si="16"/>
        <v>0</v>
      </c>
      <c r="G103" s="602">
        <v>10</v>
      </c>
      <c r="H103" s="593">
        <f t="shared" si="18"/>
        <v>0</v>
      </c>
      <c r="I103" s="596">
        <f t="shared" si="17"/>
        <v>0</v>
      </c>
      <c r="J103" s="373"/>
    </row>
    <row r="104" spans="1:10" ht="35.25" customHeight="1" x14ac:dyDescent="0.25">
      <c r="A104" s="1052"/>
      <c r="B104" s="739"/>
      <c r="C104" s="279" t="s">
        <v>329</v>
      </c>
      <c r="D104" s="434" t="s">
        <v>370</v>
      </c>
      <c r="E104" s="280"/>
      <c r="F104" s="435">
        <f t="shared" si="16"/>
        <v>0</v>
      </c>
      <c r="G104" s="602">
        <v>57.64</v>
      </c>
      <c r="H104" s="593">
        <f t="shared" si="18"/>
        <v>0</v>
      </c>
      <c r="I104" s="596">
        <f t="shared" si="17"/>
        <v>0</v>
      </c>
      <c r="J104" s="373"/>
    </row>
    <row r="105" spans="1:10" ht="35.25" customHeight="1" x14ac:dyDescent="0.25">
      <c r="A105" s="1052"/>
      <c r="B105" s="739"/>
      <c r="C105" s="279" t="s">
        <v>329</v>
      </c>
      <c r="D105" s="434" t="s">
        <v>364</v>
      </c>
      <c r="E105" s="280"/>
      <c r="F105" s="435">
        <f t="shared" si="16"/>
        <v>0</v>
      </c>
      <c r="G105" s="602">
        <v>57.64</v>
      </c>
      <c r="H105" s="593">
        <f t="shared" si="18"/>
        <v>0</v>
      </c>
      <c r="I105" s="596">
        <f t="shared" si="17"/>
        <v>0</v>
      </c>
      <c r="J105" s="373"/>
    </row>
    <row r="106" spans="1:10" ht="35.25" customHeight="1" x14ac:dyDescent="0.25">
      <c r="A106" s="1052"/>
      <c r="B106" s="739"/>
      <c r="C106" s="279" t="s">
        <v>330</v>
      </c>
      <c r="D106" s="434" t="s">
        <v>331</v>
      </c>
      <c r="E106" s="280"/>
      <c r="F106" s="435">
        <f t="shared" si="16"/>
        <v>0</v>
      </c>
      <c r="G106" s="602">
        <v>434.41</v>
      </c>
      <c r="H106" s="593">
        <f t="shared" si="18"/>
        <v>0</v>
      </c>
      <c r="I106" s="596">
        <f t="shared" si="17"/>
        <v>0</v>
      </c>
      <c r="J106" s="373"/>
    </row>
    <row r="107" spans="1:10" ht="35.25" customHeight="1" x14ac:dyDescent="0.25">
      <c r="A107" s="1052"/>
      <c r="B107" s="739"/>
      <c r="C107" s="279" t="s">
        <v>343</v>
      </c>
      <c r="D107" s="434" t="s">
        <v>238</v>
      </c>
      <c r="E107" s="280"/>
      <c r="F107" s="435">
        <f t="shared" si="16"/>
        <v>0</v>
      </c>
      <c r="G107" s="602">
        <v>624.26</v>
      </c>
      <c r="H107" s="593">
        <f t="shared" si="18"/>
        <v>0</v>
      </c>
      <c r="I107" s="596">
        <f t="shared" si="17"/>
        <v>0</v>
      </c>
      <c r="J107" s="373"/>
    </row>
    <row r="108" spans="1:10" ht="35.25" customHeight="1" x14ac:dyDescent="0.25">
      <c r="A108" s="1052"/>
      <c r="B108" s="739"/>
      <c r="C108" s="279" t="s">
        <v>332</v>
      </c>
      <c r="D108" s="434" t="s">
        <v>331</v>
      </c>
      <c r="E108" s="280"/>
      <c r="F108" s="435">
        <f t="shared" si="16"/>
        <v>0</v>
      </c>
      <c r="G108" s="602">
        <v>63.55</v>
      </c>
      <c r="H108" s="593">
        <f t="shared" si="18"/>
        <v>0</v>
      </c>
      <c r="I108" s="596">
        <f t="shared" si="17"/>
        <v>0</v>
      </c>
      <c r="J108" s="373"/>
    </row>
    <row r="109" spans="1:10" ht="35.25" customHeight="1" x14ac:dyDescent="0.25">
      <c r="A109" s="1052"/>
      <c r="B109" s="739"/>
      <c r="C109" s="279" t="s">
        <v>371</v>
      </c>
      <c r="D109" s="434" t="s">
        <v>238</v>
      </c>
      <c r="E109" s="280"/>
      <c r="F109" s="435">
        <f t="shared" si="16"/>
        <v>0</v>
      </c>
      <c r="G109" s="602">
        <v>59.96</v>
      </c>
      <c r="H109" s="593">
        <f t="shared" si="18"/>
        <v>0</v>
      </c>
      <c r="I109" s="596">
        <f t="shared" si="17"/>
        <v>0</v>
      </c>
      <c r="J109" s="373"/>
    </row>
    <row r="110" spans="1:10" ht="35.25" customHeight="1" x14ac:dyDescent="0.25">
      <c r="A110" s="1052"/>
      <c r="B110" s="739"/>
      <c r="C110" s="279" t="s">
        <v>419</v>
      </c>
      <c r="D110" s="434" t="s">
        <v>331</v>
      </c>
      <c r="E110" s="280"/>
      <c r="F110" s="435">
        <f t="shared" si="16"/>
        <v>0</v>
      </c>
      <c r="G110" s="602">
        <v>53.86</v>
      </c>
      <c r="H110" s="593">
        <f t="shared" si="18"/>
        <v>0</v>
      </c>
      <c r="I110" s="596">
        <f t="shared" si="17"/>
        <v>0</v>
      </c>
      <c r="J110" s="373"/>
    </row>
    <row r="111" spans="1:10" ht="35.25" customHeight="1" x14ac:dyDescent="0.25">
      <c r="A111" s="1052"/>
      <c r="B111" s="739"/>
      <c r="C111" s="279" t="s">
        <v>379</v>
      </c>
      <c r="D111" s="434"/>
      <c r="E111" s="280"/>
      <c r="F111" s="435">
        <f t="shared" si="16"/>
        <v>0</v>
      </c>
      <c r="G111" s="602">
        <v>360</v>
      </c>
      <c r="H111" s="593">
        <f t="shared" si="18"/>
        <v>0</v>
      </c>
      <c r="I111" s="596">
        <f t="shared" si="17"/>
        <v>0</v>
      </c>
      <c r="J111" s="373"/>
    </row>
    <row r="112" spans="1:10" ht="35.25" customHeight="1" x14ac:dyDescent="0.25">
      <c r="A112" s="1052"/>
      <c r="B112" s="739"/>
      <c r="C112" s="279" t="s">
        <v>471</v>
      </c>
      <c r="D112" s="434"/>
      <c r="E112" s="280"/>
      <c r="F112" s="435">
        <f t="shared" si="16"/>
        <v>0</v>
      </c>
      <c r="G112" s="602"/>
      <c r="H112" s="593">
        <f>+E112</f>
        <v>0</v>
      </c>
      <c r="I112" s="596">
        <f>+H112</f>
        <v>0</v>
      </c>
      <c r="J112" s="373"/>
    </row>
    <row r="113" spans="1:10" ht="35.25" customHeight="1" x14ac:dyDescent="0.25">
      <c r="A113" s="1052"/>
      <c r="B113" s="739"/>
      <c r="C113" s="279" t="s">
        <v>282</v>
      </c>
      <c r="D113" s="434"/>
      <c r="E113" s="280"/>
      <c r="F113" s="435">
        <f t="shared" si="16"/>
        <v>0</v>
      </c>
      <c r="G113" s="602">
        <v>39450</v>
      </c>
      <c r="H113" s="593">
        <f t="shared" si="18"/>
        <v>0</v>
      </c>
      <c r="I113" s="596">
        <f t="shared" si="17"/>
        <v>0</v>
      </c>
      <c r="J113" s="373"/>
    </row>
    <row r="114" spans="1:10" ht="35.25" customHeight="1" thickBot="1" x14ac:dyDescent="0.3">
      <c r="A114" s="1052"/>
      <c r="B114" s="739"/>
      <c r="C114" s="279" t="s">
        <v>329</v>
      </c>
      <c r="D114" s="434" t="s">
        <v>443</v>
      </c>
      <c r="E114" s="280"/>
      <c r="F114" s="435">
        <f t="shared" si="16"/>
        <v>0</v>
      </c>
      <c r="G114" s="602">
        <v>57.64</v>
      </c>
      <c r="H114" s="593">
        <f t="shared" si="18"/>
        <v>0</v>
      </c>
      <c r="I114" s="596">
        <f t="shared" si="17"/>
        <v>0</v>
      </c>
      <c r="J114" s="373"/>
    </row>
    <row r="115" spans="1:10" ht="35.25" customHeight="1" thickBot="1" x14ac:dyDescent="0.3">
      <c r="A115" s="1053"/>
      <c r="B115" s="1047" t="s">
        <v>270</v>
      </c>
      <c r="C115" s="1048"/>
      <c r="D115" s="738"/>
      <c r="E115" s="326">
        <f>SUM(E90:E114)</f>
        <v>0</v>
      </c>
      <c r="F115" s="326">
        <f>SUM(F90:F114)</f>
        <v>0</v>
      </c>
      <c r="G115" s="326"/>
      <c r="H115" s="590">
        <f>SUM(H90:H114)</f>
        <v>0</v>
      </c>
      <c r="I115" s="580">
        <f>SUM(I90:I114)</f>
        <v>0</v>
      </c>
      <c r="J115" s="372"/>
    </row>
    <row r="116" spans="1:10" ht="35.25" customHeight="1" thickBot="1" x14ac:dyDescent="0.3">
      <c r="A116" s="744"/>
      <c r="B116" s="437"/>
      <c r="C116" s="279" t="s">
        <v>379</v>
      </c>
      <c r="D116" s="434"/>
      <c r="E116" s="280"/>
      <c r="F116" s="281">
        <f>+E116</f>
        <v>0</v>
      </c>
      <c r="G116" s="334"/>
      <c r="H116" s="589">
        <f t="shared" ref="H116" si="19">E116*G116</f>
        <v>0</v>
      </c>
      <c r="I116" s="282">
        <f t="shared" ref="I116" si="20">+G116*F116</f>
        <v>0</v>
      </c>
      <c r="J116" s="373"/>
    </row>
    <row r="117" spans="1:10" ht="35.25" customHeight="1" thickBot="1" x14ac:dyDescent="0.3">
      <c r="A117" s="744"/>
      <c r="B117" s="1047" t="s">
        <v>224</v>
      </c>
      <c r="C117" s="1048"/>
      <c r="D117" s="740"/>
      <c r="E117" s="326"/>
      <c r="F117" s="327"/>
      <c r="G117" s="326"/>
      <c r="H117" s="587"/>
      <c r="I117" s="324">
        <f>SUM(I116)</f>
        <v>0</v>
      </c>
      <c r="J117" s="349"/>
    </row>
    <row r="118" spans="1:10" ht="35.25" customHeight="1" thickBot="1" x14ac:dyDescent="0.3">
      <c r="A118" s="319"/>
      <c r="B118" s="1049" t="s">
        <v>174</v>
      </c>
      <c r="C118" s="1050"/>
      <c r="D118" s="741"/>
      <c r="E118" s="374">
        <f>+E115+E89+E56+E54</f>
        <v>37620</v>
      </c>
      <c r="F118" s="374">
        <f>+F115+F89+F56+F54</f>
        <v>37620</v>
      </c>
      <c r="G118" s="374"/>
      <c r="H118" s="374"/>
      <c r="I118" s="374">
        <f>+I115+I89+I56+I117</f>
        <v>1015740</v>
      </c>
      <c r="J118" s="375"/>
    </row>
    <row r="119" spans="1:10" ht="35.25" customHeight="1" x14ac:dyDescent="0.25">
      <c r="A119" s="978" t="s">
        <v>1</v>
      </c>
      <c r="B119" s="981" t="s">
        <v>2</v>
      </c>
      <c r="C119" s="1056" t="s">
        <v>396</v>
      </c>
      <c r="D119" s="1033" t="s">
        <v>397</v>
      </c>
      <c r="E119" s="1060" t="s">
        <v>483</v>
      </c>
      <c r="F119" s="988"/>
      <c r="G119" s="988"/>
      <c r="H119" s="988"/>
      <c r="I119" s="988"/>
      <c r="J119" s="989"/>
    </row>
    <row r="120" spans="1:10" ht="35.25" customHeight="1" x14ac:dyDescent="0.25">
      <c r="A120" s="1054"/>
      <c r="B120" s="1055"/>
      <c r="C120" s="1057"/>
      <c r="D120" s="1034"/>
      <c r="E120" s="1061" t="s">
        <v>412</v>
      </c>
      <c r="F120" s="1062"/>
      <c r="G120" s="1061" t="s">
        <v>411</v>
      </c>
      <c r="H120" s="1063"/>
      <c r="I120" s="1063"/>
      <c r="J120" s="1062"/>
    </row>
    <row r="121" spans="1:10" ht="35.25" customHeight="1" x14ac:dyDescent="0.25">
      <c r="A121" s="979"/>
      <c r="B121" s="982"/>
      <c r="C121" s="1058"/>
      <c r="D121" s="1034"/>
      <c r="E121" s="990" t="s">
        <v>413</v>
      </c>
      <c r="F121" s="992" t="s">
        <v>414</v>
      </c>
      <c r="G121" s="1065" t="s">
        <v>90</v>
      </c>
      <c r="H121" s="1067" t="s">
        <v>91</v>
      </c>
      <c r="I121" s="1067" t="s">
        <v>91</v>
      </c>
      <c r="J121" s="1069" t="s">
        <v>12</v>
      </c>
    </row>
    <row r="122" spans="1:10" ht="35.25" customHeight="1" thickBot="1" x14ac:dyDescent="0.3">
      <c r="A122" s="980"/>
      <c r="B122" s="983"/>
      <c r="C122" s="1059"/>
      <c r="D122" s="1035"/>
      <c r="E122" s="991"/>
      <c r="F122" s="1064"/>
      <c r="G122" s="1066"/>
      <c r="H122" s="1068"/>
      <c r="I122" s="1068"/>
      <c r="J122" s="1070"/>
    </row>
    <row r="123" spans="1:10" ht="35.25" customHeight="1" x14ac:dyDescent="0.25">
      <c r="A123" s="1051" t="s">
        <v>103</v>
      </c>
      <c r="B123" s="439"/>
      <c r="C123" s="577" t="s">
        <v>442</v>
      </c>
      <c r="D123" s="665" t="s">
        <v>374</v>
      </c>
      <c r="E123" s="699"/>
      <c r="F123" s="674">
        <f>+E123+F15</f>
        <v>0</v>
      </c>
      <c r="G123" s="732">
        <v>107.85</v>
      </c>
      <c r="H123" s="591">
        <f t="shared" ref="H123:H138" si="21">E123*G123</f>
        <v>0</v>
      </c>
      <c r="I123" s="594">
        <f>+G123*F123</f>
        <v>0</v>
      </c>
      <c r="J123" s="351"/>
    </row>
    <row r="124" spans="1:10" ht="35.25" customHeight="1" x14ac:dyDescent="0.25">
      <c r="A124" s="1052"/>
      <c r="B124" s="438"/>
      <c r="C124" s="441" t="s">
        <v>264</v>
      </c>
      <c r="D124" s="666" t="s">
        <v>265</v>
      </c>
      <c r="E124" s="700"/>
      <c r="F124" s="701">
        <f t="shared" ref="F124:F138" si="22">+E124+F16</f>
        <v>0</v>
      </c>
      <c r="G124" s="697">
        <v>11</v>
      </c>
      <c r="H124" s="592">
        <f t="shared" si="21"/>
        <v>0</v>
      </c>
      <c r="I124" s="595">
        <f>+G124*F124</f>
        <v>0</v>
      </c>
      <c r="J124" s="352"/>
    </row>
    <row r="125" spans="1:10" ht="35.25" customHeight="1" x14ac:dyDescent="0.25">
      <c r="A125" s="1052"/>
      <c r="B125" s="438"/>
      <c r="C125" s="441" t="s">
        <v>295</v>
      </c>
      <c r="D125" s="666" t="s">
        <v>453</v>
      </c>
      <c r="E125" s="700"/>
      <c r="F125" s="701">
        <f t="shared" si="22"/>
        <v>0</v>
      </c>
      <c r="G125" s="697">
        <v>139.04</v>
      </c>
      <c r="H125" s="592">
        <f t="shared" si="21"/>
        <v>0</v>
      </c>
      <c r="I125" s="595">
        <f t="shared" ref="I125:I138" si="23">+G125*F125</f>
        <v>0</v>
      </c>
      <c r="J125" s="352"/>
    </row>
    <row r="126" spans="1:10" ht="35.25" customHeight="1" x14ac:dyDescent="0.25">
      <c r="A126" s="1052"/>
      <c r="B126" s="438"/>
      <c r="C126" s="441" t="s">
        <v>357</v>
      </c>
      <c r="D126" s="666" t="s">
        <v>358</v>
      </c>
      <c r="E126" s="700"/>
      <c r="F126" s="701">
        <f t="shared" si="22"/>
        <v>0</v>
      </c>
      <c r="G126" s="715">
        <v>20.5</v>
      </c>
      <c r="H126" s="592">
        <f t="shared" si="21"/>
        <v>0</v>
      </c>
      <c r="I126" s="595">
        <f t="shared" si="23"/>
        <v>0</v>
      </c>
      <c r="J126" s="352"/>
    </row>
    <row r="127" spans="1:10" ht="35.25" customHeight="1" x14ac:dyDescent="0.25">
      <c r="A127" s="1052"/>
      <c r="B127" s="438"/>
      <c r="C127" s="441" t="s">
        <v>288</v>
      </c>
      <c r="D127" s="666" t="s">
        <v>177</v>
      </c>
      <c r="E127" s="700"/>
      <c r="F127" s="701">
        <f t="shared" si="22"/>
        <v>0</v>
      </c>
      <c r="G127" s="697">
        <v>14.79</v>
      </c>
      <c r="H127" s="592">
        <f t="shared" si="21"/>
        <v>0</v>
      </c>
      <c r="I127" s="595">
        <f t="shared" si="23"/>
        <v>0</v>
      </c>
      <c r="J127" s="352"/>
    </row>
    <row r="128" spans="1:10" ht="35.25" customHeight="1" x14ac:dyDescent="0.25">
      <c r="A128" s="1052"/>
      <c r="B128" s="438"/>
      <c r="C128" s="441" t="s">
        <v>295</v>
      </c>
      <c r="D128" s="666" t="s">
        <v>265</v>
      </c>
      <c r="E128" s="700"/>
      <c r="F128" s="701">
        <f t="shared" si="22"/>
        <v>0</v>
      </c>
      <c r="G128" s="697">
        <v>139.04</v>
      </c>
      <c r="H128" s="592">
        <f t="shared" si="21"/>
        <v>0</v>
      </c>
      <c r="I128" s="595">
        <f t="shared" si="23"/>
        <v>0</v>
      </c>
      <c r="J128" s="352"/>
    </row>
    <row r="129" spans="1:10" ht="35.25" customHeight="1" x14ac:dyDescent="0.25">
      <c r="A129" s="1052"/>
      <c r="B129" s="438"/>
      <c r="C129" s="441" t="s">
        <v>391</v>
      </c>
      <c r="D129" s="667" t="s">
        <v>356</v>
      </c>
      <c r="E129" s="700"/>
      <c r="F129" s="701">
        <f t="shared" si="22"/>
        <v>0</v>
      </c>
      <c r="G129" s="697">
        <v>147.58000000000001</v>
      </c>
      <c r="H129" s="592">
        <f t="shared" si="21"/>
        <v>0</v>
      </c>
      <c r="I129" s="595">
        <f t="shared" si="23"/>
        <v>0</v>
      </c>
      <c r="J129" s="352"/>
    </row>
    <row r="130" spans="1:10" ht="35.25" customHeight="1" x14ac:dyDescent="0.25">
      <c r="A130" s="1052"/>
      <c r="B130" s="438"/>
      <c r="C130" s="441" t="s">
        <v>313</v>
      </c>
      <c r="D130" s="667" t="s">
        <v>445</v>
      </c>
      <c r="E130" s="700"/>
      <c r="F130" s="701">
        <f t="shared" si="22"/>
        <v>0</v>
      </c>
      <c r="G130" s="697">
        <v>18.84</v>
      </c>
      <c r="H130" s="592">
        <f t="shared" si="21"/>
        <v>0</v>
      </c>
      <c r="I130" s="595">
        <f t="shared" si="23"/>
        <v>0</v>
      </c>
      <c r="J130" s="352"/>
    </row>
    <row r="131" spans="1:10" ht="35.25" customHeight="1" x14ac:dyDescent="0.25">
      <c r="A131" s="1052"/>
      <c r="B131" s="438"/>
      <c r="C131" s="441" t="s">
        <v>313</v>
      </c>
      <c r="D131" s="667" t="s">
        <v>265</v>
      </c>
      <c r="E131" s="700">
        <v>18360</v>
      </c>
      <c r="F131" s="701">
        <f t="shared" si="22"/>
        <v>18360</v>
      </c>
      <c r="G131" s="697">
        <v>18.84</v>
      </c>
      <c r="H131" s="592">
        <f t="shared" si="21"/>
        <v>345902.4</v>
      </c>
      <c r="I131" s="595">
        <f t="shared" si="23"/>
        <v>345902.4</v>
      </c>
      <c r="J131" s="352"/>
    </row>
    <row r="132" spans="1:10" ht="35.25" customHeight="1" x14ac:dyDescent="0.25">
      <c r="A132" s="1052"/>
      <c r="B132" s="438"/>
      <c r="C132" s="441" t="s">
        <v>322</v>
      </c>
      <c r="D132" s="667" t="s">
        <v>232</v>
      </c>
      <c r="E132" s="700"/>
      <c r="F132" s="701">
        <f t="shared" si="22"/>
        <v>0</v>
      </c>
      <c r="G132" s="697">
        <v>21.18</v>
      </c>
      <c r="H132" s="592">
        <f t="shared" si="21"/>
        <v>0</v>
      </c>
      <c r="I132" s="595">
        <f t="shared" si="23"/>
        <v>0</v>
      </c>
      <c r="J132" s="352"/>
    </row>
    <row r="133" spans="1:10" ht="35.25" customHeight="1" x14ac:dyDescent="0.25">
      <c r="A133" s="1052"/>
      <c r="B133" s="438"/>
      <c r="C133" s="441" t="s">
        <v>324</v>
      </c>
      <c r="D133" s="667" t="s">
        <v>325</v>
      </c>
      <c r="E133" s="700"/>
      <c r="F133" s="701">
        <f t="shared" si="22"/>
        <v>0</v>
      </c>
      <c r="G133" s="697">
        <v>21.28</v>
      </c>
      <c r="H133" s="592">
        <f t="shared" si="21"/>
        <v>0</v>
      </c>
      <c r="I133" s="595">
        <f t="shared" si="23"/>
        <v>0</v>
      </c>
      <c r="J133" s="352"/>
    </row>
    <row r="134" spans="1:10" ht="35.25" customHeight="1" x14ac:dyDescent="0.25">
      <c r="A134" s="1052"/>
      <c r="B134" s="438"/>
      <c r="C134" s="441" t="s">
        <v>378</v>
      </c>
      <c r="D134" s="667" t="s">
        <v>374</v>
      </c>
      <c r="E134" s="700"/>
      <c r="F134" s="701">
        <f t="shared" si="22"/>
        <v>0</v>
      </c>
      <c r="G134" s="697">
        <v>143.28</v>
      </c>
      <c r="H134" s="592">
        <f t="shared" si="21"/>
        <v>0</v>
      </c>
      <c r="I134" s="595">
        <f t="shared" si="23"/>
        <v>0</v>
      </c>
      <c r="J134" s="352"/>
    </row>
    <row r="135" spans="1:10" ht="35.25" customHeight="1" x14ac:dyDescent="0.25">
      <c r="A135" s="1052"/>
      <c r="B135" s="438"/>
      <c r="C135" s="441" t="s">
        <v>472</v>
      </c>
      <c r="D135" s="667"/>
      <c r="E135" s="700"/>
      <c r="F135" s="701">
        <f t="shared" si="22"/>
        <v>0</v>
      </c>
      <c r="G135" s="697">
        <v>14.79</v>
      </c>
      <c r="H135" s="592">
        <f t="shared" si="21"/>
        <v>0</v>
      </c>
      <c r="I135" s="595">
        <f t="shared" si="23"/>
        <v>0</v>
      </c>
      <c r="J135" s="352"/>
    </row>
    <row r="136" spans="1:10" ht="35.25" customHeight="1" x14ac:dyDescent="0.25">
      <c r="A136" s="1052"/>
      <c r="B136" s="438"/>
      <c r="C136" s="441" t="s">
        <v>451</v>
      </c>
      <c r="D136" s="666" t="s">
        <v>177</v>
      </c>
      <c r="E136" s="700"/>
      <c r="F136" s="701">
        <f t="shared" si="22"/>
        <v>0</v>
      </c>
      <c r="G136" s="697">
        <v>14.55</v>
      </c>
      <c r="H136" s="592">
        <f t="shared" si="21"/>
        <v>0</v>
      </c>
      <c r="I136" s="595">
        <f t="shared" si="23"/>
        <v>0</v>
      </c>
      <c r="J136" s="352"/>
    </row>
    <row r="137" spans="1:10" ht="35.25" customHeight="1" x14ac:dyDescent="0.25">
      <c r="A137" s="1052"/>
      <c r="B137" s="438"/>
      <c r="C137" s="441" t="s">
        <v>327</v>
      </c>
      <c r="D137" s="667" t="s">
        <v>188</v>
      </c>
      <c r="E137" s="700"/>
      <c r="F137" s="701">
        <f t="shared" si="22"/>
        <v>0</v>
      </c>
      <c r="G137" s="697">
        <v>21.28</v>
      </c>
      <c r="H137" s="592">
        <f t="shared" si="21"/>
        <v>0</v>
      </c>
      <c r="I137" s="595">
        <f t="shared" si="23"/>
        <v>0</v>
      </c>
      <c r="J137" s="352"/>
    </row>
    <row r="138" spans="1:10" ht="35.25" customHeight="1" thickBot="1" x14ac:dyDescent="0.3">
      <c r="A138" s="1052"/>
      <c r="B138" s="438"/>
      <c r="C138" s="441" t="s">
        <v>336</v>
      </c>
      <c r="D138" s="668" t="s">
        <v>178</v>
      </c>
      <c r="E138" s="700"/>
      <c r="F138" s="676">
        <f t="shared" si="22"/>
        <v>0</v>
      </c>
      <c r="G138" s="697">
        <v>36.44</v>
      </c>
      <c r="H138" s="592">
        <f t="shared" si="21"/>
        <v>0</v>
      </c>
      <c r="I138" s="595">
        <f t="shared" si="23"/>
        <v>0</v>
      </c>
      <c r="J138" s="352"/>
    </row>
    <row r="139" spans="1:10" ht="35.25" customHeight="1" thickBot="1" x14ac:dyDescent="0.3">
      <c r="A139" s="1052"/>
      <c r="B139" s="1047" t="s">
        <v>266</v>
      </c>
      <c r="C139" s="1048"/>
      <c r="D139" s="763"/>
      <c r="E139" s="326">
        <f>SUM(E123:E138)</f>
        <v>18360</v>
      </c>
      <c r="F139" s="698">
        <f>SUM(F123:F138)</f>
        <v>18360</v>
      </c>
      <c r="G139" s="326"/>
      <c r="H139" s="587">
        <f>SUM(H123:H138)</f>
        <v>345902.4</v>
      </c>
      <c r="I139" s="580">
        <f>SUM(I123:I138)</f>
        <v>345902.4</v>
      </c>
      <c r="J139" s="349"/>
    </row>
    <row r="140" spans="1:10" ht="35.25" customHeight="1" x14ac:dyDescent="0.25">
      <c r="A140" s="1052"/>
      <c r="B140" s="764"/>
      <c r="C140" s="279" t="s">
        <v>271</v>
      </c>
      <c r="D140" s="434" t="s">
        <v>238</v>
      </c>
      <c r="E140" s="280"/>
      <c r="F140" s="435">
        <f t="shared" ref="F140:F153" si="24">+E140+F32</f>
        <v>0</v>
      </c>
      <c r="G140" s="578">
        <v>160.44999999999999</v>
      </c>
      <c r="H140" s="593">
        <f t="shared" ref="H140:H153" si="25">E140*G140</f>
        <v>0</v>
      </c>
      <c r="I140" s="596">
        <f t="shared" ref="I140:I153" si="26">+G140*F140</f>
        <v>0</v>
      </c>
      <c r="J140" s="373"/>
    </row>
    <row r="141" spans="1:10" ht="35.25" customHeight="1" x14ac:dyDescent="0.25">
      <c r="A141" s="1052"/>
      <c r="B141" s="764"/>
      <c r="C141" s="279" t="s">
        <v>286</v>
      </c>
      <c r="D141" s="434" t="s">
        <v>238</v>
      </c>
      <c r="E141" s="280"/>
      <c r="F141" s="435">
        <f t="shared" si="24"/>
        <v>0</v>
      </c>
      <c r="G141" s="578">
        <v>160.44999999999999</v>
      </c>
      <c r="H141" s="593">
        <f t="shared" si="25"/>
        <v>0</v>
      </c>
      <c r="I141" s="596">
        <f t="shared" si="26"/>
        <v>0</v>
      </c>
      <c r="J141" s="373"/>
    </row>
    <row r="142" spans="1:10" ht="35.25" customHeight="1" x14ac:dyDescent="0.25">
      <c r="A142" s="1052"/>
      <c r="B142" s="764"/>
      <c r="C142" s="279" t="s">
        <v>388</v>
      </c>
      <c r="D142" s="434" t="s">
        <v>238</v>
      </c>
      <c r="E142" s="280"/>
      <c r="F142" s="435">
        <f t="shared" si="24"/>
        <v>0</v>
      </c>
      <c r="G142" s="578">
        <v>160.44999999999999</v>
      </c>
      <c r="H142" s="593">
        <f t="shared" si="25"/>
        <v>0</v>
      </c>
      <c r="I142" s="596">
        <f t="shared" si="26"/>
        <v>0</v>
      </c>
      <c r="J142" s="373"/>
    </row>
    <row r="143" spans="1:10" ht="35.25" customHeight="1" x14ac:dyDescent="0.25">
      <c r="A143" s="1052"/>
      <c r="B143" s="764"/>
      <c r="C143" s="279" t="s">
        <v>287</v>
      </c>
      <c r="D143" s="434" t="s">
        <v>93</v>
      </c>
      <c r="E143" s="280"/>
      <c r="F143" s="435">
        <f t="shared" si="24"/>
        <v>37620</v>
      </c>
      <c r="G143" s="578">
        <v>27</v>
      </c>
      <c r="H143" s="593">
        <f t="shared" si="25"/>
        <v>0</v>
      </c>
      <c r="I143" s="596">
        <f t="shared" si="26"/>
        <v>1015740</v>
      </c>
      <c r="J143" s="373"/>
    </row>
    <row r="144" spans="1:10" ht="35.25" customHeight="1" x14ac:dyDescent="0.25">
      <c r="A144" s="1052"/>
      <c r="B144" s="764"/>
      <c r="C144" s="279" t="s">
        <v>287</v>
      </c>
      <c r="D144" s="434" t="s">
        <v>292</v>
      </c>
      <c r="E144" s="280"/>
      <c r="F144" s="435">
        <f t="shared" si="24"/>
        <v>0</v>
      </c>
      <c r="G144" s="578">
        <v>27.5</v>
      </c>
      <c r="H144" s="593">
        <f t="shared" si="25"/>
        <v>0</v>
      </c>
      <c r="I144" s="596">
        <f t="shared" si="26"/>
        <v>0</v>
      </c>
      <c r="J144" s="373"/>
    </row>
    <row r="145" spans="1:10" ht="35.25" customHeight="1" x14ac:dyDescent="0.25">
      <c r="A145" s="1052"/>
      <c r="B145" s="764"/>
      <c r="C145" s="279" t="s">
        <v>276</v>
      </c>
      <c r="D145" s="434" t="s">
        <v>292</v>
      </c>
      <c r="E145" s="280"/>
      <c r="F145" s="435">
        <f t="shared" si="24"/>
        <v>0</v>
      </c>
      <c r="G145" s="578">
        <v>34.5</v>
      </c>
      <c r="H145" s="593">
        <f t="shared" si="25"/>
        <v>0</v>
      </c>
      <c r="I145" s="596">
        <f t="shared" si="26"/>
        <v>0</v>
      </c>
      <c r="J145" s="373"/>
    </row>
    <row r="146" spans="1:10" ht="35.25" customHeight="1" x14ac:dyDescent="0.25">
      <c r="A146" s="1052"/>
      <c r="B146" s="764"/>
      <c r="C146" s="279" t="s">
        <v>473</v>
      </c>
      <c r="D146" s="434" t="s">
        <v>440</v>
      </c>
      <c r="E146" s="280"/>
      <c r="F146" s="435">
        <f t="shared" si="24"/>
        <v>0</v>
      </c>
      <c r="G146" s="578">
        <v>10.57</v>
      </c>
      <c r="H146" s="593">
        <f t="shared" si="25"/>
        <v>0</v>
      </c>
      <c r="I146" s="596">
        <f t="shared" si="26"/>
        <v>0</v>
      </c>
      <c r="J146" s="373"/>
    </row>
    <row r="147" spans="1:10" ht="35.25" customHeight="1" x14ac:dyDescent="0.25">
      <c r="A147" s="1052"/>
      <c r="B147" s="764"/>
      <c r="C147" s="279" t="s">
        <v>276</v>
      </c>
      <c r="D147" s="434" t="s">
        <v>440</v>
      </c>
      <c r="E147" s="280"/>
      <c r="F147" s="435">
        <f t="shared" si="24"/>
        <v>0</v>
      </c>
      <c r="G147" s="578">
        <v>55.76</v>
      </c>
      <c r="H147" s="593">
        <f t="shared" si="25"/>
        <v>0</v>
      </c>
      <c r="I147" s="596">
        <f t="shared" si="26"/>
        <v>0</v>
      </c>
      <c r="J147" s="373"/>
    </row>
    <row r="148" spans="1:10" ht="35.25" customHeight="1" x14ac:dyDescent="0.25">
      <c r="A148" s="1052"/>
      <c r="B148" s="764"/>
      <c r="C148" s="279" t="s">
        <v>421</v>
      </c>
      <c r="D148" s="434" t="s">
        <v>238</v>
      </c>
      <c r="E148" s="280"/>
      <c r="F148" s="435">
        <f t="shared" si="24"/>
        <v>0</v>
      </c>
      <c r="G148" s="578">
        <v>160.44999999999999</v>
      </c>
      <c r="H148" s="593">
        <f t="shared" si="25"/>
        <v>0</v>
      </c>
      <c r="I148" s="596">
        <f t="shared" si="26"/>
        <v>0</v>
      </c>
      <c r="J148" s="373"/>
    </row>
    <row r="149" spans="1:10" ht="35.25" customHeight="1" x14ac:dyDescent="0.25">
      <c r="A149" s="1052"/>
      <c r="B149" s="764"/>
      <c r="C149" s="279" t="s">
        <v>348</v>
      </c>
      <c r="D149" s="434" t="s">
        <v>238</v>
      </c>
      <c r="E149" s="280"/>
      <c r="F149" s="435">
        <f t="shared" si="24"/>
        <v>0</v>
      </c>
      <c r="G149" s="578">
        <v>160.44999999999999</v>
      </c>
      <c r="H149" s="593">
        <f t="shared" si="25"/>
        <v>0</v>
      </c>
      <c r="I149" s="596">
        <f t="shared" si="26"/>
        <v>0</v>
      </c>
      <c r="J149" s="373"/>
    </row>
    <row r="150" spans="1:10" ht="35.25" customHeight="1" x14ac:dyDescent="0.25">
      <c r="A150" s="1052"/>
      <c r="B150" s="764"/>
      <c r="C150" s="279" t="s">
        <v>387</v>
      </c>
      <c r="D150" s="434" t="s">
        <v>238</v>
      </c>
      <c r="E150" s="280"/>
      <c r="F150" s="435">
        <f t="shared" si="24"/>
        <v>0</v>
      </c>
      <c r="G150" s="578">
        <v>160.44999999999999</v>
      </c>
      <c r="H150" s="593">
        <f t="shared" si="25"/>
        <v>0</v>
      </c>
      <c r="I150" s="596">
        <f t="shared" si="26"/>
        <v>0</v>
      </c>
      <c r="J150" s="373"/>
    </row>
    <row r="151" spans="1:10" ht="35.25" customHeight="1" x14ac:dyDescent="0.25">
      <c r="A151" s="1052"/>
      <c r="B151" s="764"/>
      <c r="C151" s="279" t="s">
        <v>441</v>
      </c>
      <c r="D151" s="434" t="s">
        <v>238</v>
      </c>
      <c r="E151" s="280"/>
      <c r="F151" s="435">
        <f t="shared" si="24"/>
        <v>0</v>
      </c>
      <c r="G151" s="578">
        <v>160.44999999999999</v>
      </c>
      <c r="H151" s="593">
        <f t="shared" si="25"/>
        <v>0</v>
      </c>
      <c r="I151" s="596">
        <f t="shared" si="26"/>
        <v>0</v>
      </c>
      <c r="J151" s="373"/>
    </row>
    <row r="152" spans="1:10" ht="35.25" customHeight="1" x14ac:dyDescent="0.25">
      <c r="A152" s="1052"/>
      <c r="B152" s="764"/>
      <c r="C152" s="279" t="s">
        <v>302</v>
      </c>
      <c r="D152" s="434" t="s">
        <v>238</v>
      </c>
      <c r="E152" s="280"/>
      <c r="F152" s="435">
        <f t="shared" si="24"/>
        <v>0</v>
      </c>
      <c r="G152" s="578">
        <v>160.44999999999999</v>
      </c>
      <c r="H152" s="593">
        <f t="shared" si="25"/>
        <v>0</v>
      </c>
      <c r="I152" s="596">
        <f t="shared" si="26"/>
        <v>0</v>
      </c>
      <c r="J152" s="373"/>
    </row>
    <row r="153" spans="1:10" ht="35.25" customHeight="1" thickBot="1" x14ac:dyDescent="0.3">
      <c r="A153" s="1052"/>
      <c r="B153" s="764"/>
      <c r="C153" s="279" t="s">
        <v>310</v>
      </c>
      <c r="D153" s="434" t="s">
        <v>238</v>
      </c>
      <c r="E153" s="280"/>
      <c r="F153" s="435">
        <f t="shared" si="24"/>
        <v>0</v>
      </c>
      <c r="G153" s="578">
        <v>160.44999999999999</v>
      </c>
      <c r="H153" s="593">
        <f t="shared" si="25"/>
        <v>0</v>
      </c>
      <c r="I153" s="596">
        <f t="shared" si="26"/>
        <v>0</v>
      </c>
      <c r="J153" s="373"/>
    </row>
    <row r="154" spans="1:10" ht="35.25" customHeight="1" thickBot="1" x14ac:dyDescent="0.3">
      <c r="A154" s="1052"/>
      <c r="B154" s="1047" t="s">
        <v>267</v>
      </c>
      <c r="C154" s="1048"/>
      <c r="D154" s="763"/>
      <c r="E154" s="326">
        <f>SUM(E140:E153)</f>
        <v>0</v>
      </c>
      <c r="F154" s="326">
        <f>SUM(F140:F153)</f>
        <v>37620</v>
      </c>
      <c r="G154" s="326"/>
      <c r="H154" s="587">
        <f>SUM(H140:H153)</f>
        <v>0</v>
      </c>
      <c r="I154" s="580">
        <f>SUM(I140:I153)</f>
        <v>1015740</v>
      </c>
      <c r="J154" s="349"/>
    </row>
    <row r="155" spans="1:10" ht="35.25" customHeight="1" x14ac:dyDescent="0.25">
      <c r="A155" s="1052"/>
      <c r="B155" s="764"/>
      <c r="C155" s="279" t="s">
        <v>372</v>
      </c>
      <c r="D155" s="434" t="s">
        <v>373</v>
      </c>
      <c r="E155" s="280"/>
      <c r="F155" s="435">
        <f t="shared" ref="F155:F161" si="27">+E155+F47</f>
        <v>0</v>
      </c>
      <c r="G155" s="578">
        <v>5.34</v>
      </c>
      <c r="H155" s="593">
        <f t="shared" ref="H155:H161" si="28">E155*G155</f>
        <v>0</v>
      </c>
      <c r="I155" s="596">
        <f t="shared" ref="I155" si="29">+G155*F155</f>
        <v>0</v>
      </c>
      <c r="J155" s="373"/>
    </row>
    <row r="156" spans="1:10" ht="35.25" customHeight="1" x14ac:dyDescent="0.25">
      <c r="A156" s="1052"/>
      <c r="B156" s="764"/>
      <c r="C156" s="279" t="s">
        <v>389</v>
      </c>
      <c r="D156" s="434" t="s">
        <v>265</v>
      </c>
      <c r="E156" s="280"/>
      <c r="F156" s="435">
        <f t="shared" si="27"/>
        <v>0</v>
      </c>
      <c r="G156" s="578">
        <v>31.73</v>
      </c>
      <c r="H156" s="593">
        <f t="shared" si="28"/>
        <v>0</v>
      </c>
      <c r="I156" s="596">
        <f>+G156*F156</f>
        <v>0</v>
      </c>
      <c r="J156" s="373"/>
    </row>
    <row r="157" spans="1:10" ht="35.25" customHeight="1" x14ac:dyDescent="0.25">
      <c r="A157" s="1052"/>
      <c r="B157" s="764"/>
      <c r="C157" s="279" t="s">
        <v>392</v>
      </c>
      <c r="D157" s="434" t="s">
        <v>393</v>
      </c>
      <c r="E157" s="280"/>
      <c r="F157" s="435">
        <f t="shared" si="27"/>
        <v>0</v>
      </c>
      <c r="G157" s="578">
        <v>10.58</v>
      </c>
      <c r="H157" s="593">
        <f t="shared" si="28"/>
        <v>0</v>
      </c>
      <c r="I157" s="596">
        <f>+G157*F157</f>
        <v>0</v>
      </c>
      <c r="J157" s="373"/>
    </row>
    <row r="158" spans="1:10" ht="35.25" customHeight="1" x14ac:dyDescent="0.25">
      <c r="A158" s="1052"/>
      <c r="B158" s="764"/>
      <c r="C158" s="279" t="s">
        <v>277</v>
      </c>
      <c r="D158" s="434" t="s">
        <v>278</v>
      </c>
      <c r="E158" s="280"/>
      <c r="F158" s="435">
        <f t="shared" si="27"/>
        <v>0</v>
      </c>
      <c r="G158" s="578">
        <v>2500</v>
      </c>
      <c r="H158" s="593">
        <f t="shared" si="28"/>
        <v>0</v>
      </c>
      <c r="I158" s="596">
        <f>+G158*F158</f>
        <v>0</v>
      </c>
      <c r="J158" s="373"/>
    </row>
    <row r="159" spans="1:10" ht="35.25" customHeight="1" x14ac:dyDescent="0.25">
      <c r="A159" s="1052"/>
      <c r="B159" s="764"/>
      <c r="C159" s="279" t="s">
        <v>454</v>
      </c>
      <c r="D159" s="434"/>
      <c r="E159" s="280"/>
      <c r="F159" s="435">
        <f t="shared" si="27"/>
        <v>0</v>
      </c>
      <c r="G159" s="578">
        <v>30000</v>
      </c>
      <c r="H159" s="593">
        <f t="shared" si="28"/>
        <v>0</v>
      </c>
      <c r="I159" s="596">
        <f>+G159*F159</f>
        <v>0</v>
      </c>
      <c r="J159" s="373"/>
    </row>
    <row r="160" spans="1:10" ht="35.25" customHeight="1" x14ac:dyDescent="0.25">
      <c r="A160" s="1052"/>
      <c r="B160" s="764"/>
      <c r="C160" s="279" t="s">
        <v>379</v>
      </c>
      <c r="D160" s="434" t="s">
        <v>304</v>
      </c>
      <c r="E160" s="280"/>
      <c r="F160" s="435">
        <f t="shared" si="27"/>
        <v>0</v>
      </c>
      <c r="G160" s="578">
        <v>360</v>
      </c>
      <c r="H160" s="593">
        <f t="shared" si="28"/>
        <v>0</v>
      </c>
      <c r="I160" s="596">
        <f>+G160*F160</f>
        <v>0</v>
      </c>
      <c r="J160" s="373"/>
    </row>
    <row r="161" spans="1:13" ht="35.25" customHeight="1" thickBot="1" x14ac:dyDescent="0.3">
      <c r="A161" s="1052"/>
      <c r="B161" s="764"/>
      <c r="C161" s="279" t="s">
        <v>427</v>
      </c>
      <c r="D161" s="434" t="s">
        <v>304</v>
      </c>
      <c r="E161" s="280"/>
      <c r="F161" s="435">
        <f t="shared" si="27"/>
        <v>0</v>
      </c>
      <c r="G161" s="579">
        <v>10</v>
      </c>
      <c r="H161" s="593">
        <f t="shared" si="28"/>
        <v>0</v>
      </c>
      <c r="I161" s="596">
        <f t="shared" ref="I161" si="30">+G161*F161</f>
        <v>0</v>
      </c>
      <c r="J161" s="373"/>
    </row>
    <row r="162" spans="1:13" ht="35.25" customHeight="1" thickBot="1" x14ac:dyDescent="0.3">
      <c r="A162" s="1052"/>
      <c r="B162" s="1047" t="s">
        <v>272</v>
      </c>
      <c r="C162" s="1048"/>
      <c r="D162" s="763"/>
      <c r="E162" s="326">
        <f>SUM(E155:E161)</f>
        <v>0</v>
      </c>
      <c r="F162" s="326">
        <f>SUM(F155:F161)</f>
        <v>0</v>
      </c>
      <c r="G162" s="326"/>
      <c r="H162" s="587">
        <f>SUM(H155:H161)</f>
        <v>0</v>
      </c>
      <c r="I162" s="580">
        <f>SUM(I155:I161)</f>
        <v>0</v>
      </c>
      <c r="J162" s="373"/>
    </row>
    <row r="163" spans="1:13" ht="35.25" customHeight="1" thickBot="1" x14ac:dyDescent="0.3">
      <c r="A163" s="1052"/>
      <c r="B163" s="764"/>
      <c r="C163" s="279"/>
      <c r="D163" s="434"/>
      <c r="E163" s="280"/>
      <c r="F163" s="317"/>
      <c r="G163" s="579"/>
      <c r="H163" s="588"/>
      <c r="I163" s="282">
        <f t="shared" ref="I163" si="31">+G163*F163</f>
        <v>0</v>
      </c>
      <c r="J163" s="373"/>
    </row>
    <row r="164" spans="1:13" ht="35.25" customHeight="1" thickBot="1" x14ac:dyDescent="0.3">
      <c r="A164" s="1053"/>
      <c r="B164" s="1047" t="s">
        <v>269</v>
      </c>
      <c r="C164" s="1048"/>
      <c r="D164" s="766"/>
      <c r="E164" s="326">
        <f>+E162+E154+E139</f>
        <v>18360</v>
      </c>
      <c r="F164" s="326">
        <f>+F162+F154+F139</f>
        <v>55980</v>
      </c>
      <c r="G164" s="326"/>
      <c r="H164" s="580">
        <f>+H154+H139+H162</f>
        <v>345902.4</v>
      </c>
      <c r="I164" s="580">
        <f>+I154+I139+I162</f>
        <v>1361642.4</v>
      </c>
      <c r="J164" s="373"/>
      <c r="K164" s="704"/>
      <c r="M164" s="704"/>
    </row>
    <row r="165" spans="1:13" ht="35.25" customHeight="1" x14ac:dyDescent="0.25">
      <c r="A165" s="1051" t="s">
        <v>101</v>
      </c>
      <c r="B165" s="764"/>
      <c r="C165" s="279" t="s">
        <v>281</v>
      </c>
      <c r="D165" s="434" t="s">
        <v>178</v>
      </c>
      <c r="E165" s="280"/>
      <c r="F165" s="435">
        <f t="shared" ref="F165:F196" si="32">+E165+F57</f>
        <v>0</v>
      </c>
      <c r="G165" s="602">
        <v>13.25</v>
      </c>
      <c r="H165" s="597">
        <f t="shared" ref="H165:H196" si="33">E165*G165</f>
        <v>0</v>
      </c>
      <c r="I165" s="596">
        <f t="shared" ref="I165:I196" si="34">+G165*F165</f>
        <v>0</v>
      </c>
      <c r="J165" s="373"/>
      <c r="K165" s="704"/>
    </row>
    <row r="166" spans="1:13" ht="35.25" customHeight="1" x14ac:dyDescent="0.25">
      <c r="A166" s="1052"/>
      <c r="B166" s="764"/>
      <c r="C166" s="279" t="s">
        <v>282</v>
      </c>
      <c r="D166" s="434"/>
      <c r="E166" s="280"/>
      <c r="F166" s="435">
        <f t="shared" si="32"/>
        <v>0</v>
      </c>
      <c r="G166" s="603">
        <v>5000</v>
      </c>
      <c r="H166" s="597">
        <f t="shared" si="33"/>
        <v>0</v>
      </c>
      <c r="I166" s="596">
        <f t="shared" si="34"/>
        <v>0</v>
      </c>
      <c r="J166" s="373"/>
      <c r="K166" s="704"/>
    </row>
    <row r="167" spans="1:13" ht="35.25" customHeight="1" x14ac:dyDescent="0.25">
      <c r="A167" s="1052"/>
      <c r="B167" s="764"/>
      <c r="C167" s="279" t="s">
        <v>282</v>
      </c>
      <c r="D167" s="434"/>
      <c r="E167" s="280"/>
      <c r="F167" s="435">
        <f t="shared" si="32"/>
        <v>0</v>
      </c>
      <c r="G167" s="603">
        <v>18000</v>
      </c>
      <c r="H167" s="597">
        <f t="shared" si="33"/>
        <v>0</v>
      </c>
      <c r="I167" s="596">
        <f t="shared" si="34"/>
        <v>0</v>
      </c>
      <c r="J167" s="373"/>
    </row>
    <row r="168" spans="1:13" ht="35.25" customHeight="1" x14ac:dyDescent="0.25">
      <c r="A168" s="1052"/>
      <c r="B168" s="764"/>
      <c r="C168" s="279" t="s">
        <v>465</v>
      </c>
      <c r="D168" s="434" t="s">
        <v>464</v>
      </c>
      <c r="E168" s="280"/>
      <c r="F168" s="435">
        <f t="shared" si="32"/>
        <v>0</v>
      </c>
      <c r="G168" s="602">
        <v>21.01</v>
      </c>
      <c r="H168" s="597">
        <f t="shared" si="33"/>
        <v>0</v>
      </c>
      <c r="I168" s="596">
        <f t="shared" si="34"/>
        <v>0</v>
      </c>
      <c r="J168" s="373"/>
    </row>
    <row r="169" spans="1:13" ht="35.25" customHeight="1" x14ac:dyDescent="0.25">
      <c r="A169" s="1052"/>
      <c r="B169" s="764"/>
      <c r="C169" s="279" t="s">
        <v>465</v>
      </c>
      <c r="D169" s="434" t="s">
        <v>338</v>
      </c>
      <c r="E169" s="280"/>
      <c r="F169" s="435">
        <f t="shared" si="32"/>
        <v>0</v>
      </c>
      <c r="G169" s="602">
        <v>24.93</v>
      </c>
      <c r="H169" s="597">
        <f t="shared" si="33"/>
        <v>0</v>
      </c>
      <c r="I169" s="596">
        <f t="shared" si="34"/>
        <v>0</v>
      </c>
      <c r="J169" s="373"/>
    </row>
    <row r="170" spans="1:13" ht="35.25" customHeight="1" x14ac:dyDescent="0.25">
      <c r="A170" s="1052"/>
      <c r="B170" s="764"/>
      <c r="C170" s="279" t="s">
        <v>465</v>
      </c>
      <c r="D170" s="434" t="s">
        <v>92</v>
      </c>
      <c r="E170" s="280"/>
      <c r="F170" s="435">
        <f t="shared" si="32"/>
        <v>0</v>
      </c>
      <c r="G170" s="602">
        <v>24.93</v>
      </c>
      <c r="H170" s="597">
        <f t="shared" si="33"/>
        <v>0</v>
      </c>
      <c r="I170" s="596">
        <f t="shared" si="34"/>
        <v>0</v>
      </c>
      <c r="J170" s="373"/>
    </row>
    <row r="171" spans="1:13" ht="35.25" customHeight="1" x14ac:dyDescent="0.25">
      <c r="A171" s="1052"/>
      <c r="B171" s="764"/>
      <c r="C171" s="746" t="s">
        <v>466</v>
      </c>
      <c r="D171" s="747" t="s">
        <v>92</v>
      </c>
      <c r="E171" s="280"/>
      <c r="F171" s="435">
        <f t="shared" si="32"/>
        <v>0</v>
      </c>
      <c r="G171" s="602">
        <v>20.8</v>
      </c>
      <c r="H171" s="597">
        <f t="shared" si="33"/>
        <v>0</v>
      </c>
      <c r="I171" s="596">
        <f t="shared" si="34"/>
        <v>0</v>
      </c>
      <c r="J171" s="373"/>
    </row>
    <row r="172" spans="1:13" ht="35.25" customHeight="1" x14ac:dyDescent="0.25">
      <c r="A172" s="1052"/>
      <c r="B172" s="764"/>
      <c r="C172" s="746" t="s">
        <v>467</v>
      </c>
      <c r="D172" s="747" t="s">
        <v>468</v>
      </c>
      <c r="E172" s="280"/>
      <c r="F172" s="435">
        <f t="shared" si="32"/>
        <v>0</v>
      </c>
      <c r="G172" s="602">
        <v>24.93</v>
      </c>
      <c r="H172" s="597">
        <f t="shared" si="33"/>
        <v>0</v>
      </c>
      <c r="I172" s="596">
        <f t="shared" si="34"/>
        <v>0</v>
      </c>
      <c r="J172" s="373"/>
    </row>
    <row r="173" spans="1:13" ht="35.25" customHeight="1" x14ac:dyDescent="0.25">
      <c r="A173" s="1052"/>
      <c r="B173" s="764"/>
      <c r="C173" s="746" t="s">
        <v>467</v>
      </c>
      <c r="D173" s="747" t="s">
        <v>468</v>
      </c>
      <c r="E173" s="280"/>
      <c r="F173" s="435">
        <f t="shared" si="32"/>
        <v>0</v>
      </c>
      <c r="G173" s="602">
        <v>25.49</v>
      </c>
      <c r="H173" s="597">
        <f t="shared" si="33"/>
        <v>0</v>
      </c>
      <c r="I173" s="596">
        <f t="shared" si="34"/>
        <v>0</v>
      </c>
      <c r="J173" s="373"/>
    </row>
    <row r="174" spans="1:13" s="757" customFormat="1" ht="35.25" customHeight="1" x14ac:dyDescent="0.25">
      <c r="A174" s="1052"/>
      <c r="B174" s="748"/>
      <c r="C174" s="749" t="s">
        <v>469</v>
      </c>
      <c r="D174" s="750" t="s">
        <v>309</v>
      </c>
      <c r="E174" s="751"/>
      <c r="F174" s="752">
        <f t="shared" si="32"/>
        <v>0</v>
      </c>
      <c r="G174" s="753">
        <v>24.41</v>
      </c>
      <c r="H174" s="754">
        <f t="shared" si="33"/>
        <v>0</v>
      </c>
      <c r="I174" s="755">
        <f t="shared" si="34"/>
        <v>0</v>
      </c>
      <c r="J174" s="756"/>
    </row>
    <row r="175" spans="1:13" ht="35.25" customHeight="1" x14ac:dyDescent="0.25">
      <c r="A175" s="1052"/>
      <c r="B175" s="764"/>
      <c r="C175" s="279" t="s">
        <v>444</v>
      </c>
      <c r="D175" s="434" t="s">
        <v>423</v>
      </c>
      <c r="E175" s="280"/>
      <c r="F175" s="435">
        <f t="shared" si="32"/>
        <v>0</v>
      </c>
      <c r="G175" s="602">
        <v>20.76</v>
      </c>
      <c r="H175" s="597">
        <f t="shared" si="33"/>
        <v>0</v>
      </c>
      <c r="I175" s="596">
        <f t="shared" si="34"/>
        <v>0</v>
      </c>
      <c r="J175" s="373"/>
    </row>
    <row r="176" spans="1:13" ht="35.25" customHeight="1" x14ac:dyDescent="0.25">
      <c r="A176" s="1052"/>
      <c r="B176" s="764"/>
      <c r="C176" s="279" t="s">
        <v>298</v>
      </c>
      <c r="D176" s="434" t="s">
        <v>107</v>
      </c>
      <c r="E176" s="280"/>
      <c r="F176" s="435">
        <f t="shared" si="32"/>
        <v>0</v>
      </c>
      <c r="G176" s="602">
        <v>24.93</v>
      </c>
      <c r="H176" s="597">
        <f t="shared" si="33"/>
        <v>0</v>
      </c>
      <c r="I176" s="596">
        <f t="shared" si="34"/>
        <v>0</v>
      </c>
      <c r="J176" s="373"/>
    </row>
    <row r="177" spans="1:10" ht="35.25" customHeight="1" x14ac:dyDescent="0.25">
      <c r="A177" s="1052"/>
      <c r="B177" s="764"/>
      <c r="C177" s="279" t="s">
        <v>299</v>
      </c>
      <c r="D177" s="434" t="s">
        <v>280</v>
      </c>
      <c r="E177" s="280"/>
      <c r="F177" s="435">
        <f t="shared" si="32"/>
        <v>0</v>
      </c>
      <c r="G177" s="602">
        <v>24.93</v>
      </c>
      <c r="H177" s="597">
        <f t="shared" si="33"/>
        <v>0</v>
      </c>
      <c r="I177" s="596">
        <f t="shared" si="34"/>
        <v>0</v>
      </c>
      <c r="J177" s="373"/>
    </row>
    <row r="178" spans="1:10" ht="35.25" customHeight="1" x14ac:dyDescent="0.25">
      <c r="A178" s="1052"/>
      <c r="B178" s="764"/>
      <c r="C178" s="279" t="s">
        <v>425</v>
      </c>
      <c r="D178" s="434" t="s">
        <v>360</v>
      </c>
      <c r="E178" s="280"/>
      <c r="F178" s="435">
        <f t="shared" si="32"/>
        <v>0</v>
      </c>
      <c r="G178" s="602">
        <v>23.78</v>
      </c>
      <c r="H178" s="597">
        <f t="shared" si="33"/>
        <v>0</v>
      </c>
      <c r="I178" s="596">
        <f t="shared" si="34"/>
        <v>0</v>
      </c>
      <c r="J178" s="373"/>
    </row>
    <row r="179" spans="1:10" ht="35.25" customHeight="1" x14ac:dyDescent="0.25">
      <c r="A179" s="1052"/>
      <c r="B179" s="764"/>
      <c r="C179" s="279" t="s">
        <v>425</v>
      </c>
      <c r="D179" s="434" t="s">
        <v>309</v>
      </c>
      <c r="E179" s="280"/>
      <c r="F179" s="435">
        <f t="shared" si="32"/>
        <v>0</v>
      </c>
      <c r="G179" s="602">
        <v>23.78</v>
      </c>
      <c r="H179" s="597">
        <f t="shared" si="33"/>
        <v>0</v>
      </c>
      <c r="I179" s="596">
        <f t="shared" si="34"/>
        <v>0</v>
      </c>
      <c r="J179" s="373"/>
    </row>
    <row r="180" spans="1:10" ht="35.25" customHeight="1" x14ac:dyDescent="0.25">
      <c r="A180" s="1052"/>
      <c r="B180" s="764"/>
      <c r="C180" s="279" t="s">
        <v>354</v>
      </c>
      <c r="D180" s="434" t="s">
        <v>309</v>
      </c>
      <c r="E180" s="280"/>
      <c r="F180" s="435">
        <f t="shared" si="32"/>
        <v>0</v>
      </c>
      <c r="G180" s="602">
        <v>37.4566666666</v>
      </c>
      <c r="H180" s="597">
        <f t="shared" si="33"/>
        <v>0</v>
      </c>
      <c r="I180" s="596">
        <f t="shared" si="34"/>
        <v>0</v>
      </c>
      <c r="J180" s="373"/>
    </row>
    <row r="181" spans="1:10" ht="35.25" customHeight="1" x14ac:dyDescent="0.25">
      <c r="A181" s="1052"/>
      <c r="B181" s="764"/>
      <c r="C181" s="279" t="s">
        <v>355</v>
      </c>
      <c r="D181" s="434" t="s">
        <v>309</v>
      </c>
      <c r="E181" s="280"/>
      <c r="F181" s="435">
        <f t="shared" si="32"/>
        <v>0</v>
      </c>
      <c r="G181" s="602">
        <v>37.89</v>
      </c>
      <c r="H181" s="597">
        <f t="shared" si="33"/>
        <v>0</v>
      </c>
      <c r="I181" s="596">
        <f t="shared" si="34"/>
        <v>0</v>
      </c>
      <c r="J181" s="373"/>
    </row>
    <row r="182" spans="1:10" ht="35.25" customHeight="1" x14ac:dyDescent="0.25">
      <c r="A182" s="1052"/>
      <c r="B182" s="764"/>
      <c r="C182" s="279" t="s">
        <v>461</v>
      </c>
      <c r="D182" s="434" t="s">
        <v>92</v>
      </c>
      <c r="E182" s="280"/>
      <c r="F182" s="435">
        <f t="shared" si="32"/>
        <v>0</v>
      </c>
      <c r="G182" s="602">
        <v>28.31</v>
      </c>
      <c r="H182" s="597">
        <f t="shared" si="33"/>
        <v>0</v>
      </c>
      <c r="I182" s="596">
        <f t="shared" si="34"/>
        <v>0</v>
      </c>
      <c r="J182" s="373"/>
    </row>
    <row r="183" spans="1:10" ht="35.25" customHeight="1" x14ac:dyDescent="0.25">
      <c r="A183" s="1052"/>
      <c r="B183" s="764"/>
      <c r="C183" s="279" t="s">
        <v>461</v>
      </c>
      <c r="D183" s="434" t="s">
        <v>423</v>
      </c>
      <c r="E183" s="280"/>
      <c r="F183" s="435">
        <f t="shared" si="32"/>
        <v>0</v>
      </c>
      <c r="G183" s="602">
        <v>28.88</v>
      </c>
      <c r="H183" s="597">
        <f t="shared" si="33"/>
        <v>0</v>
      </c>
      <c r="I183" s="596">
        <f t="shared" si="34"/>
        <v>0</v>
      </c>
      <c r="J183" s="373"/>
    </row>
    <row r="184" spans="1:10" ht="35.25" customHeight="1" x14ac:dyDescent="0.25">
      <c r="A184" s="1052"/>
      <c r="B184" s="764"/>
      <c r="C184" s="279" t="s">
        <v>462</v>
      </c>
      <c r="D184" s="434" t="s">
        <v>423</v>
      </c>
      <c r="E184" s="280"/>
      <c r="F184" s="435">
        <f t="shared" si="32"/>
        <v>0</v>
      </c>
      <c r="G184" s="602">
        <v>28.21</v>
      </c>
      <c r="H184" s="597">
        <f t="shared" si="33"/>
        <v>0</v>
      </c>
      <c r="I184" s="596">
        <f t="shared" si="34"/>
        <v>0</v>
      </c>
      <c r="J184" s="373"/>
    </row>
    <row r="185" spans="1:10" ht="35.25" customHeight="1" x14ac:dyDescent="0.25">
      <c r="A185" s="1052"/>
      <c r="B185" s="764"/>
      <c r="C185" s="279" t="s">
        <v>463</v>
      </c>
      <c r="D185" s="434" t="s">
        <v>338</v>
      </c>
      <c r="E185" s="280"/>
      <c r="F185" s="435">
        <f t="shared" si="32"/>
        <v>0</v>
      </c>
      <c r="G185" s="602">
        <v>39</v>
      </c>
      <c r="H185" s="597">
        <f t="shared" si="33"/>
        <v>0</v>
      </c>
      <c r="I185" s="596">
        <f t="shared" si="34"/>
        <v>0</v>
      </c>
      <c r="J185" s="373"/>
    </row>
    <row r="186" spans="1:10" ht="35.25" customHeight="1" x14ac:dyDescent="0.25">
      <c r="A186" s="1052"/>
      <c r="B186" s="764"/>
      <c r="C186" s="279" t="s">
        <v>463</v>
      </c>
      <c r="D186" s="434" t="s">
        <v>92</v>
      </c>
      <c r="E186" s="280"/>
      <c r="F186" s="435">
        <f t="shared" si="32"/>
        <v>0</v>
      </c>
      <c r="G186" s="602">
        <v>32.65</v>
      </c>
      <c r="H186" s="597">
        <f t="shared" si="33"/>
        <v>0</v>
      </c>
      <c r="I186" s="596">
        <f t="shared" si="34"/>
        <v>0</v>
      </c>
      <c r="J186" s="373"/>
    </row>
    <row r="187" spans="1:10" ht="35.25" customHeight="1" x14ac:dyDescent="0.25">
      <c r="A187" s="1052"/>
      <c r="B187" s="764"/>
      <c r="C187" s="279" t="s">
        <v>463</v>
      </c>
      <c r="D187" s="434" t="s">
        <v>423</v>
      </c>
      <c r="E187" s="280"/>
      <c r="F187" s="435">
        <f t="shared" si="32"/>
        <v>0</v>
      </c>
      <c r="G187" s="602">
        <v>33.299999999999997</v>
      </c>
      <c r="H187" s="597">
        <f t="shared" si="33"/>
        <v>0</v>
      </c>
      <c r="I187" s="596">
        <f t="shared" si="34"/>
        <v>0</v>
      </c>
      <c r="J187" s="373"/>
    </row>
    <row r="188" spans="1:10" ht="35.25" customHeight="1" x14ac:dyDescent="0.25">
      <c r="A188" s="1052"/>
      <c r="B188" s="764"/>
      <c r="C188" s="279" t="s">
        <v>299</v>
      </c>
      <c r="D188" s="434" t="s">
        <v>279</v>
      </c>
      <c r="E188" s="280"/>
      <c r="F188" s="435">
        <f t="shared" si="32"/>
        <v>0</v>
      </c>
      <c r="G188" s="602">
        <v>24.93</v>
      </c>
      <c r="H188" s="597">
        <f t="shared" si="33"/>
        <v>0</v>
      </c>
      <c r="I188" s="596">
        <f t="shared" si="34"/>
        <v>0</v>
      </c>
      <c r="J188" s="373"/>
    </row>
    <row r="189" spans="1:10" ht="35.25" customHeight="1" x14ac:dyDescent="0.25">
      <c r="A189" s="1052"/>
      <c r="B189" s="764"/>
      <c r="C189" s="279" t="s">
        <v>299</v>
      </c>
      <c r="D189" s="434"/>
      <c r="E189" s="280"/>
      <c r="F189" s="435">
        <f t="shared" si="32"/>
        <v>0</v>
      </c>
      <c r="G189" s="602">
        <v>24.93</v>
      </c>
      <c r="H189" s="597">
        <f t="shared" si="33"/>
        <v>0</v>
      </c>
      <c r="I189" s="596">
        <f t="shared" si="34"/>
        <v>0</v>
      </c>
      <c r="J189" s="373"/>
    </row>
    <row r="190" spans="1:10" ht="35.25" customHeight="1" x14ac:dyDescent="0.25">
      <c r="A190" s="1052"/>
      <c r="B190" s="764"/>
      <c r="C190" s="279" t="s">
        <v>316</v>
      </c>
      <c r="D190" s="434" t="s">
        <v>289</v>
      </c>
      <c r="E190" s="280"/>
      <c r="F190" s="435">
        <f t="shared" si="32"/>
        <v>0</v>
      </c>
      <c r="G190" s="602">
        <v>34.26</v>
      </c>
      <c r="H190" s="597">
        <f t="shared" si="33"/>
        <v>0</v>
      </c>
      <c r="I190" s="596">
        <f t="shared" si="34"/>
        <v>0</v>
      </c>
      <c r="J190" s="373"/>
    </row>
    <row r="191" spans="1:10" ht="35.25" customHeight="1" x14ac:dyDescent="0.25">
      <c r="A191" s="1052"/>
      <c r="B191" s="764"/>
      <c r="C191" s="279" t="s">
        <v>328</v>
      </c>
      <c r="D191" s="434" t="s">
        <v>360</v>
      </c>
      <c r="E191" s="280"/>
      <c r="F191" s="435">
        <f t="shared" si="32"/>
        <v>0</v>
      </c>
      <c r="G191" s="602">
        <v>37.89</v>
      </c>
      <c r="H191" s="597">
        <f t="shared" si="33"/>
        <v>0</v>
      </c>
      <c r="I191" s="596">
        <f t="shared" si="34"/>
        <v>0</v>
      </c>
      <c r="J191" s="373"/>
    </row>
    <row r="192" spans="1:10" ht="35.25" customHeight="1" x14ac:dyDescent="0.25">
      <c r="A192" s="1052"/>
      <c r="B192" s="764"/>
      <c r="C192" s="279" t="s">
        <v>363</v>
      </c>
      <c r="D192" s="434" t="s">
        <v>338</v>
      </c>
      <c r="E192" s="280"/>
      <c r="F192" s="435">
        <f t="shared" si="32"/>
        <v>0</v>
      </c>
      <c r="G192" s="602">
        <v>39</v>
      </c>
      <c r="H192" s="597">
        <f t="shared" si="33"/>
        <v>0</v>
      </c>
      <c r="I192" s="596">
        <f t="shared" si="34"/>
        <v>0</v>
      </c>
      <c r="J192" s="373"/>
    </row>
    <row r="193" spans="1:10" ht="35.25" customHeight="1" x14ac:dyDescent="0.25">
      <c r="A193" s="1052"/>
      <c r="B193" s="764"/>
      <c r="C193" s="279" t="s">
        <v>299</v>
      </c>
      <c r="D193" s="434" t="s">
        <v>177</v>
      </c>
      <c r="E193" s="280"/>
      <c r="F193" s="435">
        <f t="shared" si="32"/>
        <v>0</v>
      </c>
      <c r="G193" s="602">
        <v>21.22</v>
      </c>
      <c r="H193" s="597">
        <f t="shared" si="33"/>
        <v>0</v>
      </c>
      <c r="I193" s="596">
        <f t="shared" si="34"/>
        <v>0</v>
      </c>
      <c r="J193" s="373"/>
    </row>
    <row r="194" spans="1:10" ht="35.25" customHeight="1" x14ac:dyDescent="0.25">
      <c r="A194" s="1052"/>
      <c r="B194" s="764"/>
      <c r="C194" s="279" t="s">
        <v>298</v>
      </c>
      <c r="D194" s="434" t="s">
        <v>177</v>
      </c>
      <c r="E194" s="280"/>
      <c r="F194" s="435">
        <f t="shared" si="32"/>
        <v>0</v>
      </c>
      <c r="G194" s="602">
        <v>21.22</v>
      </c>
      <c r="H194" s="597">
        <f t="shared" si="33"/>
        <v>0</v>
      </c>
      <c r="I194" s="596">
        <f t="shared" si="34"/>
        <v>0</v>
      </c>
      <c r="J194" s="373"/>
    </row>
    <row r="195" spans="1:10" ht="35.25" customHeight="1" x14ac:dyDescent="0.25">
      <c r="A195" s="1052"/>
      <c r="B195" s="764"/>
      <c r="C195" s="279" t="s">
        <v>339</v>
      </c>
      <c r="D195" s="434" t="s">
        <v>304</v>
      </c>
      <c r="E195" s="280"/>
      <c r="F195" s="435">
        <f t="shared" si="32"/>
        <v>0</v>
      </c>
      <c r="G195" s="602">
        <v>10000</v>
      </c>
      <c r="H195" s="597">
        <f t="shared" si="33"/>
        <v>0</v>
      </c>
      <c r="I195" s="596">
        <f t="shared" si="34"/>
        <v>0</v>
      </c>
      <c r="J195" s="373"/>
    </row>
    <row r="196" spans="1:10" ht="35.25" customHeight="1" thickBot="1" x14ac:dyDescent="0.3">
      <c r="A196" s="1052"/>
      <c r="B196" s="764"/>
      <c r="C196" s="279" t="s">
        <v>303</v>
      </c>
      <c r="D196" s="434" t="s">
        <v>304</v>
      </c>
      <c r="E196" s="280"/>
      <c r="F196" s="435">
        <f t="shared" si="32"/>
        <v>0</v>
      </c>
      <c r="G196" s="602">
        <v>360</v>
      </c>
      <c r="H196" s="597">
        <f t="shared" si="33"/>
        <v>0</v>
      </c>
      <c r="I196" s="596">
        <f t="shared" si="34"/>
        <v>0</v>
      </c>
      <c r="J196" s="373"/>
    </row>
    <row r="197" spans="1:10" ht="35.25" customHeight="1" thickBot="1" x14ac:dyDescent="0.3">
      <c r="A197" s="1053"/>
      <c r="B197" s="1047" t="s">
        <v>268</v>
      </c>
      <c r="C197" s="1048"/>
      <c r="D197" s="763"/>
      <c r="E197" s="326">
        <f>SUM(E165:E196)</f>
        <v>0</v>
      </c>
      <c r="F197" s="326">
        <f>SUM(F165:F196)</f>
        <v>0</v>
      </c>
      <c r="G197" s="326"/>
      <c r="H197" s="587">
        <f>SUM(H165:H196)</f>
        <v>0</v>
      </c>
      <c r="I197" s="580">
        <f>SUM(I165:I196)</f>
        <v>0</v>
      </c>
      <c r="J197" s="373"/>
    </row>
    <row r="198" spans="1:10" ht="35.25" customHeight="1" x14ac:dyDescent="0.25">
      <c r="A198" s="1051" t="s">
        <v>102</v>
      </c>
      <c r="B198" s="764"/>
      <c r="C198" s="279" t="s">
        <v>273</v>
      </c>
      <c r="D198" s="434" t="s">
        <v>238</v>
      </c>
      <c r="E198" s="280"/>
      <c r="F198" s="435">
        <f t="shared" ref="F198:F222" si="35">+E198+F90</f>
        <v>0</v>
      </c>
      <c r="G198" s="602">
        <v>430.02</v>
      </c>
      <c r="H198" s="593">
        <f>E198*G198</f>
        <v>0</v>
      </c>
      <c r="I198" s="596">
        <f t="shared" ref="I198:I219" si="36">+G198*F198</f>
        <v>0</v>
      </c>
      <c r="J198" s="373"/>
    </row>
    <row r="199" spans="1:10" ht="35.25" customHeight="1" x14ac:dyDescent="0.25">
      <c r="A199" s="1052"/>
      <c r="B199" s="764"/>
      <c r="C199" s="279" t="s">
        <v>274</v>
      </c>
      <c r="D199" s="434" t="s">
        <v>238</v>
      </c>
      <c r="E199" s="280"/>
      <c r="F199" s="435">
        <f t="shared" si="35"/>
        <v>0</v>
      </c>
      <c r="G199" s="602">
        <v>445.38</v>
      </c>
      <c r="H199" s="593">
        <f t="shared" ref="H199:H219" si="37">E199*G199</f>
        <v>0</v>
      </c>
      <c r="I199" s="596">
        <f t="shared" si="36"/>
        <v>0</v>
      </c>
      <c r="J199" s="373"/>
    </row>
    <row r="200" spans="1:10" ht="35.25" customHeight="1" x14ac:dyDescent="0.25">
      <c r="A200" s="1052"/>
      <c r="B200" s="764"/>
      <c r="C200" s="279" t="s">
        <v>390</v>
      </c>
      <c r="D200" s="434" t="s">
        <v>238</v>
      </c>
      <c r="E200" s="280"/>
      <c r="F200" s="435">
        <f t="shared" si="35"/>
        <v>0</v>
      </c>
      <c r="G200" s="602">
        <v>445.38</v>
      </c>
      <c r="H200" s="593">
        <f t="shared" si="37"/>
        <v>0</v>
      </c>
      <c r="I200" s="596">
        <f t="shared" si="36"/>
        <v>0</v>
      </c>
      <c r="J200" s="373"/>
    </row>
    <row r="201" spans="1:10" ht="35.25" customHeight="1" x14ac:dyDescent="0.25">
      <c r="A201" s="1052"/>
      <c r="B201" s="764"/>
      <c r="C201" s="279" t="s">
        <v>301</v>
      </c>
      <c r="D201" s="434" t="s">
        <v>238</v>
      </c>
      <c r="E201" s="280"/>
      <c r="F201" s="435">
        <f t="shared" si="35"/>
        <v>0</v>
      </c>
      <c r="G201" s="602">
        <v>63.55</v>
      </c>
      <c r="H201" s="593">
        <f t="shared" si="37"/>
        <v>0</v>
      </c>
      <c r="I201" s="596">
        <f t="shared" si="36"/>
        <v>0</v>
      </c>
      <c r="J201" s="373"/>
    </row>
    <row r="202" spans="1:10" ht="35.25" customHeight="1" x14ac:dyDescent="0.25">
      <c r="A202" s="1052"/>
      <c r="B202" s="764"/>
      <c r="C202" s="279" t="s">
        <v>275</v>
      </c>
      <c r="D202" s="434" t="s">
        <v>238</v>
      </c>
      <c r="E202" s="280"/>
      <c r="F202" s="435">
        <f t="shared" si="35"/>
        <v>0</v>
      </c>
      <c r="G202" s="602">
        <v>71.44</v>
      </c>
      <c r="H202" s="593">
        <f t="shared" si="37"/>
        <v>0</v>
      </c>
      <c r="I202" s="596">
        <f t="shared" si="36"/>
        <v>0</v>
      </c>
      <c r="J202" s="373"/>
    </row>
    <row r="203" spans="1:10" ht="35.25" customHeight="1" x14ac:dyDescent="0.25">
      <c r="A203" s="1052"/>
      <c r="B203" s="764"/>
      <c r="C203" s="279" t="s">
        <v>276</v>
      </c>
      <c r="D203" s="434" t="s">
        <v>238</v>
      </c>
      <c r="E203" s="280"/>
      <c r="F203" s="435">
        <f t="shared" si="35"/>
        <v>0</v>
      </c>
      <c r="G203" s="602">
        <v>36.5</v>
      </c>
      <c r="H203" s="593">
        <f t="shared" si="37"/>
        <v>0</v>
      </c>
      <c r="I203" s="596">
        <f t="shared" si="36"/>
        <v>0</v>
      </c>
      <c r="J203" s="373"/>
    </row>
    <row r="204" spans="1:10" ht="35.25" customHeight="1" x14ac:dyDescent="0.25">
      <c r="A204" s="1052"/>
      <c r="B204" s="764"/>
      <c r="C204" s="279" t="s">
        <v>426</v>
      </c>
      <c r="D204" s="434" t="s">
        <v>238</v>
      </c>
      <c r="E204" s="280"/>
      <c r="F204" s="435">
        <f t="shared" si="35"/>
        <v>0</v>
      </c>
      <c r="G204" s="602">
        <v>320.35000000000002</v>
      </c>
      <c r="H204" s="593">
        <f t="shared" si="37"/>
        <v>0</v>
      </c>
      <c r="I204" s="596">
        <f t="shared" si="36"/>
        <v>0</v>
      </c>
      <c r="J204" s="373"/>
    </row>
    <row r="205" spans="1:10" ht="35.25" customHeight="1" x14ac:dyDescent="0.25">
      <c r="A205" s="1052"/>
      <c r="B205" s="764"/>
      <c r="C205" s="279" t="s">
        <v>285</v>
      </c>
      <c r="D205" s="434" t="s">
        <v>238</v>
      </c>
      <c r="E205" s="280"/>
      <c r="F205" s="435">
        <f t="shared" si="35"/>
        <v>0</v>
      </c>
      <c r="G205" s="602">
        <v>320.35000000000002</v>
      </c>
      <c r="H205" s="593">
        <f t="shared" si="37"/>
        <v>0</v>
      </c>
      <c r="I205" s="596">
        <f t="shared" si="36"/>
        <v>0</v>
      </c>
      <c r="J205" s="373"/>
    </row>
    <row r="206" spans="1:10" ht="35.25" customHeight="1" x14ac:dyDescent="0.25">
      <c r="A206" s="1052"/>
      <c r="B206" s="764"/>
      <c r="C206" s="279" t="s">
        <v>296</v>
      </c>
      <c r="D206" s="434" t="s">
        <v>238</v>
      </c>
      <c r="E206" s="280"/>
      <c r="F206" s="435">
        <f t="shared" si="35"/>
        <v>0</v>
      </c>
      <c r="G206" s="602">
        <v>434.41</v>
      </c>
      <c r="H206" s="593">
        <f t="shared" si="37"/>
        <v>0</v>
      </c>
      <c r="I206" s="596">
        <f t="shared" si="36"/>
        <v>0</v>
      </c>
      <c r="J206" s="373"/>
    </row>
    <row r="207" spans="1:10" ht="35.25" customHeight="1" x14ac:dyDescent="0.25">
      <c r="A207" s="1052"/>
      <c r="B207" s="764"/>
      <c r="C207" s="279" t="s">
        <v>282</v>
      </c>
      <c r="D207" s="434" t="s">
        <v>238</v>
      </c>
      <c r="E207" s="280"/>
      <c r="F207" s="435">
        <f t="shared" si="35"/>
        <v>0</v>
      </c>
      <c r="G207" s="602">
        <v>29690</v>
      </c>
      <c r="H207" s="593">
        <f t="shared" si="37"/>
        <v>0</v>
      </c>
      <c r="I207" s="596">
        <f t="shared" si="36"/>
        <v>0</v>
      </c>
      <c r="J207" s="373"/>
    </row>
    <row r="208" spans="1:10" ht="35.25" customHeight="1" x14ac:dyDescent="0.25">
      <c r="A208" s="1052"/>
      <c r="B208" s="764"/>
      <c r="C208" s="279" t="s">
        <v>282</v>
      </c>
      <c r="D208" s="434" t="s">
        <v>238</v>
      </c>
      <c r="E208" s="280"/>
      <c r="F208" s="435">
        <f t="shared" si="35"/>
        <v>0</v>
      </c>
      <c r="G208" s="602">
        <v>26445</v>
      </c>
      <c r="H208" s="593">
        <f t="shared" si="37"/>
        <v>0</v>
      </c>
      <c r="I208" s="596">
        <f t="shared" si="36"/>
        <v>0</v>
      </c>
      <c r="J208" s="373"/>
    </row>
    <row r="209" spans="1:10" ht="35.25" customHeight="1" x14ac:dyDescent="0.25">
      <c r="A209" s="1052"/>
      <c r="B209" s="764"/>
      <c r="C209" s="279" t="s">
        <v>282</v>
      </c>
      <c r="D209" s="434"/>
      <c r="E209" s="280"/>
      <c r="F209" s="435">
        <f t="shared" si="35"/>
        <v>0</v>
      </c>
      <c r="G209" s="602">
        <v>33947.884599999998</v>
      </c>
      <c r="H209" s="593">
        <f t="shared" si="37"/>
        <v>0</v>
      </c>
      <c r="I209" s="596">
        <f t="shared" si="36"/>
        <v>0</v>
      </c>
      <c r="J209" s="373"/>
    </row>
    <row r="210" spans="1:10" ht="35.25" customHeight="1" x14ac:dyDescent="0.25">
      <c r="A210" s="1052"/>
      <c r="B210" s="764"/>
      <c r="C210" s="279" t="s">
        <v>311</v>
      </c>
      <c r="D210" s="434" t="s">
        <v>337</v>
      </c>
      <c r="E210" s="280"/>
      <c r="F210" s="435">
        <f t="shared" si="35"/>
        <v>0</v>
      </c>
      <c r="G210" s="602">
        <v>50</v>
      </c>
      <c r="H210" s="593">
        <f t="shared" si="37"/>
        <v>0</v>
      </c>
      <c r="I210" s="596">
        <f t="shared" si="36"/>
        <v>0</v>
      </c>
      <c r="J210" s="373"/>
    </row>
    <row r="211" spans="1:10" ht="35.25" customHeight="1" x14ac:dyDescent="0.25">
      <c r="A211" s="1052"/>
      <c r="B211" s="764"/>
      <c r="C211" s="279" t="s">
        <v>311</v>
      </c>
      <c r="D211" s="434"/>
      <c r="E211" s="280"/>
      <c r="F211" s="435">
        <f t="shared" si="35"/>
        <v>0</v>
      </c>
      <c r="G211" s="602">
        <v>10</v>
      </c>
      <c r="H211" s="593">
        <f t="shared" si="37"/>
        <v>0</v>
      </c>
      <c r="I211" s="596">
        <f t="shared" si="36"/>
        <v>0</v>
      </c>
      <c r="J211" s="373"/>
    </row>
    <row r="212" spans="1:10" ht="35.25" customHeight="1" x14ac:dyDescent="0.25">
      <c r="A212" s="1052"/>
      <c r="B212" s="764"/>
      <c r="C212" s="279" t="s">
        <v>329</v>
      </c>
      <c r="D212" s="434" t="s">
        <v>370</v>
      </c>
      <c r="E212" s="280"/>
      <c r="F212" s="435">
        <f t="shared" si="35"/>
        <v>0</v>
      </c>
      <c r="G212" s="602">
        <v>57.64</v>
      </c>
      <c r="H212" s="593">
        <f t="shared" si="37"/>
        <v>0</v>
      </c>
      <c r="I212" s="596">
        <f t="shared" si="36"/>
        <v>0</v>
      </c>
      <c r="J212" s="373"/>
    </row>
    <row r="213" spans="1:10" ht="35.25" customHeight="1" x14ac:dyDescent="0.25">
      <c r="A213" s="1052"/>
      <c r="B213" s="764"/>
      <c r="C213" s="279" t="s">
        <v>329</v>
      </c>
      <c r="D213" s="434" t="s">
        <v>364</v>
      </c>
      <c r="E213" s="280"/>
      <c r="F213" s="435">
        <f t="shared" si="35"/>
        <v>0</v>
      </c>
      <c r="G213" s="602">
        <v>57.64</v>
      </c>
      <c r="H213" s="593">
        <f t="shared" si="37"/>
        <v>0</v>
      </c>
      <c r="I213" s="596">
        <f t="shared" si="36"/>
        <v>0</v>
      </c>
      <c r="J213" s="373"/>
    </row>
    <row r="214" spans="1:10" ht="35.25" customHeight="1" x14ac:dyDescent="0.25">
      <c r="A214" s="1052"/>
      <c r="B214" s="764"/>
      <c r="C214" s="279" t="s">
        <v>330</v>
      </c>
      <c r="D214" s="434" t="s">
        <v>331</v>
      </c>
      <c r="E214" s="280"/>
      <c r="F214" s="435">
        <f t="shared" si="35"/>
        <v>0</v>
      </c>
      <c r="G214" s="602">
        <v>434.41</v>
      </c>
      <c r="H214" s="593">
        <f t="shared" si="37"/>
        <v>0</v>
      </c>
      <c r="I214" s="596">
        <f t="shared" si="36"/>
        <v>0</v>
      </c>
      <c r="J214" s="373"/>
    </row>
    <row r="215" spans="1:10" ht="35.25" customHeight="1" x14ac:dyDescent="0.25">
      <c r="A215" s="1052"/>
      <c r="B215" s="764"/>
      <c r="C215" s="279" t="s">
        <v>343</v>
      </c>
      <c r="D215" s="434" t="s">
        <v>238</v>
      </c>
      <c r="E215" s="280"/>
      <c r="F215" s="435">
        <f t="shared" si="35"/>
        <v>0</v>
      </c>
      <c r="G215" s="602">
        <v>624.26</v>
      </c>
      <c r="H215" s="593">
        <f t="shared" si="37"/>
        <v>0</v>
      </c>
      <c r="I215" s="596">
        <f t="shared" si="36"/>
        <v>0</v>
      </c>
      <c r="J215" s="373"/>
    </row>
    <row r="216" spans="1:10" ht="35.25" customHeight="1" x14ac:dyDescent="0.25">
      <c r="A216" s="1052"/>
      <c r="B216" s="764"/>
      <c r="C216" s="279" t="s">
        <v>332</v>
      </c>
      <c r="D216" s="434" t="s">
        <v>331</v>
      </c>
      <c r="E216" s="280"/>
      <c r="F216" s="435">
        <f t="shared" si="35"/>
        <v>0</v>
      </c>
      <c r="G216" s="602">
        <v>63.55</v>
      </c>
      <c r="H216" s="593">
        <f t="shared" si="37"/>
        <v>0</v>
      </c>
      <c r="I216" s="596">
        <f t="shared" si="36"/>
        <v>0</v>
      </c>
      <c r="J216" s="373"/>
    </row>
    <row r="217" spans="1:10" ht="35.25" customHeight="1" x14ac:dyDescent="0.25">
      <c r="A217" s="1052"/>
      <c r="B217" s="764"/>
      <c r="C217" s="279" t="s">
        <v>371</v>
      </c>
      <c r="D217" s="434" t="s">
        <v>238</v>
      </c>
      <c r="E217" s="280"/>
      <c r="F217" s="435">
        <f t="shared" si="35"/>
        <v>0</v>
      </c>
      <c r="G217" s="602">
        <v>59.96</v>
      </c>
      <c r="H217" s="593">
        <f t="shared" si="37"/>
        <v>0</v>
      </c>
      <c r="I217" s="596">
        <f t="shared" si="36"/>
        <v>0</v>
      </c>
      <c r="J217" s="373"/>
    </row>
    <row r="218" spans="1:10" ht="35.25" customHeight="1" x14ac:dyDescent="0.25">
      <c r="A218" s="1052"/>
      <c r="B218" s="764"/>
      <c r="C218" s="279" t="s">
        <v>419</v>
      </c>
      <c r="D218" s="434" t="s">
        <v>331</v>
      </c>
      <c r="E218" s="280"/>
      <c r="F218" s="435">
        <f t="shared" si="35"/>
        <v>0</v>
      </c>
      <c r="G218" s="602">
        <v>53.86</v>
      </c>
      <c r="H218" s="593">
        <f t="shared" si="37"/>
        <v>0</v>
      </c>
      <c r="I218" s="596">
        <f t="shared" si="36"/>
        <v>0</v>
      </c>
      <c r="J218" s="373"/>
    </row>
    <row r="219" spans="1:10" ht="35.25" customHeight="1" x14ac:dyDescent="0.25">
      <c r="A219" s="1052"/>
      <c r="B219" s="764"/>
      <c r="C219" s="279" t="s">
        <v>379</v>
      </c>
      <c r="D219" s="434"/>
      <c r="E219" s="280"/>
      <c r="F219" s="435">
        <f t="shared" si="35"/>
        <v>0</v>
      </c>
      <c r="G219" s="602">
        <v>360</v>
      </c>
      <c r="H219" s="593">
        <f t="shared" si="37"/>
        <v>0</v>
      </c>
      <c r="I219" s="596">
        <f t="shared" si="36"/>
        <v>0</v>
      </c>
      <c r="J219" s="373"/>
    </row>
    <row r="220" spans="1:10" ht="35.25" customHeight="1" x14ac:dyDescent="0.25">
      <c r="A220" s="1052"/>
      <c r="B220" s="764"/>
      <c r="C220" s="279" t="s">
        <v>471</v>
      </c>
      <c r="D220" s="434"/>
      <c r="E220" s="280"/>
      <c r="F220" s="435">
        <f t="shared" si="35"/>
        <v>0</v>
      </c>
      <c r="G220" s="602"/>
      <c r="H220" s="593">
        <f>+E220</f>
        <v>0</v>
      </c>
      <c r="I220" s="596">
        <f>+H220</f>
        <v>0</v>
      </c>
      <c r="J220" s="373"/>
    </row>
    <row r="221" spans="1:10" ht="35.25" customHeight="1" x14ac:dyDescent="0.25">
      <c r="A221" s="1052"/>
      <c r="B221" s="764"/>
      <c r="C221" s="279" t="s">
        <v>282</v>
      </c>
      <c r="D221" s="434"/>
      <c r="E221" s="280"/>
      <c r="F221" s="435">
        <f t="shared" si="35"/>
        <v>0</v>
      </c>
      <c r="G221" s="602">
        <v>39450</v>
      </c>
      <c r="H221" s="593">
        <f t="shared" ref="H221:H222" si="38">E221*G221</f>
        <v>0</v>
      </c>
      <c r="I221" s="596">
        <f t="shared" ref="I221:I222" si="39">+G221*F221</f>
        <v>0</v>
      </c>
      <c r="J221" s="373"/>
    </row>
    <row r="222" spans="1:10" ht="35.25" customHeight="1" thickBot="1" x14ac:dyDescent="0.3">
      <c r="A222" s="1052"/>
      <c r="B222" s="764"/>
      <c r="C222" s="279" t="s">
        <v>329</v>
      </c>
      <c r="D222" s="434" t="s">
        <v>443</v>
      </c>
      <c r="E222" s="280"/>
      <c r="F222" s="435">
        <f t="shared" si="35"/>
        <v>0</v>
      </c>
      <c r="G222" s="602">
        <v>57.64</v>
      </c>
      <c r="H222" s="593">
        <f t="shared" si="38"/>
        <v>0</v>
      </c>
      <c r="I222" s="596">
        <f t="shared" si="39"/>
        <v>0</v>
      </c>
      <c r="J222" s="373"/>
    </row>
    <row r="223" spans="1:10" ht="35.25" customHeight="1" thickBot="1" x14ac:dyDescent="0.3">
      <c r="A223" s="1053"/>
      <c r="B223" s="1047" t="s">
        <v>270</v>
      </c>
      <c r="C223" s="1048"/>
      <c r="D223" s="763"/>
      <c r="E223" s="326">
        <f>SUM(E198:E222)</f>
        <v>0</v>
      </c>
      <c r="F223" s="326">
        <f>SUM(F198:F222)</f>
        <v>0</v>
      </c>
      <c r="G223" s="326"/>
      <c r="H223" s="590">
        <f>SUM(H198:H222)</f>
        <v>0</v>
      </c>
      <c r="I223" s="580">
        <f>SUM(I198:I222)</f>
        <v>0</v>
      </c>
      <c r="J223" s="372"/>
    </row>
    <row r="224" spans="1:10" ht="35.25" customHeight="1" thickBot="1" x14ac:dyDescent="0.3">
      <c r="A224" s="769"/>
      <c r="B224" s="437"/>
      <c r="C224" s="279" t="s">
        <v>379</v>
      </c>
      <c r="D224" s="434"/>
      <c r="E224" s="280"/>
      <c r="F224" s="281">
        <f>+E224</f>
        <v>0</v>
      </c>
      <c r="G224" s="334"/>
      <c r="H224" s="589">
        <f t="shared" ref="H224" si="40">E224*G224</f>
        <v>0</v>
      </c>
      <c r="I224" s="282">
        <f t="shared" ref="I224" si="41">+G224*F224</f>
        <v>0</v>
      </c>
      <c r="J224" s="373"/>
    </row>
    <row r="225" spans="1:10" ht="35.25" customHeight="1" thickBot="1" x14ac:dyDescent="0.3">
      <c r="A225" s="769"/>
      <c r="B225" s="1047" t="s">
        <v>224</v>
      </c>
      <c r="C225" s="1048"/>
      <c r="D225" s="766"/>
      <c r="E225" s="326"/>
      <c r="F225" s="327"/>
      <c r="G225" s="326"/>
      <c r="H225" s="587"/>
      <c r="I225" s="324">
        <f>SUM(I224)</f>
        <v>0</v>
      </c>
      <c r="J225" s="349"/>
    </row>
    <row r="226" spans="1:10" ht="35.25" customHeight="1" thickBot="1" x14ac:dyDescent="0.3">
      <c r="A226" s="319"/>
      <c r="B226" s="1049" t="s">
        <v>174</v>
      </c>
      <c r="C226" s="1050"/>
      <c r="D226" s="765"/>
      <c r="E226" s="374">
        <f>+E223+E197+E164+E162</f>
        <v>18360</v>
      </c>
      <c r="F226" s="374">
        <f>+F223+F197+F164+F162</f>
        <v>55980</v>
      </c>
      <c r="G226" s="374"/>
      <c r="H226" s="374"/>
      <c r="I226" s="374">
        <f>+I223+I197+I164+I225</f>
        <v>1361642.4</v>
      </c>
      <c r="J226" s="375"/>
    </row>
    <row r="227" spans="1:10" ht="35.25" customHeight="1" x14ac:dyDescent="0.25">
      <c r="A227" s="978" t="s">
        <v>1</v>
      </c>
      <c r="B227" s="981" t="s">
        <v>2</v>
      </c>
      <c r="C227" s="1056" t="s">
        <v>396</v>
      </c>
      <c r="D227" s="1033" t="s">
        <v>397</v>
      </c>
      <c r="E227" s="1060" t="s">
        <v>488</v>
      </c>
      <c r="F227" s="988"/>
      <c r="G227" s="988"/>
      <c r="H227" s="988"/>
      <c r="I227" s="988"/>
      <c r="J227" s="989"/>
    </row>
    <row r="228" spans="1:10" ht="35.25" customHeight="1" x14ac:dyDescent="0.25">
      <c r="A228" s="1054"/>
      <c r="B228" s="1055"/>
      <c r="C228" s="1057"/>
      <c r="D228" s="1034"/>
      <c r="E228" s="1061" t="s">
        <v>412</v>
      </c>
      <c r="F228" s="1062"/>
      <c r="G228" s="1061" t="s">
        <v>411</v>
      </c>
      <c r="H228" s="1063"/>
      <c r="I228" s="1063"/>
      <c r="J228" s="1062"/>
    </row>
    <row r="229" spans="1:10" ht="35.25" customHeight="1" x14ac:dyDescent="0.25">
      <c r="A229" s="979"/>
      <c r="B229" s="982"/>
      <c r="C229" s="1058"/>
      <c r="D229" s="1034"/>
      <c r="E229" s="990" t="s">
        <v>413</v>
      </c>
      <c r="F229" s="992" t="s">
        <v>414</v>
      </c>
      <c r="G229" s="1065" t="s">
        <v>90</v>
      </c>
      <c r="H229" s="1067" t="s">
        <v>91</v>
      </c>
      <c r="I229" s="1067" t="s">
        <v>91</v>
      </c>
      <c r="J229" s="1069" t="s">
        <v>12</v>
      </c>
    </row>
    <row r="230" spans="1:10" ht="35.25" customHeight="1" thickBot="1" x14ac:dyDescent="0.3">
      <c r="A230" s="980"/>
      <c r="B230" s="983"/>
      <c r="C230" s="1059"/>
      <c r="D230" s="1035"/>
      <c r="E230" s="991"/>
      <c r="F230" s="1064"/>
      <c r="G230" s="1066"/>
      <c r="H230" s="1068"/>
      <c r="I230" s="1068"/>
      <c r="J230" s="1070"/>
    </row>
    <row r="231" spans="1:10" ht="35.25" customHeight="1" x14ac:dyDescent="0.25">
      <c r="A231" s="1051" t="s">
        <v>103</v>
      </c>
      <c r="B231" s="439"/>
      <c r="C231" s="577" t="s">
        <v>442</v>
      </c>
      <c r="D231" s="665" t="s">
        <v>374</v>
      </c>
      <c r="E231" s="699"/>
      <c r="F231" s="674">
        <f>+E231+F123</f>
        <v>0</v>
      </c>
      <c r="G231" s="732">
        <v>107.85</v>
      </c>
      <c r="H231" s="591">
        <f t="shared" ref="H231:H246" si="42">E231*G231</f>
        <v>0</v>
      </c>
      <c r="I231" s="594">
        <f>+G231*F231</f>
        <v>0</v>
      </c>
      <c r="J231" s="351"/>
    </row>
    <row r="232" spans="1:10" ht="35.25" customHeight="1" x14ac:dyDescent="0.25">
      <c r="A232" s="1052"/>
      <c r="B232" s="438"/>
      <c r="C232" s="441" t="s">
        <v>264</v>
      </c>
      <c r="D232" s="666" t="s">
        <v>265</v>
      </c>
      <c r="E232" s="700"/>
      <c r="F232" s="701">
        <f t="shared" ref="F232:F246" si="43">+E232+F124</f>
        <v>0</v>
      </c>
      <c r="G232" s="697">
        <v>11</v>
      </c>
      <c r="H232" s="592">
        <f t="shared" si="42"/>
        <v>0</v>
      </c>
      <c r="I232" s="595">
        <f>+G232*F232</f>
        <v>0</v>
      </c>
      <c r="J232" s="352"/>
    </row>
    <row r="233" spans="1:10" ht="35.25" customHeight="1" x14ac:dyDescent="0.25">
      <c r="A233" s="1052"/>
      <c r="B233" s="438"/>
      <c r="C233" s="441" t="s">
        <v>295</v>
      </c>
      <c r="D233" s="666" t="s">
        <v>453</v>
      </c>
      <c r="E233" s="700"/>
      <c r="F233" s="701">
        <f t="shared" si="43"/>
        <v>0</v>
      </c>
      <c r="G233" s="697">
        <v>139.04</v>
      </c>
      <c r="H233" s="592">
        <f t="shared" si="42"/>
        <v>0</v>
      </c>
      <c r="I233" s="595">
        <f t="shared" ref="I233:I246" si="44">+G233*F233</f>
        <v>0</v>
      </c>
      <c r="J233" s="352"/>
    </row>
    <row r="234" spans="1:10" ht="35.25" customHeight="1" x14ac:dyDescent="0.25">
      <c r="A234" s="1052"/>
      <c r="B234" s="438"/>
      <c r="C234" s="441" t="s">
        <v>357</v>
      </c>
      <c r="D234" s="666" t="s">
        <v>358</v>
      </c>
      <c r="E234" s="700"/>
      <c r="F234" s="701">
        <f t="shared" si="43"/>
        <v>0</v>
      </c>
      <c r="G234" s="715">
        <v>20.5</v>
      </c>
      <c r="H234" s="592">
        <f t="shared" si="42"/>
        <v>0</v>
      </c>
      <c r="I234" s="595">
        <f t="shared" si="44"/>
        <v>0</v>
      </c>
      <c r="J234" s="352"/>
    </row>
    <row r="235" spans="1:10" ht="35.25" customHeight="1" x14ac:dyDescent="0.25">
      <c r="A235" s="1052"/>
      <c r="B235" s="438"/>
      <c r="C235" s="441" t="s">
        <v>288</v>
      </c>
      <c r="D235" s="666" t="s">
        <v>177</v>
      </c>
      <c r="E235" s="700"/>
      <c r="F235" s="701">
        <f t="shared" si="43"/>
        <v>0</v>
      </c>
      <c r="G235" s="697">
        <v>14.79</v>
      </c>
      <c r="H235" s="592">
        <f t="shared" si="42"/>
        <v>0</v>
      </c>
      <c r="I235" s="595">
        <f t="shared" si="44"/>
        <v>0</v>
      </c>
      <c r="J235" s="352"/>
    </row>
    <row r="236" spans="1:10" ht="35.25" customHeight="1" x14ac:dyDescent="0.25">
      <c r="A236" s="1052"/>
      <c r="B236" s="438"/>
      <c r="C236" s="441" t="s">
        <v>295</v>
      </c>
      <c r="D236" s="666" t="s">
        <v>265</v>
      </c>
      <c r="E236" s="700"/>
      <c r="F236" s="701">
        <f t="shared" si="43"/>
        <v>0</v>
      </c>
      <c r="G236" s="697">
        <v>139.04</v>
      </c>
      <c r="H236" s="592">
        <f t="shared" si="42"/>
        <v>0</v>
      </c>
      <c r="I236" s="595">
        <f t="shared" si="44"/>
        <v>0</v>
      </c>
      <c r="J236" s="352"/>
    </row>
    <row r="237" spans="1:10" ht="35.25" customHeight="1" x14ac:dyDescent="0.25">
      <c r="A237" s="1052"/>
      <c r="B237" s="438"/>
      <c r="C237" s="441" t="s">
        <v>391</v>
      </c>
      <c r="D237" s="667" t="s">
        <v>356</v>
      </c>
      <c r="E237" s="700"/>
      <c r="F237" s="701">
        <f t="shared" si="43"/>
        <v>0</v>
      </c>
      <c r="G237" s="697">
        <v>147.58000000000001</v>
      </c>
      <c r="H237" s="592">
        <f t="shared" si="42"/>
        <v>0</v>
      </c>
      <c r="I237" s="595">
        <f t="shared" si="44"/>
        <v>0</v>
      </c>
      <c r="J237" s="352"/>
    </row>
    <row r="238" spans="1:10" ht="35.25" customHeight="1" x14ac:dyDescent="0.25">
      <c r="A238" s="1052"/>
      <c r="B238" s="438"/>
      <c r="C238" s="441" t="s">
        <v>313</v>
      </c>
      <c r="D238" s="667" t="s">
        <v>445</v>
      </c>
      <c r="E238" s="700"/>
      <c r="F238" s="701">
        <f t="shared" si="43"/>
        <v>0</v>
      </c>
      <c r="G238" s="697">
        <v>18.84</v>
      </c>
      <c r="H238" s="592">
        <f t="shared" si="42"/>
        <v>0</v>
      </c>
      <c r="I238" s="595">
        <f t="shared" si="44"/>
        <v>0</v>
      </c>
      <c r="J238" s="352"/>
    </row>
    <row r="239" spans="1:10" ht="35.25" customHeight="1" x14ac:dyDescent="0.25">
      <c r="A239" s="1052"/>
      <c r="B239" s="438"/>
      <c r="C239" s="441" t="s">
        <v>313</v>
      </c>
      <c r="D239" s="667" t="s">
        <v>265</v>
      </c>
      <c r="E239" s="700"/>
      <c r="F239" s="701">
        <f t="shared" si="43"/>
        <v>18360</v>
      </c>
      <c r="G239" s="697">
        <v>18.84</v>
      </c>
      <c r="H239" s="592">
        <f t="shared" si="42"/>
        <v>0</v>
      </c>
      <c r="I239" s="595">
        <f t="shared" si="44"/>
        <v>345902.4</v>
      </c>
      <c r="J239" s="352"/>
    </row>
    <row r="240" spans="1:10" ht="35.25" customHeight="1" x14ac:dyDescent="0.25">
      <c r="A240" s="1052"/>
      <c r="B240" s="438"/>
      <c r="C240" s="441" t="s">
        <v>322</v>
      </c>
      <c r="D240" s="667" t="s">
        <v>232</v>
      </c>
      <c r="E240" s="700"/>
      <c r="F240" s="701">
        <f t="shared" si="43"/>
        <v>0</v>
      </c>
      <c r="G240" s="697">
        <v>21.18</v>
      </c>
      <c r="H240" s="592">
        <f t="shared" si="42"/>
        <v>0</v>
      </c>
      <c r="I240" s="595">
        <f t="shared" si="44"/>
        <v>0</v>
      </c>
      <c r="J240" s="352"/>
    </row>
    <row r="241" spans="1:10" ht="35.25" customHeight="1" x14ac:dyDescent="0.25">
      <c r="A241" s="1052"/>
      <c r="B241" s="438"/>
      <c r="C241" s="441" t="s">
        <v>324</v>
      </c>
      <c r="D241" s="667" t="s">
        <v>325</v>
      </c>
      <c r="E241" s="700"/>
      <c r="F241" s="701">
        <f t="shared" si="43"/>
        <v>0</v>
      </c>
      <c r="G241" s="697">
        <v>21.28</v>
      </c>
      <c r="H241" s="592">
        <f t="shared" si="42"/>
        <v>0</v>
      </c>
      <c r="I241" s="595">
        <f t="shared" si="44"/>
        <v>0</v>
      </c>
      <c r="J241" s="352"/>
    </row>
    <row r="242" spans="1:10" ht="35.25" customHeight="1" x14ac:dyDescent="0.25">
      <c r="A242" s="1052"/>
      <c r="B242" s="438"/>
      <c r="C242" s="441" t="s">
        <v>378</v>
      </c>
      <c r="D242" s="667" t="s">
        <v>374</v>
      </c>
      <c r="E242" s="700"/>
      <c r="F242" s="701">
        <f t="shared" si="43"/>
        <v>0</v>
      </c>
      <c r="G242" s="697">
        <v>143.28</v>
      </c>
      <c r="H242" s="592">
        <f t="shared" si="42"/>
        <v>0</v>
      </c>
      <c r="I242" s="595">
        <f t="shared" si="44"/>
        <v>0</v>
      </c>
      <c r="J242" s="352"/>
    </row>
    <row r="243" spans="1:10" ht="35.25" customHeight="1" x14ac:dyDescent="0.25">
      <c r="A243" s="1052"/>
      <c r="B243" s="438"/>
      <c r="C243" s="441" t="s">
        <v>472</v>
      </c>
      <c r="D243" s="667"/>
      <c r="E243" s="700"/>
      <c r="F243" s="701">
        <f t="shared" si="43"/>
        <v>0</v>
      </c>
      <c r="G243" s="697">
        <v>14.79</v>
      </c>
      <c r="H243" s="592">
        <f t="shared" si="42"/>
        <v>0</v>
      </c>
      <c r="I243" s="595">
        <f t="shared" si="44"/>
        <v>0</v>
      </c>
      <c r="J243" s="352"/>
    </row>
    <row r="244" spans="1:10" ht="35.25" customHeight="1" x14ac:dyDescent="0.25">
      <c r="A244" s="1052"/>
      <c r="B244" s="438"/>
      <c r="C244" s="441" t="s">
        <v>451</v>
      </c>
      <c r="D244" s="666" t="s">
        <v>177</v>
      </c>
      <c r="E244" s="700">
        <v>261888</v>
      </c>
      <c r="F244" s="701">
        <f t="shared" si="43"/>
        <v>261888</v>
      </c>
      <c r="G244" s="697">
        <v>14.55</v>
      </c>
      <c r="H244" s="592">
        <f t="shared" si="42"/>
        <v>3810470.4000000004</v>
      </c>
      <c r="I244" s="595">
        <f t="shared" si="44"/>
        <v>3810470.4000000004</v>
      </c>
      <c r="J244" s="352"/>
    </row>
    <row r="245" spans="1:10" ht="35.25" customHeight="1" x14ac:dyDescent="0.25">
      <c r="A245" s="1052"/>
      <c r="B245" s="438"/>
      <c r="C245" s="441" t="s">
        <v>327</v>
      </c>
      <c r="D245" s="667" t="s">
        <v>188</v>
      </c>
      <c r="E245" s="700"/>
      <c r="F245" s="701">
        <f t="shared" si="43"/>
        <v>0</v>
      </c>
      <c r="G245" s="697">
        <v>21.28</v>
      </c>
      <c r="H245" s="592">
        <f t="shared" si="42"/>
        <v>0</v>
      </c>
      <c r="I245" s="595">
        <f t="shared" si="44"/>
        <v>0</v>
      </c>
      <c r="J245" s="352"/>
    </row>
    <row r="246" spans="1:10" ht="35.25" customHeight="1" thickBot="1" x14ac:dyDescent="0.3">
      <c r="A246" s="1052"/>
      <c r="B246" s="438"/>
      <c r="C246" s="441" t="s">
        <v>336</v>
      </c>
      <c r="D246" s="668" t="s">
        <v>178</v>
      </c>
      <c r="E246" s="700"/>
      <c r="F246" s="676">
        <f t="shared" si="43"/>
        <v>0</v>
      </c>
      <c r="G246" s="697">
        <v>36.44</v>
      </c>
      <c r="H246" s="592">
        <f t="shared" si="42"/>
        <v>0</v>
      </c>
      <c r="I246" s="595">
        <f t="shared" si="44"/>
        <v>0</v>
      </c>
      <c r="J246" s="352"/>
    </row>
    <row r="247" spans="1:10" ht="35.25" customHeight="1" thickBot="1" x14ac:dyDescent="0.3">
      <c r="A247" s="1052"/>
      <c r="B247" s="1047" t="s">
        <v>266</v>
      </c>
      <c r="C247" s="1048"/>
      <c r="D247" s="774"/>
      <c r="E247" s="326">
        <f>SUM(E231:E246)</f>
        <v>261888</v>
      </c>
      <c r="F247" s="698">
        <f>SUM(F231:F246)</f>
        <v>280248</v>
      </c>
      <c r="G247" s="326"/>
      <c r="H247" s="587">
        <f>SUM(H231:H246)</f>
        <v>3810470.4000000004</v>
      </c>
      <c r="I247" s="580">
        <f>SUM(I231:I246)</f>
        <v>4156372.8000000003</v>
      </c>
      <c r="J247" s="349"/>
    </row>
    <row r="248" spans="1:10" ht="35.25" customHeight="1" x14ac:dyDescent="0.25">
      <c r="A248" s="1052"/>
      <c r="B248" s="772"/>
      <c r="C248" s="279" t="s">
        <v>271</v>
      </c>
      <c r="D248" s="434" t="s">
        <v>238</v>
      </c>
      <c r="E248" s="280"/>
      <c r="F248" s="435">
        <f t="shared" ref="F248:F261" si="45">+E248+F140</f>
        <v>0</v>
      </c>
      <c r="G248" s="578">
        <v>160.44999999999999</v>
      </c>
      <c r="H248" s="593">
        <f t="shared" ref="H248:H261" si="46">E248*G248</f>
        <v>0</v>
      </c>
      <c r="I248" s="596">
        <f t="shared" ref="I248:I261" si="47">+G248*F248</f>
        <v>0</v>
      </c>
      <c r="J248" s="373"/>
    </row>
    <row r="249" spans="1:10" ht="35.25" customHeight="1" x14ac:dyDescent="0.25">
      <c r="A249" s="1052"/>
      <c r="B249" s="772"/>
      <c r="C249" s="279" t="s">
        <v>286</v>
      </c>
      <c r="D249" s="434" t="s">
        <v>238</v>
      </c>
      <c r="E249" s="280"/>
      <c r="F249" s="435">
        <f t="shared" si="45"/>
        <v>0</v>
      </c>
      <c r="G249" s="578">
        <v>160.44999999999999</v>
      </c>
      <c r="H249" s="593">
        <f t="shared" si="46"/>
        <v>0</v>
      </c>
      <c r="I249" s="596">
        <f t="shared" si="47"/>
        <v>0</v>
      </c>
      <c r="J249" s="373"/>
    </row>
    <row r="250" spans="1:10" ht="35.25" customHeight="1" x14ac:dyDescent="0.25">
      <c r="A250" s="1052"/>
      <c r="B250" s="772"/>
      <c r="C250" s="279" t="s">
        <v>388</v>
      </c>
      <c r="D250" s="434" t="s">
        <v>238</v>
      </c>
      <c r="E250" s="280"/>
      <c r="F250" s="435">
        <f t="shared" si="45"/>
        <v>0</v>
      </c>
      <c r="G250" s="578">
        <v>160.44999999999999</v>
      </c>
      <c r="H250" s="593">
        <f t="shared" si="46"/>
        <v>0</v>
      </c>
      <c r="I250" s="596">
        <f t="shared" si="47"/>
        <v>0</v>
      </c>
      <c r="J250" s="373"/>
    </row>
    <row r="251" spans="1:10" ht="35.25" customHeight="1" x14ac:dyDescent="0.25">
      <c r="A251" s="1052"/>
      <c r="B251" s="772"/>
      <c r="C251" s="279" t="s">
        <v>287</v>
      </c>
      <c r="D251" s="434" t="s">
        <v>93</v>
      </c>
      <c r="E251" s="280"/>
      <c r="F251" s="435">
        <f t="shared" si="45"/>
        <v>37620</v>
      </c>
      <c r="G251" s="578">
        <v>27</v>
      </c>
      <c r="H251" s="593">
        <f t="shared" si="46"/>
        <v>0</v>
      </c>
      <c r="I251" s="596">
        <f t="shared" si="47"/>
        <v>1015740</v>
      </c>
      <c r="J251" s="373"/>
    </row>
    <row r="252" spans="1:10" ht="35.25" customHeight="1" x14ac:dyDescent="0.25">
      <c r="A252" s="1052"/>
      <c r="B252" s="772"/>
      <c r="C252" s="279" t="s">
        <v>287</v>
      </c>
      <c r="D252" s="434" t="s">
        <v>292</v>
      </c>
      <c r="E252" s="280"/>
      <c r="F252" s="435">
        <f t="shared" si="45"/>
        <v>0</v>
      </c>
      <c r="G252" s="578">
        <v>27.5</v>
      </c>
      <c r="H252" s="593">
        <f t="shared" si="46"/>
        <v>0</v>
      </c>
      <c r="I252" s="596">
        <f t="shared" si="47"/>
        <v>0</v>
      </c>
      <c r="J252" s="373"/>
    </row>
    <row r="253" spans="1:10" ht="35.25" customHeight="1" x14ac:dyDescent="0.25">
      <c r="A253" s="1052"/>
      <c r="B253" s="772"/>
      <c r="C253" s="279" t="s">
        <v>276</v>
      </c>
      <c r="D253" s="434" t="s">
        <v>292</v>
      </c>
      <c r="E253" s="280"/>
      <c r="F253" s="435">
        <f t="shared" si="45"/>
        <v>0</v>
      </c>
      <c r="G253" s="578">
        <v>34.5</v>
      </c>
      <c r="H253" s="593">
        <f t="shared" si="46"/>
        <v>0</v>
      </c>
      <c r="I253" s="596">
        <f t="shared" si="47"/>
        <v>0</v>
      </c>
      <c r="J253" s="373"/>
    </row>
    <row r="254" spans="1:10" ht="35.25" customHeight="1" x14ac:dyDescent="0.25">
      <c r="A254" s="1052"/>
      <c r="B254" s="772"/>
      <c r="C254" s="279" t="s">
        <v>473</v>
      </c>
      <c r="D254" s="434" t="s">
        <v>440</v>
      </c>
      <c r="E254" s="280"/>
      <c r="F254" s="435">
        <f t="shared" si="45"/>
        <v>0</v>
      </c>
      <c r="G254" s="578">
        <v>10.57</v>
      </c>
      <c r="H254" s="593">
        <f t="shared" si="46"/>
        <v>0</v>
      </c>
      <c r="I254" s="596">
        <f t="shared" si="47"/>
        <v>0</v>
      </c>
      <c r="J254" s="373"/>
    </row>
    <row r="255" spans="1:10" ht="35.25" customHeight="1" x14ac:dyDescent="0.25">
      <c r="A255" s="1052"/>
      <c r="B255" s="772"/>
      <c r="C255" s="279" t="s">
        <v>276</v>
      </c>
      <c r="D255" s="434" t="s">
        <v>440</v>
      </c>
      <c r="E255" s="280"/>
      <c r="F255" s="435">
        <f t="shared" si="45"/>
        <v>0</v>
      </c>
      <c r="G255" s="578">
        <v>55.76</v>
      </c>
      <c r="H255" s="593">
        <f t="shared" si="46"/>
        <v>0</v>
      </c>
      <c r="I255" s="596">
        <f t="shared" si="47"/>
        <v>0</v>
      </c>
      <c r="J255" s="373"/>
    </row>
    <row r="256" spans="1:10" ht="35.25" customHeight="1" x14ac:dyDescent="0.25">
      <c r="A256" s="1052"/>
      <c r="B256" s="772"/>
      <c r="C256" s="279" t="s">
        <v>421</v>
      </c>
      <c r="D256" s="434" t="s">
        <v>238</v>
      </c>
      <c r="E256" s="280"/>
      <c r="F256" s="435">
        <f t="shared" si="45"/>
        <v>0</v>
      </c>
      <c r="G256" s="578">
        <v>160.44999999999999</v>
      </c>
      <c r="H256" s="593">
        <f t="shared" si="46"/>
        <v>0</v>
      </c>
      <c r="I256" s="596">
        <f t="shared" si="47"/>
        <v>0</v>
      </c>
      <c r="J256" s="373"/>
    </row>
    <row r="257" spans="1:13" ht="35.25" customHeight="1" x14ac:dyDescent="0.25">
      <c r="A257" s="1052"/>
      <c r="B257" s="772"/>
      <c r="C257" s="279" t="s">
        <v>348</v>
      </c>
      <c r="D257" s="434" t="s">
        <v>238</v>
      </c>
      <c r="E257" s="280"/>
      <c r="F257" s="435">
        <f t="shared" si="45"/>
        <v>0</v>
      </c>
      <c r="G257" s="578">
        <v>160.44999999999999</v>
      </c>
      <c r="H257" s="593">
        <f t="shared" si="46"/>
        <v>0</v>
      </c>
      <c r="I257" s="596">
        <f t="shared" si="47"/>
        <v>0</v>
      </c>
      <c r="J257" s="373"/>
    </row>
    <row r="258" spans="1:13" ht="35.25" customHeight="1" x14ac:dyDescent="0.25">
      <c r="A258" s="1052"/>
      <c r="B258" s="772"/>
      <c r="C258" s="279" t="s">
        <v>387</v>
      </c>
      <c r="D258" s="434" t="s">
        <v>238</v>
      </c>
      <c r="E258" s="280"/>
      <c r="F258" s="435">
        <f t="shared" si="45"/>
        <v>0</v>
      </c>
      <c r="G258" s="578">
        <v>160.44999999999999</v>
      </c>
      <c r="H258" s="593">
        <f t="shared" si="46"/>
        <v>0</v>
      </c>
      <c r="I258" s="596">
        <f t="shared" si="47"/>
        <v>0</v>
      </c>
      <c r="J258" s="373"/>
    </row>
    <row r="259" spans="1:13" ht="35.25" customHeight="1" x14ac:dyDescent="0.25">
      <c r="A259" s="1052"/>
      <c r="B259" s="772"/>
      <c r="C259" s="279" t="s">
        <v>441</v>
      </c>
      <c r="D259" s="434" t="s">
        <v>238</v>
      </c>
      <c r="E259" s="280"/>
      <c r="F259" s="435">
        <f t="shared" si="45"/>
        <v>0</v>
      </c>
      <c r="G259" s="578">
        <v>160.44999999999999</v>
      </c>
      <c r="H259" s="593">
        <f t="shared" si="46"/>
        <v>0</v>
      </c>
      <c r="I259" s="596">
        <f t="shared" si="47"/>
        <v>0</v>
      </c>
      <c r="J259" s="373"/>
    </row>
    <row r="260" spans="1:13" ht="35.25" customHeight="1" x14ac:dyDescent="0.25">
      <c r="A260" s="1052"/>
      <c r="B260" s="772"/>
      <c r="C260" s="279" t="s">
        <v>302</v>
      </c>
      <c r="D260" s="434" t="s">
        <v>238</v>
      </c>
      <c r="E260" s="280"/>
      <c r="F260" s="435">
        <f t="shared" si="45"/>
        <v>0</v>
      </c>
      <c r="G260" s="578">
        <v>160.44999999999999</v>
      </c>
      <c r="H260" s="593">
        <f t="shared" si="46"/>
        <v>0</v>
      </c>
      <c r="I260" s="596">
        <f t="shared" si="47"/>
        <v>0</v>
      </c>
      <c r="J260" s="373"/>
    </row>
    <row r="261" spans="1:13" ht="35.25" customHeight="1" thickBot="1" x14ac:dyDescent="0.3">
      <c r="A261" s="1052"/>
      <c r="B261" s="772"/>
      <c r="C261" s="279" t="s">
        <v>310</v>
      </c>
      <c r="D261" s="434" t="s">
        <v>238</v>
      </c>
      <c r="E261" s="280"/>
      <c r="F261" s="435">
        <f t="shared" si="45"/>
        <v>0</v>
      </c>
      <c r="G261" s="578">
        <v>160.44999999999999</v>
      </c>
      <c r="H261" s="593">
        <f t="shared" si="46"/>
        <v>0</v>
      </c>
      <c r="I261" s="596">
        <f t="shared" si="47"/>
        <v>0</v>
      </c>
      <c r="J261" s="373"/>
    </row>
    <row r="262" spans="1:13" ht="35.25" customHeight="1" thickBot="1" x14ac:dyDescent="0.3">
      <c r="A262" s="1052"/>
      <c r="B262" s="1047" t="s">
        <v>267</v>
      </c>
      <c r="C262" s="1048"/>
      <c r="D262" s="774"/>
      <c r="E262" s="326">
        <f>SUM(E248:E261)</f>
        <v>0</v>
      </c>
      <c r="F262" s="326">
        <f>SUM(F248:F261)</f>
        <v>37620</v>
      </c>
      <c r="G262" s="326"/>
      <c r="H262" s="587">
        <f>SUM(H248:H261)</f>
        <v>0</v>
      </c>
      <c r="I262" s="580">
        <f>SUM(I248:I261)</f>
        <v>1015740</v>
      </c>
      <c r="J262" s="349"/>
    </row>
    <row r="263" spans="1:13" ht="35.25" customHeight="1" x14ac:dyDescent="0.25">
      <c r="A263" s="1052"/>
      <c r="B263" s="772"/>
      <c r="C263" s="279" t="s">
        <v>372</v>
      </c>
      <c r="D263" s="434" t="s">
        <v>373</v>
      </c>
      <c r="E263" s="280"/>
      <c r="F263" s="435">
        <f t="shared" ref="F263:F269" si="48">+E263+F155</f>
        <v>0</v>
      </c>
      <c r="G263" s="578">
        <v>5.34</v>
      </c>
      <c r="H263" s="593">
        <f t="shared" ref="H263:H269" si="49">E263*G263</f>
        <v>0</v>
      </c>
      <c r="I263" s="596">
        <f t="shared" ref="I263" si="50">+G263*F263</f>
        <v>0</v>
      </c>
      <c r="J263" s="373"/>
    </row>
    <row r="264" spans="1:13" ht="35.25" customHeight="1" x14ac:dyDescent="0.25">
      <c r="A264" s="1052"/>
      <c r="B264" s="772"/>
      <c r="C264" s="279" t="s">
        <v>389</v>
      </c>
      <c r="D264" s="434" t="s">
        <v>265</v>
      </c>
      <c r="E264" s="280"/>
      <c r="F264" s="435">
        <f t="shared" si="48"/>
        <v>0</v>
      </c>
      <c r="G264" s="578">
        <v>31.73</v>
      </c>
      <c r="H264" s="593">
        <f t="shared" si="49"/>
        <v>0</v>
      </c>
      <c r="I264" s="596">
        <f>+G264*F264</f>
        <v>0</v>
      </c>
      <c r="J264" s="373"/>
    </row>
    <row r="265" spans="1:13" ht="35.25" customHeight="1" x14ac:dyDescent="0.25">
      <c r="A265" s="1052"/>
      <c r="B265" s="772"/>
      <c r="C265" s="279" t="s">
        <v>392</v>
      </c>
      <c r="D265" s="434" t="s">
        <v>393</v>
      </c>
      <c r="E265" s="280"/>
      <c r="F265" s="435">
        <f t="shared" si="48"/>
        <v>0</v>
      </c>
      <c r="G265" s="578">
        <v>10.58</v>
      </c>
      <c r="H265" s="593">
        <f t="shared" si="49"/>
        <v>0</v>
      </c>
      <c r="I265" s="596">
        <f>+G265*F265</f>
        <v>0</v>
      </c>
      <c r="J265" s="373"/>
    </row>
    <row r="266" spans="1:13" ht="35.25" customHeight="1" x14ac:dyDescent="0.25">
      <c r="A266" s="1052"/>
      <c r="B266" s="772"/>
      <c r="C266" s="279" t="s">
        <v>277</v>
      </c>
      <c r="D266" s="434" t="s">
        <v>278</v>
      </c>
      <c r="E266" s="280"/>
      <c r="F266" s="435">
        <f t="shared" si="48"/>
        <v>0</v>
      </c>
      <c r="G266" s="578">
        <v>2500</v>
      </c>
      <c r="H266" s="593">
        <f t="shared" si="49"/>
        <v>0</v>
      </c>
      <c r="I266" s="596">
        <f>+G266*F266</f>
        <v>0</v>
      </c>
      <c r="J266" s="373"/>
    </row>
    <row r="267" spans="1:13" ht="35.25" customHeight="1" x14ac:dyDescent="0.25">
      <c r="A267" s="1052"/>
      <c r="B267" s="772"/>
      <c r="C267" s="279" t="s">
        <v>454</v>
      </c>
      <c r="D267" s="434"/>
      <c r="E267" s="280"/>
      <c r="F267" s="435">
        <f t="shared" si="48"/>
        <v>0</v>
      </c>
      <c r="G267" s="578">
        <v>30000</v>
      </c>
      <c r="H267" s="593">
        <f t="shared" si="49"/>
        <v>0</v>
      </c>
      <c r="I267" s="596">
        <f>+G267*F267</f>
        <v>0</v>
      </c>
      <c r="J267" s="373"/>
    </row>
    <row r="268" spans="1:13" ht="35.25" customHeight="1" x14ac:dyDescent="0.25">
      <c r="A268" s="1052"/>
      <c r="B268" s="772"/>
      <c r="C268" s="279" t="s">
        <v>379</v>
      </c>
      <c r="D268" s="434" t="s">
        <v>304</v>
      </c>
      <c r="E268" s="280"/>
      <c r="F268" s="435">
        <f t="shared" si="48"/>
        <v>0</v>
      </c>
      <c r="G268" s="578">
        <v>360</v>
      </c>
      <c r="H268" s="593">
        <f t="shared" si="49"/>
        <v>0</v>
      </c>
      <c r="I268" s="596">
        <f>+G268*F268</f>
        <v>0</v>
      </c>
      <c r="J268" s="373"/>
    </row>
    <row r="269" spans="1:13" ht="35.25" customHeight="1" thickBot="1" x14ac:dyDescent="0.3">
      <c r="A269" s="1052"/>
      <c r="B269" s="772"/>
      <c r="C269" s="279" t="s">
        <v>427</v>
      </c>
      <c r="D269" s="434" t="s">
        <v>304</v>
      </c>
      <c r="E269" s="280"/>
      <c r="F269" s="435">
        <f t="shared" si="48"/>
        <v>0</v>
      </c>
      <c r="G269" s="579">
        <v>10</v>
      </c>
      <c r="H269" s="593">
        <f t="shared" si="49"/>
        <v>0</v>
      </c>
      <c r="I269" s="596">
        <f t="shared" ref="I269" si="51">+G269*F269</f>
        <v>0</v>
      </c>
      <c r="J269" s="373"/>
    </row>
    <row r="270" spans="1:13" ht="35.25" customHeight="1" thickBot="1" x14ac:dyDescent="0.3">
      <c r="A270" s="1052"/>
      <c r="B270" s="1047" t="s">
        <v>272</v>
      </c>
      <c r="C270" s="1048"/>
      <c r="D270" s="774"/>
      <c r="E270" s="326">
        <f>SUM(E263:E269)</f>
        <v>0</v>
      </c>
      <c r="F270" s="326">
        <f>SUM(F263:F269)</f>
        <v>0</v>
      </c>
      <c r="G270" s="326"/>
      <c r="H270" s="587">
        <f>SUM(H263:H269)</f>
        <v>0</v>
      </c>
      <c r="I270" s="580">
        <f>SUM(I263:I269)</f>
        <v>0</v>
      </c>
      <c r="J270" s="373"/>
    </row>
    <row r="271" spans="1:13" ht="35.25" customHeight="1" thickBot="1" x14ac:dyDescent="0.3">
      <c r="A271" s="1052"/>
      <c r="B271" s="772"/>
      <c r="C271" s="279"/>
      <c r="D271" s="434"/>
      <c r="E271" s="280"/>
      <c r="F271" s="317"/>
      <c r="G271" s="579"/>
      <c r="H271" s="588"/>
      <c r="I271" s="282">
        <f t="shared" ref="I271" si="52">+G271*F271</f>
        <v>0</v>
      </c>
      <c r="J271" s="373"/>
    </row>
    <row r="272" spans="1:13" ht="35.25" customHeight="1" thickBot="1" x14ac:dyDescent="0.3">
      <c r="A272" s="1053"/>
      <c r="B272" s="1047" t="s">
        <v>269</v>
      </c>
      <c r="C272" s="1048"/>
      <c r="D272" s="770"/>
      <c r="E272" s="326">
        <f>+E270+E262+E247</f>
        <v>261888</v>
      </c>
      <c r="F272" s="326">
        <f>+F270+F262+F247</f>
        <v>317868</v>
      </c>
      <c r="G272" s="326"/>
      <c r="H272" s="580">
        <f>+H262+H247+H270</f>
        <v>3810470.4000000004</v>
      </c>
      <c r="I272" s="580">
        <f>+I262+I247+I270</f>
        <v>5172112.8000000007</v>
      </c>
      <c r="J272" s="373"/>
      <c r="K272" s="704"/>
      <c r="M272" s="704"/>
    </row>
    <row r="273" spans="1:11" ht="35.25" customHeight="1" x14ac:dyDescent="0.25">
      <c r="A273" s="1051" t="s">
        <v>101</v>
      </c>
      <c r="B273" s="772"/>
      <c r="C273" s="279" t="s">
        <v>281</v>
      </c>
      <c r="D273" s="434" t="s">
        <v>178</v>
      </c>
      <c r="E273" s="280"/>
      <c r="F273" s="435">
        <f t="shared" ref="F273:F304" si="53">+E273+F165</f>
        <v>0</v>
      </c>
      <c r="G273" s="602">
        <v>13.25</v>
      </c>
      <c r="H273" s="597">
        <f t="shared" ref="H273:H304" si="54">E273*G273</f>
        <v>0</v>
      </c>
      <c r="I273" s="596">
        <f t="shared" ref="I273:I304" si="55">+G273*F273</f>
        <v>0</v>
      </c>
      <c r="J273" s="373"/>
      <c r="K273" s="704"/>
    </row>
    <row r="274" spans="1:11" ht="35.25" customHeight="1" x14ac:dyDescent="0.25">
      <c r="A274" s="1052"/>
      <c r="B274" s="772"/>
      <c r="C274" s="279" t="s">
        <v>282</v>
      </c>
      <c r="D274" s="434"/>
      <c r="E274" s="280"/>
      <c r="F274" s="435">
        <f t="shared" si="53"/>
        <v>0</v>
      </c>
      <c r="G274" s="603">
        <v>5000</v>
      </c>
      <c r="H274" s="597">
        <f t="shared" si="54"/>
        <v>0</v>
      </c>
      <c r="I274" s="596">
        <f t="shared" si="55"/>
        <v>0</v>
      </c>
      <c r="J274" s="373"/>
      <c r="K274" s="704"/>
    </row>
    <row r="275" spans="1:11" ht="35.25" customHeight="1" x14ac:dyDescent="0.25">
      <c r="A275" s="1052"/>
      <c r="B275" s="772"/>
      <c r="C275" s="279" t="s">
        <v>282</v>
      </c>
      <c r="D275" s="434"/>
      <c r="E275" s="280"/>
      <c r="F275" s="435">
        <f t="shared" si="53"/>
        <v>0</v>
      </c>
      <c r="G275" s="603">
        <v>18000</v>
      </c>
      <c r="H275" s="597">
        <f t="shared" si="54"/>
        <v>0</v>
      </c>
      <c r="I275" s="596">
        <f t="shared" si="55"/>
        <v>0</v>
      </c>
      <c r="J275" s="373"/>
    </row>
    <row r="276" spans="1:11" ht="35.25" customHeight="1" x14ac:dyDescent="0.25">
      <c r="A276" s="1052"/>
      <c r="B276" s="772"/>
      <c r="C276" s="279" t="s">
        <v>465</v>
      </c>
      <c r="D276" s="434" t="s">
        <v>464</v>
      </c>
      <c r="E276" s="280"/>
      <c r="F276" s="435">
        <f t="shared" si="53"/>
        <v>0</v>
      </c>
      <c r="G276" s="602">
        <v>21.01</v>
      </c>
      <c r="H276" s="597">
        <f t="shared" si="54"/>
        <v>0</v>
      </c>
      <c r="I276" s="596">
        <f t="shared" si="55"/>
        <v>0</v>
      </c>
      <c r="J276" s="373"/>
    </row>
    <row r="277" spans="1:11" ht="35.25" customHeight="1" x14ac:dyDescent="0.25">
      <c r="A277" s="1052"/>
      <c r="B277" s="772"/>
      <c r="C277" s="279" t="s">
        <v>465</v>
      </c>
      <c r="D277" s="434" t="s">
        <v>338</v>
      </c>
      <c r="E277" s="280"/>
      <c r="F277" s="435">
        <f t="shared" si="53"/>
        <v>0</v>
      </c>
      <c r="G277" s="602">
        <v>24.93</v>
      </c>
      <c r="H277" s="597">
        <f t="shared" si="54"/>
        <v>0</v>
      </c>
      <c r="I277" s="596">
        <f t="shared" si="55"/>
        <v>0</v>
      </c>
      <c r="J277" s="373"/>
    </row>
    <row r="278" spans="1:11" ht="35.25" customHeight="1" x14ac:dyDescent="0.25">
      <c r="A278" s="1052"/>
      <c r="B278" s="772"/>
      <c r="C278" s="279" t="s">
        <v>465</v>
      </c>
      <c r="D278" s="434" t="s">
        <v>92</v>
      </c>
      <c r="E278" s="280"/>
      <c r="F278" s="435">
        <f t="shared" si="53"/>
        <v>0</v>
      </c>
      <c r="G278" s="602">
        <v>24.93</v>
      </c>
      <c r="H278" s="597">
        <f t="shared" si="54"/>
        <v>0</v>
      </c>
      <c r="I278" s="596">
        <f t="shared" si="55"/>
        <v>0</v>
      </c>
      <c r="J278" s="373"/>
    </row>
    <row r="279" spans="1:11" ht="35.25" customHeight="1" x14ac:dyDescent="0.25">
      <c r="A279" s="1052"/>
      <c r="B279" s="772"/>
      <c r="C279" s="746" t="s">
        <v>466</v>
      </c>
      <c r="D279" s="747" t="s">
        <v>92</v>
      </c>
      <c r="E279" s="280"/>
      <c r="F279" s="435">
        <f t="shared" si="53"/>
        <v>0</v>
      </c>
      <c r="G279" s="602">
        <v>20.8</v>
      </c>
      <c r="H279" s="597">
        <f t="shared" si="54"/>
        <v>0</v>
      </c>
      <c r="I279" s="596">
        <f t="shared" si="55"/>
        <v>0</v>
      </c>
      <c r="J279" s="373"/>
    </row>
    <row r="280" spans="1:11" ht="35.25" customHeight="1" x14ac:dyDescent="0.25">
      <c r="A280" s="1052"/>
      <c r="B280" s="772"/>
      <c r="C280" s="746" t="s">
        <v>467</v>
      </c>
      <c r="D280" s="747" t="s">
        <v>468</v>
      </c>
      <c r="E280" s="280"/>
      <c r="F280" s="435">
        <f t="shared" si="53"/>
        <v>0</v>
      </c>
      <c r="G280" s="602">
        <v>24.93</v>
      </c>
      <c r="H280" s="597">
        <f t="shared" si="54"/>
        <v>0</v>
      </c>
      <c r="I280" s="596">
        <f t="shared" si="55"/>
        <v>0</v>
      </c>
      <c r="J280" s="373"/>
    </row>
    <row r="281" spans="1:11" ht="35.25" customHeight="1" x14ac:dyDescent="0.25">
      <c r="A281" s="1052"/>
      <c r="B281" s="772"/>
      <c r="C281" s="746" t="s">
        <v>467</v>
      </c>
      <c r="D281" s="747" t="s">
        <v>468</v>
      </c>
      <c r="E281" s="280"/>
      <c r="F281" s="435">
        <f t="shared" si="53"/>
        <v>0</v>
      </c>
      <c r="G281" s="602">
        <v>25.49</v>
      </c>
      <c r="H281" s="597">
        <f t="shared" si="54"/>
        <v>0</v>
      </c>
      <c r="I281" s="596">
        <f t="shared" si="55"/>
        <v>0</v>
      </c>
      <c r="J281" s="373"/>
    </row>
    <row r="282" spans="1:11" s="757" customFormat="1" ht="35.25" customHeight="1" x14ac:dyDescent="0.25">
      <c r="A282" s="1052"/>
      <c r="B282" s="748"/>
      <c r="C282" s="749" t="s">
        <v>469</v>
      </c>
      <c r="D282" s="750" t="s">
        <v>309</v>
      </c>
      <c r="E282" s="751"/>
      <c r="F282" s="752">
        <f t="shared" si="53"/>
        <v>0</v>
      </c>
      <c r="G282" s="753">
        <v>24.41</v>
      </c>
      <c r="H282" s="754">
        <f t="shared" si="54"/>
        <v>0</v>
      </c>
      <c r="I282" s="755">
        <f t="shared" si="55"/>
        <v>0</v>
      </c>
      <c r="J282" s="756"/>
    </row>
    <row r="283" spans="1:11" ht="35.25" customHeight="1" x14ac:dyDescent="0.25">
      <c r="A283" s="1052"/>
      <c r="B283" s="772"/>
      <c r="C283" s="279" t="s">
        <v>444</v>
      </c>
      <c r="D283" s="434" t="s">
        <v>423</v>
      </c>
      <c r="E283" s="280"/>
      <c r="F283" s="435">
        <f t="shared" si="53"/>
        <v>0</v>
      </c>
      <c r="G283" s="602">
        <v>20.76</v>
      </c>
      <c r="H283" s="597">
        <f t="shared" si="54"/>
        <v>0</v>
      </c>
      <c r="I283" s="596">
        <f t="shared" si="55"/>
        <v>0</v>
      </c>
      <c r="J283" s="373"/>
    </row>
    <row r="284" spans="1:11" ht="35.25" customHeight="1" x14ac:dyDescent="0.25">
      <c r="A284" s="1052"/>
      <c r="B284" s="772"/>
      <c r="C284" s="279" t="s">
        <v>298</v>
      </c>
      <c r="D284" s="434" t="s">
        <v>107</v>
      </c>
      <c r="E284" s="280"/>
      <c r="F284" s="435">
        <f t="shared" si="53"/>
        <v>0</v>
      </c>
      <c r="G284" s="602">
        <v>24.93</v>
      </c>
      <c r="H284" s="597">
        <f t="shared" si="54"/>
        <v>0</v>
      </c>
      <c r="I284" s="596">
        <f t="shared" si="55"/>
        <v>0</v>
      </c>
      <c r="J284" s="373"/>
    </row>
    <row r="285" spans="1:11" ht="35.25" customHeight="1" x14ac:dyDescent="0.25">
      <c r="A285" s="1052"/>
      <c r="B285" s="772"/>
      <c r="C285" s="279" t="s">
        <v>299</v>
      </c>
      <c r="D285" s="434" t="s">
        <v>280</v>
      </c>
      <c r="E285" s="280"/>
      <c r="F285" s="435">
        <f t="shared" si="53"/>
        <v>0</v>
      </c>
      <c r="G285" s="602">
        <v>24.93</v>
      </c>
      <c r="H285" s="597">
        <f t="shared" si="54"/>
        <v>0</v>
      </c>
      <c r="I285" s="596">
        <f t="shared" si="55"/>
        <v>0</v>
      </c>
      <c r="J285" s="373"/>
    </row>
    <row r="286" spans="1:11" ht="35.25" customHeight="1" x14ac:dyDescent="0.25">
      <c r="A286" s="1052"/>
      <c r="B286" s="772"/>
      <c r="C286" s="279" t="s">
        <v>425</v>
      </c>
      <c r="D286" s="434" t="s">
        <v>360</v>
      </c>
      <c r="E286" s="280"/>
      <c r="F286" s="435">
        <f t="shared" si="53"/>
        <v>0</v>
      </c>
      <c r="G286" s="602">
        <v>23.78</v>
      </c>
      <c r="H286" s="597">
        <f t="shared" si="54"/>
        <v>0</v>
      </c>
      <c r="I286" s="596">
        <f t="shared" si="55"/>
        <v>0</v>
      </c>
      <c r="J286" s="373"/>
    </row>
    <row r="287" spans="1:11" ht="35.25" customHeight="1" x14ac:dyDescent="0.25">
      <c r="A287" s="1052"/>
      <c r="B287" s="772"/>
      <c r="C287" s="279" t="s">
        <v>425</v>
      </c>
      <c r="D287" s="434" t="s">
        <v>309</v>
      </c>
      <c r="E287" s="280"/>
      <c r="F287" s="435">
        <f t="shared" si="53"/>
        <v>0</v>
      </c>
      <c r="G287" s="602">
        <v>23.78</v>
      </c>
      <c r="H287" s="597">
        <f t="shared" si="54"/>
        <v>0</v>
      </c>
      <c r="I287" s="596">
        <f t="shared" si="55"/>
        <v>0</v>
      </c>
      <c r="J287" s="373"/>
    </row>
    <row r="288" spans="1:11" ht="35.25" customHeight="1" x14ac:dyDescent="0.25">
      <c r="A288" s="1052"/>
      <c r="B288" s="772"/>
      <c r="C288" s="279" t="s">
        <v>354</v>
      </c>
      <c r="D288" s="434" t="s">
        <v>309</v>
      </c>
      <c r="E288" s="280"/>
      <c r="F288" s="435">
        <f t="shared" si="53"/>
        <v>0</v>
      </c>
      <c r="G288" s="602">
        <v>37.4566666666</v>
      </c>
      <c r="H288" s="597">
        <f t="shared" si="54"/>
        <v>0</v>
      </c>
      <c r="I288" s="596">
        <f t="shared" si="55"/>
        <v>0</v>
      </c>
      <c r="J288" s="373"/>
    </row>
    <row r="289" spans="1:10" ht="35.25" customHeight="1" x14ac:dyDescent="0.25">
      <c r="A289" s="1052"/>
      <c r="B289" s="772"/>
      <c r="C289" s="279" t="s">
        <v>355</v>
      </c>
      <c r="D289" s="434" t="s">
        <v>309</v>
      </c>
      <c r="E289" s="280"/>
      <c r="F289" s="435">
        <f t="shared" si="53"/>
        <v>0</v>
      </c>
      <c r="G289" s="602">
        <v>37.89</v>
      </c>
      <c r="H289" s="597">
        <f t="shared" si="54"/>
        <v>0</v>
      </c>
      <c r="I289" s="596">
        <f t="shared" si="55"/>
        <v>0</v>
      </c>
      <c r="J289" s="373"/>
    </row>
    <row r="290" spans="1:10" ht="35.25" customHeight="1" x14ac:dyDescent="0.25">
      <c r="A290" s="1052"/>
      <c r="B290" s="772"/>
      <c r="C290" s="279" t="s">
        <v>461</v>
      </c>
      <c r="D290" s="434" t="s">
        <v>92</v>
      </c>
      <c r="E290" s="280"/>
      <c r="F290" s="435">
        <f t="shared" si="53"/>
        <v>0</v>
      </c>
      <c r="G290" s="602">
        <v>28.31</v>
      </c>
      <c r="H290" s="597">
        <f t="shared" si="54"/>
        <v>0</v>
      </c>
      <c r="I290" s="596">
        <f t="shared" si="55"/>
        <v>0</v>
      </c>
      <c r="J290" s="373"/>
    </row>
    <row r="291" spans="1:10" ht="35.25" customHeight="1" x14ac:dyDescent="0.25">
      <c r="A291" s="1052"/>
      <c r="B291" s="772"/>
      <c r="C291" s="279" t="s">
        <v>461</v>
      </c>
      <c r="D291" s="434" t="s">
        <v>423</v>
      </c>
      <c r="E291" s="280"/>
      <c r="F291" s="435">
        <f t="shared" si="53"/>
        <v>0</v>
      </c>
      <c r="G291" s="602">
        <v>28.88</v>
      </c>
      <c r="H291" s="597">
        <f t="shared" si="54"/>
        <v>0</v>
      </c>
      <c r="I291" s="596">
        <f t="shared" si="55"/>
        <v>0</v>
      </c>
      <c r="J291" s="373"/>
    </row>
    <row r="292" spans="1:10" ht="35.25" customHeight="1" x14ac:dyDescent="0.25">
      <c r="A292" s="1052"/>
      <c r="B292" s="772"/>
      <c r="C292" s="279" t="s">
        <v>462</v>
      </c>
      <c r="D292" s="434" t="s">
        <v>423</v>
      </c>
      <c r="E292" s="280"/>
      <c r="F292" s="435">
        <f t="shared" si="53"/>
        <v>0</v>
      </c>
      <c r="G292" s="602">
        <v>28.21</v>
      </c>
      <c r="H292" s="597">
        <f t="shared" si="54"/>
        <v>0</v>
      </c>
      <c r="I292" s="596">
        <f t="shared" si="55"/>
        <v>0</v>
      </c>
      <c r="J292" s="373"/>
    </row>
    <row r="293" spans="1:10" ht="35.25" customHeight="1" x14ac:dyDescent="0.25">
      <c r="A293" s="1052"/>
      <c r="B293" s="772"/>
      <c r="C293" s="279" t="s">
        <v>463</v>
      </c>
      <c r="D293" s="434" t="s">
        <v>338</v>
      </c>
      <c r="E293" s="280"/>
      <c r="F293" s="435">
        <f t="shared" si="53"/>
        <v>0</v>
      </c>
      <c r="G293" s="602">
        <v>39</v>
      </c>
      <c r="H293" s="597">
        <f t="shared" si="54"/>
        <v>0</v>
      </c>
      <c r="I293" s="596">
        <f t="shared" si="55"/>
        <v>0</v>
      </c>
      <c r="J293" s="373"/>
    </row>
    <row r="294" spans="1:10" ht="35.25" customHeight="1" x14ac:dyDescent="0.25">
      <c r="A294" s="1052"/>
      <c r="B294" s="772"/>
      <c r="C294" s="279" t="s">
        <v>463</v>
      </c>
      <c r="D294" s="434" t="s">
        <v>92</v>
      </c>
      <c r="E294" s="280"/>
      <c r="F294" s="435">
        <f t="shared" si="53"/>
        <v>0</v>
      </c>
      <c r="G294" s="602">
        <v>32.65</v>
      </c>
      <c r="H294" s="597">
        <f t="shared" si="54"/>
        <v>0</v>
      </c>
      <c r="I294" s="596">
        <f t="shared" si="55"/>
        <v>0</v>
      </c>
      <c r="J294" s="373"/>
    </row>
    <row r="295" spans="1:10" ht="35.25" customHeight="1" x14ac:dyDescent="0.25">
      <c r="A295" s="1052"/>
      <c r="B295" s="772"/>
      <c r="C295" s="279" t="s">
        <v>463</v>
      </c>
      <c r="D295" s="434" t="s">
        <v>423</v>
      </c>
      <c r="E295" s="280"/>
      <c r="F295" s="435">
        <f t="shared" si="53"/>
        <v>0</v>
      </c>
      <c r="G295" s="602">
        <v>33.299999999999997</v>
      </c>
      <c r="H295" s="597">
        <f t="shared" si="54"/>
        <v>0</v>
      </c>
      <c r="I295" s="596">
        <f t="shared" si="55"/>
        <v>0</v>
      </c>
      <c r="J295" s="373"/>
    </row>
    <row r="296" spans="1:10" ht="35.25" customHeight="1" x14ac:dyDescent="0.25">
      <c r="A296" s="1052"/>
      <c r="B296" s="772"/>
      <c r="C296" s="279" t="s">
        <v>299</v>
      </c>
      <c r="D296" s="434" t="s">
        <v>279</v>
      </c>
      <c r="E296" s="280"/>
      <c r="F296" s="435">
        <f t="shared" si="53"/>
        <v>0</v>
      </c>
      <c r="G296" s="602">
        <v>24.93</v>
      </c>
      <c r="H296" s="597">
        <f t="shared" si="54"/>
        <v>0</v>
      </c>
      <c r="I296" s="596">
        <f t="shared" si="55"/>
        <v>0</v>
      </c>
      <c r="J296" s="373"/>
    </row>
    <row r="297" spans="1:10" ht="35.25" customHeight="1" x14ac:dyDescent="0.25">
      <c r="A297" s="1052"/>
      <c r="B297" s="772"/>
      <c r="C297" s="279" t="s">
        <v>299</v>
      </c>
      <c r="D297" s="434"/>
      <c r="E297" s="280"/>
      <c r="F297" s="435">
        <f t="shared" si="53"/>
        <v>0</v>
      </c>
      <c r="G297" s="602">
        <v>24.93</v>
      </c>
      <c r="H297" s="597">
        <f t="shared" si="54"/>
        <v>0</v>
      </c>
      <c r="I297" s="596">
        <f t="shared" si="55"/>
        <v>0</v>
      </c>
      <c r="J297" s="373"/>
    </row>
    <row r="298" spans="1:10" ht="35.25" customHeight="1" x14ac:dyDescent="0.25">
      <c r="A298" s="1052"/>
      <c r="B298" s="772"/>
      <c r="C298" s="279" t="s">
        <v>316</v>
      </c>
      <c r="D298" s="434" t="s">
        <v>289</v>
      </c>
      <c r="E298" s="280"/>
      <c r="F298" s="435">
        <f t="shared" si="53"/>
        <v>0</v>
      </c>
      <c r="G298" s="602">
        <v>34.26</v>
      </c>
      <c r="H298" s="597">
        <f t="shared" si="54"/>
        <v>0</v>
      </c>
      <c r="I298" s="596">
        <f t="shared" si="55"/>
        <v>0</v>
      </c>
      <c r="J298" s="373"/>
    </row>
    <row r="299" spans="1:10" ht="35.25" customHeight="1" x14ac:dyDescent="0.25">
      <c r="A299" s="1052"/>
      <c r="B299" s="772"/>
      <c r="C299" s="279" t="s">
        <v>328</v>
      </c>
      <c r="D299" s="434" t="s">
        <v>360</v>
      </c>
      <c r="E299" s="280"/>
      <c r="F299" s="435">
        <f t="shared" si="53"/>
        <v>0</v>
      </c>
      <c r="G299" s="602">
        <v>37.89</v>
      </c>
      <c r="H299" s="597">
        <f t="shared" si="54"/>
        <v>0</v>
      </c>
      <c r="I299" s="596">
        <f t="shared" si="55"/>
        <v>0</v>
      </c>
      <c r="J299" s="373"/>
    </row>
    <row r="300" spans="1:10" ht="35.25" customHeight="1" x14ac:dyDescent="0.25">
      <c r="A300" s="1052"/>
      <c r="B300" s="772"/>
      <c r="C300" s="279" t="s">
        <v>363</v>
      </c>
      <c r="D300" s="434" t="s">
        <v>338</v>
      </c>
      <c r="E300" s="280"/>
      <c r="F300" s="435">
        <f t="shared" si="53"/>
        <v>0</v>
      </c>
      <c r="G300" s="602">
        <v>39</v>
      </c>
      <c r="H300" s="597">
        <f t="shared" si="54"/>
        <v>0</v>
      </c>
      <c r="I300" s="596">
        <f t="shared" si="55"/>
        <v>0</v>
      </c>
      <c r="J300" s="373"/>
    </row>
    <row r="301" spans="1:10" ht="35.25" customHeight="1" x14ac:dyDescent="0.25">
      <c r="A301" s="1052"/>
      <c r="B301" s="772"/>
      <c r="C301" s="279" t="s">
        <v>299</v>
      </c>
      <c r="D301" s="434" t="s">
        <v>177</v>
      </c>
      <c r="E301" s="280"/>
      <c r="F301" s="435">
        <f t="shared" si="53"/>
        <v>0</v>
      </c>
      <c r="G301" s="602">
        <v>21.22</v>
      </c>
      <c r="H301" s="597">
        <f t="shared" si="54"/>
        <v>0</v>
      </c>
      <c r="I301" s="596">
        <f t="shared" si="55"/>
        <v>0</v>
      </c>
      <c r="J301" s="373"/>
    </row>
    <row r="302" spans="1:10" ht="35.25" customHeight="1" x14ac:dyDescent="0.25">
      <c r="A302" s="1052"/>
      <c r="B302" s="772"/>
      <c r="C302" s="279" t="s">
        <v>298</v>
      </c>
      <c r="D302" s="434" t="s">
        <v>177</v>
      </c>
      <c r="E302" s="280"/>
      <c r="F302" s="435">
        <f t="shared" si="53"/>
        <v>0</v>
      </c>
      <c r="G302" s="602">
        <v>21.22</v>
      </c>
      <c r="H302" s="597">
        <f t="shared" si="54"/>
        <v>0</v>
      </c>
      <c r="I302" s="596">
        <f t="shared" si="55"/>
        <v>0</v>
      </c>
      <c r="J302" s="373"/>
    </row>
    <row r="303" spans="1:10" ht="35.25" customHeight="1" x14ac:dyDescent="0.25">
      <c r="A303" s="1052"/>
      <c r="B303" s="772"/>
      <c r="C303" s="279" t="s">
        <v>339</v>
      </c>
      <c r="D303" s="434" t="s">
        <v>304</v>
      </c>
      <c r="E303" s="280"/>
      <c r="F303" s="435">
        <f t="shared" si="53"/>
        <v>0</v>
      </c>
      <c r="G303" s="602">
        <v>10000</v>
      </c>
      <c r="H303" s="597">
        <f t="shared" si="54"/>
        <v>0</v>
      </c>
      <c r="I303" s="596">
        <f t="shared" si="55"/>
        <v>0</v>
      </c>
      <c r="J303" s="373"/>
    </row>
    <row r="304" spans="1:10" ht="35.25" customHeight="1" thickBot="1" x14ac:dyDescent="0.3">
      <c r="A304" s="1052"/>
      <c r="B304" s="772"/>
      <c r="C304" s="279" t="s">
        <v>303</v>
      </c>
      <c r="D304" s="434" t="s">
        <v>304</v>
      </c>
      <c r="E304" s="280"/>
      <c r="F304" s="435">
        <f t="shared" si="53"/>
        <v>0</v>
      </c>
      <c r="G304" s="602">
        <v>360</v>
      </c>
      <c r="H304" s="597">
        <f t="shared" si="54"/>
        <v>0</v>
      </c>
      <c r="I304" s="596">
        <f t="shared" si="55"/>
        <v>0</v>
      </c>
      <c r="J304" s="373"/>
    </row>
    <row r="305" spans="1:10" ht="35.25" customHeight="1" thickBot="1" x14ac:dyDescent="0.3">
      <c r="A305" s="1053"/>
      <c r="B305" s="1047" t="s">
        <v>268</v>
      </c>
      <c r="C305" s="1048"/>
      <c r="D305" s="774"/>
      <c r="E305" s="326">
        <f>SUM(E273:E304)</f>
        <v>0</v>
      </c>
      <c r="F305" s="326">
        <f>SUM(F273:F304)</f>
        <v>0</v>
      </c>
      <c r="G305" s="326"/>
      <c r="H305" s="587">
        <f>SUM(H273:H304)</f>
        <v>0</v>
      </c>
      <c r="I305" s="580">
        <f>SUM(I273:I304)</f>
        <v>0</v>
      </c>
      <c r="J305" s="373"/>
    </row>
    <row r="306" spans="1:10" ht="35.25" customHeight="1" x14ac:dyDescent="0.25">
      <c r="A306" s="1051" t="s">
        <v>102</v>
      </c>
      <c r="B306" s="772"/>
      <c r="C306" s="279" t="s">
        <v>273</v>
      </c>
      <c r="D306" s="434" t="s">
        <v>238</v>
      </c>
      <c r="E306" s="280"/>
      <c r="F306" s="435">
        <f t="shared" ref="F306:F330" si="56">+E306+F198</f>
        <v>0</v>
      </c>
      <c r="G306" s="602">
        <v>430.02</v>
      </c>
      <c r="H306" s="593">
        <f>E306*G306</f>
        <v>0</v>
      </c>
      <c r="I306" s="596">
        <f t="shared" ref="I306:I327" si="57">+G306*F306</f>
        <v>0</v>
      </c>
      <c r="J306" s="373"/>
    </row>
    <row r="307" spans="1:10" ht="35.25" customHeight="1" x14ac:dyDescent="0.25">
      <c r="A307" s="1052"/>
      <c r="B307" s="772"/>
      <c r="C307" s="279" t="s">
        <v>274</v>
      </c>
      <c r="D307" s="434" t="s">
        <v>238</v>
      </c>
      <c r="E307" s="280"/>
      <c r="F307" s="435">
        <f t="shared" si="56"/>
        <v>0</v>
      </c>
      <c r="G307" s="602">
        <v>445.38</v>
      </c>
      <c r="H307" s="593">
        <f t="shared" ref="H307:H327" si="58">E307*G307</f>
        <v>0</v>
      </c>
      <c r="I307" s="596">
        <f t="shared" si="57"/>
        <v>0</v>
      </c>
      <c r="J307" s="373"/>
    </row>
    <row r="308" spans="1:10" ht="35.25" customHeight="1" x14ac:dyDescent="0.25">
      <c r="A308" s="1052"/>
      <c r="B308" s="772"/>
      <c r="C308" s="279" t="s">
        <v>390</v>
      </c>
      <c r="D308" s="434" t="s">
        <v>238</v>
      </c>
      <c r="E308" s="280"/>
      <c r="F308" s="435">
        <f t="shared" si="56"/>
        <v>0</v>
      </c>
      <c r="G308" s="602">
        <v>445.38</v>
      </c>
      <c r="H308" s="593">
        <f t="shared" si="58"/>
        <v>0</v>
      </c>
      <c r="I308" s="596">
        <f t="shared" si="57"/>
        <v>0</v>
      </c>
      <c r="J308" s="373"/>
    </row>
    <row r="309" spans="1:10" ht="35.25" customHeight="1" x14ac:dyDescent="0.25">
      <c r="A309" s="1052"/>
      <c r="B309" s="772"/>
      <c r="C309" s="279" t="s">
        <v>301</v>
      </c>
      <c r="D309" s="434" t="s">
        <v>238</v>
      </c>
      <c r="E309" s="280"/>
      <c r="F309" s="435">
        <f t="shared" si="56"/>
        <v>0</v>
      </c>
      <c r="G309" s="602">
        <v>63.55</v>
      </c>
      <c r="H309" s="593">
        <f t="shared" si="58"/>
        <v>0</v>
      </c>
      <c r="I309" s="596">
        <f t="shared" si="57"/>
        <v>0</v>
      </c>
      <c r="J309" s="373"/>
    </row>
    <row r="310" spans="1:10" ht="35.25" customHeight="1" x14ac:dyDescent="0.25">
      <c r="A310" s="1052"/>
      <c r="B310" s="772"/>
      <c r="C310" s="279" t="s">
        <v>275</v>
      </c>
      <c r="D310" s="434" t="s">
        <v>238</v>
      </c>
      <c r="E310" s="280">
        <v>10080</v>
      </c>
      <c r="F310" s="435">
        <f t="shared" si="56"/>
        <v>10080</v>
      </c>
      <c r="G310" s="602">
        <v>71.44</v>
      </c>
      <c r="H310" s="593">
        <f t="shared" si="58"/>
        <v>720115.19999999995</v>
      </c>
      <c r="I310" s="596">
        <f t="shared" si="57"/>
        <v>720115.19999999995</v>
      </c>
      <c r="J310" s="373"/>
    </row>
    <row r="311" spans="1:10" ht="35.25" customHeight="1" x14ac:dyDescent="0.25">
      <c r="A311" s="1052"/>
      <c r="B311" s="772"/>
      <c r="C311" s="279" t="s">
        <v>276</v>
      </c>
      <c r="D311" s="434" t="s">
        <v>238</v>
      </c>
      <c r="E311" s="280"/>
      <c r="F311" s="435">
        <f t="shared" si="56"/>
        <v>0</v>
      </c>
      <c r="G311" s="602">
        <v>36.5</v>
      </c>
      <c r="H311" s="593">
        <f t="shared" si="58"/>
        <v>0</v>
      </c>
      <c r="I311" s="596">
        <f t="shared" si="57"/>
        <v>0</v>
      </c>
      <c r="J311" s="373"/>
    </row>
    <row r="312" spans="1:10" ht="35.25" customHeight="1" x14ac:dyDescent="0.25">
      <c r="A312" s="1052"/>
      <c r="B312" s="772"/>
      <c r="C312" s="279" t="s">
        <v>426</v>
      </c>
      <c r="D312" s="434" t="s">
        <v>238</v>
      </c>
      <c r="E312" s="280"/>
      <c r="F312" s="435">
        <f t="shared" si="56"/>
        <v>0</v>
      </c>
      <c r="G312" s="602">
        <v>320.35000000000002</v>
      </c>
      <c r="H312" s="593">
        <f t="shared" si="58"/>
        <v>0</v>
      </c>
      <c r="I312" s="596">
        <f t="shared" si="57"/>
        <v>0</v>
      </c>
      <c r="J312" s="373"/>
    </row>
    <row r="313" spans="1:10" ht="35.25" customHeight="1" x14ac:dyDescent="0.25">
      <c r="A313" s="1052"/>
      <c r="B313" s="772"/>
      <c r="C313" s="279" t="s">
        <v>285</v>
      </c>
      <c r="D313" s="434" t="s">
        <v>238</v>
      </c>
      <c r="E313" s="280"/>
      <c r="F313" s="435">
        <f t="shared" si="56"/>
        <v>0</v>
      </c>
      <c r="G313" s="602">
        <v>320.35000000000002</v>
      </c>
      <c r="H313" s="593">
        <f t="shared" si="58"/>
        <v>0</v>
      </c>
      <c r="I313" s="596">
        <f t="shared" si="57"/>
        <v>0</v>
      </c>
      <c r="J313" s="373"/>
    </row>
    <row r="314" spans="1:10" ht="35.25" customHeight="1" x14ac:dyDescent="0.25">
      <c r="A314" s="1052"/>
      <c r="B314" s="772"/>
      <c r="C314" s="279" t="s">
        <v>296</v>
      </c>
      <c r="D314" s="434" t="s">
        <v>238</v>
      </c>
      <c r="E314" s="280"/>
      <c r="F314" s="435">
        <f t="shared" si="56"/>
        <v>0</v>
      </c>
      <c r="G314" s="602">
        <v>434.41</v>
      </c>
      <c r="H314" s="593">
        <f t="shared" si="58"/>
        <v>0</v>
      </c>
      <c r="I314" s="596">
        <f t="shared" si="57"/>
        <v>0</v>
      </c>
      <c r="J314" s="373"/>
    </row>
    <row r="315" spans="1:10" ht="35.25" customHeight="1" x14ac:dyDescent="0.25">
      <c r="A315" s="1052"/>
      <c r="B315" s="772"/>
      <c r="C315" s="279" t="s">
        <v>282</v>
      </c>
      <c r="D315" s="434" t="s">
        <v>238</v>
      </c>
      <c r="E315" s="280"/>
      <c r="F315" s="435">
        <f t="shared" si="56"/>
        <v>0</v>
      </c>
      <c r="G315" s="602">
        <v>29690</v>
      </c>
      <c r="H315" s="593">
        <f t="shared" si="58"/>
        <v>0</v>
      </c>
      <c r="I315" s="596">
        <f t="shared" si="57"/>
        <v>0</v>
      </c>
      <c r="J315" s="373"/>
    </row>
    <row r="316" spans="1:10" ht="35.25" customHeight="1" x14ac:dyDescent="0.25">
      <c r="A316" s="1052"/>
      <c r="B316" s="772"/>
      <c r="C316" s="279" t="s">
        <v>282</v>
      </c>
      <c r="D316" s="434" t="s">
        <v>238</v>
      </c>
      <c r="E316" s="280"/>
      <c r="F316" s="435">
        <f t="shared" si="56"/>
        <v>0</v>
      </c>
      <c r="G316" s="602">
        <v>26445</v>
      </c>
      <c r="H316" s="593">
        <f t="shared" si="58"/>
        <v>0</v>
      </c>
      <c r="I316" s="596">
        <f t="shared" si="57"/>
        <v>0</v>
      </c>
      <c r="J316" s="373"/>
    </row>
    <row r="317" spans="1:10" ht="35.25" customHeight="1" x14ac:dyDescent="0.25">
      <c r="A317" s="1052"/>
      <c r="B317" s="772"/>
      <c r="C317" s="279" t="s">
        <v>282</v>
      </c>
      <c r="D317" s="434"/>
      <c r="E317" s="280"/>
      <c r="F317" s="435">
        <f t="shared" si="56"/>
        <v>0</v>
      </c>
      <c r="G317" s="602">
        <v>33947.884599999998</v>
      </c>
      <c r="H317" s="593">
        <f t="shared" si="58"/>
        <v>0</v>
      </c>
      <c r="I317" s="596">
        <f t="shared" si="57"/>
        <v>0</v>
      </c>
      <c r="J317" s="373"/>
    </row>
    <row r="318" spans="1:10" ht="35.25" customHeight="1" x14ac:dyDescent="0.25">
      <c r="A318" s="1052"/>
      <c r="B318" s="772"/>
      <c r="C318" s="279" t="s">
        <v>311</v>
      </c>
      <c r="D318" s="434" t="s">
        <v>337</v>
      </c>
      <c r="E318" s="280"/>
      <c r="F318" s="435">
        <f t="shared" si="56"/>
        <v>0</v>
      </c>
      <c r="G318" s="602">
        <v>50</v>
      </c>
      <c r="H318" s="593">
        <f t="shared" si="58"/>
        <v>0</v>
      </c>
      <c r="I318" s="596">
        <f t="shared" si="57"/>
        <v>0</v>
      </c>
      <c r="J318" s="373"/>
    </row>
    <row r="319" spans="1:10" ht="35.25" customHeight="1" x14ac:dyDescent="0.25">
      <c r="A319" s="1052"/>
      <c r="B319" s="772"/>
      <c r="C319" s="279" t="s">
        <v>311</v>
      </c>
      <c r="D319" s="434"/>
      <c r="E319" s="280"/>
      <c r="F319" s="435">
        <f t="shared" si="56"/>
        <v>0</v>
      </c>
      <c r="G319" s="602">
        <v>10</v>
      </c>
      <c r="H319" s="593">
        <f t="shared" si="58"/>
        <v>0</v>
      </c>
      <c r="I319" s="596">
        <f t="shared" si="57"/>
        <v>0</v>
      </c>
      <c r="J319" s="373"/>
    </row>
    <row r="320" spans="1:10" ht="35.25" customHeight="1" x14ac:dyDescent="0.25">
      <c r="A320" s="1052"/>
      <c r="B320" s="772"/>
      <c r="C320" s="279" t="s">
        <v>329</v>
      </c>
      <c r="D320" s="434" t="s">
        <v>370</v>
      </c>
      <c r="E320" s="280"/>
      <c r="F320" s="435">
        <f t="shared" si="56"/>
        <v>0</v>
      </c>
      <c r="G320" s="602">
        <v>57.64</v>
      </c>
      <c r="H320" s="593">
        <f t="shared" si="58"/>
        <v>0</v>
      </c>
      <c r="I320" s="596">
        <f t="shared" si="57"/>
        <v>0</v>
      </c>
      <c r="J320" s="373"/>
    </row>
    <row r="321" spans="1:10" ht="35.25" customHeight="1" x14ac:dyDescent="0.25">
      <c r="A321" s="1052"/>
      <c r="B321" s="772"/>
      <c r="C321" s="279" t="s">
        <v>329</v>
      </c>
      <c r="D321" s="434" t="s">
        <v>364</v>
      </c>
      <c r="E321" s="280"/>
      <c r="F321" s="435">
        <f t="shared" si="56"/>
        <v>0</v>
      </c>
      <c r="G321" s="602">
        <v>57.64</v>
      </c>
      <c r="H321" s="593">
        <f t="shared" si="58"/>
        <v>0</v>
      </c>
      <c r="I321" s="596">
        <f t="shared" si="57"/>
        <v>0</v>
      </c>
      <c r="J321" s="373"/>
    </row>
    <row r="322" spans="1:10" ht="35.25" customHeight="1" x14ac:dyDescent="0.25">
      <c r="A322" s="1052"/>
      <c r="B322" s="772"/>
      <c r="C322" s="279" t="s">
        <v>330</v>
      </c>
      <c r="D322" s="434" t="s">
        <v>331</v>
      </c>
      <c r="E322" s="280"/>
      <c r="F322" s="435">
        <f t="shared" si="56"/>
        <v>0</v>
      </c>
      <c r="G322" s="602">
        <v>434.41</v>
      </c>
      <c r="H322" s="593">
        <f t="shared" si="58"/>
        <v>0</v>
      </c>
      <c r="I322" s="596">
        <f t="shared" si="57"/>
        <v>0</v>
      </c>
      <c r="J322" s="373"/>
    </row>
    <row r="323" spans="1:10" ht="35.25" customHeight="1" x14ac:dyDescent="0.25">
      <c r="A323" s="1052"/>
      <c r="B323" s="772"/>
      <c r="C323" s="279" t="s">
        <v>343</v>
      </c>
      <c r="D323" s="434" t="s">
        <v>238</v>
      </c>
      <c r="E323" s="280"/>
      <c r="F323" s="435">
        <f t="shared" si="56"/>
        <v>0</v>
      </c>
      <c r="G323" s="602">
        <v>624.26</v>
      </c>
      <c r="H323" s="593">
        <f t="shared" si="58"/>
        <v>0</v>
      </c>
      <c r="I323" s="596">
        <f t="shared" si="57"/>
        <v>0</v>
      </c>
      <c r="J323" s="373"/>
    </row>
    <row r="324" spans="1:10" ht="35.25" customHeight="1" x14ac:dyDescent="0.25">
      <c r="A324" s="1052"/>
      <c r="B324" s="772"/>
      <c r="C324" s="279" t="s">
        <v>332</v>
      </c>
      <c r="D324" s="434" t="s">
        <v>331</v>
      </c>
      <c r="E324" s="280"/>
      <c r="F324" s="435">
        <f t="shared" si="56"/>
        <v>0</v>
      </c>
      <c r="G324" s="602">
        <v>63.55</v>
      </c>
      <c r="H324" s="593">
        <f t="shared" si="58"/>
        <v>0</v>
      </c>
      <c r="I324" s="596">
        <f t="shared" si="57"/>
        <v>0</v>
      </c>
      <c r="J324" s="373"/>
    </row>
    <row r="325" spans="1:10" ht="35.25" customHeight="1" x14ac:dyDescent="0.25">
      <c r="A325" s="1052"/>
      <c r="B325" s="772"/>
      <c r="C325" s="279" t="s">
        <v>371</v>
      </c>
      <c r="D325" s="434" t="s">
        <v>238</v>
      </c>
      <c r="E325" s="280"/>
      <c r="F325" s="435">
        <f t="shared" si="56"/>
        <v>0</v>
      </c>
      <c r="G325" s="602">
        <v>59.96</v>
      </c>
      <c r="H325" s="593">
        <f t="shared" si="58"/>
        <v>0</v>
      </c>
      <c r="I325" s="596">
        <f t="shared" si="57"/>
        <v>0</v>
      </c>
      <c r="J325" s="373"/>
    </row>
    <row r="326" spans="1:10" ht="35.25" customHeight="1" x14ac:dyDescent="0.25">
      <c r="A326" s="1052"/>
      <c r="B326" s="772"/>
      <c r="C326" s="279" t="s">
        <v>419</v>
      </c>
      <c r="D326" s="434" t="s">
        <v>331</v>
      </c>
      <c r="E326" s="280"/>
      <c r="F326" s="435">
        <f t="shared" si="56"/>
        <v>0</v>
      </c>
      <c r="G326" s="602">
        <v>53.86</v>
      </c>
      <c r="H326" s="593">
        <f t="shared" si="58"/>
        <v>0</v>
      </c>
      <c r="I326" s="596">
        <f t="shared" si="57"/>
        <v>0</v>
      </c>
      <c r="J326" s="373"/>
    </row>
    <row r="327" spans="1:10" ht="35.25" customHeight="1" x14ac:dyDescent="0.25">
      <c r="A327" s="1052"/>
      <c r="B327" s="772"/>
      <c r="C327" s="279" t="s">
        <v>379</v>
      </c>
      <c r="D327" s="434"/>
      <c r="E327" s="280"/>
      <c r="F327" s="435">
        <f t="shared" si="56"/>
        <v>0</v>
      </c>
      <c r="G327" s="602">
        <v>360</v>
      </c>
      <c r="H327" s="593">
        <f t="shared" si="58"/>
        <v>0</v>
      </c>
      <c r="I327" s="596">
        <f t="shared" si="57"/>
        <v>0</v>
      </c>
      <c r="J327" s="373"/>
    </row>
    <row r="328" spans="1:10" ht="35.25" customHeight="1" x14ac:dyDescent="0.25">
      <c r="A328" s="1052"/>
      <c r="B328" s="772"/>
      <c r="C328" s="279" t="s">
        <v>471</v>
      </c>
      <c r="D328" s="434"/>
      <c r="E328" s="280"/>
      <c r="F328" s="435">
        <f t="shared" si="56"/>
        <v>0</v>
      </c>
      <c r="G328" s="602"/>
      <c r="H328" s="593">
        <f>+E328</f>
        <v>0</v>
      </c>
      <c r="I328" s="596">
        <f>+H328</f>
        <v>0</v>
      </c>
      <c r="J328" s="373"/>
    </row>
    <row r="329" spans="1:10" ht="35.25" customHeight="1" x14ac:dyDescent="0.25">
      <c r="A329" s="1052"/>
      <c r="B329" s="772"/>
      <c r="C329" s="279" t="s">
        <v>282</v>
      </c>
      <c r="D329" s="434"/>
      <c r="E329" s="280"/>
      <c r="F329" s="435">
        <f t="shared" si="56"/>
        <v>0</v>
      </c>
      <c r="G329" s="602">
        <v>39450</v>
      </c>
      <c r="H329" s="593">
        <f t="shared" ref="H329:H330" si="59">E329*G329</f>
        <v>0</v>
      </c>
      <c r="I329" s="596">
        <f t="shared" ref="I329:I330" si="60">+G329*F329</f>
        <v>0</v>
      </c>
      <c r="J329" s="373"/>
    </row>
    <row r="330" spans="1:10" ht="35.25" customHeight="1" thickBot="1" x14ac:dyDescent="0.3">
      <c r="A330" s="1052"/>
      <c r="B330" s="772"/>
      <c r="C330" s="279" t="s">
        <v>329</v>
      </c>
      <c r="D330" s="434" t="s">
        <v>443</v>
      </c>
      <c r="E330" s="280"/>
      <c r="F330" s="435">
        <f t="shared" si="56"/>
        <v>0</v>
      </c>
      <c r="G330" s="602">
        <v>57.64</v>
      </c>
      <c r="H330" s="593">
        <f t="shared" si="59"/>
        <v>0</v>
      </c>
      <c r="I330" s="596">
        <f t="shared" si="60"/>
        <v>0</v>
      </c>
      <c r="J330" s="373"/>
    </row>
    <row r="331" spans="1:10" ht="35.25" customHeight="1" thickBot="1" x14ac:dyDescent="0.3">
      <c r="A331" s="1053"/>
      <c r="B331" s="1047" t="s">
        <v>270</v>
      </c>
      <c r="C331" s="1048"/>
      <c r="D331" s="774"/>
      <c r="E331" s="326">
        <f>SUM(E306:E330)</f>
        <v>10080</v>
      </c>
      <c r="F331" s="326">
        <f>SUM(F306:F330)</f>
        <v>10080</v>
      </c>
      <c r="G331" s="326"/>
      <c r="H331" s="590">
        <f>SUM(H306:H330)</f>
        <v>720115.19999999995</v>
      </c>
      <c r="I331" s="580">
        <f>SUM(I306:I330)</f>
        <v>720115.19999999995</v>
      </c>
      <c r="J331" s="372"/>
    </row>
    <row r="332" spans="1:10" ht="35.25" customHeight="1" thickBot="1" x14ac:dyDescent="0.3">
      <c r="A332" s="777"/>
      <c r="B332" s="437"/>
      <c r="C332" s="279" t="s">
        <v>379</v>
      </c>
      <c r="D332" s="434"/>
      <c r="E332" s="280"/>
      <c r="F332" s="281">
        <f>+E332</f>
        <v>0</v>
      </c>
      <c r="G332" s="334"/>
      <c r="H332" s="589">
        <f t="shared" ref="H332" si="61">E332*G332</f>
        <v>0</v>
      </c>
      <c r="I332" s="282">
        <f t="shared" ref="I332" si="62">+G332*F332</f>
        <v>0</v>
      </c>
      <c r="J332" s="373"/>
    </row>
    <row r="333" spans="1:10" ht="35.25" customHeight="1" thickBot="1" x14ac:dyDescent="0.3">
      <c r="A333" s="777"/>
      <c r="B333" s="1047" t="s">
        <v>224</v>
      </c>
      <c r="C333" s="1048"/>
      <c r="D333" s="770"/>
      <c r="E333" s="326"/>
      <c r="F333" s="327"/>
      <c r="G333" s="326"/>
      <c r="H333" s="587"/>
      <c r="I333" s="324">
        <f>SUM(I332)</f>
        <v>0</v>
      </c>
      <c r="J333" s="349"/>
    </row>
    <row r="334" spans="1:10" ht="35.25" customHeight="1" thickBot="1" x14ac:dyDescent="0.3">
      <c r="A334" s="319"/>
      <c r="B334" s="1049" t="s">
        <v>174</v>
      </c>
      <c r="C334" s="1050"/>
      <c r="D334" s="771"/>
      <c r="E334" s="374">
        <f>+E331+E305+E272+E270</f>
        <v>271968</v>
      </c>
      <c r="F334" s="374">
        <f>+F331+F305+F272+F270</f>
        <v>327948</v>
      </c>
      <c r="G334" s="374"/>
      <c r="H334" s="374"/>
      <c r="I334" s="374">
        <f>+I331+I305+I272+I333</f>
        <v>5892228.0000000009</v>
      </c>
      <c r="J334" s="375"/>
    </row>
    <row r="335" spans="1:10" ht="35.25" customHeight="1" x14ac:dyDescent="0.25">
      <c r="A335" s="978" t="s">
        <v>1</v>
      </c>
      <c r="B335" s="981" t="s">
        <v>2</v>
      </c>
      <c r="C335" s="1056" t="s">
        <v>396</v>
      </c>
      <c r="D335" s="1033" t="s">
        <v>397</v>
      </c>
      <c r="E335" s="1060" t="s">
        <v>493</v>
      </c>
      <c r="F335" s="988"/>
      <c r="G335" s="988"/>
      <c r="H335" s="988"/>
      <c r="I335" s="988"/>
      <c r="J335" s="989"/>
    </row>
    <row r="336" spans="1:10" ht="35.25" customHeight="1" x14ac:dyDescent="0.25">
      <c r="A336" s="1054"/>
      <c r="B336" s="1055"/>
      <c r="C336" s="1057"/>
      <c r="D336" s="1034"/>
      <c r="E336" s="1061" t="s">
        <v>412</v>
      </c>
      <c r="F336" s="1062"/>
      <c r="G336" s="1061" t="s">
        <v>411</v>
      </c>
      <c r="H336" s="1063"/>
      <c r="I336" s="1063"/>
      <c r="J336" s="1062"/>
    </row>
    <row r="337" spans="1:10" ht="35.25" customHeight="1" x14ac:dyDescent="0.25">
      <c r="A337" s="979"/>
      <c r="B337" s="982"/>
      <c r="C337" s="1058"/>
      <c r="D337" s="1034"/>
      <c r="E337" s="990" t="s">
        <v>413</v>
      </c>
      <c r="F337" s="992" t="s">
        <v>414</v>
      </c>
      <c r="G337" s="1065" t="s">
        <v>90</v>
      </c>
      <c r="H337" s="1067" t="s">
        <v>91</v>
      </c>
      <c r="I337" s="1067" t="s">
        <v>91</v>
      </c>
      <c r="J337" s="1069" t="s">
        <v>12</v>
      </c>
    </row>
    <row r="338" spans="1:10" ht="35.25" customHeight="1" thickBot="1" x14ac:dyDescent="0.3">
      <c r="A338" s="980"/>
      <c r="B338" s="983"/>
      <c r="C338" s="1059"/>
      <c r="D338" s="1035"/>
      <c r="E338" s="991"/>
      <c r="F338" s="1064"/>
      <c r="G338" s="1066"/>
      <c r="H338" s="1068"/>
      <c r="I338" s="1068"/>
      <c r="J338" s="1070"/>
    </row>
    <row r="339" spans="1:10" ht="35.25" customHeight="1" x14ac:dyDescent="0.25">
      <c r="A339" s="1051" t="s">
        <v>103</v>
      </c>
      <c r="B339" s="439"/>
      <c r="C339" s="577" t="s">
        <v>442</v>
      </c>
      <c r="D339" s="665" t="s">
        <v>374</v>
      </c>
      <c r="E339" s="699"/>
      <c r="F339" s="674">
        <f>+E339+F231</f>
        <v>0</v>
      </c>
      <c r="G339" s="732">
        <v>107.85</v>
      </c>
      <c r="H339" s="591">
        <f t="shared" ref="H339:H353" si="63">E339*G339</f>
        <v>0</v>
      </c>
      <c r="I339" s="594">
        <f>+G339*F339</f>
        <v>0</v>
      </c>
      <c r="J339" s="351"/>
    </row>
    <row r="340" spans="1:10" ht="35.25" customHeight="1" x14ac:dyDescent="0.25">
      <c r="A340" s="1052"/>
      <c r="B340" s="438"/>
      <c r="C340" s="441" t="s">
        <v>264</v>
      </c>
      <c r="D340" s="666" t="s">
        <v>265</v>
      </c>
      <c r="E340" s="700"/>
      <c r="F340" s="701">
        <f t="shared" ref="F340:F345" si="64">+E340+F232</f>
        <v>0</v>
      </c>
      <c r="G340" s="697">
        <v>11</v>
      </c>
      <c r="H340" s="592">
        <f t="shared" si="63"/>
        <v>0</v>
      </c>
      <c r="I340" s="595">
        <f>+G340*F340</f>
        <v>0</v>
      </c>
      <c r="J340" s="352"/>
    </row>
    <row r="341" spans="1:10" ht="35.25" customHeight="1" x14ac:dyDescent="0.25">
      <c r="A341" s="1052"/>
      <c r="B341" s="438"/>
      <c r="C341" s="441" t="s">
        <v>295</v>
      </c>
      <c r="D341" s="666" t="s">
        <v>453</v>
      </c>
      <c r="E341" s="700"/>
      <c r="F341" s="701">
        <f t="shared" si="64"/>
        <v>0</v>
      </c>
      <c r="G341" s="697">
        <v>139.04</v>
      </c>
      <c r="H341" s="592">
        <f t="shared" si="63"/>
        <v>0</v>
      </c>
      <c r="I341" s="595">
        <f t="shared" ref="I341:I353" si="65">+G341*F341</f>
        <v>0</v>
      </c>
      <c r="J341" s="352"/>
    </row>
    <row r="342" spans="1:10" ht="35.25" customHeight="1" x14ac:dyDescent="0.25">
      <c r="A342" s="1052"/>
      <c r="B342" s="438"/>
      <c r="C342" s="441" t="s">
        <v>357</v>
      </c>
      <c r="D342" s="666" t="s">
        <v>358</v>
      </c>
      <c r="E342" s="700"/>
      <c r="F342" s="701">
        <f t="shared" si="64"/>
        <v>0</v>
      </c>
      <c r="G342" s="715">
        <v>20.5</v>
      </c>
      <c r="H342" s="592">
        <f t="shared" si="63"/>
        <v>0</v>
      </c>
      <c r="I342" s="595">
        <f t="shared" si="65"/>
        <v>0</v>
      </c>
      <c r="J342" s="352"/>
    </row>
    <row r="343" spans="1:10" ht="35.25" customHeight="1" x14ac:dyDescent="0.25">
      <c r="A343" s="1052"/>
      <c r="B343" s="438"/>
      <c r="C343" s="441" t="s">
        <v>288</v>
      </c>
      <c r="D343" s="666" t="s">
        <v>177</v>
      </c>
      <c r="E343" s="700"/>
      <c r="F343" s="701">
        <f t="shared" si="64"/>
        <v>0</v>
      </c>
      <c r="G343" s="697">
        <v>14.79</v>
      </c>
      <c r="H343" s="592">
        <f t="shared" si="63"/>
        <v>0</v>
      </c>
      <c r="I343" s="595">
        <f t="shared" si="65"/>
        <v>0</v>
      </c>
      <c r="J343" s="352"/>
    </row>
    <row r="344" spans="1:10" ht="35.25" customHeight="1" x14ac:dyDescent="0.25">
      <c r="A344" s="1052"/>
      <c r="B344" s="438"/>
      <c r="C344" s="441" t="s">
        <v>295</v>
      </c>
      <c r="D344" s="666" t="s">
        <v>265</v>
      </c>
      <c r="E344" s="700"/>
      <c r="F344" s="701">
        <f t="shared" si="64"/>
        <v>0</v>
      </c>
      <c r="G344" s="697">
        <v>139.04</v>
      </c>
      <c r="H344" s="592">
        <f t="shared" si="63"/>
        <v>0</v>
      </c>
      <c r="I344" s="595">
        <f t="shared" si="65"/>
        <v>0</v>
      </c>
      <c r="J344" s="352"/>
    </row>
    <row r="345" spans="1:10" ht="35.25" customHeight="1" x14ac:dyDescent="0.25">
      <c r="A345" s="1052"/>
      <c r="B345" s="438"/>
      <c r="C345" s="441" t="s">
        <v>391</v>
      </c>
      <c r="D345" s="667" t="s">
        <v>356</v>
      </c>
      <c r="E345" s="700"/>
      <c r="F345" s="701">
        <f t="shared" si="64"/>
        <v>0</v>
      </c>
      <c r="G345" s="697">
        <v>147.58000000000001</v>
      </c>
      <c r="H345" s="592">
        <f t="shared" si="63"/>
        <v>0</v>
      </c>
      <c r="I345" s="595">
        <f t="shared" si="65"/>
        <v>0</v>
      </c>
      <c r="J345" s="352"/>
    </row>
    <row r="346" spans="1:10" ht="35.25" customHeight="1" x14ac:dyDescent="0.25">
      <c r="A346" s="1052"/>
      <c r="B346" s="438"/>
      <c r="C346" s="441" t="s">
        <v>313</v>
      </c>
      <c r="D346" s="667" t="s">
        <v>265</v>
      </c>
      <c r="E346" s="700">
        <v>18360</v>
      </c>
      <c r="F346" s="701">
        <f t="shared" ref="F346:F353" si="66">+E346+F239</f>
        <v>36720</v>
      </c>
      <c r="G346" s="697">
        <v>18.84</v>
      </c>
      <c r="H346" s="592">
        <f t="shared" si="63"/>
        <v>345902.4</v>
      </c>
      <c r="I346" s="595">
        <f t="shared" si="65"/>
        <v>691804.8</v>
      </c>
      <c r="J346" s="352"/>
    </row>
    <row r="347" spans="1:10" ht="35.25" customHeight="1" x14ac:dyDescent="0.25">
      <c r="A347" s="1052"/>
      <c r="B347" s="438"/>
      <c r="C347" s="441" t="s">
        <v>322</v>
      </c>
      <c r="D347" s="667" t="s">
        <v>232</v>
      </c>
      <c r="E347" s="700"/>
      <c r="F347" s="701">
        <f t="shared" si="66"/>
        <v>0</v>
      </c>
      <c r="G347" s="697">
        <v>21.18</v>
      </c>
      <c r="H347" s="592">
        <f t="shared" si="63"/>
        <v>0</v>
      </c>
      <c r="I347" s="595">
        <f t="shared" si="65"/>
        <v>0</v>
      </c>
      <c r="J347" s="352"/>
    </row>
    <row r="348" spans="1:10" ht="35.25" customHeight="1" x14ac:dyDescent="0.25">
      <c r="A348" s="1052"/>
      <c r="B348" s="438"/>
      <c r="C348" s="441" t="s">
        <v>324</v>
      </c>
      <c r="D348" s="667" t="s">
        <v>325</v>
      </c>
      <c r="E348" s="700"/>
      <c r="F348" s="701">
        <f t="shared" si="66"/>
        <v>0</v>
      </c>
      <c r="G348" s="697">
        <v>21.28</v>
      </c>
      <c r="H348" s="592">
        <f t="shared" si="63"/>
        <v>0</v>
      </c>
      <c r="I348" s="595">
        <f t="shared" si="65"/>
        <v>0</v>
      </c>
      <c r="J348" s="352"/>
    </row>
    <row r="349" spans="1:10" ht="35.25" customHeight="1" x14ac:dyDescent="0.25">
      <c r="A349" s="1052"/>
      <c r="B349" s="438"/>
      <c r="C349" s="441" t="s">
        <v>378</v>
      </c>
      <c r="D349" s="667" t="s">
        <v>374</v>
      </c>
      <c r="E349" s="700"/>
      <c r="F349" s="701">
        <f t="shared" si="66"/>
        <v>0</v>
      </c>
      <c r="G349" s="697">
        <v>143.28</v>
      </c>
      <c r="H349" s="592">
        <f t="shared" si="63"/>
        <v>0</v>
      </c>
      <c r="I349" s="595">
        <f t="shared" si="65"/>
        <v>0</v>
      </c>
      <c r="J349" s="352"/>
    </row>
    <row r="350" spans="1:10" ht="35.25" customHeight="1" x14ac:dyDescent="0.25">
      <c r="A350" s="1052"/>
      <c r="B350" s="438"/>
      <c r="C350" s="441" t="s">
        <v>472</v>
      </c>
      <c r="D350" s="667"/>
      <c r="E350" s="700"/>
      <c r="F350" s="701">
        <f t="shared" si="66"/>
        <v>0</v>
      </c>
      <c r="G350" s="697">
        <v>14.79</v>
      </c>
      <c r="H350" s="592">
        <f t="shared" si="63"/>
        <v>0</v>
      </c>
      <c r="I350" s="595">
        <f t="shared" si="65"/>
        <v>0</v>
      </c>
      <c r="J350" s="352"/>
    </row>
    <row r="351" spans="1:10" ht="35.25" customHeight="1" x14ac:dyDescent="0.25">
      <c r="A351" s="1052"/>
      <c r="B351" s="438"/>
      <c r="C351" s="441" t="s">
        <v>451</v>
      </c>
      <c r="D351" s="666" t="s">
        <v>177</v>
      </c>
      <c r="E351" s="700"/>
      <c r="F351" s="701">
        <f t="shared" si="66"/>
        <v>261888</v>
      </c>
      <c r="G351" s="697">
        <v>14.55</v>
      </c>
      <c r="H351" s="592">
        <f t="shared" si="63"/>
        <v>0</v>
      </c>
      <c r="I351" s="595">
        <f t="shared" si="65"/>
        <v>3810470.4000000004</v>
      </c>
      <c r="J351" s="352"/>
    </row>
    <row r="352" spans="1:10" ht="35.25" customHeight="1" x14ac:dyDescent="0.25">
      <c r="A352" s="1052"/>
      <c r="B352" s="438"/>
      <c r="C352" s="441" t="s">
        <v>327</v>
      </c>
      <c r="D352" s="667" t="s">
        <v>188</v>
      </c>
      <c r="E352" s="700"/>
      <c r="F352" s="701">
        <f t="shared" si="66"/>
        <v>0</v>
      </c>
      <c r="G352" s="697">
        <v>21.28</v>
      </c>
      <c r="H352" s="592">
        <f t="shared" si="63"/>
        <v>0</v>
      </c>
      <c r="I352" s="595">
        <f t="shared" si="65"/>
        <v>0</v>
      </c>
      <c r="J352" s="352"/>
    </row>
    <row r="353" spans="1:13" ht="35.25" customHeight="1" thickBot="1" x14ac:dyDescent="0.3">
      <c r="A353" s="1052"/>
      <c r="B353" s="438"/>
      <c r="C353" s="441" t="s">
        <v>336</v>
      </c>
      <c r="D353" s="668" t="s">
        <v>178</v>
      </c>
      <c r="E353" s="700"/>
      <c r="F353" s="676">
        <f t="shared" si="66"/>
        <v>0</v>
      </c>
      <c r="G353" s="697">
        <v>36.44</v>
      </c>
      <c r="H353" s="592">
        <f t="shared" si="63"/>
        <v>0</v>
      </c>
      <c r="I353" s="595">
        <f t="shared" si="65"/>
        <v>0</v>
      </c>
      <c r="J353" s="352"/>
    </row>
    <row r="354" spans="1:13" ht="35.25" customHeight="1" thickBot="1" x14ac:dyDescent="0.3">
      <c r="A354" s="1052"/>
      <c r="B354" s="1047" t="s">
        <v>266</v>
      </c>
      <c r="C354" s="1048"/>
      <c r="D354" s="782"/>
      <c r="E354" s="326">
        <f>SUM(E339:E353)</f>
        <v>18360</v>
      </c>
      <c r="F354" s="698">
        <f>SUM(F339:F353)</f>
        <v>298608</v>
      </c>
      <c r="G354" s="326"/>
      <c r="H354" s="587">
        <f>SUM(H339:H353)</f>
        <v>345902.4</v>
      </c>
      <c r="I354" s="580">
        <f>SUM(I339:I353)</f>
        <v>4502275.2</v>
      </c>
      <c r="J354" s="349"/>
    </row>
    <row r="355" spans="1:13" ht="35.25" customHeight="1" x14ac:dyDescent="0.25">
      <c r="A355" s="1052"/>
      <c r="B355" s="779"/>
      <c r="C355" s="279" t="s">
        <v>271</v>
      </c>
      <c r="D355" s="434" t="s">
        <v>238</v>
      </c>
      <c r="E355" s="280"/>
      <c r="F355" s="435">
        <f>+E355+F248</f>
        <v>0</v>
      </c>
      <c r="G355" s="578">
        <v>160.44999999999999</v>
      </c>
      <c r="H355" s="593">
        <f t="shared" ref="H355:H360" si="67">E355*G355</f>
        <v>0</v>
      </c>
      <c r="I355" s="596">
        <f t="shared" ref="I355:I360" si="68">+G355*F355</f>
        <v>0</v>
      </c>
      <c r="J355" s="373"/>
    </row>
    <row r="356" spans="1:13" ht="35.25" customHeight="1" x14ac:dyDescent="0.25">
      <c r="A356" s="1052"/>
      <c r="B356" s="779"/>
      <c r="C356" s="279" t="s">
        <v>287</v>
      </c>
      <c r="D356" s="434" t="s">
        <v>93</v>
      </c>
      <c r="E356" s="280"/>
      <c r="F356" s="435">
        <f>+E356+F251</f>
        <v>37620</v>
      </c>
      <c r="G356" s="578">
        <v>27</v>
      </c>
      <c r="H356" s="593">
        <f t="shared" si="67"/>
        <v>0</v>
      </c>
      <c r="I356" s="596">
        <f t="shared" si="68"/>
        <v>1015740</v>
      </c>
      <c r="J356" s="373"/>
    </row>
    <row r="357" spans="1:13" ht="35.25" customHeight="1" x14ac:dyDescent="0.25">
      <c r="A357" s="1052"/>
      <c r="B357" s="779"/>
      <c r="C357" s="279" t="s">
        <v>287</v>
      </c>
      <c r="D357" s="434" t="s">
        <v>292</v>
      </c>
      <c r="E357" s="280"/>
      <c r="F357" s="435">
        <f>+E357+F252</f>
        <v>0</v>
      </c>
      <c r="G357" s="578">
        <v>27.5</v>
      </c>
      <c r="H357" s="593">
        <f t="shared" si="67"/>
        <v>0</v>
      </c>
      <c r="I357" s="596">
        <f t="shared" si="68"/>
        <v>0</v>
      </c>
      <c r="J357" s="373"/>
    </row>
    <row r="358" spans="1:13" ht="35.25" customHeight="1" x14ac:dyDescent="0.25">
      <c r="A358" s="1052"/>
      <c r="B358" s="779"/>
      <c r="C358" s="279" t="s">
        <v>276</v>
      </c>
      <c r="D358" s="434" t="s">
        <v>292</v>
      </c>
      <c r="E358" s="280"/>
      <c r="F358" s="435">
        <f>+E358+F253</f>
        <v>0</v>
      </c>
      <c r="G358" s="578">
        <v>34.5</v>
      </c>
      <c r="H358" s="593">
        <f t="shared" si="67"/>
        <v>0</v>
      </c>
      <c r="I358" s="596">
        <f t="shared" si="68"/>
        <v>0</v>
      </c>
      <c r="J358" s="373"/>
    </row>
    <row r="359" spans="1:13" ht="35.25" customHeight="1" x14ac:dyDescent="0.25">
      <c r="A359" s="1052"/>
      <c r="B359" s="779"/>
      <c r="C359" s="279" t="s">
        <v>473</v>
      </c>
      <c r="D359" s="434" t="s">
        <v>440</v>
      </c>
      <c r="E359" s="280"/>
      <c r="F359" s="435">
        <f>+E359+F254</f>
        <v>0</v>
      </c>
      <c r="G359" s="578">
        <v>10.57</v>
      </c>
      <c r="H359" s="593">
        <f t="shared" si="67"/>
        <v>0</v>
      </c>
      <c r="I359" s="596">
        <f t="shared" si="68"/>
        <v>0</v>
      </c>
      <c r="J359" s="373"/>
    </row>
    <row r="360" spans="1:13" ht="35.25" customHeight="1" thickBot="1" x14ac:dyDescent="0.3">
      <c r="A360" s="1052"/>
      <c r="B360" s="779"/>
      <c r="C360" s="279" t="s">
        <v>276</v>
      </c>
      <c r="D360" s="434" t="s">
        <v>440</v>
      </c>
      <c r="E360" s="280"/>
      <c r="F360" s="435">
        <f>+E360+F255</f>
        <v>0</v>
      </c>
      <c r="G360" s="578">
        <v>55.76</v>
      </c>
      <c r="H360" s="593">
        <f t="shared" si="67"/>
        <v>0</v>
      </c>
      <c r="I360" s="596">
        <f t="shared" si="68"/>
        <v>0</v>
      </c>
      <c r="J360" s="373"/>
    </row>
    <row r="361" spans="1:13" ht="35.25" customHeight="1" thickBot="1" x14ac:dyDescent="0.3">
      <c r="A361" s="1052"/>
      <c r="B361" s="1047" t="s">
        <v>267</v>
      </c>
      <c r="C361" s="1048"/>
      <c r="D361" s="782"/>
      <c r="E361" s="326">
        <f>SUM(E355:E360)</f>
        <v>0</v>
      </c>
      <c r="F361" s="326">
        <f>SUM(F355:F360)</f>
        <v>37620</v>
      </c>
      <c r="G361" s="326"/>
      <c r="H361" s="587">
        <f>SUM(H355:H360)</f>
        <v>0</v>
      </c>
      <c r="I361" s="580">
        <f>SUM(I355:I360)</f>
        <v>1015740</v>
      </c>
      <c r="J361" s="349"/>
    </row>
    <row r="362" spans="1:13" ht="35.25" customHeight="1" x14ac:dyDescent="0.25">
      <c r="A362" s="1052"/>
      <c r="B362" s="779"/>
      <c r="C362" s="279" t="s">
        <v>277</v>
      </c>
      <c r="D362" s="434" t="s">
        <v>278</v>
      </c>
      <c r="E362" s="280">
        <v>1</v>
      </c>
      <c r="F362" s="435">
        <f>+E362+F266</f>
        <v>1</v>
      </c>
      <c r="G362" s="578">
        <v>2500</v>
      </c>
      <c r="H362" s="593">
        <f t="shared" ref="H362:H365" si="69">E362*G362</f>
        <v>2500</v>
      </c>
      <c r="I362" s="596">
        <f>+G362*F362</f>
        <v>2500</v>
      </c>
      <c r="J362" s="373"/>
    </row>
    <row r="363" spans="1:13" ht="35.25" customHeight="1" x14ac:dyDescent="0.25">
      <c r="A363" s="1052"/>
      <c r="B363" s="779"/>
      <c r="C363" s="279" t="s">
        <v>454</v>
      </c>
      <c r="D363" s="434"/>
      <c r="E363" s="280"/>
      <c r="F363" s="435">
        <f>+E363+F267</f>
        <v>0</v>
      </c>
      <c r="G363" s="578">
        <v>30000</v>
      </c>
      <c r="H363" s="593">
        <f t="shared" si="69"/>
        <v>0</v>
      </c>
      <c r="I363" s="596">
        <f>+G363*F363</f>
        <v>0</v>
      </c>
      <c r="J363" s="373"/>
    </row>
    <row r="364" spans="1:13" ht="35.25" customHeight="1" x14ac:dyDescent="0.25">
      <c r="A364" s="1052"/>
      <c r="B364" s="779"/>
      <c r="C364" s="279" t="s">
        <v>379</v>
      </c>
      <c r="D364" s="434" t="s">
        <v>304</v>
      </c>
      <c r="E364" s="280"/>
      <c r="F364" s="435">
        <f>+E364+F268</f>
        <v>0</v>
      </c>
      <c r="G364" s="578">
        <v>360</v>
      </c>
      <c r="H364" s="593">
        <f t="shared" si="69"/>
        <v>0</v>
      </c>
      <c r="I364" s="596">
        <f>+G364*F364</f>
        <v>0</v>
      </c>
      <c r="J364" s="373"/>
    </row>
    <row r="365" spans="1:13" ht="35.25" customHeight="1" thickBot="1" x14ac:dyDescent="0.3">
      <c r="A365" s="1052"/>
      <c r="B365" s="779"/>
      <c r="C365" s="279" t="s">
        <v>427</v>
      </c>
      <c r="D365" s="434" t="s">
        <v>304</v>
      </c>
      <c r="E365" s="280"/>
      <c r="F365" s="435">
        <f>+E365+F269</f>
        <v>0</v>
      </c>
      <c r="G365" s="579">
        <v>10</v>
      </c>
      <c r="H365" s="593">
        <f t="shared" si="69"/>
        <v>0</v>
      </c>
      <c r="I365" s="596">
        <f t="shared" ref="I365" si="70">+G365*F365</f>
        <v>0</v>
      </c>
      <c r="J365" s="373"/>
    </row>
    <row r="366" spans="1:13" ht="35.25" customHeight="1" thickBot="1" x14ac:dyDescent="0.3">
      <c r="A366" s="1052"/>
      <c r="B366" s="1047" t="s">
        <v>272</v>
      </c>
      <c r="C366" s="1048"/>
      <c r="D366" s="782"/>
      <c r="E366" s="326">
        <f>SUM(E362:E365)</f>
        <v>1</v>
      </c>
      <c r="F366" s="326">
        <f>SUM(F362:F365)</f>
        <v>1</v>
      </c>
      <c r="G366" s="326"/>
      <c r="H366" s="587">
        <f>SUM(H362:H365)</f>
        <v>2500</v>
      </c>
      <c r="I366" s="580">
        <f>SUM(I362:I365)</f>
        <v>2500</v>
      </c>
      <c r="J366" s="373"/>
    </row>
    <row r="367" spans="1:13" ht="35.25" customHeight="1" thickBot="1" x14ac:dyDescent="0.3">
      <c r="A367" s="1052"/>
      <c r="B367" s="779"/>
      <c r="C367" s="279"/>
      <c r="D367" s="434"/>
      <c r="E367" s="280"/>
      <c r="F367" s="317"/>
      <c r="G367" s="579"/>
      <c r="H367" s="588"/>
      <c r="I367" s="282">
        <f t="shared" ref="I367" si="71">+G367*F367</f>
        <v>0</v>
      </c>
      <c r="J367" s="373"/>
    </row>
    <row r="368" spans="1:13" ht="35.25" customHeight="1" thickBot="1" x14ac:dyDescent="0.3">
      <c r="A368" s="1053"/>
      <c r="B368" s="1047" t="s">
        <v>269</v>
      </c>
      <c r="C368" s="1048"/>
      <c r="D368" s="780"/>
      <c r="E368" s="326">
        <f>+E366+E361+E354</f>
        <v>18361</v>
      </c>
      <c r="F368" s="326">
        <f>+F366+F361+F354</f>
        <v>336229</v>
      </c>
      <c r="G368" s="326"/>
      <c r="H368" s="580">
        <f>+H361+H354+H366</f>
        <v>348402.4</v>
      </c>
      <c r="I368" s="580">
        <f>+I361+I354+I366</f>
        <v>5520515.2000000002</v>
      </c>
      <c r="J368" s="373"/>
      <c r="K368" s="704"/>
      <c r="M368" s="704"/>
    </row>
    <row r="369" spans="1:11" ht="35.25" customHeight="1" x14ac:dyDescent="0.25">
      <c r="A369" s="1051" t="s">
        <v>101</v>
      </c>
      <c r="B369" s="779"/>
      <c r="C369" s="279" t="s">
        <v>281</v>
      </c>
      <c r="D369" s="434" t="s">
        <v>178</v>
      </c>
      <c r="E369" s="280"/>
      <c r="F369" s="435">
        <f>+E369+F273</f>
        <v>0</v>
      </c>
      <c r="G369" s="602">
        <v>13.25</v>
      </c>
      <c r="H369" s="597">
        <f t="shared" ref="H369:H397" si="72">E369*G369</f>
        <v>0</v>
      </c>
      <c r="I369" s="596">
        <f t="shared" ref="I369:I397" si="73">+G369*F369</f>
        <v>0</v>
      </c>
      <c r="J369" s="373"/>
      <c r="K369" s="704"/>
    </row>
    <row r="370" spans="1:11" ht="35.25" customHeight="1" x14ac:dyDescent="0.25">
      <c r="A370" s="1052"/>
      <c r="B370" s="779"/>
      <c r="C370" s="279" t="s">
        <v>282</v>
      </c>
      <c r="D370" s="434"/>
      <c r="E370" s="280"/>
      <c r="F370" s="435">
        <f>+E370+F274</f>
        <v>0</v>
      </c>
      <c r="G370" s="603">
        <v>5000</v>
      </c>
      <c r="H370" s="597">
        <f t="shared" si="72"/>
        <v>0</v>
      </c>
      <c r="I370" s="596">
        <f t="shared" si="73"/>
        <v>0</v>
      </c>
      <c r="J370" s="373"/>
      <c r="K370" s="704"/>
    </row>
    <row r="371" spans="1:11" ht="35.25" customHeight="1" x14ac:dyDescent="0.25">
      <c r="A371" s="1052"/>
      <c r="B371" s="779"/>
      <c r="C371" s="279" t="s">
        <v>282</v>
      </c>
      <c r="D371" s="434"/>
      <c r="E371" s="280"/>
      <c r="F371" s="435">
        <f>+E371+F275</f>
        <v>0</v>
      </c>
      <c r="G371" s="603">
        <v>18000</v>
      </c>
      <c r="H371" s="597">
        <f t="shared" si="72"/>
        <v>0</v>
      </c>
      <c r="I371" s="596">
        <f t="shared" si="73"/>
        <v>0</v>
      </c>
      <c r="J371" s="373"/>
    </row>
    <row r="372" spans="1:11" ht="35.25" customHeight="1" x14ac:dyDescent="0.25">
      <c r="A372" s="1052"/>
      <c r="B372" s="779"/>
      <c r="C372" s="279" t="s">
        <v>465</v>
      </c>
      <c r="D372" s="434" t="s">
        <v>338</v>
      </c>
      <c r="E372" s="280"/>
      <c r="F372" s="435">
        <f>+E372+F277</f>
        <v>0</v>
      </c>
      <c r="G372" s="602">
        <v>24.93</v>
      </c>
      <c r="H372" s="597">
        <f t="shared" si="72"/>
        <v>0</v>
      </c>
      <c r="I372" s="596">
        <f t="shared" si="73"/>
        <v>0</v>
      </c>
      <c r="J372" s="373"/>
    </row>
    <row r="373" spans="1:11" ht="35.25" customHeight="1" x14ac:dyDescent="0.25">
      <c r="A373" s="1052"/>
      <c r="B373" s="779"/>
      <c r="C373" s="746" t="s">
        <v>466</v>
      </c>
      <c r="D373" s="747" t="s">
        <v>92</v>
      </c>
      <c r="E373" s="280"/>
      <c r="F373" s="435">
        <f t="shared" ref="F373:F379" si="74">+E373+F279</f>
        <v>0</v>
      </c>
      <c r="G373" s="602">
        <v>20.8</v>
      </c>
      <c r="H373" s="597">
        <f t="shared" si="72"/>
        <v>0</v>
      </c>
      <c r="I373" s="596">
        <f t="shared" si="73"/>
        <v>0</v>
      </c>
      <c r="J373" s="373"/>
    </row>
    <row r="374" spans="1:11" ht="35.25" customHeight="1" x14ac:dyDescent="0.25">
      <c r="A374" s="1052"/>
      <c r="B374" s="779"/>
      <c r="C374" s="746" t="s">
        <v>467</v>
      </c>
      <c r="D374" s="747" t="s">
        <v>468</v>
      </c>
      <c r="E374" s="280"/>
      <c r="F374" s="435">
        <f t="shared" si="74"/>
        <v>0</v>
      </c>
      <c r="G374" s="602">
        <v>24.93</v>
      </c>
      <c r="H374" s="597">
        <f t="shared" si="72"/>
        <v>0</v>
      </c>
      <c r="I374" s="596">
        <f t="shared" si="73"/>
        <v>0</v>
      </c>
      <c r="J374" s="373"/>
    </row>
    <row r="375" spans="1:11" ht="35.25" customHeight="1" x14ac:dyDescent="0.25">
      <c r="A375" s="1052"/>
      <c r="B375" s="779"/>
      <c r="C375" s="746" t="s">
        <v>467</v>
      </c>
      <c r="D375" s="747" t="s">
        <v>468</v>
      </c>
      <c r="E375" s="280"/>
      <c r="F375" s="435">
        <f t="shared" si="74"/>
        <v>0</v>
      </c>
      <c r="G375" s="602">
        <v>25.49</v>
      </c>
      <c r="H375" s="597">
        <f t="shared" si="72"/>
        <v>0</v>
      </c>
      <c r="I375" s="596">
        <f t="shared" si="73"/>
        <v>0</v>
      </c>
      <c r="J375" s="373"/>
    </row>
    <row r="376" spans="1:11" s="757" customFormat="1" ht="35.25" customHeight="1" x14ac:dyDescent="0.25">
      <c r="A376" s="1052"/>
      <c r="B376" s="748"/>
      <c r="C376" s="749" t="s">
        <v>469</v>
      </c>
      <c r="D376" s="750" t="s">
        <v>309</v>
      </c>
      <c r="E376" s="751"/>
      <c r="F376" s="752">
        <f t="shared" si="74"/>
        <v>0</v>
      </c>
      <c r="G376" s="753">
        <v>24.41</v>
      </c>
      <c r="H376" s="754">
        <f t="shared" si="72"/>
        <v>0</v>
      </c>
      <c r="I376" s="755">
        <f t="shared" si="73"/>
        <v>0</v>
      </c>
      <c r="J376" s="756"/>
    </row>
    <row r="377" spans="1:11" ht="35.25" customHeight="1" x14ac:dyDescent="0.25">
      <c r="A377" s="1052"/>
      <c r="B377" s="779"/>
      <c r="C377" s="279" t="s">
        <v>444</v>
      </c>
      <c r="D377" s="434" t="s">
        <v>423</v>
      </c>
      <c r="E377" s="280"/>
      <c r="F377" s="435">
        <f t="shared" si="74"/>
        <v>0</v>
      </c>
      <c r="G377" s="602">
        <v>20.76</v>
      </c>
      <c r="H377" s="597">
        <f t="shared" si="72"/>
        <v>0</v>
      </c>
      <c r="I377" s="596">
        <f t="shared" si="73"/>
        <v>0</v>
      </c>
      <c r="J377" s="373"/>
    </row>
    <row r="378" spans="1:11" ht="35.25" customHeight="1" x14ac:dyDescent="0.25">
      <c r="A378" s="1052"/>
      <c r="B378" s="779"/>
      <c r="C378" s="279" t="s">
        <v>298</v>
      </c>
      <c r="D378" s="434" t="s">
        <v>107</v>
      </c>
      <c r="E378" s="280"/>
      <c r="F378" s="435">
        <f t="shared" si="74"/>
        <v>0</v>
      </c>
      <c r="G378" s="602">
        <v>24.93</v>
      </c>
      <c r="H378" s="597">
        <f t="shared" si="72"/>
        <v>0</v>
      </c>
      <c r="I378" s="596">
        <f t="shared" si="73"/>
        <v>0</v>
      </c>
      <c r="J378" s="373"/>
    </row>
    <row r="379" spans="1:11" ht="35.25" customHeight="1" x14ac:dyDescent="0.25">
      <c r="A379" s="1052"/>
      <c r="B379" s="779"/>
      <c r="C379" s="279" t="s">
        <v>299</v>
      </c>
      <c r="D379" s="434" t="s">
        <v>280</v>
      </c>
      <c r="E379" s="280"/>
      <c r="F379" s="435">
        <f t="shared" si="74"/>
        <v>0</v>
      </c>
      <c r="G379" s="602">
        <v>24.93</v>
      </c>
      <c r="H379" s="597">
        <f t="shared" si="72"/>
        <v>0</v>
      </c>
      <c r="I379" s="596">
        <f t="shared" si="73"/>
        <v>0</v>
      </c>
      <c r="J379" s="373"/>
    </row>
    <row r="380" spans="1:11" ht="35.25" customHeight="1" x14ac:dyDescent="0.25">
      <c r="A380" s="1052"/>
      <c r="B380" s="779"/>
      <c r="C380" s="279" t="s">
        <v>425</v>
      </c>
      <c r="D380" s="434" t="s">
        <v>309</v>
      </c>
      <c r="E380" s="280"/>
      <c r="F380" s="435">
        <f t="shared" ref="F380:F397" si="75">+E380+F287</f>
        <v>0</v>
      </c>
      <c r="G380" s="602">
        <v>23.78</v>
      </c>
      <c r="H380" s="597">
        <f t="shared" si="72"/>
        <v>0</v>
      </c>
      <c r="I380" s="596">
        <f t="shared" si="73"/>
        <v>0</v>
      </c>
      <c r="J380" s="373"/>
    </row>
    <row r="381" spans="1:11" ht="35.25" customHeight="1" x14ac:dyDescent="0.25">
      <c r="A381" s="1052"/>
      <c r="B381" s="779"/>
      <c r="C381" s="279" t="s">
        <v>354</v>
      </c>
      <c r="D381" s="434" t="s">
        <v>309</v>
      </c>
      <c r="E381" s="280"/>
      <c r="F381" s="435">
        <f t="shared" si="75"/>
        <v>0</v>
      </c>
      <c r="G381" s="602">
        <v>37.4566666666</v>
      </c>
      <c r="H381" s="597">
        <f t="shared" si="72"/>
        <v>0</v>
      </c>
      <c r="I381" s="596">
        <f t="shared" si="73"/>
        <v>0</v>
      </c>
      <c r="J381" s="373"/>
    </row>
    <row r="382" spans="1:11" ht="35.25" customHeight="1" x14ac:dyDescent="0.25">
      <c r="A382" s="1052"/>
      <c r="B382" s="779"/>
      <c r="C382" s="279" t="s">
        <v>355</v>
      </c>
      <c r="D382" s="434" t="s">
        <v>309</v>
      </c>
      <c r="E382" s="280"/>
      <c r="F382" s="435">
        <f t="shared" si="75"/>
        <v>0</v>
      </c>
      <c r="G382" s="602">
        <v>37.89</v>
      </c>
      <c r="H382" s="597">
        <f t="shared" si="72"/>
        <v>0</v>
      </c>
      <c r="I382" s="596">
        <f t="shared" si="73"/>
        <v>0</v>
      </c>
      <c r="J382" s="373"/>
    </row>
    <row r="383" spans="1:11" ht="35.25" customHeight="1" x14ac:dyDescent="0.25">
      <c r="A383" s="1052"/>
      <c r="B383" s="779"/>
      <c r="C383" s="279" t="s">
        <v>461</v>
      </c>
      <c r="D383" s="434" t="s">
        <v>92</v>
      </c>
      <c r="E383" s="280"/>
      <c r="F383" s="435">
        <f t="shared" si="75"/>
        <v>0</v>
      </c>
      <c r="G383" s="602">
        <v>28.31</v>
      </c>
      <c r="H383" s="597">
        <f t="shared" si="72"/>
        <v>0</v>
      </c>
      <c r="I383" s="596">
        <f t="shared" si="73"/>
        <v>0</v>
      </c>
      <c r="J383" s="373"/>
    </row>
    <row r="384" spans="1:11" ht="35.25" customHeight="1" x14ac:dyDescent="0.25">
      <c r="A384" s="1052"/>
      <c r="B384" s="779"/>
      <c r="C384" s="279" t="s">
        <v>461</v>
      </c>
      <c r="D384" s="434" t="s">
        <v>423</v>
      </c>
      <c r="E384" s="280"/>
      <c r="F384" s="435">
        <f t="shared" si="75"/>
        <v>0</v>
      </c>
      <c r="G384" s="602">
        <v>28.88</v>
      </c>
      <c r="H384" s="597">
        <f t="shared" si="72"/>
        <v>0</v>
      </c>
      <c r="I384" s="596">
        <f t="shared" si="73"/>
        <v>0</v>
      </c>
      <c r="J384" s="373"/>
    </row>
    <row r="385" spans="1:10" ht="35.25" customHeight="1" x14ac:dyDescent="0.25">
      <c r="A385" s="1052"/>
      <c r="B385" s="779"/>
      <c r="C385" s="279" t="s">
        <v>462</v>
      </c>
      <c r="D385" s="434" t="s">
        <v>423</v>
      </c>
      <c r="E385" s="280"/>
      <c r="F385" s="435">
        <f t="shared" si="75"/>
        <v>0</v>
      </c>
      <c r="G385" s="602">
        <v>28.21</v>
      </c>
      <c r="H385" s="597">
        <f t="shared" si="72"/>
        <v>0</v>
      </c>
      <c r="I385" s="596">
        <f t="shared" si="73"/>
        <v>0</v>
      </c>
      <c r="J385" s="373"/>
    </row>
    <row r="386" spans="1:10" ht="35.25" customHeight="1" x14ac:dyDescent="0.25">
      <c r="A386" s="1052"/>
      <c r="B386" s="779"/>
      <c r="C386" s="279" t="s">
        <v>463</v>
      </c>
      <c r="D386" s="434" t="s">
        <v>338</v>
      </c>
      <c r="E386" s="280"/>
      <c r="F386" s="435">
        <f t="shared" si="75"/>
        <v>0</v>
      </c>
      <c r="G386" s="602">
        <v>39</v>
      </c>
      <c r="H386" s="597">
        <f t="shared" si="72"/>
        <v>0</v>
      </c>
      <c r="I386" s="596">
        <f t="shared" si="73"/>
        <v>0</v>
      </c>
      <c r="J386" s="373"/>
    </row>
    <row r="387" spans="1:10" ht="35.25" customHeight="1" x14ac:dyDescent="0.25">
      <c r="A387" s="1052"/>
      <c r="B387" s="779"/>
      <c r="C387" s="279" t="s">
        <v>463</v>
      </c>
      <c r="D387" s="434" t="s">
        <v>92</v>
      </c>
      <c r="E387" s="280"/>
      <c r="F387" s="435">
        <f t="shared" si="75"/>
        <v>0</v>
      </c>
      <c r="G387" s="602">
        <v>32.65</v>
      </c>
      <c r="H387" s="597">
        <f t="shared" si="72"/>
        <v>0</v>
      </c>
      <c r="I387" s="596">
        <f t="shared" si="73"/>
        <v>0</v>
      </c>
      <c r="J387" s="373"/>
    </row>
    <row r="388" spans="1:10" ht="35.25" customHeight="1" x14ac:dyDescent="0.25">
      <c r="A388" s="1052"/>
      <c r="B388" s="779"/>
      <c r="C388" s="279" t="s">
        <v>463</v>
      </c>
      <c r="D388" s="434" t="s">
        <v>423</v>
      </c>
      <c r="E388" s="280"/>
      <c r="F388" s="435">
        <f t="shared" si="75"/>
        <v>0</v>
      </c>
      <c r="G388" s="602">
        <v>33.299999999999997</v>
      </c>
      <c r="H388" s="597">
        <f t="shared" si="72"/>
        <v>0</v>
      </c>
      <c r="I388" s="596">
        <f t="shared" si="73"/>
        <v>0</v>
      </c>
      <c r="J388" s="373"/>
    </row>
    <row r="389" spans="1:10" ht="35.25" customHeight="1" x14ac:dyDescent="0.25">
      <c r="A389" s="1052"/>
      <c r="B389" s="779"/>
      <c r="C389" s="279" t="s">
        <v>299</v>
      </c>
      <c r="D389" s="434" t="s">
        <v>279</v>
      </c>
      <c r="E389" s="280"/>
      <c r="F389" s="435">
        <f t="shared" si="75"/>
        <v>0</v>
      </c>
      <c r="G389" s="602">
        <v>24.93</v>
      </c>
      <c r="H389" s="597">
        <f t="shared" si="72"/>
        <v>0</v>
      </c>
      <c r="I389" s="596">
        <f t="shared" si="73"/>
        <v>0</v>
      </c>
      <c r="J389" s="373"/>
    </row>
    <row r="390" spans="1:10" ht="35.25" customHeight="1" x14ac:dyDescent="0.25">
      <c r="A390" s="1052"/>
      <c r="B390" s="779"/>
      <c r="C390" s="279" t="s">
        <v>299</v>
      </c>
      <c r="D390" s="434"/>
      <c r="E390" s="280"/>
      <c r="F390" s="435">
        <f t="shared" si="75"/>
        <v>0</v>
      </c>
      <c r="G390" s="602">
        <v>24.93</v>
      </c>
      <c r="H390" s="597">
        <f t="shared" si="72"/>
        <v>0</v>
      </c>
      <c r="I390" s="596">
        <f t="shared" si="73"/>
        <v>0</v>
      </c>
      <c r="J390" s="373"/>
    </row>
    <row r="391" spans="1:10" ht="35.25" customHeight="1" x14ac:dyDescent="0.25">
      <c r="A391" s="1052"/>
      <c r="B391" s="779"/>
      <c r="C391" s="279" t="s">
        <v>316</v>
      </c>
      <c r="D391" s="434" t="s">
        <v>289</v>
      </c>
      <c r="E391" s="280"/>
      <c r="F391" s="435">
        <f t="shared" si="75"/>
        <v>0</v>
      </c>
      <c r="G391" s="602">
        <v>34.26</v>
      </c>
      <c r="H391" s="597">
        <f t="shared" si="72"/>
        <v>0</v>
      </c>
      <c r="I391" s="596">
        <f t="shared" si="73"/>
        <v>0</v>
      </c>
      <c r="J391" s="373"/>
    </row>
    <row r="392" spans="1:10" ht="35.25" customHeight="1" x14ac:dyDescent="0.25">
      <c r="A392" s="1052"/>
      <c r="B392" s="779"/>
      <c r="C392" s="279" t="s">
        <v>328</v>
      </c>
      <c r="D392" s="434" t="s">
        <v>360</v>
      </c>
      <c r="E392" s="280"/>
      <c r="F392" s="435">
        <f t="shared" si="75"/>
        <v>0</v>
      </c>
      <c r="G392" s="602">
        <v>37.89</v>
      </c>
      <c r="H392" s="597">
        <f t="shared" si="72"/>
        <v>0</v>
      </c>
      <c r="I392" s="596">
        <f t="shared" si="73"/>
        <v>0</v>
      </c>
      <c r="J392" s="373"/>
    </row>
    <row r="393" spans="1:10" ht="35.25" customHeight="1" x14ac:dyDescent="0.25">
      <c r="A393" s="1052"/>
      <c r="B393" s="779"/>
      <c r="C393" s="279" t="s">
        <v>363</v>
      </c>
      <c r="D393" s="434" t="s">
        <v>338</v>
      </c>
      <c r="E393" s="280"/>
      <c r="F393" s="435">
        <f t="shared" si="75"/>
        <v>0</v>
      </c>
      <c r="G393" s="602">
        <v>39</v>
      </c>
      <c r="H393" s="597">
        <f t="shared" si="72"/>
        <v>0</v>
      </c>
      <c r="I393" s="596">
        <f t="shared" si="73"/>
        <v>0</v>
      </c>
      <c r="J393" s="373"/>
    </row>
    <row r="394" spans="1:10" ht="35.25" customHeight="1" x14ac:dyDescent="0.25">
      <c r="A394" s="1052"/>
      <c r="B394" s="779"/>
      <c r="C394" s="279" t="s">
        <v>299</v>
      </c>
      <c r="D394" s="434" t="s">
        <v>177</v>
      </c>
      <c r="E394" s="280"/>
      <c r="F394" s="435">
        <f t="shared" si="75"/>
        <v>0</v>
      </c>
      <c r="G394" s="602">
        <v>21.22</v>
      </c>
      <c r="H394" s="597">
        <f t="shared" si="72"/>
        <v>0</v>
      </c>
      <c r="I394" s="596">
        <f t="shared" si="73"/>
        <v>0</v>
      </c>
      <c r="J394" s="373"/>
    </row>
    <row r="395" spans="1:10" ht="35.25" customHeight="1" x14ac:dyDescent="0.25">
      <c r="A395" s="1052"/>
      <c r="B395" s="779"/>
      <c r="C395" s="279" t="s">
        <v>298</v>
      </c>
      <c r="D395" s="434" t="s">
        <v>177</v>
      </c>
      <c r="E395" s="280"/>
      <c r="F395" s="435">
        <f t="shared" si="75"/>
        <v>0</v>
      </c>
      <c r="G395" s="602">
        <v>21.22</v>
      </c>
      <c r="H395" s="597">
        <f t="shared" si="72"/>
        <v>0</v>
      </c>
      <c r="I395" s="596">
        <f t="shared" si="73"/>
        <v>0</v>
      </c>
      <c r="J395" s="373"/>
    </row>
    <row r="396" spans="1:10" ht="35.25" customHeight="1" x14ac:dyDescent="0.25">
      <c r="A396" s="1052"/>
      <c r="B396" s="779"/>
      <c r="C396" s="279" t="s">
        <v>339</v>
      </c>
      <c r="D396" s="434" t="s">
        <v>304</v>
      </c>
      <c r="E396" s="280"/>
      <c r="F396" s="435">
        <f t="shared" si="75"/>
        <v>0</v>
      </c>
      <c r="G396" s="602">
        <v>10000</v>
      </c>
      <c r="H396" s="597">
        <f t="shared" si="72"/>
        <v>0</v>
      </c>
      <c r="I396" s="596">
        <f t="shared" si="73"/>
        <v>0</v>
      </c>
      <c r="J396" s="373"/>
    </row>
    <row r="397" spans="1:10" ht="35.25" customHeight="1" thickBot="1" x14ac:dyDescent="0.3">
      <c r="A397" s="1052"/>
      <c r="B397" s="779"/>
      <c r="C397" s="279" t="s">
        <v>303</v>
      </c>
      <c r="D397" s="434" t="s">
        <v>304</v>
      </c>
      <c r="E397" s="280"/>
      <c r="F397" s="435">
        <f t="shared" si="75"/>
        <v>0</v>
      </c>
      <c r="G397" s="602">
        <v>360</v>
      </c>
      <c r="H397" s="597">
        <f t="shared" si="72"/>
        <v>0</v>
      </c>
      <c r="I397" s="596">
        <f t="shared" si="73"/>
        <v>0</v>
      </c>
      <c r="J397" s="373"/>
    </row>
    <row r="398" spans="1:10" ht="35.25" customHeight="1" thickBot="1" x14ac:dyDescent="0.3">
      <c r="A398" s="1053"/>
      <c r="B398" s="1047" t="s">
        <v>268</v>
      </c>
      <c r="C398" s="1048"/>
      <c r="D398" s="782"/>
      <c r="E398" s="326">
        <f>SUM(E369:E397)</f>
        <v>0</v>
      </c>
      <c r="F398" s="326">
        <f>SUM(F369:F397)</f>
        <v>0</v>
      </c>
      <c r="G398" s="326"/>
      <c r="H398" s="587">
        <f>SUM(H369:H397)</f>
        <v>0</v>
      </c>
      <c r="I398" s="580">
        <f>SUM(I369:I397)</f>
        <v>0</v>
      </c>
      <c r="J398" s="373"/>
    </row>
    <row r="399" spans="1:10" ht="35.25" customHeight="1" x14ac:dyDescent="0.25">
      <c r="A399" s="1051" t="s">
        <v>102</v>
      </c>
      <c r="B399" s="779"/>
      <c r="C399" s="279" t="s">
        <v>273</v>
      </c>
      <c r="D399" s="434" t="s">
        <v>238</v>
      </c>
      <c r="E399" s="280"/>
      <c r="F399" s="435">
        <f t="shared" ref="F399:F423" si="76">+E399+F306</f>
        <v>0</v>
      </c>
      <c r="G399" s="602">
        <v>430.02</v>
      </c>
      <c r="H399" s="593">
        <f>E399*G399</f>
        <v>0</v>
      </c>
      <c r="I399" s="596">
        <f t="shared" ref="I399:I420" si="77">+G399*F399</f>
        <v>0</v>
      </c>
      <c r="J399" s="373"/>
    </row>
    <row r="400" spans="1:10" ht="35.25" customHeight="1" x14ac:dyDescent="0.25">
      <c r="A400" s="1052"/>
      <c r="B400" s="779"/>
      <c r="C400" s="279" t="s">
        <v>274</v>
      </c>
      <c r="D400" s="434" t="s">
        <v>238</v>
      </c>
      <c r="E400" s="280"/>
      <c r="F400" s="435">
        <f t="shared" si="76"/>
        <v>0</v>
      </c>
      <c r="G400" s="602">
        <v>445.38</v>
      </c>
      <c r="H400" s="593">
        <f t="shared" ref="H400:H420" si="78">E400*G400</f>
        <v>0</v>
      </c>
      <c r="I400" s="596">
        <f t="shared" si="77"/>
        <v>0</v>
      </c>
      <c r="J400" s="373"/>
    </row>
    <row r="401" spans="1:10" ht="35.25" customHeight="1" x14ac:dyDescent="0.25">
      <c r="A401" s="1052"/>
      <c r="B401" s="779"/>
      <c r="C401" s="279" t="s">
        <v>390</v>
      </c>
      <c r="D401" s="434" t="s">
        <v>238</v>
      </c>
      <c r="E401" s="280"/>
      <c r="F401" s="435">
        <f t="shared" si="76"/>
        <v>0</v>
      </c>
      <c r="G401" s="602">
        <v>445.38</v>
      </c>
      <c r="H401" s="593">
        <f t="shared" si="78"/>
        <v>0</v>
      </c>
      <c r="I401" s="596">
        <f t="shared" si="77"/>
        <v>0</v>
      </c>
      <c r="J401" s="373"/>
    </row>
    <row r="402" spans="1:10" ht="35.25" customHeight="1" x14ac:dyDescent="0.25">
      <c r="A402" s="1052"/>
      <c r="B402" s="779"/>
      <c r="C402" s="279" t="s">
        <v>301</v>
      </c>
      <c r="D402" s="434" t="s">
        <v>238</v>
      </c>
      <c r="E402" s="280"/>
      <c r="F402" s="435">
        <f t="shared" si="76"/>
        <v>0</v>
      </c>
      <c r="G402" s="602">
        <v>63.55</v>
      </c>
      <c r="H402" s="593">
        <f t="shared" si="78"/>
        <v>0</v>
      </c>
      <c r="I402" s="596">
        <f t="shared" si="77"/>
        <v>0</v>
      </c>
      <c r="J402" s="373"/>
    </row>
    <row r="403" spans="1:10" ht="35.25" customHeight="1" x14ac:dyDescent="0.25">
      <c r="A403" s="1052"/>
      <c r="B403" s="779"/>
      <c r="C403" s="279" t="s">
        <v>275</v>
      </c>
      <c r="D403" s="434" t="s">
        <v>238</v>
      </c>
      <c r="E403" s="280"/>
      <c r="F403" s="435">
        <f t="shared" si="76"/>
        <v>10080</v>
      </c>
      <c r="G403" s="602">
        <v>71.44</v>
      </c>
      <c r="H403" s="593">
        <f t="shared" si="78"/>
        <v>0</v>
      </c>
      <c r="I403" s="596">
        <f t="shared" si="77"/>
        <v>720115.19999999995</v>
      </c>
      <c r="J403" s="373"/>
    </row>
    <row r="404" spans="1:10" ht="35.25" customHeight="1" x14ac:dyDescent="0.25">
      <c r="A404" s="1052"/>
      <c r="B404" s="779"/>
      <c r="C404" s="279" t="s">
        <v>276</v>
      </c>
      <c r="D404" s="434" t="s">
        <v>238</v>
      </c>
      <c r="E404" s="280"/>
      <c r="F404" s="435">
        <f t="shared" si="76"/>
        <v>0</v>
      </c>
      <c r="G404" s="602">
        <v>36.5</v>
      </c>
      <c r="H404" s="593">
        <f t="shared" si="78"/>
        <v>0</v>
      </c>
      <c r="I404" s="596">
        <f t="shared" si="77"/>
        <v>0</v>
      </c>
      <c r="J404" s="373"/>
    </row>
    <row r="405" spans="1:10" ht="35.25" customHeight="1" x14ac:dyDescent="0.25">
      <c r="A405" s="1052"/>
      <c r="B405" s="779"/>
      <c r="C405" s="279" t="s">
        <v>426</v>
      </c>
      <c r="D405" s="434" t="s">
        <v>238</v>
      </c>
      <c r="E405" s="280"/>
      <c r="F405" s="435">
        <f t="shared" si="76"/>
        <v>0</v>
      </c>
      <c r="G405" s="602">
        <v>320.35000000000002</v>
      </c>
      <c r="H405" s="593">
        <f t="shared" si="78"/>
        <v>0</v>
      </c>
      <c r="I405" s="596">
        <f t="shared" si="77"/>
        <v>0</v>
      </c>
      <c r="J405" s="373"/>
    </row>
    <row r="406" spans="1:10" ht="35.25" customHeight="1" x14ac:dyDescent="0.25">
      <c r="A406" s="1052"/>
      <c r="B406" s="779"/>
      <c r="C406" s="279" t="s">
        <v>285</v>
      </c>
      <c r="D406" s="434" t="s">
        <v>238</v>
      </c>
      <c r="E406" s="280"/>
      <c r="F406" s="435">
        <f t="shared" si="76"/>
        <v>0</v>
      </c>
      <c r="G406" s="602">
        <v>320.35000000000002</v>
      </c>
      <c r="H406" s="593">
        <f t="shared" si="78"/>
        <v>0</v>
      </c>
      <c r="I406" s="596">
        <f t="shared" si="77"/>
        <v>0</v>
      </c>
      <c r="J406" s="373"/>
    </row>
    <row r="407" spans="1:10" ht="35.25" customHeight="1" x14ac:dyDescent="0.25">
      <c r="A407" s="1052"/>
      <c r="B407" s="779"/>
      <c r="C407" s="279" t="s">
        <v>296</v>
      </c>
      <c r="D407" s="434" t="s">
        <v>238</v>
      </c>
      <c r="E407" s="280"/>
      <c r="F407" s="435">
        <f t="shared" si="76"/>
        <v>0</v>
      </c>
      <c r="G407" s="602">
        <v>434.41</v>
      </c>
      <c r="H407" s="593">
        <f t="shared" si="78"/>
        <v>0</v>
      </c>
      <c r="I407" s="596">
        <f t="shared" si="77"/>
        <v>0</v>
      </c>
      <c r="J407" s="373"/>
    </row>
    <row r="408" spans="1:10" ht="35.25" customHeight="1" x14ac:dyDescent="0.25">
      <c r="A408" s="1052"/>
      <c r="B408" s="779"/>
      <c r="C408" s="279" t="s">
        <v>282</v>
      </c>
      <c r="D408" s="434" t="s">
        <v>238</v>
      </c>
      <c r="E408" s="280"/>
      <c r="F408" s="435">
        <f t="shared" si="76"/>
        <v>0</v>
      </c>
      <c r="G408" s="602">
        <v>29690</v>
      </c>
      <c r="H408" s="593">
        <f t="shared" si="78"/>
        <v>0</v>
      </c>
      <c r="I408" s="596">
        <f t="shared" si="77"/>
        <v>0</v>
      </c>
      <c r="J408" s="373"/>
    </row>
    <row r="409" spans="1:10" ht="35.25" customHeight="1" x14ac:dyDescent="0.25">
      <c r="A409" s="1052"/>
      <c r="B409" s="779"/>
      <c r="C409" s="279" t="s">
        <v>282</v>
      </c>
      <c r="D409" s="434" t="s">
        <v>238</v>
      </c>
      <c r="E409" s="280"/>
      <c r="F409" s="435">
        <f t="shared" si="76"/>
        <v>0</v>
      </c>
      <c r="G409" s="602">
        <v>26445</v>
      </c>
      <c r="H409" s="593">
        <f t="shared" si="78"/>
        <v>0</v>
      </c>
      <c r="I409" s="596">
        <f t="shared" si="77"/>
        <v>0</v>
      </c>
      <c r="J409" s="373"/>
    </row>
    <row r="410" spans="1:10" ht="35.25" customHeight="1" x14ac:dyDescent="0.25">
      <c r="A410" s="1052"/>
      <c r="B410" s="779"/>
      <c r="C410" s="279" t="s">
        <v>282</v>
      </c>
      <c r="D410" s="434"/>
      <c r="E410" s="280"/>
      <c r="F410" s="435">
        <f t="shared" si="76"/>
        <v>0</v>
      </c>
      <c r="G410" s="602">
        <v>33947.884599999998</v>
      </c>
      <c r="H410" s="593">
        <f t="shared" si="78"/>
        <v>0</v>
      </c>
      <c r="I410" s="596">
        <f t="shared" si="77"/>
        <v>0</v>
      </c>
      <c r="J410" s="373"/>
    </row>
    <row r="411" spans="1:10" ht="35.25" customHeight="1" x14ac:dyDescent="0.25">
      <c r="A411" s="1052"/>
      <c r="B411" s="779"/>
      <c r="C411" s="279" t="s">
        <v>311</v>
      </c>
      <c r="D411" s="434" t="s">
        <v>337</v>
      </c>
      <c r="E411" s="280"/>
      <c r="F411" s="435">
        <f t="shared" si="76"/>
        <v>0</v>
      </c>
      <c r="G411" s="602">
        <v>50</v>
      </c>
      <c r="H411" s="593">
        <f t="shared" si="78"/>
        <v>0</v>
      </c>
      <c r="I411" s="596">
        <f t="shared" si="77"/>
        <v>0</v>
      </c>
      <c r="J411" s="373"/>
    </row>
    <row r="412" spans="1:10" ht="35.25" customHeight="1" x14ac:dyDescent="0.25">
      <c r="A412" s="1052"/>
      <c r="B412" s="779"/>
      <c r="C412" s="279" t="s">
        <v>311</v>
      </c>
      <c r="D412" s="434"/>
      <c r="E412" s="280"/>
      <c r="F412" s="435">
        <f t="shared" si="76"/>
        <v>0</v>
      </c>
      <c r="G412" s="602">
        <v>10</v>
      </c>
      <c r="H412" s="593">
        <f t="shared" si="78"/>
        <v>0</v>
      </c>
      <c r="I412" s="596">
        <f t="shared" si="77"/>
        <v>0</v>
      </c>
      <c r="J412" s="373"/>
    </row>
    <row r="413" spans="1:10" ht="35.25" customHeight="1" x14ac:dyDescent="0.25">
      <c r="A413" s="1052"/>
      <c r="B413" s="779"/>
      <c r="C413" s="279" t="s">
        <v>329</v>
      </c>
      <c r="D413" s="434" t="s">
        <v>370</v>
      </c>
      <c r="E413" s="280"/>
      <c r="F413" s="435">
        <f t="shared" si="76"/>
        <v>0</v>
      </c>
      <c r="G413" s="602">
        <v>57.64</v>
      </c>
      <c r="H413" s="593">
        <f t="shared" si="78"/>
        <v>0</v>
      </c>
      <c r="I413" s="596">
        <f t="shared" si="77"/>
        <v>0</v>
      </c>
      <c r="J413" s="373"/>
    </row>
    <row r="414" spans="1:10" ht="35.25" customHeight="1" x14ac:dyDescent="0.25">
      <c r="A414" s="1052"/>
      <c r="B414" s="779"/>
      <c r="C414" s="279" t="s">
        <v>329</v>
      </c>
      <c r="D414" s="434" t="s">
        <v>364</v>
      </c>
      <c r="E414" s="280"/>
      <c r="F414" s="435">
        <f t="shared" si="76"/>
        <v>0</v>
      </c>
      <c r="G414" s="602">
        <v>57.64</v>
      </c>
      <c r="H414" s="593">
        <f t="shared" si="78"/>
        <v>0</v>
      </c>
      <c r="I414" s="596">
        <f t="shared" si="77"/>
        <v>0</v>
      </c>
      <c r="J414" s="373"/>
    </row>
    <row r="415" spans="1:10" ht="35.25" customHeight="1" x14ac:dyDescent="0.25">
      <c r="A415" s="1052"/>
      <c r="B415" s="779"/>
      <c r="C415" s="279" t="s">
        <v>330</v>
      </c>
      <c r="D415" s="434" t="s">
        <v>331</v>
      </c>
      <c r="E415" s="280"/>
      <c r="F415" s="435">
        <f t="shared" si="76"/>
        <v>0</v>
      </c>
      <c r="G415" s="602">
        <v>434.41</v>
      </c>
      <c r="H415" s="593">
        <f t="shared" si="78"/>
        <v>0</v>
      </c>
      <c r="I415" s="596">
        <f t="shared" si="77"/>
        <v>0</v>
      </c>
      <c r="J415" s="373"/>
    </row>
    <row r="416" spans="1:10" ht="35.25" customHeight="1" x14ac:dyDescent="0.25">
      <c r="A416" s="1052"/>
      <c r="B416" s="779"/>
      <c r="C416" s="279" t="s">
        <v>343</v>
      </c>
      <c r="D416" s="434" t="s">
        <v>238</v>
      </c>
      <c r="E416" s="280"/>
      <c r="F416" s="435">
        <f t="shared" si="76"/>
        <v>0</v>
      </c>
      <c r="G416" s="602">
        <v>624.26</v>
      </c>
      <c r="H416" s="593">
        <f t="shared" si="78"/>
        <v>0</v>
      </c>
      <c r="I416" s="596">
        <f t="shared" si="77"/>
        <v>0</v>
      </c>
      <c r="J416" s="373"/>
    </row>
    <row r="417" spans="1:10" ht="35.25" customHeight="1" x14ac:dyDescent="0.25">
      <c r="A417" s="1052"/>
      <c r="B417" s="779"/>
      <c r="C417" s="279" t="s">
        <v>332</v>
      </c>
      <c r="D417" s="434" t="s">
        <v>331</v>
      </c>
      <c r="E417" s="280"/>
      <c r="F417" s="435">
        <f t="shared" si="76"/>
        <v>0</v>
      </c>
      <c r="G417" s="602">
        <v>63.55</v>
      </c>
      <c r="H417" s="593">
        <f t="shared" si="78"/>
        <v>0</v>
      </c>
      <c r="I417" s="596">
        <f t="shared" si="77"/>
        <v>0</v>
      </c>
      <c r="J417" s="373"/>
    </row>
    <row r="418" spans="1:10" ht="35.25" customHeight="1" x14ac:dyDescent="0.25">
      <c r="A418" s="1052"/>
      <c r="B418" s="779"/>
      <c r="C418" s="279" t="s">
        <v>371</v>
      </c>
      <c r="D418" s="434" t="s">
        <v>238</v>
      </c>
      <c r="E418" s="280"/>
      <c r="F418" s="435">
        <f t="shared" si="76"/>
        <v>0</v>
      </c>
      <c r="G418" s="602">
        <v>59.96</v>
      </c>
      <c r="H418" s="593">
        <f t="shared" si="78"/>
        <v>0</v>
      </c>
      <c r="I418" s="596">
        <f t="shared" si="77"/>
        <v>0</v>
      </c>
      <c r="J418" s="373"/>
    </row>
    <row r="419" spans="1:10" ht="35.25" customHeight="1" x14ac:dyDescent="0.25">
      <c r="A419" s="1052"/>
      <c r="B419" s="779"/>
      <c r="C419" s="279" t="s">
        <v>419</v>
      </c>
      <c r="D419" s="434" t="s">
        <v>331</v>
      </c>
      <c r="E419" s="280"/>
      <c r="F419" s="435">
        <f t="shared" si="76"/>
        <v>0</v>
      </c>
      <c r="G419" s="602">
        <v>53.86</v>
      </c>
      <c r="H419" s="593">
        <f t="shared" si="78"/>
        <v>0</v>
      </c>
      <c r="I419" s="596">
        <f t="shared" si="77"/>
        <v>0</v>
      </c>
      <c r="J419" s="373"/>
    </row>
    <row r="420" spans="1:10" ht="35.25" customHeight="1" x14ac:dyDescent="0.25">
      <c r="A420" s="1052"/>
      <c r="B420" s="779"/>
      <c r="C420" s="279" t="s">
        <v>379</v>
      </c>
      <c r="D420" s="434"/>
      <c r="E420" s="280"/>
      <c r="F420" s="435">
        <f t="shared" si="76"/>
        <v>0</v>
      </c>
      <c r="G420" s="602">
        <v>360</v>
      </c>
      <c r="H420" s="593">
        <f t="shared" si="78"/>
        <v>0</v>
      </c>
      <c r="I420" s="596">
        <f t="shared" si="77"/>
        <v>0</v>
      </c>
      <c r="J420" s="373"/>
    </row>
    <row r="421" spans="1:10" ht="35.25" customHeight="1" x14ac:dyDescent="0.25">
      <c r="A421" s="1052"/>
      <c r="B421" s="779"/>
      <c r="C421" s="279" t="s">
        <v>471</v>
      </c>
      <c r="D421" s="434"/>
      <c r="E421" s="280"/>
      <c r="F421" s="435">
        <f t="shared" si="76"/>
        <v>0</v>
      </c>
      <c r="G421" s="602"/>
      <c r="H421" s="593">
        <f>+E421</f>
        <v>0</v>
      </c>
      <c r="I421" s="596">
        <f>+H421</f>
        <v>0</v>
      </c>
      <c r="J421" s="373"/>
    </row>
    <row r="422" spans="1:10" ht="35.25" customHeight="1" x14ac:dyDescent="0.25">
      <c r="A422" s="1052"/>
      <c r="B422" s="779"/>
      <c r="C422" s="279" t="s">
        <v>282</v>
      </c>
      <c r="D422" s="434"/>
      <c r="E422" s="280"/>
      <c r="F422" s="435">
        <f t="shared" si="76"/>
        <v>0</v>
      </c>
      <c r="G422" s="602">
        <v>39450</v>
      </c>
      <c r="H422" s="593">
        <f t="shared" ref="H422:H423" si="79">E422*G422</f>
        <v>0</v>
      </c>
      <c r="I422" s="596">
        <f t="shared" ref="I422:I423" si="80">+G422*F422</f>
        <v>0</v>
      </c>
      <c r="J422" s="373"/>
    </row>
    <row r="423" spans="1:10" ht="35.25" customHeight="1" thickBot="1" x14ac:dyDescent="0.3">
      <c r="A423" s="1052"/>
      <c r="B423" s="779"/>
      <c r="C423" s="279" t="s">
        <v>329</v>
      </c>
      <c r="D423" s="434" t="s">
        <v>443</v>
      </c>
      <c r="E423" s="280"/>
      <c r="F423" s="435">
        <f t="shared" si="76"/>
        <v>0</v>
      </c>
      <c r="G423" s="602">
        <v>57.64</v>
      </c>
      <c r="H423" s="593">
        <f t="shared" si="79"/>
        <v>0</v>
      </c>
      <c r="I423" s="596">
        <f t="shared" si="80"/>
        <v>0</v>
      </c>
      <c r="J423" s="373"/>
    </row>
    <row r="424" spans="1:10" ht="35.25" customHeight="1" thickBot="1" x14ac:dyDescent="0.3">
      <c r="A424" s="1053"/>
      <c r="B424" s="1047" t="s">
        <v>270</v>
      </c>
      <c r="C424" s="1048"/>
      <c r="D424" s="782"/>
      <c r="E424" s="326">
        <f>SUM(E399:E423)</f>
        <v>0</v>
      </c>
      <c r="F424" s="326">
        <f>SUM(F399:F423)</f>
        <v>10080</v>
      </c>
      <c r="G424" s="326"/>
      <c r="H424" s="590">
        <f>SUM(H399:H423)</f>
        <v>0</v>
      </c>
      <c r="I424" s="580">
        <f>SUM(I399:I423)</f>
        <v>720115.19999999995</v>
      </c>
      <c r="J424" s="372"/>
    </row>
    <row r="425" spans="1:10" ht="35.25" customHeight="1" thickBot="1" x14ac:dyDescent="0.3">
      <c r="A425" s="785"/>
      <c r="B425" s="437"/>
      <c r="C425" s="279" t="s">
        <v>379</v>
      </c>
      <c r="D425" s="434"/>
      <c r="E425" s="280"/>
      <c r="F425" s="281">
        <f>+E425</f>
        <v>0</v>
      </c>
      <c r="G425" s="334"/>
      <c r="H425" s="589">
        <f t="shared" ref="H425" si="81">E425*G425</f>
        <v>0</v>
      </c>
      <c r="I425" s="282">
        <f t="shared" ref="I425" si="82">+G425*F425</f>
        <v>0</v>
      </c>
      <c r="J425" s="373"/>
    </row>
    <row r="426" spans="1:10" ht="35.25" customHeight="1" thickBot="1" x14ac:dyDescent="0.3">
      <c r="A426" s="785"/>
      <c r="B426" s="1047" t="s">
        <v>224</v>
      </c>
      <c r="C426" s="1048"/>
      <c r="D426" s="780"/>
      <c r="E426" s="326"/>
      <c r="F426" s="327"/>
      <c r="G426" s="326"/>
      <c r="H426" s="587"/>
      <c r="I426" s="324">
        <f>SUM(I425)</f>
        <v>0</v>
      </c>
      <c r="J426" s="349"/>
    </row>
    <row r="427" spans="1:10" ht="35.25" customHeight="1" thickBot="1" x14ac:dyDescent="0.3">
      <c r="A427" s="319"/>
      <c r="B427" s="1049" t="s">
        <v>174</v>
      </c>
      <c r="C427" s="1050"/>
      <c r="D427" s="778"/>
      <c r="E427" s="374">
        <f>+E424+E398+E368+E366</f>
        <v>18362</v>
      </c>
      <c r="F427" s="374">
        <f>+F424+F398+F368+F366</f>
        <v>346310</v>
      </c>
      <c r="G427" s="374"/>
      <c r="H427" s="374"/>
      <c r="I427" s="374">
        <f>+I424+I398+I368+I426</f>
        <v>6240630.4000000004</v>
      </c>
      <c r="J427" s="375"/>
    </row>
    <row r="428" spans="1:10" ht="35.25" customHeight="1" x14ac:dyDescent="0.25">
      <c r="A428" s="978" t="s">
        <v>1</v>
      </c>
      <c r="B428" s="981" t="s">
        <v>2</v>
      </c>
      <c r="C428" s="1056" t="s">
        <v>396</v>
      </c>
      <c r="D428" s="1033" t="s">
        <v>397</v>
      </c>
      <c r="E428" s="1060" t="s">
        <v>506</v>
      </c>
      <c r="F428" s="988"/>
      <c r="G428" s="988"/>
      <c r="H428" s="988"/>
      <c r="I428" s="988"/>
      <c r="J428" s="989"/>
    </row>
    <row r="429" spans="1:10" ht="35.25" customHeight="1" x14ac:dyDescent="0.25">
      <c r="A429" s="1054"/>
      <c r="B429" s="1055"/>
      <c r="C429" s="1057"/>
      <c r="D429" s="1034"/>
      <c r="E429" s="1061" t="s">
        <v>412</v>
      </c>
      <c r="F429" s="1062"/>
      <c r="G429" s="1061" t="s">
        <v>411</v>
      </c>
      <c r="H429" s="1063"/>
      <c r="I429" s="1063"/>
      <c r="J429" s="1062"/>
    </row>
    <row r="430" spans="1:10" ht="35.25" customHeight="1" x14ac:dyDescent="0.25">
      <c r="A430" s="979"/>
      <c r="B430" s="982"/>
      <c r="C430" s="1058"/>
      <c r="D430" s="1034"/>
      <c r="E430" s="990" t="s">
        <v>413</v>
      </c>
      <c r="F430" s="992" t="s">
        <v>414</v>
      </c>
      <c r="G430" s="1065" t="s">
        <v>90</v>
      </c>
      <c r="H430" s="1067" t="s">
        <v>91</v>
      </c>
      <c r="I430" s="1067" t="s">
        <v>91</v>
      </c>
      <c r="J430" s="1069" t="s">
        <v>12</v>
      </c>
    </row>
    <row r="431" spans="1:10" ht="35.25" customHeight="1" thickBot="1" x14ac:dyDescent="0.3">
      <c r="A431" s="980"/>
      <c r="B431" s="983"/>
      <c r="C431" s="1059"/>
      <c r="D431" s="1035"/>
      <c r="E431" s="991"/>
      <c r="F431" s="1064"/>
      <c r="G431" s="1066"/>
      <c r="H431" s="1068"/>
      <c r="I431" s="1068"/>
      <c r="J431" s="1070"/>
    </row>
    <row r="432" spans="1:10" ht="35.25" customHeight="1" x14ac:dyDescent="0.25">
      <c r="A432" s="1051" t="s">
        <v>103</v>
      </c>
      <c r="B432" s="439"/>
      <c r="C432" s="577" t="s">
        <v>442</v>
      </c>
      <c r="D432" s="665" t="s">
        <v>374</v>
      </c>
      <c r="E432" s="699"/>
      <c r="F432" s="674">
        <f>+E432+F339</f>
        <v>0</v>
      </c>
      <c r="G432" s="732">
        <v>107.85</v>
      </c>
      <c r="H432" s="591">
        <f t="shared" ref="H432:H446" si="83">E432*G432</f>
        <v>0</v>
      </c>
      <c r="I432" s="594">
        <f>+G432*F432</f>
        <v>0</v>
      </c>
      <c r="J432" s="351"/>
    </row>
    <row r="433" spans="1:10" ht="35.25" customHeight="1" x14ac:dyDescent="0.25">
      <c r="A433" s="1052"/>
      <c r="B433" s="438"/>
      <c r="C433" s="441" t="s">
        <v>264</v>
      </c>
      <c r="D433" s="666" t="s">
        <v>265</v>
      </c>
      <c r="E433" s="700"/>
      <c r="F433" s="701">
        <f t="shared" ref="F433:F446" si="84">+E433+F340</f>
        <v>0</v>
      </c>
      <c r="G433" s="697">
        <v>11</v>
      </c>
      <c r="H433" s="592">
        <f t="shared" si="83"/>
        <v>0</v>
      </c>
      <c r="I433" s="595">
        <f>+G433*F433</f>
        <v>0</v>
      </c>
      <c r="J433" s="352"/>
    </row>
    <row r="434" spans="1:10" ht="35.25" customHeight="1" x14ac:dyDescent="0.25">
      <c r="A434" s="1052"/>
      <c r="B434" s="438"/>
      <c r="C434" s="441" t="s">
        <v>295</v>
      </c>
      <c r="D434" s="666" t="s">
        <v>453</v>
      </c>
      <c r="E434" s="700"/>
      <c r="F434" s="701">
        <f t="shared" si="84"/>
        <v>0</v>
      </c>
      <c r="G434" s="697">
        <v>139.04</v>
      </c>
      <c r="H434" s="592">
        <f t="shared" si="83"/>
        <v>0</v>
      </c>
      <c r="I434" s="595">
        <f t="shared" ref="I434:I446" si="85">+G434*F434</f>
        <v>0</v>
      </c>
      <c r="J434" s="352"/>
    </row>
    <row r="435" spans="1:10" ht="35.25" customHeight="1" x14ac:dyDescent="0.25">
      <c r="A435" s="1052"/>
      <c r="B435" s="438"/>
      <c r="C435" s="441" t="s">
        <v>357</v>
      </c>
      <c r="D435" s="666" t="s">
        <v>358</v>
      </c>
      <c r="E435" s="700"/>
      <c r="F435" s="701">
        <f t="shared" si="84"/>
        <v>0</v>
      </c>
      <c r="G435" s="715">
        <v>20.5</v>
      </c>
      <c r="H435" s="592">
        <f t="shared" si="83"/>
        <v>0</v>
      </c>
      <c r="I435" s="595">
        <f t="shared" si="85"/>
        <v>0</v>
      </c>
      <c r="J435" s="352"/>
    </row>
    <row r="436" spans="1:10" ht="35.25" customHeight="1" x14ac:dyDescent="0.25">
      <c r="A436" s="1052"/>
      <c r="B436" s="438"/>
      <c r="C436" s="441" t="s">
        <v>288</v>
      </c>
      <c r="D436" s="666" t="s">
        <v>177</v>
      </c>
      <c r="E436" s="700"/>
      <c r="F436" s="701">
        <f t="shared" si="84"/>
        <v>0</v>
      </c>
      <c r="G436" s="697">
        <v>14.79</v>
      </c>
      <c r="H436" s="592">
        <f t="shared" si="83"/>
        <v>0</v>
      </c>
      <c r="I436" s="595">
        <f t="shared" si="85"/>
        <v>0</v>
      </c>
      <c r="J436" s="352"/>
    </row>
    <row r="437" spans="1:10" ht="35.25" customHeight="1" x14ac:dyDescent="0.25">
      <c r="A437" s="1052"/>
      <c r="B437" s="438"/>
      <c r="C437" s="441" t="s">
        <v>295</v>
      </c>
      <c r="D437" s="666" t="s">
        <v>265</v>
      </c>
      <c r="E437" s="700"/>
      <c r="F437" s="701">
        <f t="shared" si="84"/>
        <v>0</v>
      </c>
      <c r="G437" s="697">
        <v>139.04</v>
      </c>
      <c r="H437" s="592">
        <f t="shared" si="83"/>
        <v>0</v>
      </c>
      <c r="I437" s="595">
        <f t="shared" si="85"/>
        <v>0</v>
      </c>
      <c r="J437" s="352"/>
    </row>
    <row r="438" spans="1:10" ht="35.25" customHeight="1" x14ac:dyDescent="0.25">
      <c r="A438" s="1052"/>
      <c r="B438" s="438"/>
      <c r="C438" s="441" t="s">
        <v>391</v>
      </c>
      <c r="D438" s="667" t="s">
        <v>356</v>
      </c>
      <c r="E438" s="700"/>
      <c r="F438" s="701">
        <f t="shared" si="84"/>
        <v>0</v>
      </c>
      <c r="G438" s="697">
        <v>147.58000000000001</v>
      </c>
      <c r="H438" s="592">
        <f t="shared" si="83"/>
        <v>0</v>
      </c>
      <c r="I438" s="595">
        <f t="shared" si="85"/>
        <v>0</v>
      </c>
      <c r="J438" s="352"/>
    </row>
    <row r="439" spans="1:10" ht="35.25" customHeight="1" x14ac:dyDescent="0.25">
      <c r="A439" s="1052"/>
      <c r="B439" s="438"/>
      <c r="C439" s="441" t="s">
        <v>313</v>
      </c>
      <c r="D439" s="667" t="s">
        <v>265</v>
      </c>
      <c r="E439" s="700"/>
      <c r="F439" s="701">
        <f t="shared" si="84"/>
        <v>36720</v>
      </c>
      <c r="G439" s="697">
        <v>18.84</v>
      </c>
      <c r="H439" s="592">
        <f t="shared" si="83"/>
        <v>0</v>
      </c>
      <c r="I439" s="595">
        <f t="shared" si="85"/>
        <v>691804.8</v>
      </c>
      <c r="J439" s="352"/>
    </row>
    <row r="440" spans="1:10" ht="35.25" customHeight="1" x14ac:dyDescent="0.25">
      <c r="A440" s="1052"/>
      <c r="B440" s="438"/>
      <c r="C440" s="441" t="s">
        <v>322</v>
      </c>
      <c r="D440" s="667" t="s">
        <v>232</v>
      </c>
      <c r="E440" s="700"/>
      <c r="F440" s="701">
        <f t="shared" si="84"/>
        <v>0</v>
      </c>
      <c r="G440" s="697">
        <v>21.18</v>
      </c>
      <c r="H440" s="592">
        <f t="shared" si="83"/>
        <v>0</v>
      </c>
      <c r="I440" s="595">
        <f t="shared" si="85"/>
        <v>0</v>
      </c>
      <c r="J440" s="352"/>
    </row>
    <row r="441" spans="1:10" ht="35.25" customHeight="1" x14ac:dyDescent="0.25">
      <c r="A441" s="1052"/>
      <c r="B441" s="438"/>
      <c r="C441" s="441" t="s">
        <v>324</v>
      </c>
      <c r="D441" s="667" t="s">
        <v>325</v>
      </c>
      <c r="E441" s="700"/>
      <c r="F441" s="701">
        <f t="shared" si="84"/>
        <v>0</v>
      </c>
      <c r="G441" s="697">
        <v>21.28</v>
      </c>
      <c r="H441" s="592">
        <f t="shared" si="83"/>
        <v>0</v>
      </c>
      <c r="I441" s="595">
        <f t="shared" si="85"/>
        <v>0</v>
      </c>
      <c r="J441" s="352"/>
    </row>
    <row r="442" spans="1:10" ht="35.25" customHeight="1" x14ac:dyDescent="0.25">
      <c r="A442" s="1052"/>
      <c r="B442" s="438"/>
      <c r="C442" s="441" t="s">
        <v>378</v>
      </c>
      <c r="D442" s="667" t="s">
        <v>374</v>
      </c>
      <c r="E442" s="700"/>
      <c r="F442" s="701">
        <f t="shared" si="84"/>
        <v>0</v>
      </c>
      <c r="G442" s="697">
        <v>143.28</v>
      </c>
      <c r="H442" s="592">
        <f t="shared" si="83"/>
        <v>0</v>
      </c>
      <c r="I442" s="595">
        <f t="shared" si="85"/>
        <v>0</v>
      </c>
      <c r="J442" s="352"/>
    </row>
    <row r="443" spans="1:10" ht="35.25" customHeight="1" x14ac:dyDescent="0.25">
      <c r="A443" s="1052"/>
      <c r="B443" s="438"/>
      <c r="C443" s="441" t="s">
        <v>472</v>
      </c>
      <c r="D443" s="667"/>
      <c r="E443" s="700"/>
      <c r="F443" s="701">
        <f t="shared" si="84"/>
        <v>0</v>
      </c>
      <c r="G443" s="697">
        <v>14.79</v>
      </c>
      <c r="H443" s="592">
        <f t="shared" si="83"/>
        <v>0</v>
      </c>
      <c r="I443" s="595">
        <f t="shared" si="85"/>
        <v>0</v>
      </c>
      <c r="J443" s="352"/>
    </row>
    <row r="444" spans="1:10" ht="35.25" customHeight="1" x14ac:dyDescent="0.25">
      <c r="A444" s="1052"/>
      <c r="B444" s="438"/>
      <c r="C444" s="441" t="s">
        <v>451</v>
      </c>
      <c r="D444" s="666" t="s">
        <v>177</v>
      </c>
      <c r="E444" s="700">
        <v>236544</v>
      </c>
      <c r="F444" s="701">
        <f t="shared" si="84"/>
        <v>498432</v>
      </c>
      <c r="G444" s="697">
        <v>14.55</v>
      </c>
      <c r="H444" s="592">
        <f t="shared" si="83"/>
        <v>3441715.2000000002</v>
      </c>
      <c r="I444" s="595">
        <f t="shared" si="85"/>
        <v>7252185.6000000006</v>
      </c>
      <c r="J444" s="352"/>
    </row>
    <row r="445" spans="1:10" ht="35.25" customHeight="1" x14ac:dyDescent="0.25">
      <c r="A445" s="1052"/>
      <c r="B445" s="438"/>
      <c r="C445" s="441" t="s">
        <v>327</v>
      </c>
      <c r="D445" s="667" t="s">
        <v>188</v>
      </c>
      <c r="E445" s="700"/>
      <c r="F445" s="701">
        <f t="shared" si="84"/>
        <v>0</v>
      </c>
      <c r="G445" s="697">
        <v>21.28</v>
      </c>
      <c r="H445" s="592">
        <f t="shared" si="83"/>
        <v>0</v>
      </c>
      <c r="I445" s="595">
        <f t="shared" si="85"/>
        <v>0</v>
      </c>
      <c r="J445" s="352"/>
    </row>
    <row r="446" spans="1:10" ht="35.25" customHeight="1" thickBot="1" x14ac:dyDescent="0.3">
      <c r="A446" s="1052"/>
      <c r="B446" s="438"/>
      <c r="C446" s="441" t="s">
        <v>336</v>
      </c>
      <c r="D446" s="668" t="s">
        <v>178</v>
      </c>
      <c r="E446" s="700"/>
      <c r="F446" s="676">
        <f t="shared" si="84"/>
        <v>0</v>
      </c>
      <c r="G446" s="697">
        <v>36.44</v>
      </c>
      <c r="H446" s="592">
        <f t="shared" si="83"/>
        <v>0</v>
      </c>
      <c r="I446" s="595">
        <f t="shared" si="85"/>
        <v>0</v>
      </c>
      <c r="J446" s="352"/>
    </row>
    <row r="447" spans="1:10" ht="35.25" customHeight="1" thickBot="1" x14ac:dyDescent="0.3">
      <c r="A447" s="1052"/>
      <c r="B447" s="1047" t="s">
        <v>266</v>
      </c>
      <c r="C447" s="1048"/>
      <c r="D447" s="791"/>
      <c r="E447" s="326">
        <f>SUM(E432:E446)</f>
        <v>236544</v>
      </c>
      <c r="F447" s="698">
        <f>SUM(F432:F446)</f>
        <v>535152</v>
      </c>
      <c r="G447" s="326"/>
      <c r="H447" s="587">
        <f>SUM(H432:H446)</f>
        <v>3441715.2000000002</v>
      </c>
      <c r="I447" s="580">
        <f>SUM(I432:I446)</f>
        <v>7943990.4000000004</v>
      </c>
      <c r="J447" s="349"/>
    </row>
    <row r="448" spans="1:10" ht="35.25" customHeight="1" x14ac:dyDescent="0.25">
      <c r="A448" s="1052"/>
      <c r="B448" s="789"/>
      <c r="C448" s="279" t="s">
        <v>271</v>
      </c>
      <c r="D448" s="434" t="s">
        <v>238</v>
      </c>
      <c r="E448" s="280"/>
      <c r="F448" s="435">
        <f>+E448+F355</f>
        <v>0</v>
      </c>
      <c r="G448" s="578">
        <v>160.44999999999999</v>
      </c>
      <c r="H448" s="593">
        <f t="shared" ref="H448:H453" si="86">E448*G448</f>
        <v>0</v>
      </c>
      <c r="I448" s="596">
        <f t="shared" ref="I448:I453" si="87">+G448*F448</f>
        <v>0</v>
      </c>
      <c r="J448" s="373"/>
    </row>
    <row r="449" spans="1:13" ht="35.25" customHeight="1" x14ac:dyDescent="0.25">
      <c r="A449" s="1052"/>
      <c r="B449" s="789"/>
      <c r="C449" s="279" t="s">
        <v>287</v>
      </c>
      <c r="D449" s="434" t="s">
        <v>93</v>
      </c>
      <c r="E449" s="280"/>
      <c r="F449" s="435">
        <f t="shared" ref="F449:F453" si="88">+E449+F356</f>
        <v>37620</v>
      </c>
      <c r="G449" s="578">
        <v>27</v>
      </c>
      <c r="H449" s="593">
        <f t="shared" si="86"/>
        <v>0</v>
      </c>
      <c r="I449" s="596">
        <f t="shared" si="87"/>
        <v>1015740</v>
      </c>
      <c r="J449" s="373"/>
    </row>
    <row r="450" spans="1:13" ht="35.25" customHeight="1" x14ac:dyDescent="0.25">
      <c r="A450" s="1052"/>
      <c r="B450" s="789"/>
      <c r="C450" s="279" t="s">
        <v>287</v>
      </c>
      <c r="D450" s="434" t="s">
        <v>292</v>
      </c>
      <c r="E450" s="280"/>
      <c r="F450" s="435">
        <f t="shared" si="88"/>
        <v>0</v>
      </c>
      <c r="G450" s="578">
        <v>27.5</v>
      </c>
      <c r="H450" s="593">
        <f t="shared" si="86"/>
        <v>0</v>
      </c>
      <c r="I450" s="596">
        <f t="shared" si="87"/>
        <v>0</v>
      </c>
      <c r="J450" s="373"/>
    </row>
    <row r="451" spans="1:13" ht="35.25" customHeight="1" x14ac:dyDescent="0.25">
      <c r="A451" s="1052"/>
      <c r="B451" s="789"/>
      <c r="C451" s="279" t="s">
        <v>276</v>
      </c>
      <c r="D451" s="434" t="s">
        <v>292</v>
      </c>
      <c r="E451" s="280"/>
      <c r="F451" s="435">
        <f t="shared" si="88"/>
        <v>0</v>
      </c>
      <c r="G451" s="578">
        <v>34.5</v>
      </c>
      <c r="H451" s="593">
        <f t="shared" si="86"/>
        <v>0</v>
      </c>
      <c r="I451" s="596">
        <f t="shared" si="87"/>
        <v>0</v>
      </c>
      <c r="J451" s="373"/>
    </row>
    <row r="452" spans="1:13" ht="35.25" customHeight="1" x14ac:dyDescent="0.25">
      <c r="A452" s="1052"/>
      <c r="B452" s="789"/>
      <c r="C452" s="279" t="s">
        <v>473</v>
      </c>
      <c r="D452" s="434" t="s">
        <v>440</v>
      </c>
      <c r="E452" s="280"/>
      <c r="F452" s="435">
        <f t="shared" si="88"/>
        <v>0</v>
      </c>
      <c r="G452" s="578">
        <v>10.57</v>
      </c>
      <c r="H452" s="593">
        <f t="shared" si="86"/>
        <v>0</v>
      </c>
      <c r="I452" s="596">
        <f t="shared" si="87"/>
        <v>0</v>
      </c>
      <c r="J452" s="373"/>
    </row>
    <row r="453" spans="1:13" ht="35.25" customHeight="1" thickBot="1" x14ac:dyDescent="0.3">
      <c r="A453" s="1052"/>
      <c r="B453" s="789"/>
      <c r="C453" s="279" t="s">
        <v>276</v>
      </c>
      <c r="D453" s="434" t="s">
        <v>440</v>
      </c>
      <c r="E453" s="280"/>
      <c r="F453" s="435">
        <f t="shared" si="88"/>
        <v>0</v>
      </c>
      <c r="G453" s="578">
        <v>55.76</v>
      </c>
      <c r="H453" s="593">
        <f t="shared" si="86"/>
        <v>0</v>
      </c>
      <c r="I453" s="596">
        <f t="shared" si="87"/>
        <v>0</v>
      </c>
      <c r="J453" s="373"/>
    </row>
    <row r="454" spans="1:13" ht="35.25" customHeight="1" thickBot="1" x14ac:dyDescent="0.3">
      <c r="A454" s="1052"/>
      <c r="B454" s="1047" t="s">
        <v>267</v>
      </c>
      <c r="C454" s="1048"/>
      <c r="D454" s="791"/>
      <c r="E454" s="326">
        <f>SUM(E448:E453)</f>
        <v>0</v>
      </c>
      <c r="F454" s="326">
        <f>SUM(F448:F453)</f>
        <v>37620</v>
      </c>
      <c r="G454" s="326"/>
      <c r="H454" s="587">
        <f>SUM(H448:H453)</f>
        <v>0</v>
      </c>
      <c r="I454" s="580">
        <f>SUM(I448:I453)</f>
        <v>1015740</v>
      </c>
      <c r="J454" s="349"/>
    </row>
    <row r="455" spans="1:13" ht="35.25" customHeight="1" x14ac:dyDescent="0.25">
      <c r="A455" s="1052"/>
      <c r="B455" s="789"/>
      <c r="C455" s="279" t="s">
        <v>277</v>
      </c>
      <c r="D455" s="434" t="s">
        <v>278</v>
      </c>
      <c r="E455" s="280">
        <v>2</v>
      </c>
      <c r="F455" s="435">
        <f>+E455+F362</f>
        <v>3</v>
      </c>
      <c r="G455" s="578">
        <v>2500</v>
      </c>
      <c r="H455" s="593">
        <f t="shared" ref="H455:H458" si="89">E455*G455</f>
        <v>5000</v>
      </c>
      <c r="I455" s="596">
        <f>+G455*F455</f>
        <v>7500</v>
      </c>
      <c r="J455" s="373"/>
    </row>
    <row r="456" spans="1:13" ht="35.25" customHeight="1" x14ac:dyDescent="0.25">
      <c r="A456" s="1052"/>
      <c r="B456" s="789"/>
      <c r="C456" s="279" t="s">
        <v>454</v>
      </c>
      <c r="D456" s="434"/>
      <c r="E456" s="280"/>
      <c r="F456" s="435">
        <f t="shared" ref="F456:F458" si="90">+E456+F363</f>
        <v>0</v>
      </c>
      <c r="G456" s="578">
        <v>30000</v>
      </c>
      <c r="H456" s="593">
        <f t="shared" si="89"/>
        <v>0</v>
      </c>
      <c r="I456" s="596">
        <f>+G456*F456</f>
        <v>0</v>
      </c>
      <c r="J456" s="373"/>
    </row>
    <row r="457" spans="1:13" ht="35.25" customHeight="1" x14ac:dyDescent="0.25">
      <c r="A457" s="1052"/>
      <c r="B457" s="789"/>
      <c r="C457" s="279" t="s">
        <v>379</v>
      </c>
      <c r="D457" s="434" t="s">
        <v>304</v>
      </c>
      <c r="E457" s="280"/>
      <c r="F457" s="435">
        <f t="shared" si="90"/>
        <v>0</v>
      </c>
      <c r="G457" s="578">
        <v>360</v>
      </c>
      <c r="H457" s="593">
        <f t="shared" si="89"/>
        <v>0</v>
      </c>
      <c r="I457" s="596">
        <f>+G457*F457</f>
        <v>0</v>
      </c>
      <c r="J457" s="373"/>
    </row>
    <row r="458" spans="1:13" ht="35.25" customHeight="1" thickBot="1" x14ac:dyDescent="0.3">
      <c r="A458" s="1052"/>
      <c r="B458" s="789"/>
      <c r="C458" s="279" t="s">
        <v>427</v>
      </c>
      <c r="D458" s="434" t="s">
        <v>304</v>
      </c>
      <c r="E458" s="280"/>
      <c r="F458" s="435">
        <f t="shared" si="90"/>
        <v>0</v>
      </c>
      <c r="G458" s="579">
        <v>10</v>
      </c>
      <c r="H458" s="593">
        <f t="shared" si="89"/>
        <v>0</v>
      </c>
      <c r="I458" s="596">
        <f t="shared" ref="I458" si="91">+G458*F458</f>
        <v>0</v>
      </c>
      <c r="J458" s="373"/>
    </row>
    <row r="459" spans="1:13" ht="35.25" customHeight="1" thickBot="1" x14ac:dyDescent="0.3">
      <c r="A459" s="1052"/>
      <c r="B459" s="1047" t="s">
        <v>272</v>
      </c>
      <c r="C459" s="1048"/>
      <c r="D459" s="791"/>
      <c r="E459" s="326">
        <f>SUM(E455:E458)</f>
        <v>2</v>
      </c>
      <c r="F459" s="326">
        <f>SUM(F455:F458)</f>
        <v>3</v>
      </c>
      <c r="G459" s="326"/>
      <c r="H459" s="587">
        <f>SUM(H455:H458)</f>
        <v>5000</v>
      </c>
      <c r="I459" s="580">
        <f>SUM(I455:I458)</f>
        <v>7500</v>
      </c>
      <c r="J459" s="373"/>
    </row>
    <row r="460" spans="1:13" ht="35.25" customHeight="1" thickBot="1" x14ac:dyDescent="0.3">
      <c r="A460" s="1052"/>
      <c r="B460" s="789"/>
      <c r="C460" s="279"/>
      <c r="D460" s="434"/>
      <c r="E460" s="280"/>
      <c r="F460" s="317"/>
      <c r="G460" s="579"/>
      <c r="H460" s="588"/>
      <c r="I460" s="282"/>
      <c r="J460" s="373"/>
    </row>
    <row r="461" spans="1:13" ht="35.25" customHeight="1" thickBot="1" x14ac:dyDescent="0.3">
      <c r="A461" s="1053"/>
      <c r="B461" s="1047" t="s">
        <v>269</v>
      </c>
      <c r="C461" s="1048"/>
      <c r="D461" s="787"/>
      <c r="E461" s="326">
        <f>+E459+E454+E447</f>
        <v>236546</v>
      </c>
      <c r="F461" s="326">
        <f>+F459+F454+F447</f>
        <v>572775</v>
      </c>
      <c r="G461" s="326"/>
      <c r="H461" s="580">
        <f>+H454+H447+H459</f>
        <v>3446715.2</v>
      </c>
      <c r="I461" s="580">
        <f>+I454+I447+I459</f>
        <v>8967230.4000000004</v>
      </c>
      <c r="J461" s="373"/>
      <c r="K461" s="704"/>
      <c r="M461" s="704"/>
    </row>
    <row r="462" spans="1:13" ht="35.25" customHeight="1" x14ac:dyDescent="0.25">
      <c r="A462" s="1051" t="s">
        <v>101</v>
      </c>
      <c r="B462" s="789"/>
      <c r="C462" s="279" t="s">
        <v>281</v>
      </c>
      <c r="D462" s="434" t="s">
        <v>178</v>
      </c>
      <c r="E462" s="280"/>
      <c r="F462" s="435">
        <f>+E462+F369</f>
        <v>0</v>
      </c>
      <c r="G462" s="602">
        <v>13.25</v>
      </c>
      <c r="H462" s="597">
        <f t="shared" ref="H462:H490" si="92">E462*G462</f>
        <v>0</v>
      </c>
      <c r="I462" s="596">
        <f t="shared" ref="I462:I490" si="93">+G462*F462</f>
        <v>0</v>
      </c>
      <c r="J462" s="373"/>
      <c r="K462" s="704"/>
    </row>
    <row r="463" spans="1:13" ht="35.25" customHeight="1" x14ac:dyDescent="0.25">
      <c r="A463" s="1052"/>
      <c r="B463" s="789"/>
      <c r="C463" s="279" t="s">
        <v>282</v>
      </c>
      <c r="D463" s="434"/>
      <c r="E463" s="280"/>
      <c r="F463" s="435">
        <f t="shared" ref="F463:F490" si="94">+E463+F370</f>
        <v>0</v>
      </c>
      <c r="G463" s="603">
        <v>5000</v>
      </c>
      <c r="H463" s="597">
        <f t="shared" si="92"/>
        <v>0</v>
      </c>
      <c r="I463" s="596">
        <f t="shared" si="93"/>
        <v>0</v>
      </c>
      <c r="J463" s="373"/>
      <c r="K463" s="704"/>
    </row>
    <row r="464" spans="1:13" ht="35.25" customHeight="1" x14ac:dyDescent="0.25">
      <c r="A464" s="1052"/>
      <c r="B464" s="789"/>
      <c r="C464" s="279" t="s">
        <v>282</v>
      </c>
      <c r="D464" s="434"/>
      <c r="E464" s="280"/>
      <c r="F464" s="435">
        <f t="shared" si="94"/>
        <v>0</v>
      </c>
      <c r="G464" s="603">
        <v>18000</v>
      </c>
      <c r="H464" s="597">
        <f t="shared" si="92"/>
        <v>0</v>
      </c>
      <c r="I464" s="596">
        <f t="shared" si="93"/>
        <v>0</v>
      </c>
      <c r="J464" s="373"/>
    </row>
    <row r="465" spans="1:10" ht="35.25" customHeight="1" x14ac:dyDescent="0.25">
      <c r="A465" s="1052"/>
      <c r="B465" s="789"/>
      <c r="C465" s="279" t="s">
        <v>465</v>
      </c>
      <c r="D465" s="434" t="s">
        <v>338</v>
      </c>
      <c r="E465" s="280"/>
      <c r="F465" s="435">
        <f t="shared" si="94"/>
        <v>0</v>
      </c>
      <c r="G465" s="602">
        <v>24.93</v>
      </c>
      <c r="H465" s="597">
        <f t="shared" si="92"/>
        <v>0</v>
      </c>
      <c r="I465" s="596">
        <f t="shared" si="93"/>
        <v>0</v>
      </c>
      <c r="J465" s="373"/>
    </row>
    <row r="466" spans="1:10" ht="35.25" customHeight="1" x14ac:dyDescent="0.25">
      <c r="A466" s="1052"/>
      <c r="B466" s="789"/>
      <c r="C466" s="746" t="s">
        <v>466</v>
      </c>
      <c r="D466" s="747" t="s">
        <v>92</v>
      </c>
      <c r="E466" s="280"/>
      <c r="F466" s="435">
        <f t="shared" si="94"/>
        <v>0</v>
      </c>
      <c r="G466" s="602">
        <v>20.8</v>
      </c>
      <c r="H466" s="597">
        <f t="shared" si="92"/>
        <v>0</v>
      </c>
      <c r="I466" s="596">
        <f t="shared" si="93"/>
        <v>0</v>
      </c>
      <c r="J466" s="373"/>
    </row>
    <row r="467" spans="1:10" ht="35.25" customHeight="1" x14ac:dyDescent="0.25">
      <c r="A467" s="1052"/>
      <c r="B467" s="789"/>
      <c r="C467" s="746" t="s">
        <v>467</v>
      </c>
      <c r="D467" s="747" t="s">
        <v>468</v>
      </c>
      <c r="E467" s="280"/>
      <c r="F467" s="435">
        <f t="shared" si="94"/>
        <v>0</v>
      </c>
      <c r="G467" s="602">
        <v>24.93</v>
      </c>
      <c r="H467" s="597">
        <f t="shared" si="92"/>
        <v>0</v>
      </c>
      <c r="I467" s="596">
        <f t="shared" si="93"/>
        <v>0</v>
      </c>
      <c r="J467" s="373"/>
    </row>
    <row r="468" spans="1:10" ht="35.25" customHeight="1" x14ac:dyDescent="0.25">
      <c r="A468" s="1052"/>
      <c r="B468" s="789"/>
      <c r="C468" s="746" t="s">
        <v>467</v>
      </c>
      <c r="D468" s="747" t="s">
        <v>468</v>
      </c>
      <c r="E468" s="280"/>
      <c r="F468" s="435">
        <f t="shared" si="94"/>
        <v>0</v>
      </c>
      <c r="G468" s="602">
        <v>25.49</v>
      </c>
      <c r="H468" s="597">
        <f t="shared" si="92"/>
        <v>0</v>
      </c>
      <c r="I468" s="596">
        <f t="shared" si="93"/>
        <v>0</v>
      </c>
      <c r="J468" s="373"/>
    </row>
    <row r="469" spans="1:10" s="757" customFormat="1" ht="35.25" customHeight="1" x14ac:dyDescent="0.25">
      <c r="A469" s="1052"/>
      <c r="B469" s="748"/>
      <c r="C469" s="749" t="s">
        <v>469</v>
      </c>
      <c r="D469" s="750" t="s">
        <v>309</v>
      </c>
      <c r="E469" s="751"/>
      <c r="F469" s="752">
        <f t="shared" si="94"/>
        <v>0</v>
      </c>
      <c r="G469" s="753">
        <v>24.41</v>
      </c>
      <c r="H469" s="754">
        <f t="shared" si="92"/>
        <v>0</v>
      </c>
      <c r="I469" s="755">
        <f t="shared" si="93"/>
        <v>0</v>
      </c>
      <c r="J469" s="756"/>
    </row>
    <row r="470" spans="1:10" ht="35.25" customHeight="1" x14ac:dyDescent="0.25">
      <c r="A470" s="1052"/>
      <c r="B470" s="789"/>
      <c r="C470" s="279" t="s">
        <v>444</v>
      </c>
      <c r="D470" s="434" t="s">
        <v>423</v>
      </c>
      <c r="E470" s="280"/>
      <c r="F470" s="435">
        <f t="shared" si="94"/>
        <v>0</v>
      </c>
      <c r="G470" s="602">
        <v>20.76</v>
      </c>
      <c r="H470" s="597">
        <f t="shared" si="92"/>
        <v>0</v>
      </c>
      <c r="I470" s="596">
        <f t="shared" si="93"/>
        <v>0</v>
      </c>
      <c r="J470" s="373"/>
    </row>
    <row r="471" spans="1:10" ht="35.25" customHeight="1" x14ac:dyDescent="0.25">
      <c r="A471" s="1052"/>
      <c r="B471" s="789"/>
      <c r="C471" s="279" t="s">
        <v>298</v>
      </c>
      <c r="D471" s="434" t="s">
        <v>107</v>
      </c>
      <c r="E471" s="280"/>
      <c r="F471" s="435">
        <f t="shared" si="94"/>
        <v>0</v>
      </c>
      <c r="G471" s="602">
        <v>24.93</v>
      </c>
      <c r="H471" s="597">
        <f t="shared" si="92"/>
        <v>0</v>
      </c>
      <c r="I471" s="596">
        <f t="shared" si="93"/>
        <v>0</v>
      </c>
      <c r="J471" s="373"/>
    </row>
    <row r="472" spans="1:10" ht="35.25" customHeight="1" x14ac:dyDescent="0.25">
      <c r="A472" s="1052"/>
      <c r="B472" s="789"/>
      <c r="C472" s="279" t="s">
        <v>299</v>
      </c>
      <c r="D472" s="434" t="s">
        <v>280</v>
      </c>
      <c r="E472" s="280"/>
      <c r="F472" s="435">
        <f t="shared" si="94"/>
        <v>0</v>
      </c>
      <c r="G472" s="602">
        <v>24.93</v>
      </c>
      <c r="H472" s="597">
        <f t="shared" si="92"/>
        <v>0</v>
      </c>
      <c r="I472" s="596">
        <f t="shared" si="93"/>
        <v>0</v>
      </c>
      <c r="J472" s="373"/>
    </row>
    <row r="473" spans="1:10" ht="35.25" customHeight="1" x14ac:dyDescent="0.25">
      <c r="A473" s="1052"/>
      <c r="B473" s="789"/>
      <c r="C473" s="279" t="s">
        <v>425</v>
      </c>
      <c r="D473" s="434" t="s">
        <v>309</v>
      </c>
      <c r="E473" s="280"/>
      <c r="F473" s="435">
        <f t="shared" si="94"/>
        <v>0</v>
      </c>
      <c r="G473" s="602">
        <v>23.78</v>
      </c>
      <c r="H473" s="597">
        <f t="shared" si="92"/>
        <v>0</v>
      </c>
      <c r="I473" s="596">
        <f t="shared" si="93"/>
        <v>0</v>
      </c>
      <c r="J473" s="373"/>
    </row>
    <row r="474" spans="1:10" ht="35.25" customHeight="1" x14ac:dyDescent="0.25">
      <c r="A474" s="1052"/>
      <c r="B474" s="789"/>
      <c r="C474" s="279" t="s">
        <v>354</v>
      </c>
      <c r="D474" s="434" t="s">
        <v>309</v>
      </c>
      <c r="E474" s="280"/>
      <c r="F474" s="435">
        <f t="shared" si="94"/>
        <v>0</v>
      </c>
      <c r="G474" s="602">
        <v>37.4566666666</v>
      </c>
      <c r="H474" s="597">
        <f t="shared" si="92"/>
        <v>0</v>
      </c>
      <c r="I474" s="596">
        <f t="shared" si="93"/>
        <v>0</v>
      </c>
      <c r="J474" s="373"/>
    </row>
    <row r="475" spans="1:10" ht="35.25" customHeight="1" x14ac:dyDescent="0.25">
      <c r="A475" s="1052"/>
      <c r="B475" s="789"/>
      <c r="C475" s="279" t="s">
        <v>355</v>
      </c>
      <c r="D475" s="434" t="s">
        <v>309</v>
      </c>
      <c r="E475" s="280"/>
      <c r="F475" s="435">
        <f t="shared" si="94"/>
        <v>0</v>
      </c>
      <c r="G475" s="602">
        <v>37.89</v>
      </c>
      <c r="H475" s="597">
        <f t="shared" si="92"/>
        <v>0</v>
      </c>
      <c r="I475" s="596">
        <f t="shared" si="93"/>
        <v>0</v>
      </c>
      <c r="J475" s="373"/>
    </row>
    <row r="476" spans="1:10" ht="35.25" customHeight="1" x14ac:dyDescent="0.25">
      <c r="A476" s="1052"/>
      <c r="B476" s="789"/>
      <c r="C476" s="279" t="s">
        <v>461</v>
      </c>
      <c r="D476" s="434" t="s">
        <v>92</v>
      </c>
      <c r="E476" s="280"/>
      <c r="F476" s="435">
        <f t="shared" si="94"/>
        <v>0</v>
      </c>
      <c r="G476" s="602">
        <v>28.31</v>
      </c>
      <c r="H476" s="597">
        <f t="shared" si="92"/>
        <v>0</v>
      </c>
      <c r="I476" s="596">
        <f t="shared" si="93"/>
        <v>0</v>
      </c>
      <c r="J476" s="373"/>
    </row>
    <row r="477" spans="1:10" ht="35.25" customHeight="1" x14ac:dyDescent="0.25">
      <c r="A477" s="1052"/>
      <c r="B477" s="789"/>
      <c r="C477" s="279" t="s">
        <v>461</v>
      </c>
      <c r="D477" s="434" t="s">
        <v>423</v>
      </c>
      <c r="E477" s="280"/>
      <c r="F477" s="435">
        <f t="shared" si="94"/>
        <v>0</v>
      </c>
      <c r="G477" s="602">
        <v>28.88</v>
      </c>
      <c r="H477" s="597">
        <f t="shared" si="92"/>
        <v>0</v>
      </c>
      <c r="I477" s="596">
        <f t="shared" si="93"/>
        <v>0</v>
      </c>
      <c r="J477" s="373"/>
    </row>
    <row r="478" spans="1:10" ht="35.25" customHeight="1" x14ac:dyDescent="0.25">
      <c r="A478" s="1052"/>
      <c r="B478" s="789"/>
      <c r="C478" s="279" t="s">
        <v>462</v>
      </c>
      <c r="D478" s="434" t="s">
        <v>423</v>
      </c>
      <c r="E478" s="280"/>
      <c r="F478" s="435">
        <f t="shared" si="94"/>
        <v>0</v>
      </c>
      <c r="G478" s="602">
        <v>28.21</v>
      </c>
      <c r="H478" s="597">
        <f t="shared" si="92"/>
        <v>0</v>
      </c>
      <c r="I478" s="596">
        <f t="shared" si="93"/>
        <v>0</v>
      </c>
      <c r="J478" s="373"/>
    </row>
    <row r="479" spans="1:10" ht="35.25" customHeight="1" x14ac:dyDescent="0.25">
      <c r="A479" s="1052"/>
      <c r="B479" s="789"/>
      <c r="C479" s="279" t="s">
        <v>463</v>
      </c>
      <c r="D479" s="434" t="s">
        <v>338</v>
      </c>
      <c r="E479" s="280"/>
      <c r="F479" s="435">
        <f t="shared" si="94"/>
        <v>0</v>
      </c>
      <c r="G479" s="602">
        <v>39</v>
      </c>
      <c r="H479" s="597">
        <f t="shared" si="92"/>
        <v>0</v>
      </c>
      <c r="I479" s="596">
        <f t="shared" si="93"/>
        <v>0</v>
      </c>
      <c r="J479" s="373"/>
    </row>
    <row r="480" spans="1:10" ht="35.25" customHeight="1" x14ac:dyDescent="0.25">
      <c r="A480" s="1052"/>
      <c r="B480" s="789"/>
      <c r="C480" s="279" t="s">
        <v>463</v>
      </c>
      <c r="D480" s="434" t="s">
        <v>92</v>
      </c>
      <c r="E480" s="280"/>
      <c r="F480" s="435">
        <f t="shared" si="94"/>
        <v>0</v>
      </c>
      <c r="G480" s="602">
        <v>32.65</v>
      </c>
      <c r="H480" s="597">
        <f t="shared" si="92"/>
        <v>0</v>
      </c>
      <c r="I480" s="596">
        <f t="shared" si="93"/>
        <v>0</v>
      </c>
      <c r="J480" s="373"/>
    </row>
    <row r="481" spans="1:10" ht="35.25" customHeight="1" x14ac:dyDescent="0.25">
      <c r="A481" s="1052"/>
      <c r="B481" s="789"/>
      <c r="C481" s="279" t="s">
        <v>463</v>
      </c>
      <c r="D481" s="434" t="s">
        <v>423</v>
      </c>
      <c r="E481" s="280"/>
      <c r="F481" s="435">
        <f t="shared" si="94"/>
        <v>0</v>
      </c>
      <c r="G481" s="602">
        <v>33.299999999999997</v>
      </c>
      <c r="H481" s="597">
        <f t="shared" si="92"/>
        <v>0</v>
      </c>
      <c r="I481" s="596">
        <f t="shared" si="93"/>
        <v>0</v>
      </c>
      <c r="J481" s="373"/>
    </row>
    <row r="482" spans="1:10" ht="35.25" customHeight="1" x14ac:dyDescent="0.25">
      <c r="A482" s="1052"/>
      <c r="B482" s="789"/>
      <c r="C482" s="279" t="s">
        <v>299</v>
      </c>
      <c r="D482" s="434" t="s">
        <v>279</v>
      </c>
      <c r="E482" s="280"/>
      <c r="F482" s="435">
        <f t="shared" si="94"/>
        <v>0</v>
      </c>
      <c r="G482" s="602">
        <v>24.93</v>
      </c>
      <c r="H482" s="597">
        <f t="shared" si="92"/>
        <v>0</v>
      </c>
      <c r="I482" s="596">
        <f t="shared" si="93"/>
        <v>0</v>
      </c>
      <c r="J482" s="373"/>
    </row>
    <row r="483" spans="1:10" ht="35.25" customHeight="1" x14ac:dyDescent="0.25">
      <c r="A483" s="1052"/>
      <c r="B483" s="789"/>
      <c r="C483" s="279" t="s">
        <v>299</v>
      </c>
      <c r="D483" s="434"/>
      <c r="E483" s="280"/>
      <c r="F483" s="435">
        <f t="shared" si="94"/>
        <v>0</v>
      </c>
      <c r="G483" s="602">
        <v>24.93</v>
      </c>
      <c r="H483" s="597">
        <f t="shared" si="92"/>
        <v>0</v>
      </c>
      <c r="I483" s="596">
        <f t="shared" si="93"/>
        <v>0</v>
      </c>
      <c r="J483" s="373"/>
    </row>
    <row r="484" spans="1:10" ht="35.25" customHeight="1" x14ac:dyDescent="0.25">
      <c r="A484" s="1052"/>
      <c r="B484" s="789"/>
      <c r="C484" s="279" t="s">
        <v>316</v>
      </c>
      <c r="D484" s="434" t="s">
        <v>289</v>
      </c>
      <c r="E484" s="280"/>
      <c r="F484" s="435">
        <f t="shared" si="94"/>
        <v>0</v>
      </c>
      <c r="G484" s="602">
        <v>34.26</v>
      </c>
      <c r="H484" s="597">
        <f t="shared" si="92"/>
        <v>0</v>
      </c>
      <c r="I484" s="596">
        <f t="shared" si="93"/>
        <v>0</v>
      </c>
      <c r="J484" s="373"/>
    </row>
    <row r="485" spans="1:10" ht="35.25" customHeight="1" x14ac:dyDescent="0.25">
      <c r="A485" s="1052"/>
      <c r="B485" s="789"/>
      <c r="C485" s="279" t="s">
        <v>328</v>
      </c>
      <c r="D485" s="434" t="s">
        <v>360</v>
      </c>
      <c r="E485" s="280"/>
      <c r="F485" s="435">
        <f t="shared" si="94"/>
        <v>0</v>
      </c>
      <c r="G485" s="602">
        <v>37.89</v>
      </c>
      <c r="H485" s="597">
        <f t="shared" si="92"/>
        <v>0</v>
      </c>
      <c r="I485" s="596">
        <f t="shared" si="93"/>
        <v>0</v>
      </c>
      <c r="J485" s="373"/>
    </row>
    <row r="486" spans="1:10" ht="35.25" customHeight="1" x14ac:dyDescent="0.25">
      <c r="A486" s="1052"/>
      <c r="B486" s="789"/>
      <c r="C486" s="279" t="s">
        <v>363</v>
      </c>
      <c r="D486" s="434" t="s">
        <v>338</v>
      </c>
      <c r="E486" s="280"/>
      <c r="F486" s="435">
        <f t="shared" si="94"/>
        <v>0</v>
      </c>
      <c r="G486" s="602">
        <v>39</v>
      </c>
      <c r="H486" s="597">
        <f t="shared" si="92"/>
        <v>0</v>
      </c>
      <c r="I486" s="596">
        <f t="shared" si="93"/>
        <v>0</v>
      </c>
      <c r="J486" s="373"/>
    </row>
    <row r="487" spans="1:10" ht="35.25" customHeight="1" x14ac:dyDescent="0.25">
      <c r="A487" s="1052"/>
      <c r="B487" s="789"/>
      <c r="C487" s="279" t="s">
        <v>299</v>
      </c>
      <c r="D487" s="434" t="s">
        <v>177</v>
      </c>
      <c r="E487" s="280"/>
      <c r="F487" s="435">
        <f t="shared" si="94"/>
        <v>0</v>
      </c>
      <c r="G487" s="602">
        <v>21.22</v>
      </c>
      <c r="H487" s="597">
        <f t="shared" si="92"/>
        <v>0</v>
      </c>
      <c r="I487" s="596">
        <f t="shared" si="93"/>
        <v>0</v>
      </c>
      <c r="J487" s="373"/>
    </row>
    <row r="488" spans="1:10" ht="35.25" customHeight="1" x14ac:dyDescent="0.25">
      <c r="A488" s="1052"/>
      <c r="B488" s="789"/>
      <c r="C488" s="279" t="s">
        <v>298</v>
      </c>
      <c r="D488" s="434" t="s">
        <v>177</v>
      </c>
      <c r="E488" s="280"/>
      <c r="F488" s="435">
        <f t="shared" si="94"/>
        <v>0</v>
      </c>
      <c r="G488" s="602">
        <v>21.22</v>
      </c>
      <c r="H488" s="597">
        <f t="shared" si="92"/>
        <v>0</v>
      </c>
      <c r="I488" s="596">
        <f t="shared" si="93"/>
        <v>0</v>
      </c>
      <c r="J488" s="373"/>
    </row>
    <row r="489" spans="1:10" ht="35.25" customHeight="1" x14ac:dyDescent="0.25">
      <c r="A489" s="1052"/>
      <c r="B489" s="789"/>
      <c r="C489" s="279" t="s">
        <v>339</v>
      </c>
      <c r="D489" s="434" t="s">
        <v>304</v>
      </c>
      <c r="E489" s="280"/>
      <c r="F489" s="435">
        <f t="shared" si="94"/>
        <v>0</v>
      </c>
      <c r="G489" s="602">
        <v>10000</v>
      </c>
      <c r="H489" s="597">
        <f t="shared" si="92"/>
        <v>0</v>
      </c>
      <c r="I489" s="596">
        <f t="shared" si="93"/>
        <v>0</v>
      </c>
      <c r="J489" s="373"/>
    </row>
    <row r="490" spans="1:10" ht="35.25" customHeight="1" thickBot="1" x14ac:dyDescent="0.3">
      <c r="A490" s="1052"/>
      <c r="B490" s="789"/>
      <c r="C490" s="279" t="s">
        <v>303</v>
      </c>
      <c r="D490" s="434" t="s">
        <v>304</v>
      </c>
      <c r="E490" s="280"/>
      <c r="F490" s="435">
        <f t="shared" si="94"/>
        <v>0</v>
      </c>
      <c r="G490" s="602">
        <v>360</v>
      </c>
      <c r="H490" s="597">
        <f t="shared" si="92"/>
        <v>0</v>
      </c>
      <c r="I490" s="596">
        <f t="shared" si="93"/>
        <v>0</v>
      </c>
      <c r="J490" s="373"/>
    </row>
    <row r="491" spans="1:10" ht="35.25" customHeight="1" thickBot="1" x14ac:dyDescent="0.3">
      <c r="A491" s="1053"/>
      <c r="B491" s="1047" t="s">
        <v>268</v>
      </c>
      <c r="C491" s="1048"/>
      <c r="D491" s="791"/>
      <c r="E491" s="326">
        <f>SUM(E462:E490)</f>
        <v>0</v>
      </c>
      <c r="F491" s="326">
        <f>SUM(F462:F490)</f>
        <v>0</v>
      </c>
      <c r="G491" s="326"/>
      <c r="H491" s="587">
        <f>SUM(H462:H490)</f>
        <v>0</v>
      </c>
      <c r="I491" s="580">
        <f>SUM(I462:I490)</f>
        <v>0</v>
      </c>
      <c r="J491" s="373"/>
    </row>
    <row r="492" spans="1:10" ht="35.25" customHeight="1" x14ac:dyDescent="0.25">
      <c r="A492" s="1051" t="s">
        <v>102</v>
      </c>
      <c r="B492" s="789"/>
      <c r="C492" s="279" t="s">
        <v>509</v>
      </c>
      <c r="D492" s="434" t="s">
        <v>238</v>
      </c>
      <c r="E492" s="280">
        <v>3400</v>
      </c>
      <c r="F492" s="435">
        <f t="shared" ref="F492:F516" si="95">+E492+F399</f>
        <v>3400</v>
      </c>
      <c r="G492" s="803">
        <v>624.26</v>
      </c>
      <c r="H492" s="593">
        <f>E492*G492</f>
        <v>2122484</v>
      </c>
      <c r="I492" s="596">
        <f t="shared" ref="I492:I513" si="96">+G492*F492</f>
        <v>2122484</v>
      </c>
      <c r="J492" s="373"/>
    </row>
    <row r="493" spans="1:10" ht="35.25" customHeight="1" x14ac:dyDescent="0.25">
      <c r="A493" s="1052"/>
      <c r="B493" s="789"/>
      <c r="C493" s="279" t="s">
        <v>274</v>
      </c>
      <c r="D493" s="434" t="s">
        <v>238</v>
      </c>
      <c r="E493" s="280"/>
      <c r="F493" s="435">
        <f t="shared" si="95"/>
        <v>0</v>
      </c>
      <c r="G493" s="602">
        <v>445.38</v>
      </c>
      <c r="H493" s="593">
        <f t="shared" ref="H493:H513" si="97">E493*G493</f>
        <v>0</v>
      </c>
      <c r="I493" s="596">
        <f t="shared" si="96"/>
        <v>0</v>
      </c>
      <c r="J493" s="373"/>
    </row>
    <row r="494" spans="1:10" ht="35.25" customHeight="1" x14ac:dyDescent="0.25">
      <c r="A494" s="1052"/>
      <c r="B494" s="789"/>
      <c r="C494" s="279" t="s">
        <v>390</v>
      </c>
      <c r="D494" s="434" t="s">
        <v>238</v>
      </c>
      <c r="E494" s="280"/>
      <c r="F494" s="435">
        <f t="shared" si="95"/>
        <v>0</v>
      </c>
      <c r="G494" s="602">
        <v>445.38</v>
      </c>
      <c r="H494" s="593">
        <f t="shared" si="97"/>
        <v>0</v>
      </c>
      <c r="I494" s="596">
        <f t="shared" si="96"/>
        <v>0</v>
      </c>
      <c r="J494" s="373"/>
    </row>
    <row r="495" spans="1:10" ht="35.25" customHeight="1" x14ac:dyDescent="0.25">
      <c r="A495" s="1052"/>
      <c r="B495" s="789"/>
      <c r="C495" s="279" t="s">
        <v>301</v>
      </c>
      <c r="D495" s="434" t="s">
        <v>238</v>
      </c>
      <c r="E495" s="280"/>
      <c r="F495" s="435">
        <f t="shared" si="95"/>
        <v>0</v>
      </c>
      <c r="G495" s="602">
        <v>63.55</v>
      </c>
      <c r="H495" s="593">
        <f t="shared" si="97"/>
        <v>0</v>
      </c>
      <c r="I495" s="596">
        <f t="shared" si="96"/>
        <v>0</v>
      </c>
      <c r="J495" s="373"/>
    </row>
    <row r="496" spans="1:10" ht="35.25" customHeight="1" x14ac:dyDescent="0.25">
      <c r="A496" s="1052"/>
      <c r="B496" s="789"/>
      <c r="C496" s="279" t="s">
        <v>275</v>
      </c>
      <c r="D496" s="434" t="s">
        <v>238</v>
      </c>
      <c r="E496" s="280"/>
      <c r="F496" s="435">
        <f t="shared" si="95"/>
        <v>10080</v>
      </c>
      <c r="G496" s="602">
        <v>71.44</v>
      </c>
      <c r="H496" s="593">
        <f t="shared" si="97"/>
        <v>0</v>
      </c>
      <c r="I496" s="596">
        <f t="shared" si="96"/>
        <v>720115.19999999995</v>
      </c>
      <c r="J496" s="373"/>
    </row>
    <row r="497" spans="1:10" ht="35.25" customHeight="1" x14ac:dyDescent="0.25">
      <c r="A497" s="1052"/>
      <c r="B497" s="789"/>
      <c r="C497" s="279" t="s">
        <v>276</v>
      </c>
      <c r="D497" s="434" t="s">
        <v>238</v>
      </c>
      <c r="E497" s="280"/>
      <c r="F497" s="435">
        <f t="shared" si="95"/>
        <v>0</v>
      </c>
      <c r="G497" s="602">
        <v>36.5</v>
      </c>
      <c r="H497" s="593">
        <f t="shared" si="97"/>
        <v>0</v>
      </c>
      <c r="I497" s="596">
        <f t="shared" si="96"/>
        <v>0</v>
      </c>
      <c r="J497" s="373"/>
    </row>
    <row r="498" spans="1:10" ht="35.25" customHeight="1" x14ac:dyDescent="0.25">
      <c r="A498" s="1052"/>
      <c r="B498" s="789"/>
      <c r="C498" s="279" t="s">
        <v>426</v>
      </c>
      <c r="D498" s="434" t="s">
        <v>238</v>
      </c>
      <c r="E498" s="280"/>
      <c r="F498" s="435">
        <f t="shared" si="95"/>
        <v>0</v>
      </c>
      <c r="G498" s="602">
        <v>320.35000000000002</v>
      </c>
      <c r="H498" s="593">
        <f t="shared" si="97"/>
        <v>0</v>
      </c>
      <c r="I498" s="596">
        <f t="shared" si="96"/>
        <v>0</v>
      </c>
      <c r="J498" s="373"/>
    </row>
    <row r="499" spans="1:10" ht="35.25" customHeight="1" x14ac:dyDescent="0.25">
      <c r="A499" s="1052"/>
      <c r="B499" s="789"/>
      <c r="C499" s="279" t="s">
        <v>285</v>
      </c>
      <c r="D499" s="434" t="s">
        <v>238</v>
      </c>
      <c r="E499" s="280"/>
      <c r="F499" s="435">
        <f t="shared" si="95"/>
        <v>0</v>
      </c>
      <c r="G499" s="602">
        <v>320.35000000000002</v>
      </c>
      <c r="H499" s="593">
        <f t="shared" si="97"/>
        <v>0</v>
      </c>
      <c r="I499" s="596">
        <f t="shared" si="96"/>
        <v>0</v>
      </c>
      <c r="J499" s="373"/>
    </row>
    <row r="500" spans="1:10" ht="35.25" customHeight="1" x14ac:dyDescent="0.25">
      <c r="A500" s="1052"/>
      <c r="B500" s="789"/>
      <c r="C500" s="279" t="s">
        <v>296</v>
      </c>
      <c r="D500" s="434" t="s">
        <v>238</v>
      </c>
      <c r="E500" s="280"/>
      <c r="F500" s="435">
        <f t="shared" si="95"/>
        <v>0</v>
      </c>
      <c r="G500" s="602">
        <v>434.41</v>
      </c>
      <c r="H500" s="593">
        <f t="shared" si="97"/>
        <v>0</v>
      </c>
      <c r="I500" s="596">
        <f t="shared" si="96"/>
        <v>0</v>
      </c>
      <c r="J500" s="373"/>
    </row>
    <row r="501" spans="1:10" ht="35.25" customHeight="1" x14ac:dyDescent="0.25">
      <c r="A501" s="1052"/>
      <c r="B501" s="789"/>
      <c r="C501" s="279" t="s">
        <v>282</v>
      </c>
      <c r="D501" s="434" t="s">
        <v>238</v>
      </c>
      <c r="E501" s="280"/>
      <c r="F501" s="435">
        <f t="shared" si="95"/>
        <v>0</v>
      </c>
      <c r="G501" s="602">
        <v>29690</v>
      </c>
      <c r="H501" s="593">
        <f t="shared" si="97"/>
        <v>0</v>
      </c>
      <c r="I501" s="596">
        <f t="shared" si="96"/>
        <v>0</v>
      </c>
      <c r="J501" s="373"/>
    </row>
    <row r="502" spans="1:10" ht="35.25" customHeight="1" x14ac:dyDescent="0.25">
      <c r="A502" s="1052"/>
      <c r="B502" s="789"/>
      <c r="C502" s="279" t="s">
        <v>282</v>
      </c>
      <c r="D502" s="434" t="s">
        <v>238</v>
      </c>
      <c r="E502" s="280"/>
      <c r="F502" s="435">
        <f t="shared" si="95"/>
        <v>0</v>
      </c>
      <c r="G502" s="602">
        <v>26445</v>
      </c>
      <c r="H502" s="593">
        <f t="shared" si="97"/>
        <v>0</v>
      </c>
      <c r="I502" s="596">
        <f t="shared" si="96"/>
        <v>0</v>
      </c>
      <c r="J502" s="373"/>
    </row>
    <row r="503" spans="1:10" ht="35.25" customHeight="1" x14ac:dyDescent="0.25">
      <c r="A503" s="1052"/>
      <c r="B503" s="789"/>
      <c r="C503" s="279" t="s">
        <v>282</v>
      </c>
      <c r="D503" s="434"/>
      <c r="E503" s="280"/>
      <c r="F503" s="435">
        <f t="shared" si="95"/>
        <v>0</v>
      </c>
      <c r="G503" s="602">
        <v>33947.884599999998</v>
      </c>
      <c r="H503" s="593">
        <f t="shared" si="97"/>
        <v>0</v>
      </c>
      <c r="I503" s="596">
        <f t="shared" si="96"/>
        <v>0</v>
      </c>
      <c r="J503" s="373"/>
    </row>
    <row r="504" spans="1:10" ht="35.25" customHeight="1" x14ac:dyDescent="0.25">
      <c r="A504" s="1052"/>
      <c r="B504" s="789"/>
      <c r="C504" s="279" t="s">
        <v>311</v>
      </c>
      <c r="D504" s="434" t="s">
        <v>337</v>
      </c>
      <c r="E504" s="280"/>
      <c r="F504" s="435">
        <f t="shared" si="95"/>
        <v>0</v>
      </c>
      <c r="G504" s="602">
        <v>50</v>
      </c>
      <c r="H504" s="593">
        <f t="shared" si="97"/>
        <v>0</v>
      </c>
      <c r="I504" s="596">
        <f t="shared" si="96"/>
        <v>0</v>
      </c>
      <c r="J504" s="373"/>
    </row>
    <row r="505" spans="1:10" ht="35.25" customHeight="1" x14ac:dyDescent="0.25">
      <c r="A505" s="1052"/>
      <c r="B505" s="789"/>
      <c r="C505" s="279" t="s">
        <v>311</v>
      </c>
      <c r="D505" s="434"/>
      <c r="E505" s="280"/>
      <c r="F505" s="435">
        <f t="shared" si="95"/>
        <v>0</v>
      </c>
      <c r="G505" s="602">
        <v>10</v>
      </c>
      <c r="H505" s="593">
        <f t="shared" si="97"/>
        <v>0</v>
      </c>
      <c r="I505" s="596">
        <f t="shared" si="96"/>
        <v>0</v>
      </c>
      <c r="J505" s="373"/>
    </row>
    <row r="506" spans="1:10" ht="35.25" customHeight="1" x14ac:dyDescent="0.25">
      <c r="A506" s="1052"/>
      <c r="B506" s="789"/>
      <c r="C506" s="279" t="s">
        <v>329</v>
      </c>
      <c r="D506" s="434" t="s">
        <v>370</v>
      </c>
      <c r="E506" s="280"/>
      <c r="F506" s="435">
        <f t="shared" si="95"/>
        <v>0</v>
      </c>
      <c r="G506" s="602">
        <v>57.64</v>
      </c>
      <c r="H506" s="593">
        <f t="shared" si="97"/>
        <v>0</v>
      </c>
      <c r="I506" s="596">
        <f t="shared" si="96"/>
        <v>0</v>
      </c>
      <c r="J506" s="373"/>
    </row>
    <row r="507" spans="1:10" ht="35.25" customHeight="1" x14ac:dyDescent="0.25">
      <c r="A507" s="1052"/>
      <c r="B507" s="789"/>
      <c r="C507" s="279" t="s">
        <v>329</v>
      </c>
      <c r="D507" s="434" t="s">
        <v>364</v>
      </c>
      <c r="E507" s="280"/>
      <c r="F507" s="435">
        <f t="shared" si="95"/>
        <v>0</v>
      </c>
      <c r="G507" s="602">
        <v>57.64</v>
      </c>
      <c r="H507" s="593">
        <f t="shared" si="97"/>
        <v>0</v>
      </c>
      <c r="I507" s="596">
        <f t="shared" si="96"/>
        <v>0</v>
      </c>
      <c r="J507" s="373"/>
    </row>
    <row r="508" spans="1:10" ht="35.25" customHeight="1" x14ac:dyDescent="0.25">
      <c r="A508" s="1052"/>
      <c r="B508" s="789"/>
      <c r="C508" s="279" t="s">
        <v>330</v>
      </c>
      <c r="D508" s="434" t="s">
        <v>331</v>
      </c>
      <c r="E508" s="280"/>
      <c r="F508" s="435">
        <f t="shared" si="95"/>
        <v>0</v>
      </c>
      <c r="G508" s="602">
        <v>434.41</v>
      </c>
      <c r="H508" s="593">
        <f t="shared" si="97"/>
        <v>0</v>
      </c>
      <c r="I508" s="596">
        <f t="shared" si="96"/>
        <v>0</v>
      </c>
      <c r="J508" s="373"/>
    </row>
    <row r="509" spans="1:10" ht="35.25" customHeight="1" x14ac:dyDescent="0.25">
      <c r="A509" s="1052"/>
      <c r="B509" s="789"/>
      <c r="C509" s="279" t="s">
        <v>343</v>
      </c>
      <c r="D509" s="434" t="s">
        <v>238</v>
      </c>
      <c r="E509" s="280"/>
      <c r="F509" s="435">
        <f t="shared" si="95"/>
        <v>0</v>
      </c>
      <c r="G509" s="602">
        <v>624.26</v>
      </c>
      <c r="H509" s="593">
        <f t="shared" si="97"/>
        <v>0</v>
      </c>
      <c r="I509" s="596">
        <f t="shared" si="96"/>
        <v>0</v>
      </c>
      <c r="J509" s="373"/>
    </row>
    <row r="510" spans="1:10" ht="35.25" customHeight="1" x14ac:dyDescent="0.25">
      <c r="A510" s="1052"/>
      <c r="B510" s="789"/>
      <c r="C510" s="279" t="s">
        <v>332</v>
      </c>
      <c r="D510" s="434" t="s">
        <v>331</v>
      </c>
      <c r="E510" s="280"/>
      <c r="F510" s="435">
        <f t="shared" si="95"/>
        <v>0</v>
      </c>
      <c r="G510" s="602">
        <v>63.55</v>
      </c>
      <c r="H510" s="593">
        <f t="shared" si="97"/>
        <v>0</v>
      </c>
      <c r="I510" s="596">
        <f t="shared" si="96"/>
        <v>0</v>
      </c>
      <c r="J510" s="373"/>
    </row>
    <row r="511" spans="1:10" ht="35.25" customHeight="1" x14ac:dyDescent="0.25">
      <c r="A511" s="1052"/>
      <c r="B511" s="789"/>
      <c r="C511" s="279" t="s">
        <v>371</v>
      </c>
      <c r="D511" s="434" t="s">
        <v>238</v>
      </c>
      <c r="E511" s="280"/>
      <c r="F511" s="435">
        <f t="shared" si="95"/>
        <v>0</v>
      </c>
      <c r="G511" s="602">
        <v>59.96</v>
      </c>
      <c r="H511" s="593">
        <f t="shared" si="97"/>
        <v>0</v>
      </c>
      <c r="I511" s="596">
        <f t="shared" si="96"/>
        <v>0</v>
      </c>
      <c r="J511" s="373"/>
    </row>
    <row r="512" spans="1:10" ht="35.25" customHeight="1" x14ac:dyDescent="0.25">
      <c r="A512" s="1052"/>
      <c r="B512" s="789"/>
      <c r="C512" s="279" t="s">
        <v>419</v>
      </c>
      <c r="D512" s="434" t="s">
        <v>331</v>
      </c>
      <c r="E512" s="280"/>
      <c r="F512" s="435">
        <f t="shared" si="95"/>
        <v>0</v>
      </c>
      <c r="G512" s="602">
        <v>53.86</v>
      </c>
      <c r="H512" s="593">
        <f t="shared" si="97"/>
        <v>0</v>
      </c>
      <c r="I512" s="596">
        <f t="shared" si="96"/>
        <v>0</v>
      </c>
      <c r="J512" s="373"/>
    </row>
    <row r="513" spans="1:10" ht="35.25" customHeight="1" x14ac:dyDescent="0.25">
      <c r="A513" s="1052"/>
      <c r="B513" s="789"/>
      <c r="C513" s="279" t="s">
        <v>379</v>
      </c>
      <c r="D513" s="434"/>
      <c r="E513" s="280"/>
      <c r="F513" s="435">
        <f t="shared" si="95"/>
        <v>0</v>
      </c>
      <c r="G513" s="602">
        <v>360</v>
      </c>
      <c r="H513" s="593">
        <f t="shared" si="97"/>
        <v>0</v>
      </c>
      <c r="I513" s="596">
        <f t="shared" si="96"/>
        <v>0</v>
      </c>
      <c r="J513" s="373"/>
    </row>
    <row r="514" spans="1:10" ht="35.25" customHeight="1" x14ac:dyDescent="0.25">
      <c r="A514" s="1052"/>
      <c r="B514" s="789"/>
      <c r="C514" s="279" t="s">
        <v>471</v>
      </c>
      <c r="D514" s="434"/>
      <c r="E514" s="280"/>
      <c r="F514" s="435">
        <f t="shared" si="95"/>
        <v>0</v>
      </c>
      <c r="G514" s="602"/>
      <c r="H514" s="593">
        <f>+E514</f>
        <v>0</v>
      </c>
      <c r="I514" s="596">
        <f>+H514</f>
        <v>0</v>
      </c>
      <c r="J514" s="373"/>
    </row>
    <row r="515" spans="1:10" ht="35.25" customHeight="1" x14ac:dyDescent="0.25">
      <c r="A515" s="1052"/>
      <c r="B515" s="789"/>
      <c r="C515" s="279" t="s">
        <v>282</v>
      </c>
      <c r="D515" s="434"/>
      <c r="E515" s="280"/>
      <c r="F515" s="435">
        <f t="shared" si="95"/>
        <v>0</v>
      </c>
      <c r="G515" s="602">
        <v>39450</v>
      </c>
      <c r="H515" s="593">
        <f t="shared" ref="H515:H516" si="98">E515*G515</f>
        <v>0</v>
      </c>
      <c r="I515" s="596">
        <f t="shared" ref="I515:I516" si="99">+G515*F515</f>
        <v>0</v>
      </c>
      <c r="J515" s="373"/>
    </row>
    <row r="516" spans="1:10" ht="35.25" customHeight="1" thickBot="1" x14ac:dyDescent="0.3">
      <c r="A516" s="1052"/>
      <c r="B516" s="789"/>
      <c r="C516" s="279" t="s">
        <v>329</v>
      </c>
      <c r="D516" s="434" t="s">
        <v>443</v>
      </c>
      <c r="E516" s="280"/>
      <c r="F516" s="435">
        <f t="shared" si="95"/>
        <v>0</v>
      </c>
      <c r="G516" s="602">
        <v>57.64</v>
      </c>
      <c r="H516" s="593">
        <f t="shared" si="98"/>
        <v>0</v>
      </c>
      <c r="I516" s="596">
        <f t="shared" si="99"/>
        <v>0</v>
      </c>
      <c r="J516" s="373"/>
    </row>
    <row r="517" spans="1:10" ht="35.25" customHeight="1" thickBot="1" x14ac:dyDescent="0.3">
      <c r="A517" s="1053"/>
      <c r="B517" s="1047" t="s">
        <v>270</v>
      </c>
      <c r="C517" s="1048"/>
      <c r="D517" s="791"/>
      <c r="E517" s="326">
        <f>SUM(E492:E516)</f>
        <v>3400</v>
      </c>
      <c r="F517" s="326">
        <f>SUM(F492:F516)</f>
        <v>13480</v>
      </c>
      <c r="G517" s="326"/>
      <c r="H517" s="590">
        <f>SUM(H492:H516)</f>
        <v>2122484</v>
      </c>
      <c r="I517" s="580">
        <f>SUM(I492:I516)</f>
        <v>2842599.2</v>
      </c>
      <c r="J517" s="372"/>
    </row>
    <row r="518" spans="1:10" ht="35.25" customHeight="1" thickBot="1" x14ac:dyDescent="0.3">
      <c r="A518" s="794"/>
      <c r="B518" s="437"/>
      <c r="C518" s="279" t="s">
        <v>379</v>
      </c>
      <c r="D518" s="434"/>
      <c r="E518" s="280"/>
      <c r="F518" s="281">
        <f>+E518</f>
        <v>0</v>
      </c>
      <c r="G518" s="334"/>
      <c r="H518" s="589">
        <f t="shared" ref="H518" si="100">E518*G518</f>
        <v>0</v>
      </c>
      <c r="I518" s="282">
        <f t="shared" ref="I518" si="101">+G518*F518</f>
        <v>0</v>
      </c>
      <c r="J518" s="373"/>
    </row>
    <row r="519" spans="1:10" ht="35.25" customHeight="1" thickBot="1" x14ac:dyDescent="0.3">
      <c r="A519" s="794"/>
      <c r="B519" s="1047" t="s">
        <v>224</v>
      </c>
      <c r="C519" s="1048"/>
      <c r="D519" s="787"/>
      <c r="E519" s="326"/>
      <c r="F519" s="327"/>
      <c r="G519" s="326"/>
      <c r="H519" s="587"/>
      <c r="I519" s="324">
        <f>SUM(I518)</f>
        <v>0</v>
      </c>
      <c r="J519" s="349"/>
    </row>
    <row r="520" spans="1:10" ht="35.25" customHeight="1" thickBot="1" x14ac:dyDescent="0.3">
      <c r="A520" s="319"/>
      <c r="B520" s="1049" t="s">
        <v>174</v>
      </c>
      <c r="C520" s="1050"/>
      <c r="D520" s="788"/>
      <c r="E520" s="374">
        <f>+E517+E491+E461+E459</f>
        <v>239948</v>
      </c>
      <c r="F520" s="374">
        <f>+F517+F491+F461+F459</f>
        <v>586258</v>
      </c>
      <c r="G520" s="374"/>
      <c r="H520" s="374"/>
      <c r="I520" s="374">
        <f>+I517+I491+I461+I519</f>
        <v>11809829.600000001</v>
      </c>
      <c r="J520" s="375"/>
    </row>
    <row r="521" spans="1:10" ht="35.25" customHeight="1" x14ac:dyDescent="0.25">
      <c r="A521" s="978" t="s">
        <v>1</v>
      </c>
      <c r="B521" s="981" t="s">
        <v>2</v>
      </c>
      <c r="C521" s="1056" t="s">
        <v>396</v>
      </c>
      <c r="D521" s="1033" t="s">
        <v>397</v>
      </c>
      <c r="E521" s="1060" t="s">
        <v>510</v>
      </c>
      <c r="F521" s="988"/>
      <c r="G521" s="988"/>
      <c r="H521" s="988"/>
      <c r="I521" s="988"/>
      <c r="J521" s="989"/>
    </row>
    <row r="522" spans="1:10" ht="35.25" customHeight="1" x14ac:dyDescent="0.25">
      <c r="A522" s="1054"/>
      <c r="B522" s="1055"/>
      <c r="C522" s="1057"/>
      <c r="D522" s="1034"/>
      <c r="E522" s="1061" t="s">
        <v>412</v>
      </c>
      <c r="F522" s="1062"/>
      <c r="G522" s="1061" t="s">
        <v>411</v>
      </c>
      <c r="H522" s="1063"/>
      <c r="I522" s="1063"/>
      <c r="J522" s="1062"/>
    </row>
    <row r="523" spans="1:10" ht="35.25" customHeight="1" x14ac:dyDescent="0.25">
      <c r="A523" s="979"/>
      <c r="B523" s="982"/>
      <c r="C523" s="1058"/>
      <c r="D523" s="1034"/>
      <c r="E523" s="990" t="s">
        <v>413</v>
      </c>
      <c r="F523" s="992" t="s">
        <v>414</v>
      </c>
      <c r="G523" s="1065" t="s">
        <v>90</v>
      </c>
      <c r="H523" s="1067" t="s">
        <v>91</v>
      </c>
      <c r="I523" s="1067" t="s">
        <v>91</v>
      </c>
      <c r="J523" s="1069" t="s">
        <v>12</v>
      </c>
    </row>
    <row r="524" spans="1:10" ht="35.25" customHeight="1" thickBot="1" x14ac:dyDescent="0.3">
      <c r="A524" s="980"/>
      <c r="B524" s="983"/>
      <c r="C524" s="1059"/>
      <c r="D524" s="1035"/>
      <c r="E524" s="991"/>
      <c r="F524" s="1064"/>
      <c r="G524" s="1066"/>
      <c r="H524" s="1068"/>
      <c r="I524" s="1068"/>
      <c r="J524" s="1070"/>
    </row>
    <row r="525" spans="1:10" ht="35.25" customHeight="1" x14ac:dyDescent="0.25">
      <c r="A525" s="1051" t="s">
        <v>103</v>
      </c>
      <c r="B525" s="439"/>
      <c r="C525" s="577" t="s">
        <v>442</v>
      </c>
      <c r="D525" s="665" t="s">
        <v>374</v>
      </c>
      <c r="E525" s="699"/>
      <c r="F525" s="674">
        <f>+E525+F432</f>
        <v>0</v>
      </c>
      <c r="G525" s="732">
        <v>107.85</v>
      </c>
      <c r="H525" s="591">
        <f t="shared" ref="H525:H539" si="102">E525*G525</f>
        <v>0</v>
      </c>
      <c r="I525" s="594">
        <f>+G525*F525</f>
        <v>0</v>
      </c>
      <c r="J525" s="351"/>
    </row>
    <row r="526" spans="1:10" ht="35.25" customHeight="1" x14ac:dyDescent="0.25">
      <c r="A526" s="1052"/>
      <c r="B526" s="438"/>
      <c r="C526" s="441" t="s">
        <v>264</v>
      </c>
      <c r="D526" s="666" t="s">
        <v>265</v>
      </c>
      <c r="E526" s="700"/>
      <c r="F526" s="701">
        <f t="shared" ref="F526:F539" si="103">+E526+F433</f>
        <v>0</v>
      </c>
      <c r="G526" s="697">
        <v>11</v>
      </c>
      <c r="H526" s="592">
        <f t="shared" si="102"/>
        <v>0</v>
      </c>
      <c r="I526" s="595">
        <f>+G526*F526</f>
        <v>0</v>
      </c>
      <c r="J526" s="352"/>
    </row>
    <row r="527" spans="1:10" ht="35.25" customHeight="1" x14ac:dyDescent="0.25">
      <c r="A527" s="1052"/>
      <c r="B527" s="438"/>
      <c r="C527" s="441" t="s">
        <v>295</v>
      </c>
      <c r="D527" s="666" t="s">
        <v>453</v>
      </c>
      <c r="E527" s="700"/>
      <c r="F527" s="701">
        <f t="shared" si="103"/>
        <v>0</v>
      </c>
      <c r="G527" s="697">
        <v>139.04</v>
      </c>
      <c r="H527" s="592">
        <f t="shared" si="102"/>
        <v>0</v>
      </c>
      <c r="I527" s="595">
        <f t="shared" ref="I527:I539" si="104">+G527*F527</f>
        <v>0</v>
      </c>
      <c r="J527" s="352"/>
    </row>
    <row r="528" spans="1:10" ht="35.25" customHeight="1" x14ac:dyDescent="0.25">
      <c r="A528" s="1052"/>
      <c r="B528" s="438"/>
      <c r="C528" s="441" t="s">
        <v>357</v>
      </c>
      <c r="D528" s="666" t="s">
        <v>358</v>
      </c>
      <c r="E528" s="700"/>
      <c r="F528" s="701">
        <f t="shared" si="103"/>
        <v>0</v>
      </c>
      <c r="G528" s="715">
        <v>20.5</v>
      </c>
      <c r="H528" s="592">
        <f t="shared" si="102"/>
        <v>0</v>
      </c>
      <c r="I528" s="595">
        <f t="shared" si="104"/>
        <v>0</v>
      </c>
      <c r="J528" s="352"/>
    </row>
    <row r="529" spans="1:10" ht="35.25" customHeight="1" x14ac:dyDescent="0.25">
      <c r="A529" s="1052"/>
      <c r="B529" s="438"/>
      <c r="C529" s="441" t="s">
        <v>288</v>
      </c>
      <c r="D529" s="666" t="s">
        <v>177</v>
      </c>
      <c r="E529" s="700"/>
      <c r="F529" s="701">
        <f t="shared" si="103"/>
        <v>0</v>
      </c>
      <c r="G529" s="697">
        <v>14.79</v>
      </c>
      <c r="H529" s="592">
        <f t="shared" si="102"/>
        <v>0</v>
      </c>
      <c r="I529" s="595">
        <f t="shared" si="104"/>
        <v>0</v>
      </c>
      <c r="J529" s="352"/>
    </row>
    <row r="530" spans="1:10" ht="35.25" customHeight="1" x14ac:dyDescent="0.25">
      <c r="A530" s="1052"/>
      <c r="B530" s="438"/>
      <c r="C530" s="441" t="s">
        <v>295</v>
      </c>
      <c r="D530" s="666" t="s">
        <v>265</v>
      </c>
      <c r="E530" s="700">
        <v>1920</v>
      </c>
      <c r="F530" s="701">
        <f t="shared" si="103"/>
        <v>1920</v>
      </c>
      <c r="G530" s="697">
        <v>139.04</v>
      </c>
      <c r="H530" s="592">
        <f t="shared" si="102"/>
        <v>266956.79999999999</v>
      </c>
      <c r="I530" s="595">
        <f t="shared" si="104"/>
        <v>266956.79999999999</v>
      </c>
      <c r="J530" s="352"/>
    </row>
    <row r="531" spans="1:10" ht="35.25" customHeight="1" x14ac:dyDescent="0.25">
      <c r="A531" s="1052"/>
      <c r="B531" s="438"/>
      <c r="C531" s="441" t="s">
        <v>391</v>
      </c>
      <c r="D531" s="667" t="s">
        <v>356</v>
      </c>
      <c r="E531" s="700"/>
      <c r="F531" s="701">
        <f t="shared" si="103"/>
        <v>0</v>
      </c>
      <c r="G531" s="697">
        <v>147.58000000000001</v>
      </c>
      <c r="H531" s="592">
        <f t="shared" si="102"/>
        <v>0</v>
      </c>
      <c r="I531" s="595">
        <f t="shared" si="104"/>
        <v>0</v>
      </c>
      <c r="J531" s="352"/>
    </row>
    <row r="532" spans="1:10" ht="35.25" customHeight="1" x14ac:dyDescent="0.25">
      <c r="A532" s="1052"/>
      <c r="B532" s="438"/>
      <c r="C532" s="441" t="s">
        <v>313</v>
      </c>
      <c r="D532" s="667" t="s">
        <v>265</v>
      </c>
      <c r="E532" s="700"/>
      <c r="F532" s="701">
        <f t="shared" si="103"/>
        <v>36720</v>
      </c>
      <c r="G532" s="697">
        <v>18.84</v>
      </c>
      <c r="H532" s="592">
        <f t="shared" si="102"/>
        <v>0</v>
      </c>
      <c r="I532" s="595">
        <f t="shared" si="104"/>
        <v>691804.8</v>
      </c>
      <c r="J532" s="352"/>
    </row>
    <row r="533" spans="1:10" ht="35.25" customHeight="1" x14ac:dyDescent="0.25">
      <c r="A533" s="1052"/>
      <c r="B533" s="438"/>
      <c r="C533" s="441" t="s">
        <v>322</v>
      </c>
      <c r="D533" s="667" t="s">
        <v>232</v>
      </c>
      <c r="E533" s="700"/>
      <c r="F533" s="701">
        <f t="shared" si="103"/>
        <v>0</v>
      </c>
      <c r="G533" s="697">
        <v>21.18</v>
      </c>
      <c r="H533" s="592">
        <f t="shared" si="102"/>
        <v>0</v>
      </c>
      <c r="I533" s="595">
        <f t="shared" si="104"/>
        <v>0</v>
      </c>
      <c r="J533" s="352"/>
    </row>
    <row r="534" spans="1:10" ht="35.25" customHeight="1" x14ac:dyDescent="0.25">
      <c r="A534" s="1052"/>
      <c r="B534" s="438"/>
      <c r="C534" s="441" t="s">
        <v>324</v>
      </c>
      <c r="D534" s="667" t="s">
        <v>325</v>
      </c>
      <c r="E534" s="700"/>
      <c r="F534" s="701">
        <f t="shared" si="103"/>
        <v>0</v>
      </c>
      <c r="G534" s="697">
        <v>21.28</v>
      </c>
      <c r="H534" s="592">
        <f t="shared" si="102"/>
        <v>0</v>
      </c>
      <c r="I534" s="595">
        <f t="shared" si="104"/>
        <v>0</v>
      </c>
      <c r="J534" s="352"/>
    </row>
    <row r="535" spans="1:10" ht="35.25" customHeight="1" x14ac:dyDescent="0.25">
      <c r="A535" s="1052"/>
      <c r="B535" s="438"/>
      <c r="C535" s="441" t="s">
        <v>378</v>
      </c>
      <c r="D535" s="667" t="s">
        <v>374</v>
      </c>
      <c r="E535" s="700"/>
      <c r="F535" s="701">
        <f t="shared" si="103"/>
        <v>0</v>
      </c>
      <c r="G535" s="697">
        <v>143.28</v>
      </c>
      <c r="H535" s="592">
        <f t="shared" si="102"/>
        <v>0</v>
      </c>
      <c r="I535" s="595">
        <f t="shared" si="104"/>
        <v>0</v>
      </c>
      <c r="J535" s="352"/>
    </row>
    <row r="536" spans="1:10" ht="35.25" customHeight="1" x14ac:dyDescent="0.25">
      <c r="A536" s="1052"/>
      <c r="B536" s="438"/>
      <c r="C536" s="441" t="s">
        <v>472</v>
      </c>
      <c r="D536" s="667"/>
      <c r="E536" s="700"/>
      <c r="F536" s="701">
        <f t="shared" si="103"/>
        <v>0</v>
      </c>
      <c r="G536" s="697">
        <v>14.79</v>
      </c>
      <c r="H536" s="592">
        <f t="shared" si="102"/>
        <v>0</v>
      </c>
      <c r="I536" s="595">
        <f t="shared" si="104"/>
        <v>0</v>
      </c>
      <c r="J536" s="352"/>
    </row>
    <row r="537" spans="1:10" ht="35.25" customHeight="1" x14ac:dyDescent="0.25">
      <c r="A537" s="1052"/>
      <c r="B537" s="438"/>
      <c r="C537" s="441" t="s">
        <v>451</v>
      </c>
      <c r="D537" s="666" t="s">
        <v>177</v>
      </c>
      <c r="E537" s="700"/>
      <c r="F537" s="701">
        <f t="shared" si="103"/>
        <v>498432</v>
      </c>
      <c r="G537" s="697">
        <v>14.55</v>
      </c>
      <c r="H537" s="592">
        <f t="shared" si="102"/>
        <v>0</v>
      </c>
      <c r="I537" s="595">
        <f t="shared" si="104"/>
        <v>7252185.6000000006</v>
      </c>
      <c r="J537" s="352"/>
    </row>
    <row r="538" spans="1:10" ht="35.25" customHeight="1" x14ac:dyDescent="0.25">
      <c r="A538" s="1052"/>
      <c r="B538" s="438"/>
      <c r="C538" s="441" t="s">
        <v>327</v>
      </c>
      <c r="D538" s="667" t="s">
        <v>188</v>
      </c>
      <c r="E538" s="700"/>
      <c r="F538" s="701">
        <f t="shared" si="103"/>
        <v>0</v>
      </c>
      <c r="G538" s="697">
        <v>21.28</v>
      </c>
      <c r="H538" s="592">
        <f t="shared" si="102"/>
        <v>0</v>
      </c>
      <c r="I538" s="595">
        <f t="shared" si="104"/>
        <v>0</v>
      </c>
      <c r="J538" s="352"/>
    </row>
    <row r="539" spans="1:10" ht="35.25" customHeight="1" thickBot="1" x14ac:dyDescent="0.3">
      <c r="A539" s="1052"/>
      <c r="B539" s="438"/>
      <c r="C539" s="441" t="s">
        <v>336</v>
      </c>
      <c r="D539" s="668" t="s">
        <v>178</v>
      </c>
      <c r="E539" s="700"/>
      <c r="F539" s="676">
        <f t="shared" si="103"/>
        <v>0</v>
      </c>
      <c r="G539" s="697">
        <v>36.44</v>
      </c>
      <c r="H539" s="592">
        <f t="shared" si="102"/>
        <v>0</v>
      </c>
      <c r="I539" s="595">
        <f t="shared" si="104"/>
        <v>0</v>
      </c>
      <c r="J539" s="352"/>
    </row>
    <row r="540" spans="1:10" ht="35.25" customHeight="1" thickBot="1" x14ac:dyDescent="0.3">
      <c r="A540" s="1052"/>
      <c r="B540" s="1047" t="s">
        <v>266</v>
      </c>
      <c r="C540" s="1048"/>
      <c r="D540" s="799"/>
      <c r="E540" s="326">
        <f>SUM(E525:E539)</f>
        <v>1920</v>
      </c>
      <c r="F540" s="698">
        <f>SUM(F525:F539)</f>
        <v>537072</v>
      </c>
      <c r="G540" s="326"/>
      <c r="H540" s="587">
        <f>SUM(H525:H539)</f>
        <v>266956.79999999999</v>
      </c>
      <c r="I540" s="580">
        <f>SUM(I525:I539)</f>
        <v>8210947.2000000011</v>
      </c>
      <c r="J540" s="349"/>
    </row>
    <row r="541" spans="1:10" ht="35.25" customHeight="1" x14ac:dyDescent="0.25">
      <c r="A541" s="1052"/>
      <c r="B541" s="797"/>
      <c r="C541" s="279" t="s">
        <v>271</v>
      </c>
      <c r="D541" s="434" t="s">
        <v>238</v>
      </c>
      <c r="E541" s="280"/>
      <c r="F541" s="435">
        <f>+E541+F448</f>
        <v>0</v>
      </c>
      <c r="G541" s="578">
        <v>160.44999999999999</v>
      </c>
      <c r="H541" s="593">
        <f t="shared" ref="H541:H546" si="105">E541*G541</f>
        <v>0</v>
      </c>
      <c r="I541" s="596">
        <f t="shared" ref="I541:I546" si="106">+G541*F541</f>
        <v>0</v>
      </c>
      <c r="J541" s="373"/>
    </row>
    <row r="542" spans="1:10" ht="35.25" customHeight="1" x14ac:dyDescent="0.25">
      <c r="A542" s="1052"/>
      <c r="B542" s="797"/>
      <c r="C542" s="279" t="s">
        <v>287</v>
      </c>
      <c r="D542" s="434" t="s">
        <v>93</v>
      </c>
      <c r="E542" s="280"/>
      <c r="F542" s="435">
        <f t="shared" ref="F542:F546" si="107">+E542+F449</f>
        <v>37620</v>
      </c>
      <c r="G542" s="578">
        <v>27</v>
      </c>
      <c r="H542" s="593">
        <f t="shared" si="105"/>
        <v>0</v>
      </c>
      <c r="I542" s="596">
        <f t="shared" si="106"/>
        <v>1015740</v>
      </c>
      <c r="J542" s="373"/>
    </row>
    <row r="543" spans="1:10" ht="35.25" customHeight="1" x14ac:dyDescent="0.25">
      <c r="A543" s="1052"/>
      <c r="B543" s="797"/>
      <c r="C543" s="279" t="s">
        <v>287</v>
      </c>
      <c r="D543" s="434" t="s">
        <v>292</v>
      </c>
      <c r="E543" s="280"/>
      <c r="F543" s="435">
        <f t="shared" si="107"/>
        <v>0</v>
      </c>
      <c r="G543" s="578">
        <v>27.5</v>
      </c>
      <c r="H543" s="593">
        <f t="shared" si="105"/>
        <v>0</v>
      </c>
      <c r="I543" s="596">
        <f t="shared" si="106"/>
        <v>0</v>
      </c>
      <c r="J543" s="373"/>
    </row>
    <row r="544" spans="1:10" ht="35.25" customHeight="1" x14ac:dyDescent="0.25">
      <c r="A544" s="1052"/>
      <c r="B544" s="797"/>
      <c r="C544" s="279" t="s">
        <v>276</v>
      </c>
      <c r="D544" s="434" t="s">
        <v>292</v>
      </c>
      <c r="E544" s="280"/>
      <c r="F544" s="435">
        <f t="shared" si="107"/>
        <v>0</v>
      </c>
      <c r="G544" s="578">
        <v>34.5</v>
      </c>
      <c r="H544" s="593">
        <f t="shared" si="105"/>
        <v>0</v>
      </c>
      <c r="I544" s="596">
        <f t="shared" si="106"/>
        <v>0</v>
      </c>
      <c r="J544" s="373"/>
    </row>
    <row r="545" spans="1:13" ht="35.25" customHeight="1" x14ac:dyDescent="0.25">
      <c r="A545" s="1052"/>
      <c r="B545" s="797"/>
      <c r="C545" s="279" t="s">
        <v>473</v>
      </c>
      <c r="D545" s="434" t="s">
        <v>440</v>
      </c>
      <c r="E545" s="280"/>
      <c r="F545" s="435">
        <f t="shared" si="107"/>
        <v>0</v>
      </c>
      <c r="G545" s="578">
        <v>10.57</v>
      </c>
      <c r="H545" s="593">
        <f t="shared" si="105"/>
        <v>0</v>
      </c>
      <c r="I545" s="596">
        <f t="shared" si="106"/>
        <v>0</v>
      </c>
      <c r="J545" s="373"/>
    </row>
    <row r="546" spans="1:13" ht="35.25" customHeight="1" thickBot="1" x14ac:dyDescent="0.3">
      <c r="A546" s="1052"/>
      <c r="B546" s="797"/>
      <c r="C546" s="279" t="s">
        <v>276</v>
      </c>
      <c r="D546" s="434" t="s">
        <v>440</v>
      </c>
      <c r="E546" s="280"/>
      <c r="F546" s="435">
        <f t="shared" si="107"/>
        <v>0</v>
      </c>
      <c r="G546" s="578">
        <v>55.76</v>
      </c>
      <c r="H546" s="593">
        <f t="shared" si="105"/>
        <v>0</v>
      </c>
      <c r="I546" s="596">
        <f t="shared" si="106"/>
        <v>0</v>
      </c>
      <c r="J546" s="373"/>
    </row>
    <row r="547" spans="1:13" ht="35.25" customHeight="1" thickBot="1" x14ac:dyDescent="0.3">
      <c r="A547" s="1052"/>
      <c r="B547" s="1047" t="s">
        <v>267</v>
      </c>
      <c r="C547" s="1048"/>
      <c r="D547" s="799"/>
      <c r="E547" s="326">
        <f>SUM(E541:E546)</f>
        <v>0</v>
      </c>
      <c r="F547" s="326">
        <f>SUM(F541:F546)</f>
        <v>37620</v>
      </c>
      <c r="G547" s="326"/>
      <c r="H547" s="587">
        <f>SUM(H541:H546)</f>
        <v>0</v>
      </c>
      <c r="I547" s="580">
        <f>SUM(I541:I546)</f>
        <v>1015740</v>
      </c>
      <c r="J547" s="349"/>
    </row>
    <row r="548" spans="1:13" ht="35.25" customHeight="1" x14ac:dyDescent="0.25">
      <c r="A548" s="1052"/>
      <c r="B548" s="797"/>
      <c r="C548" s="279" t="s">
        <v>277</v>
      </c>
      <c r="D548" s="434" t="s">
        <v>278</v>
      </c>
      <c r="E548" s="280"/>
      <c r="F548" s="435">
        <f>+E548+F455</f>
        <v>3</v>
      </c>
      <c r="G548" s="578">
        <v>2500</v>
      </c>
      <c r="H548" s="593">
        <f t="shared" ref="H548:H551" si="108">E548*G548</f>
        <v>0</v>
      </c>
      <c r="I548" s="596">
        <f>+G548*F548</f>
        <v>7500</v>
      </c>
      <c r="J548" s="373"/>
    </row>
    <row r="549" spans="1:13" ht="35.25" customHeight="1" x14ac:dyDescent="0.25">
      <c r="A549" s="1052"/>
      <c r="B549" s="797"/>
      <c r="C549" s="279" t="s">
        <v>454</v>
      </c>
      <c r="D549" s="434"/>
      <c r="E549" s="280"/>
      <c r="F549" s="435">
        <f t="shared" ref="F549:F551" si="109">+E549+F456</f>
        <v>0</v>
      </c>
      <c r="G549" s="578">
        <v>30000</v>
      </c>
      <c r="H549" s="593">
        <f t="shared" si="108"/>
        <v>0</v>
      </c>
      <c r="I549" s="596">
        <f>+G549*F549</f>
        <v>0</v>
      </c>
      <c r="J549" s="373"/>
    </row>
    <row r="550" spans="1:13" ht="35.25" customHeight="1" x14ac:dyDescent="0.25">
      <c r="A550" s="1052"/>
      <c r="B550" s="797"/>
      <c r="C550" s="279" t="s">
        <v>379</v>
      </c>
      <c r="D550" s="434" t="s">
        <v>304</v>
      </c>
      <c r="E550" s="280"/>
      <c r="F550" s="435">
        <f t="shared" si="109"/>
        <v>0</v>
      </c>
      <c r="G550" s="578">
        <v>360</v>
      </c>
      <c r="H550" s="593">
        <f t="shared" si="108"/>
        <v>0</v>
      </c>
      <c r="I550" s="596">
        <f>+G550*F550</f>
        <v>0</v>
      </c>
      <c r="J550" s="373"/>
    </row>
    <row r="551" spans="1:13" ht="35.25" customHeight="1" thickBot="1" x14ac:dyDescent="0.3">
      <c r="A551" s="1052"/>
      <c r="B551" s="797"/>
      <c r="C551" s="279" t="s">
        <v>427</v>
      </c>
      <c r="D551" s="434" t="s">
        <v>304</v>
      </c>
      <c r="E551" s="280"/>
      <c r="F551" s="435">
        <f t="shared" si="109"/>
        <v>0</v>
      </c>
      <c r="G551" s="579">
        <v>10</v>
      </c>
      <c r="H551" s="593">
        <f t="shared" si="108"/>
        <v>0</v>
      </c>
      <c r="I551" s="596">
        <f t="shared" ref="I551" si="110">+G551*F551</f>
        <v>0</v>
      </c>
      <c r="J551" s="373"/>
    </row>
    <row r="552" spans="1:13" ht="35.25" customHeight="1" thickBot="1" x14ac:dyDescent="0.3">
      <c r="A552" s="1052"/>
      <c r="B552" s="1047" t="s">
        <v>272</v>
      </c>
      <c r="C552" s="1048"/>
      <c r="D552" s="799"/>
      <c r="E552" s="326">
        <f>SUM(E548:E551)</f>
        <v>0</v>
      </c>
      <c r="F552" s="326">
        <f>SUM(F548:F551)</f>
        <v>3</v>
      </c>
      <c r="G552" s="326"/>
      <c r="H552" s="587">
        <f>SUM(H548:H551)</f>
        <v>0</v>
      </c>
      <c r="I552" s="580">
        <f>SUM(I548:I551)</f>
        <v>7500</v>
      </c>
      <c r="J552" s="373"/>
    </row>
    <row r="553" spans="1:13" ht="35.25" customHeight="1" thickBot="1" x14ac:dyDescent="0.3">
      <c r="A553" s="1052"/>
      <c r="B553" s="797"/>
      <c r="C553" s="279"/>
      <c r="D553" s="434"/>
      <c r="E553" s="280"/>
      <c r="F553" s="317"/>
      <c r="G553" s="579"/>
      <c r="H553" s="588"/>
      <c r="I553" s="282"/>
      <c r="J553" s="373"/>
    </row>
    <row r="554" spans="1:13" ht="35.25" customHeight="1" thickBot="1" x14ac:dyDescent="0.3">
      <c r="A554" s="1053"/>
      <c r="B554" s="1047" t="s">
        <v>269</v>
      </c>
      <c r="C554" s="1048"/>
      <c r="D554" s="795"/>
      <c r="E554" s="326">
        <f>+E552+E547+E540</f>
        <v>1920</v>
      </c>
      <c r="F554" s="326">
        <f>+F552+F547+F540</f>
        <v>574695</v>
      </c>
      <c r="G554" s="326"/>
      <c r="H554" s="580">
        <f>+H547+H540+H552</f>
        <v>266956.79999999999</v>
      </c>
      <c r="I554" s="580">
        <f>+I547+I540+I552</f>
        <v>9234187.2000000011</v>
      </c>
      <c r="J554" s="373"/>
      <c r="K554" s="704"/>
      <c r="M554" s="704"/>
    </row>
    <row r="555" spans="1:13" ht="35.25" customHeight="1" x14ac:dyDescent="0.25">
      <c r="A555" s="1051" t="s">
        <v>101</v>
      </c>
      <c r="B555" s="797"/>
      <c r="C555" s="279" t="s">
        <v>281</v>
      </c>
      <c r="D555" s="434" t="s">
        <v>178</v>
      </c>
      <c r="E555" s="280"/>
      <c r="F555" s="435">
        <f>+E555+F462</f>
        <v>0</v>
      </c>
      <c r="G555" s="602">
        <v>13.25</v>
      </c>
      <c r="H555" s="597">
        <f t="shared" ref="H555:H583" si="111">E555*G555</f>
        <v>0</v>
      </c>
      <c r="I555" s="596">
        <f t="shared" ref="I555:I583" si="112">+G555*F555</f>
        <v>0</v>
      </c>
      <c r="J555" s="373"/>
      <c r="K555" s="704"/>
    </row>
    <row r="556" spans="1:13" ht="35.25" customHeight="1" x14ac:dyDescent="0.25">
      <c r="A556" s="1052"/>
      <c r="B556" s="797"/>
      <c r="C556" s="279" t="s">
        <v>282</v>
      </c>
      <c r="D556" s="434"/>
      <c r="E556" s="280"/>
      <c r="F556" s="435">
        <f t="shared" ref="F556:F583" si="113">+E556+F463</f>
        <v>0</v>
      </c>
      <c r="G556" s="603">
        <v>5000</v>
      </c>
      <c r="H556" s="597">
        <f t="shared" si="111"/>
        <v>0</v>
      </c>
      <c r="I556" s="596">
        <f t="shared" si="112"/>
        <v>0</v>
      </c>
      <c r="J556" s="373"/>
      <c r="K556" s="704"/>
    </row>
    <row r="557" spans="1:13" ht="35.25" customHeight="1" x14ac:dyDescent="0.25">
      <c r="A557" s="1052"/>
      <c r="B557" s="797"/>
      <c r="C557" s="279" t="s">
        <v>282</v>
      </c>
      <c r="D557" s="434"/>
      <c r="E557" s="280"/>
      <c r="F557" s="435">
        <f t="shared" si="113"/>
        <v>0</v>
      </c>
      <c r="G557" s="603">
        <v>18000</v>
      </c>
      <c r="H557" s="597">
        <f t="shared" si="111"/>
        <v>0</v>
      </c>
      <c r="I557" s="596">
        <f t="shared" si="112"/>
        <v>0</v>
      </c>
      <c r="J557" s="373"/>
    </row>
    <row r="558" spans="1:13" ht="35.25" customHeight="1" x14ac:dyDescent="0.25">
      <c r="A558" s="1052"/>
      <c r="B558" s="797"/>
      <c r="C558" s="279" t="s">
        <v>465</v>
      </c>
      <c r="D558" s="434" t="s">
        <v>338</v>
      </c>
      <c r="E558" s="280"/>
      <c r="F558" s="435">
        <f t="shared" si="113"/>
        <v>0</v>
      </c>
      <c r="G558" s="602">
        <v>24.93</v>
      </c>
      <c r="H558" s="597">
        <f t="shared" si="111"/>
        <v>0</v>
      </c>
      <c r="I558" s="596">
        <f t="shared" si="112"/>
        <v>0</v>
      </c>
      <c r="J558" s="373"/>
    </row>
    <row r="559" spans="1:13" ht="35.25" customHeight="1" x14ac:dyDescent="0.25">
      <c r="A559" s="1052"/>
      <c r="B559" s="797"/>
      <c r="C559" s="746" t="s">
        <v>466</v>
      </c>
      <c r="D559" s="747" t="s">
        <v>92</v>
      </c>
      <c r="E559" s="280"/>
      <c r="F559" s="435">
        <f t="shared" si="113"/>
        <v>0</v>
      </c>
      <c r="G559" s="602">
        <v>20.8</v>
      </c>
      <c r="H559" s="597">
        <f t="shared" si="111"/>
        <v>0</v>
      </c>
      <c r="I559" s="596">
        <f t="shared" si="112"/>
        <v>0</v>
      </c>
      <c r="J559" s="373"/>
    </row>
    <row r="560" spans="1:13" ht="35.25" customHeight="1" x14ac:dyDescent="0.25">
      <c r="A560" s="1052"/>
      <c r="B560" s="797"/>
      <c r="C560" s="746" t="s">
        <v>467</v>
      </c>
      <c r="D560" s="747" t="s">
        <v>468</v>
      </c>
      <c r="E560" s="280"/>
      <c r="F560" s="435">
        <f t="shared" si="113"/>
        <v>0</v>
      </c>
      <c r="G560" s="602">
        <v>24.93</v>
      </c>
      <c r="H560" s="597">
        <f t="shared" si="111"/>
        <v>0</v>
      </c>
      <c r="I560" s="596">
        <f t="shared" si="112"/>
        <v>0</v>
      </c>
      <c r="J560" s="373"/>
    </row>
    <row r="561" spans="1:10" ht="35.25" customHeight="1" x14ac:dyDescent="0.25">
      <c r="A561" s="1052"/>
      <c r="B561" s="797"/>
      <c r="C561" s="746" t="s">
        <v>467</v>
      </c>
      <c r="D561" s="747" t="s">
        <v>468</v>
      </c>
      <c r="E561" s="280"/>
      <c r="F561" s="435">
        <f t="shared" si="113"/>
        <v>0</v>
      </c>
      <c r="G561" s="602">
        <v>25.49</v>
      </c>
      <c r="H561" s="597">
        <f t="shared" si="111"/>
        <v>0</v>
      </c>
      <c r="I561" s="596">
        <f t="shared" si="112"/>
        <v>0</v>
      </c>
      <c r="J561" s="373"/>
    </row>
    <row r="562" spans="1:10" s="757" customFormat="1" ht="35.25" customHeight="1" x14ac:dyDescent="0.25">
      <c r="A562" s="1052"/>
      <c r="B562" s="748"/>
      <c r="C562" s="749" t="s">
        <v>469</v>
      </c>
      <c r="D562" s="750" t="s">
        <v>309</v>
      </c>
      <c r="E562" s="751"/>
      <c r="F562" s="752">
        <f t="shared" si="113"/>
        <v>0</v>
      </c>
      <c r="G562" s="753">
        <v>24.41</v>
      </c>
      <c r="H562" s="754">
        <f t="shared" si="111"/>
        <v>0</v>
      </c>
      <c r="I562" s="755">
        <f t="shared" si="112"/>
        <v>0</v>
      </c>
      <c r="J562" s="756"/>
    </row>
    <row r="563" spans="1:10" ht="35.25" customHeight="1" x14ac:dyDescent="0.25">
      <c r="A563" s="1052"/>
      <c r="B563" s="797"/>
      <c r="C563" s="279" t="s">
        <v>444</v>
      </c>
      <c r="D563" s="434" t="s">
        <v>423</v>
      </c>
      <c r="E563" s="280"/>
      <c r="F563" s="435">
        <f t="shared" si="113"/>
        <v>0</v>
      </c>
      <c r="G563" s="602">
        <v>20.76</v>
      </c>
      <c r="H563" s="597">
        <f t="shared" si="111"/>
        <v>0</v>
      </c>
      <c r="I563" s="596">
        <f t="shared" si="112"/>
        <v>0</v>
      </c>
      <c r="J563" s="373"/>
    </row>
    <row r="564" spans="1:10" ht="35.25" customHeight="1" x14ac:dyDescent="0.25">
      <c r="A564" s="1052"/>
      <c r="B564" s="797"/>
      <c r="C564" s="279" t="s">
        <v>298</v>
      </c>
      <c r="D564" s="434" t="s">
        <v>107</v>
      </c>
      <c r="E564" s="280"/>
      <c r="F564" s="435">
        <f t="shared" si="113"/>
        <v>0</v>
      </c>
      <c r="G564" s="602">
        <v>24.93</v>
      </c>
      <c r="H564" s="597">
        <f t="shared" si="111"/>
        <v>0</v>
      </c>
      <c r="I564" s="596">
        <f t="shared" si="112"/>
        <v>0</v>
      </c>
      <c r="J564" s="373"/>
    </row>
    <row r="565" spans="1:10" ht="35.25" customHeight="1" x14ac:dyDescent="0.25">
      <c r="A565" s="1052"/>
      <c r="B565" s="797"/>
      <c r="C565" s="279" t="s">
        <v>299</v>
      </c>
      <c r="D565" s="434" t="s">
        <v>280</v>
      </c>
      <c r="E565" s="280"/>
      <c r="F565" s="435">
        <f t="shared" si="113"/>
        <v>0</v>
      </c>
      <c r="G565" s="602">
        <v>24.93</v>
      </c>
      <c r="H565" s="597">
        <f t="shared" si="111"/>
        <v>0</v>
      </c>
      <c r="I565" s="596">
        <f t="shared" si="112"/>
        <v>0</v>
      </c>
      <c r="J565" s="373"/>
    </row>
    <row r="566" spans="1:10" ht="35.25" customHeight="1" x14ac:dyDescent="0.25">
      <c r="A566" s="1052"/>
      <c r="B566" s="797"/>
      <c r="C566" s="279" t="s">
        <v>425</v>
      </c>
      <c r="D566" s="434" t="s">
        <v>309</v>
      </c>
      <c r="E566" s="280"/>
      <c r="F566" s="435">
        <f t="shared" si="113"/>
        <v>0</v>
      </c>
      <c r="G566" s="602">
        <v>23.78</v>
      </c>
      <c r="H566" s="597">
        <f t="shared" si="111"/>
        <v>0</v>
      </c>
      <c r="I566" s="596">
        <f t="shared" si="112"/>
        <v>0</v>
      </c>
      <c r="J566" s="373"/>
    </row>
    <row r="567" spans="1:10" ht="35.25" customHeight="1" x14ac:dyDescent="0.25">
      <c r="A567" s="1052"/>
      <c r="B567" s="797"/>
      <c r="C567" s="279" t="s">
        <v>354</v>
      </c>
      <c r="D567" s="434" t="s">
        <v>309</v>
      </c>
      <c r="E567" s="280"/>
      <c r="F567" s="435">
        <f t="shared" si="113"/>
        <v>0</v>
      </c>
      <c r="G567" s="602">
        <v>37.4566666666</v>
      </c>
      <c r="H567" s="597">
        <f t="shared" si="111"/>
        <v>0</v>
      </c>
      <c r="I567" s="596">
        <f t="shared" si="112"/>
        <v>0</v>
      </c>
      <c r="J567" s="373"/>
    </row>
    <row r="568" spans="1:10" ht="35.25" customHeight="1" x14ac:dyDescent="0.25">
      <c r="A568" s="1052"/>
      <c r="B568" s="797"/>
      <c r="C568" s="279" t="s">
        <v>355</v>
      </c>
      <c r="D568" s="434" t="s">
        <v>309</v>
      </c>
      <c r="E568" s="280"/>
      <c r="F568" s="435">
        <f t="shared" si="113"/>
        <v>0</v>
      </c>
      <c r="G568" s="602">
        <v>37.89</v>
      </c>
      <c r="H568" s="597">
        <f t="shared" si="111"/>
        <v>0</v>
      </c>
      <c r="I568" s="596">
        <f t="shared" si="112"/>
        <v>0</v>
      </c>
      <c r="J568" s="373"/>
    </row>
    <row r="569" spans="1:10" ht="35.25" customHeight="1" x14ac:dyDescent="0.25">
      <c r="A569" s="1052"/>
      <c r="B569" s="797"/>
      <c r="C569" s="279" t="s">
        <v>461</v>
      </c>
      <c r="D569" s="434" t="s">
        <v>92</v>
      </c>
      <c r="E569" s="280"/>
      <c r="F569" s="435">
        <f t="shared" si="113"/>
        <v>0</v>
      </c>
      <c r="G569" s="602">
        <v>28.31</v>
      </c>
      <c r="H569" s="597">
        <f t="shared" si="111"/>
        <v>0</v>
      </c>
      <c r="I569" s="596">
        <f t="shared" si="112"/>
        <v>0</v>
      </c>
      <c r="J569" s="373"/>
    </row>
    <row r="570" spans="1:10" ht="35.25" customHeight="1" x14ac:dyDescent="0.25">
      <c r="A570" s="1052"/>
      <c r="B570" s="797"/>
      <c r="C570" s="279" t="s">
        <v>461</v>
      </c>
      <c r="D570" s="434" t="s">
        <v>423</v>
      </c>
      <c r="E570" s="280"/>
      <c r="F570" s="435">
        <f t="shared" si="113"/>
        <v>0</v>
      </c>
      <c r="G570" s="602">
        <v>28.88</v>
      </c>
      <c r="H570" s="597">
        <f t="shared" si="111"/>
        <v>0</v>
      </c>
      <c r="I570" s="596">
        <f t="shared" si="112"/>
        <v>0</v>
      </c>
      <c r="J570" s="373"/>
    </row>
    <row r="571" spans="1:10" ht="35.25" customHeight="1" x14ac:dyDescent="0.25">
      <c r="A571" s="1052"/>
      <c r="B571" s="797"/>
      <c r="C571" s="279" t="s">
        <v>462</v>
      </c>
      <c r="D571" s="434" t="s">
        <v>423</v>
      </c>
      <c r="E571" s="280"/>
      <c r="F571" s="435">
        <f t="shared" si="113"/>
        <v>0</v>
      </c>
      <c r="G571" s="602">
        <v>28.21</v>
      </c>
      <c r="H571" s="597">
        <f t="shared" si="111"/>
        <v>0</v>
      </c>
      <c r="I571" s="596">
        <f t="shared" si="112"/>
        <v>0</v>
      </c>
      <c r="J571" s="373"/>
    </row>
    <row r="572" spans="1:10" ht="35.25" customHeight="1" x14ac:dyDescent="0.25">
      <c r="A572" s="1052"/>
      <c r="B572" s="797"/>
      <c r="C572" s="279" t="s">
        <v>463</v>
      </c>
      <c r="D572" s="434" t="s">
        <v>338</v>
      </c>
      <c r="E572" s="280"/>
      <c r="F572" s="435">
        <f t="shared" si="113"/>
        <v>0</v>
      </c>
      <c r="G572" s="602">
        <v>39</v>
      </c>
      <c r="H572" s="597">
        <f t="shared" si="111"/>
        <v>0</v>
      </c>
      <c r="I572" s="596">
        <f t="shared" si="112"/>
        <v>0</v>
      </c>
      <c r="J572" s="373"/>
    </row>
    <row r="573" spans="1:10" ht="35.25" customHeight="1" x14ac:dyDescent="0.25">
      <c r="A573" s="1052"/>
      <c r="B573" s="797"/>
      <c r="C573" s="279" t="s">
        <v>463</v>
      </c>
      <c r="D573" s="434" t="s">
        <v>92</v>
      </c>
      <c r="E573" s="280"/>
      <c r="F573" s="435">
        <f t="shared" si="113"/>
        <v>0</v>
      </c>
      <c r="G573" s="602">
        <v>32.65</v>
      </c>
      <c r="H573" s="597">
        <f t="shared" si="111"/>
        <v>0</v>
      </c>
      <c r="I573" s="596">
        <f t="shared" si="112"/>
        <v>0</v>
      </c>
      <c r="J573" s="373"/>
    </row>
    <row r="574" spans="1:10" ht="35.25" customHeight="1" x14ac:dyDescent="0.25">
      <c r="A574" s="1052"/>
      <c r="B574" s="797"/>
      <c r="C574" s="279" t="s">
        <v>463</v>
      </c>
      <c r="D574" s="434" t="s">
        <v>423</v>
      </c>
      <c r="E574" s="280"/>
      <c r="F574" s="435">
        <f t="shared" si="113"/>
        <v>0</v>
      </c>
      <c r="G574" s="602">
        <v>33.299999999999997</v>
      </c>
      <c r="H574" s="597">
        <f t="shared" si="111"/>
        <v>0</v>
      </c>
      <c r="I574" s="596">
        <f t="shared" si="112"/>
        <v>0</v>
      </c>
      <c r="J574" s="373"/>
    </row>
    <row r="575" spans="1:10" ht="35.25" customHeight="1" x14ac:dyDescent="0.25">
      <c r="A575" s="1052"/>
      <c r="B575" s="797"/>
      <c r="C575" s="279" t="s">
        <v>299</v>
      </c>
      <c r="D575" s="434" t="s">
        <v>279</v>
      </c>
      <c r="E575" s="280"/>
      <c r="F575" s="435">
        <f t="shared" si="113"/>
        <v>0</v>
      </c>
      <c r="G575" s="602">
        <v>24.93</v>
      </c>
      <c r="H575" s="597">
        <f t="shared" si="111"/>
        <v>0</v>
      </c>
      <c r="I575" s="596">
        <f t="shared" si="112"/>
        <v>0</v>
      </c>
      <c r="J575" s="373"/>
    </row>
    <row r="576" spans="1:10" ht="35.25" customHeight="1" x14ac:dyDescent="0.25">
      <c r="A576" s="1052"/>
      <c r="B576" s="797"/>
      <c r="C576" s="279" t="s">
        <v>299</v>
      </c>
      <c r="D576" s="434"/>
      <c r="E576" s="280"/>
      <c r="F576" s="435">
        <f t="shared" si="113"/>
        <v>0</v>
      </c>
      <c r="G576" s="602">
        <v>24.93</v>
      </c>
      <c r="H576" s="597">
        <f t="shared" si="111"/>
        <v>0</v>
      </c>
      <c r="I576" s="596">
        <f t="shared" si="112"/>
        <v>0</v>
      </c>
      <c r="J576" s="373"/>
    </row>
    <row r="577" spans="1:10" ht="35.25" customHeight="1" x14ac:dyDescent="0.25">
      <c r="A577" s="1052"/>
      <c r="B577" s="797"/>
      <c r="C577" s="279" t="s">
        <v>316</v>
      </c>
      <c r="D577" s="434" t="s">
        <v>289</v>
      </c>
      <c r="E577" s="280"/>
      <c r="F577" s="435">
        <f t="shared" si="113"/>
        <v>0</v>
      </c>
      <c r="G577" s="602">
        <v>34.26</v>
      </c>
      <c r="H577" s="597">
        <f t="shared" si="111"/>
        <v>0</v>
      </c>
      <c r="I577" s="596">
        <f t="shared" si="112"/>
        <v>0</v>
      </c>
      <c r="J577" s="373"/>
    </row>
    <row r="578" spans="1:10" ht="35.25" customHeight="1" x14ac:dyDescent="0.25">
      <c r="A578" s="1052"/>
      <c r="B578" s="797"/>
      <c r="C578" s="279" t="s">
        <v>328</v>
      </c>
      <c r="D578" s="434" t="s">
        <v>360</v>
      </c>
      <c r="E578" s="280"/>
      <c r="F578" s="435">
        <f t="shared" si="113"/>
        <v>0</v>
      </c>
      <c r="G578" s="602">
        <v>37.89</v>
      </c>
      <c r="H578" s="597">
        <f t="shared" si="111"/>
        <v>0</v>
      </c>
      <c r="I578" s="596">
        <f t="shared" si="112"/>
        <v>0</v>
      </c>
      <c r="J578" s="373"/>
    </row>
    <row r="579" spans="1:10" ht="35.25" customHeight="1" x14ac:dyDescent="0.25">
      <c r="A579" s="1052"/>
      <c r="B579" s="797"/>
      <c r="C579" s="279" t="s">
        <v>363</v>
      </c>
      <c r="D579" s="434" t="s">
        <v>338</v>
      </c>
      <c r="E579" s="280"/>
      <c r="F579" s="435">
        <f t="shared" si="113"/>
        <v>0</v>
      </c>
      <c r="G579" s="602">
        <v>39</v>
      </c>
      <c r="H579" s="597">
        <f t="shared" si="111"/>
        <v>0</v>
      </c>
      <c r="I579" s="596">
        <f t="shared" si="112"/>
        <v>0</v>
      </c>
      <c r="J579" s="373"/>
    </row>
    <row r="580" spans="1:10" ht="35.25" customHeight="1" x14ac:dyDescent="0.25">
      <c r="A580" s="1052"/>
      <c r="B580" s="797"/>
      <c r="C580" s="279" t="s">
        <v>299</v>
      </c>
      <c r="D580" s="434" t="s">
        <v>177</v>
      </c>
      <c r="E580" s="280"/>
      <c r="F580" s="435">
        <f t="shared" si="113"/>
        <v>0</v>
      </c>
      <c r="G580" s="602">
        <v>21.22</v>
      </c>
      <c r="H580" s="597">
        <f t="shared" si="111"/>
        <v>0</v>
      </c>
      <c r="I580" s="596">
        <f t="shared" si="112"/>
        <v>0</v>
      </c>
      <c r="J580" s="373"/>
    </row>
    <row r="581" spans="1:10" ht="35.25" customHeight="1" x14ac:dyDescent="0.25">
      <c r="A581" s="1052"/>
      <c r="B581" s="797"/>
      <c r="C581" s="279" t="s">
        <v>298</v>
      </c>
      <c r="D581" s="434" t="s">
        <v>177</v>
      </c>
      <c r="E581" s="280"/>
      <c r="F581" s="435">
        <f t="shared" si="113"/>
        <v>0</v>
      </c>
      <c r="G581" s="602">
        <v>21.22</v>
      </c>
      <c r="H581" s="597">
        <f t="shared" si="111"/>
        <v>0</v>
      </c>
      <c r="I581" s="596">
        <f t="shared" si="112"/>
        <v>0</v>
      </c>
      <c r="J581" s="373"/>
    </row>
    <row r="582" spans="1:10" ht="35.25" customHeight="1" x14ac:dyDescent="0.25">
      <c r="A582" s="1052"/>
      <c r="B582" s="797"/>
      <c r="C582" s="279" t="s">
        <v>339</v>
      </c>
      <c r="D582" s="434" t="s">
        <v>304</v>
      </c>
      <c r="E582" s="280"/>
      <c r="F582" s="435">
        <f t="shared" si="113"/>
        <v>0</v>
      </c>
      <c r="G582" s="602">
        <v>10000</v>
      </c>
      <c r="H582" s="597">
        <f t="shared" si="111"/>
        <v>0</v>
      </c>
      <c r="I582" s="596">
        <f t="shared" si="112"/>
        <v>0</v>
      </c>
      <c r="J582" s="373"/>
    </row>
    <row r="583" spans="1:10" ht="35.25" customHeight="1" thickBot="1" x14ac:dyDescent="0.3">
      <c r="A583" s="1052"/>
      <c r="B583" s="797"/>
      <c r="C583" s="279" t="s">
        <v>303</v>
      </c>
      <c r="D583" s="434" t="s">
        <v>304</v>
      </c>
      <c r="E583" s="280"/>
      <c r="F583" s="435">
        <f t="shared" si="113"/>
        <v>0</v>
      </c>
      <c r="G583" s="602">
        <v>360</v>
      </c>
      <c r="H583" s="597">
        <f t="shared" si="111"/>
        <v>0</v>
      </c>
      <c r="I583" s="596">
        <f t="shared" si="112"/>
        <v>0</v>
      </c>
      <c r="J583" s="373"/>
    </row>
    <row r="584" spans="1:10" ht="35.25" customHeight="1" thickBot="1" x14ac:dyDescent="0.3">
      <c r="A584" s="1053"/>
      <c r="B584" s="1047" t="s">
        <v>268</v>
      </c>
      <c r="C584" s="1048"/>
      <c r="D584" s="799"/>
      <c r="E584" s="326">
        <f>SUM(E555:E583)</f>
        <v>0</v>
      </c>
      <c r="F584" s="326">
        <f>SUM(F555:F583)</f>
        <v>0</v>
      </c>
      <c r="G584" s="326"/>
      <c r="H584" s="587">
        <f>SUM(H555:H583)</f>
        <v>0</v>
      </c>
      <c r="I584" s="580">
        <f>SUM(I555:I583)</f>
        <v>0</v>
      </c>
      <c r="J584" s="373"/>
    </row>
    <row r="585" spans="1:10" ht="35.25" customHeight="1" x14ac:dyDescent="0.25">
      <c r="A585" s="1051" t="s">
        <v>102</v>
      </c>
      <c r="B585" s="797"/>
      <c r="C585" s="279" t="s">
        <v>509</v>
      </c>
      <c r="D585" s="434" t="s">
        <v>238</v>
      </c>
      <c r="E585" s="280"/>
      <c r="F585" s="435">
        <f t="shared" ref="F585:F588" si="114">+E585+F492</f>
        <v>3400</v>
      </c>
      <c r="G585" s="803">
        <v>624.26</v>
      </c>
      <c r="H585" s="593">
        <f>E585*G585</f>
        <v>0</v>
      </c>
      <c r="I585" s="596">
        <f t="shared" ref="I585:I607" si="115">+G585*F585</f>
        <v>2122484</v>
      </c>
      <c r="J585" s="373"/>
    </row>
    <row r="586" spans="1:10" ht="35.25" customHeight="1" x14ac:dyDescent="0.25">
      <c r="A586" s="1052"/>
      <c r="B586" s="797"/>
      <c r="C586" s="279" t="s">
        <v>274</v>
      </c>
      <c r="D586" s="434" t="s">
        <v>238</v>
      </c>
      <c r="E586" s="280"/>
      <c r="F586" s="435">
        <f t="shared" si="114"/>
        <v>0</v>
      </c>
      <c r="G586" s="602">
        <v>445.38</v>
      </c>
      <c r="H586" s="593">
        <f t="shared" ref="H586:H607" si="116">E586*G586</f>
        <v>0</v>
      </c>
      <c r="I586" s="596">
        <f t="shared" si="115"/>
        <v>0</v>
      </c>
      <c r="J586" s="373"/>
    </row>
    <row r="587" spans="1:10" ht="35.25" customHeight="1" x14ac:dyDescent="0.25">
      <c r="A587" s="1052"/>
      <c r="B587" s="797"/>
      <c r="C587" s="279" t="s">
        <v>390</v>
      </c>
      <c r="D587" s="434" t="s">
        <v>238</v>
      </c>
      <c r="E587" s="280"/>
      <c r="F587" s="435">
        <f t="shared" si="114"/>
        <v>0</v>
      </c>
      <c r="G587" s="602">
        <v>445.38</v>
      </c>
      <c r="H587" s="593">
        <f t="shared" si="116"/>
        <v>0</v>
      </c>
      <c r="I587" s="596">
        <f t="shared" si="115"/>
        <v>0</v>
      </c>
      <c r="J587" s="373"/>
    </row>
    <row r="588" spans="1:10" ht="35.25" customHeight="1" x14ac:dyDescent="0.25">
      <c r="A588" s="1052"/>
      <c r="B588" s="797"/>
      <c r="C588" s="279" t="s">
        <v>301</v>
      </c>
      <c r="D588" s="434" t="s">
        <v>238</v>
      </c>
      <c r="E588" s="280">
        <v>8640</v>
      </c>
      <c r="F588" s="435">
        <f t="shared" si="114"/>
        <v>8640</v>
      </c>
      <c r="G588" s="602">
        <v>63.55</v>
      </c>
      <c r="H588" s="593">
        <f t="shared" si="116"/>
        <v>549072</v>
      </c>
      <c r="I588" s="596">
        <f>+G588*F588</f>
        <v>549072</v>
      </c>
      <c r="J588" s="373"/>
    </row>
    <row r="589" spans="1:10" ht="35.25" customHeight="1" x14ac:dyDescent="0.25">
      <c r="A589" s="1052"/>
      <c r="B589" s="804"/>
      <c r="C589" s="279" t="s">
        <v>514</v>
      </c>
      <c r="D589" s="434" t="s">
        <v>238</v>
      </c>
      <c r="E589" s="280">
        <v>21600</v>
      </c>
      <c r="F589" s="435">
        <f>+E589</f>
        <v>21600</v>
      </c>
      <c r="G589" s="602">
        <v>71.44</v>
      </c>
      <c r="H589" s="593">
        <f t="shared" si="116"/>
        <v>1543104</v>
      </c>
      <c r="I589" s="596">
        <f>+G589*F589</f>
        <v>1543104</v>
      </c>
      <c r="J589" s="373"/>
    </row>
    <row r="590" spans="1:10" ht="35.25" customHeight="1" x14ac:dyDescent="0.25">
      <c r="A590" s="1052"/>
      <c r="B590" s="797"/>
      <c r="C590" s="279" t="s">
        <v>275</v>
      </c>
      <c r="D590" s="434" t="s">
        <v>238</v>
      </c>
      <c r="E590" s="280"/>
      <c r="F590" s="435">
        <f t="shared" ref="F590:F610" si="117">+E590+F496</f>
        <v>10080</v>
      </c>
      <c r="G590" s="602">
        <v>71.44</v>
      </c>
      <c r="H590" s="593">
        <f t="shared" si="116"/>
        <v>0</v>
      </c>
      <c r="I590" s="596">
        <f t="shared" si="115"/>
        <v>720115.19999999995</v>
      </c>
      <c r="J590" s="373"/>
    </row>
    <row r="591" spans="1:10" ht="35.25" customHeight="1" x14ac:dyDescent="0.25">
      <c r="A591" s="1052"/>
      <c r="B591" s="797"/>
      <c r="C591" s="279" t="s">
        <v>276</v>
      </c>
      <c r="D591" s="434" t="s">
        <v>238</v>
      </c>
      <c r="E591" s="280"/>
      <c r="F591" s="435">
        <f t="shared" si="117"/>
        <v>0</v>
      </c>
      <c r="G591" s="602">
        <v>36.5</v>
      </c>
      <c r="H591" s="593">
        <f t="shared" si="116"/>
        <v>0</v>
      </c>
      <c r="I591" s="596">
        <f t="shared" si="115"/>
        <v>0</v>
      </c>
      <c r="J591" s="373"/>
    </row>
    <row r="592" spans="1:10" ht="35.25" customHeight="1" x14ac:dyDescent="0.25">
      <c r="A592" s="1052"/>
      <c r="B592" s="797"/>
      <c r="C592" s="279" t="s">
        <v>426</v>
      </c>
      <c r="D592" s="434" t="s">
        <v>238</v>
      </c>
      <c r="E592" s="280"/>
      <c r="F592" s="435">
        <f t="shared" si="117"/>
        <v>0</v>
      </c>
      <c r="G592" s="602">
        <v>320.35000000000002</v>
      </c>
      <c r="H592" s="593">
        <f t="shared" si="116"/>
        <v>0</v>
      </c>
      <c r="I592" s="596">
        <f t="shared" si="115"/>
        <v>0</v>
      </c>
      <c r="J592" s="373"/>
    </row>
    <row r="593" spans="1:10" ht="35.25" customHeight="1" x14ac:dyDescent="0.25">
      <c r="A593" s="1052"/>
      <c r="B593" s="797"/>
      <c r="C593" s="279" t="s">
        <v>285</v>
      </c>
      <c r="D593" s="434" t="s">
        <v>238</v>
      </c>
      <c r="E593" s="280"/>
      <c r="F593" s="435">
        <f t="shared" si="117"/>
        <v>0</v>
      </c>
      <c r="G593" s="602">
        <v>320.35000000000002</v>
      </c>
      <c r="H593" s="593">
        <f t="shared" si="116"/>
        <v>0</v>
      </c>
      <c r="I593" s="596">
        <f t="shared" si="115"/>
        <v>0</v>
      </c>
      <c r="J593" s="373"/>
    </row>
    <row r="594" spans="1:10" ht="35.25" customHeight="1" x14ac:dyDescent="0.25">
      <c r="A594" s="1052"/>
      <c r="B594" s="797"/>
      <c r="C594" s="279" t="s">
        <v>296</v>
      </c>
      <c r="D594" s="434" t="s">
        <v>238</v>
      </c>
      <c r="E594" s="280"/>
      <c r="F594" s="435">
        <f t="shared" si="117"/>
        <v>0</v>
      </c>
      <c r="G594" s="602">
        <v>434.41</v>
      </c>
      <c r="H594" s="593">
        <f t="shared" si="116"/>
        <v>0</v>
      </c>
      <c r="I594" s="596">
        <f t="shared" si="115"/>
        <v>0</v>
      </c>
      <c r="J594" s="373"/>
    </row>
    <row r="595" spans="1:10" ht="35.25" customHeight="1" x14ac:dyDescent="0.25">
      <c r="A595" s="1052"/>
      <c r="B595" s="797"/>
      <c r="C595" s="279" t="s">
        <v>282</v>
      </c>
      <c r="D595" s="434" t="s">
        <v>238</v>
      </c>
      <c r="E595" s="280"/>
      <c r="F595" s="435">
        <f t="shared" si="117"/>
        <v>0</v>
      </c>
      <c r="G595" s="602">
        <v>29690</v>
      </c>
      <c r="H595" s="593">
        <f t="shared" si="116"/>
        <v>0</v>
      </c>
      <c r="I595" s="596">
        <f t="shared" si="115"/>
        <v>0</v>
      </c>
      <c r="J595" s="373"/>
    </row>
    <row r="596" spans="1:10" ht="35.25" customHeight="1" x14ac:dyDescent="0.25">
      <c r="A596" s="1052"/>
      <c r="B596" s="797"/>
      <c r="C596" s="279" t="s">
        <v>282</v>
      </c>
      <c r="D596" s="434" t="s">
        <v>238</v>
      </c>
      <c r="E596" s="280">
        <v>1</v>
      </c>
      <c r="F596" s="435">
        <f t="shared" si="117"/>
        <v>1</v>
      </c>
      <c r="G596" s="602">
        <v>26445</v>
      </c>
      <c r="H596" s="593">
        <f t="shared" si="116"/>
        <v>26445</v>
      </c>
      <c r="I596" s="596">
        <f t="shared" si="115"/>
        <v>26445</v>
      </c>
      <c r="J596" s="373"/>
    </row>
    <row r="597" spans="1:10" ht="35.25" customHeight="1" x14ac:dyDescent="0.25">
      <c r="A597" s="1052"/>
      <c r="B597" s="797"/>
      <c r="C597" s="279" t="s">
        <v>282</v>
      </c>
      <c r="D597" s="434"/>
      <c r="E597" s="280"/>
      <c r="F597" s="435">
        <f t="shared" si="117"/>
        <v>0</v>
      </c>
      <c r="G597" s="602">
        <v>33947.884599999998</v>
      </c>
      <c r="H597" s="593">
        <f t="shared" si="116"/>
        <v>0</v>
      </c>
      <c r="I597" s="596">
        <f t="shared" si="115"/>
        <v>0</v>
      </c>
      <c r="J597" s="373"/>
    </row>
    <row r="598" spans="1:10" ht="35.25" customHeight="1" x14ac:dyDescent="0.25">
      <c r="A598" s="1052"/>
      <c r="B598" s="797"/>
      <c r="C598" s="279" t="s">
        <v>311</v>
      </c>
      <c r="D598" s="434" t="s">
        <v>337</v>
      </c>
      <c r="E598" s="280"/>
      <c r="F598" s="435">
        <f t="shared" si="117"/>
        <v>0</v>
      </c>
      <c r="G598" s="602">
        <v>50</v>
      </c>
      <c r="H598" s="593">
        <f t="shared" si="116"/>
        <v>0</v>
      </c>
      <c r="I598" s="596">
        <f t="shared" si="115"/>
        <v>0</v>
      </c>
      <c r="J598" s="373"/>
    </row>
    <row r="599" spans="1:10" ht="35.25" customHeight="1" x14ac:dyDescent="0.25">
      <c r="A599" s="1052"/>
      <c r="B599" s="797"/>
      <c r="C599" s="279" t="s">
        <v>311</v>
      </c>
      <c r="D599" s="434"/>
      <c r="E599" s="280"/>
      <c r="F599" s="435">
        <f t="shared" si="117"/>
        <v>0</v>
      </c>
      <c r="G599" s="602">
        <v>10</v>
      </c>
      <c r="H599" s="593">
        <f t="shared" si="116"/>
        <v>0</v>
      </c>
      <c r="I599" s="596">
        <f t="shared" si="115"/>
        <v>0</v>
      </c>
      <c r="J599" s="373"/>
    </row>
    <row r="600" spans="1:10" ht="35.25" customHeight="1" x14ac:dyDescent="0.25">
      <c r="A600" s="1052"/>
      <c r="B600" s="797"/>
      <c r="C600" s="279" t="s">
        <v>329</v>
      </c>
      <c r="D600" s="434" t="s">
        <v>370</v>
      </c>
      <c r="E600" s="280"/>
      <c r="F600" s="435">
        <f t="shared" si="117"/>
        <v>0</v>
      </c>
      <c r="G600" s="602">
        <v>57.64</v>
      </c>
      <c r="H600" s="593">
        <f t="shared" si="116"/>
        <v>0</v>
      </c>
      <c r="I600" s="596">
        <f t="shared" si="115"/>
        <v>0</v>
      </c>
      <c r="J600" s="373"/>
    </row>
    <row r="601" spans="1:10" ht="35.25" customHeight="1" x14ac:dyDescent="0.25">
      <c r="A601" s="1052"/>
      <c r="B601" s="797"/>
      <c r="C601" s="279" t="s">
        <v>329</v>
      </c>
      <c r="D601" s="434" t="s">
        <v>364</v>
      </c>
      <c r="E601" s="280"/>
      <c r="F601" s="435">
        <f t="shared" si="117"/>
        <v>0</v>
      </c>
      <c r="G601" s="602">
        <v>57.64</v>
      </c>
      <c r="H601" s="593">
        <f t="shared" si="116"/>
        <v>0</v>
      </c>
      <c r="I601" s="596">
        <f t="shared" si="115"/>
        <v>0</v>
      </c>
      <c r="J601" s="373"/>
    </row>
    <row r="602" spans="1:10" ht="35.25" customHeight="1" x14ac:dyDescent="0.25">
      <c r="A602" s="1052"/>
      <c r="B602" s="797"/>
      <c r="C602" s="279" t="s">
        <v>330</v>
      </c>
      <c r="D602" s="434" t="s">
        <v>331</v>
      </c>
      <c r="E602" s="280"/>
      <c r="F602" s="435">
        <f t="shared" si="117"/>
        <v>0</v>
      </c>
      <c r="G602" s="602">
        <v>434.41</v>
      </c>
      <c r="H602" s="593">
        <f t="shared" si="116"/>
        <v>0</v>
      </c>
      <c r="I602" s="596">
        <f t="shared" si="115"/>
        <v>0</v>
      </c>
      <c r="J602" s="373"/>
    </row>
    <row r="603" spans="1:10" ht="35.25" customHeight="1" x14ac:dyDescent="0.25">
      <c r="A603" s="1052"/>
      <c r="B603" s="797"/>
      <c r="C603" s="279" t="s">
        <v>343</v>
      </c>
      <c r="D603" s="434" t="s">
        <v>238</v>
      </c>
      <c r="E603" s="280"/>
      <c r="F603" s="435">
        <f t="shared" si="117"/>
        <v>0</v>
      </c>
      <c r="G603" s="602">
        <v>624.26</v>
      </c>
      <c r="H603" s="593">
        <f t="shared" si="116"/>
        <v>0</v>
      </c>
      <c r="I603" s="596">
        <f t="shared" si="115"/>
        <v>0</v>
      </c>
      <c r="J603" s="373"/>
    </row>
    <row r="604" spans="1:10" ht="35.25" customHeight="1" x14ac:dyDescent="0.25">
      <c r="A604" s="1052"/>
      <c r="B604" s="797"/>
      <c r="C604" s="279" t="s">
        <v>332</v>
      </c>
      <c r="D604" s="434" t="s">
        <v>331</v>
      </c>
      <c r="E604" s="280"/>
      <c r="F604" s="435">
        <f t="shared" si="117"/>
        <v>0</v>
      </c>
      <c r="G604" s="602">
        <v>63.55</v>
      </c>
      <c r="H604" s="593">
        <f t="shared" si="116"/>
        <v>0</v>
      </c>
      <c r="I604" s="596">
        <f t="shared" si="115"/>
        <v>0</v>
      </c>
      <c r="J604" s="373"/>
    </row>
    <row r="605" spans="1:10" ht="35.25" customHeight="1" x14ac:dyDescent="0.25">
      <c r="A605" s="1052"/>
      <c r="B605" s="797"/>
      <c r="C605" s="279" t="s">
        <v>371</v>
      </c>
      <c r="D605" s="434" t="s">
        <v>238</v>
      </c>
      <c r="E605" s="280"/>
      <c r="F605" s="435">
        <f t="shared" si="117"/>
        <v>0</v>
      </c>
      <c r="G605" s="602">
        <v>59.96</v>
      </c>
      <c r="H605" s="593">
        <f t="shared" si="116"/>
        <v>0</v>
      </c>
      <c r="I605" s="596">
        <f t="shared" si="115"/>
        <v>0</v>
      </c>
      <c r="J605" s="373"/>
    </row>
    <row r="606" spans="1:10" ht="35.25" customHeight="1" x14ac:dyDescent="0.25">
      <c r="A606" s="1052"/>
      <c r="B606" s="797"/>
      <c r="C606" s="279" t="s">
        <v>419</v>
      </c>
      <c r="D606" s="434" t="s">
        <v>331</v>
      </c>
      <c r="E606" s="280"/>
      <c r="F606" s="435">
        <f t="shared" si="117"/>
        <v>0</v>
      </c>
      <c r="G606" s="602">
        <v>53.86</v>
      </c>
      <c r="H606" s="593">
        <f t="shared" si="116"/>
        <v>0</v>
      </c>
      <c r="I606" s="596">
        <f t="shared" si="115"/>
        <v>0</v>
      </c>
      <c r="J606" s="373"/>
    </row>
    <row r="607" spans="1:10" ht="35.25" customHeight="1" x14ac:dyDescent="0.25">
      <c r="A607" s="1052"/>
      <c r="B607" s="797"/>
      <c r="C607" s="279" t="s">
        <v>379</v>
      </c>
      <c r="D607" s="434"/>
      <c r="E607" s="280"/>
      <c r="F607" s="435">
        <f t="shared" si="117"/>
        <v>0</v>
      </c>
      <c r="G607" s="602">
        <v>360</v>
      </c>
      <c r="H607" s="593">
        <f t="shared" si="116"/>
        <v>0</v>
      </c>
      <c r="I607" s="596">
        <f t="shared" si="115"/>
        <v>0</v>
      </c>
      <c r="J607" s="373"/>
    </row>
    <row r="608" spans="1:10" ht="35.25" customHeight="1" x14ac:dyDescent="0.25">
      <c r="A608" s="1052"/>
      <c r="B608" s="797"/>
      <c r="C608" s="279" t="s">
        <v>471</v>
      </c>
      <c r="D608" s="434"/>
      <c r="E608" s="280"/>
      <c r="F608" s="435">
        <f t="shared" si="117"/>
        <v>0</v>
      </c>
      <c r="G608" s="602"/>
      <c r="H608" s="593">
        <f>+E608</f>
        <v>0</v>
      </c>
      <c r="I608" s="596">
        <f>+H608</f>
        <v>0</v>
      </c>
      <c r="J608" s="373"/>
    </row>
    <row r="609" spans="1:10" ht="35.25" customHeight="1" x14ac:dyDescent="0.25">
      <c r="A609" s="1052"/>
      <c r="B609" s="797"/>
      <c r="C609" s="279" t="s">
        <v>282</v>
      </c>
      <c r="D609" s="434"/>
      <c r="E609" s="280"/>
      <c r="F609" s="435">
        <f t="shared" si="117"/>
        <v>0</v>
      </c>
      <c r="G609" s="602">
        <v>39450</v>
      </c>
      <c r="H609" s="593">
        <f t="shared" ref="H609:H610" si="118">E609*G609</f>
        <v>0</v>
      </c>
      <c r="I609" s="596">
        <f t="shared" ref="I609:I610" si="119">+G609*F609</f>
        <v>0</v>
      </c>
      <c r="J609" s="373"/>
    </row>
    <row r="610" spans="1:10" ht="35.25" customHeight="1" thickBot="1" x14ac:dyDescent="0.3">
      <c r="A610" s="1052"/>
      <c r="B610" s="797"/>
      <c r="C610" s="279" t="s">
        <v>329</v>
      </c>
      <c r="D610" s="434" t="s">
        <v>443</v>
      </c>
      <c r="E610" s="280"/>
      <c r="F610" s="435">
        <f t="shared" si="117"/>
        <v>0</v>
      </c>
      <c r="G610" s="602">
        <v>57.64</v>
      </c>
      <c r="H610" s="593">
        <f t="shared" si="118"/>
        <v>0</v>
      </c>
      <c r="I610" s="596">
        <f t="shared" si="119"/>
        <v>0</v>
      </c>
      <c r="J610" s="373"/>
    </row>
    <row r="611" spans="1:10" ht="35.25" customHeight="1" thickBot="1" x14ac:dyDescent="0.3">
      <c r="A611" s="1053"/>
      <c r="B611" s="1047" t="s">
        <v>270</v>
      </c>
      <c r="C611" s="1048"/>
      <c r="D611" s="799"/>
      <c r="E611" s="326">
        <f>SUM(E585:E610)</f>
        <v>30241</v>
      </c>
      <c r="F611" s="326">
        <f>SUM(F585:F610)</f>
        <v>43721</v>
      </c>
      <c r="G611" s="326"/>
      <c r="H611" s="590">
        <f>SUM(H585:H610)</f>
        <v>2118621</v>
      </c>
      <c r="I611" s="580">
        <f>SUM(I585:I610)</f>
        <v>4961220.2</v>
      </c>
      <c r="J611" s="372"/>
    </row>
    <row r="612" spans="1:10" ht="35.25" customHeight="1" thickBot="1" x14ac:dyDescent="0.3">
      <c r="A612" s="802"/>
      <c r="B612" s="437"/>
      <c r="C612" s="279" t="s">
        <v>379</v>
      </c>
      <c r="D612" s="434"/>
      <c r="E612" s="280"/>
      <c r="F612" s="281">
        <f>+E612</f>
        <v>0</v>
      </c>
      <c r="G612" s="334"/>
      <c r="H612" s="589">
        <f t="shared" ref="H612" si="120">E612*G612</f>
        <v>0</v>
      </c>
      <c r="I612" s="282">
        <f t="shared" ref="I612" si="121">+G612*F612</f>
        <v>0</v>
      </c>
      <c r="J612" s="373"/>
    </row>
    <row r="613" spans="1:10" ht="35.25" customHeight="1" thickBot="1" x14ac:dyDescent="0.3">
      <c r="A613" s="802"/>
      <c r="B613" s="1047" t="s">
        <v>224</v>
      </c>
      <c r="C613" s="1048"/>
      <c r="D613" s="795"/>
      <c r="E613" s="326"/>
      <c r="F613" s="327"/>
      <c r="G613" s="326"/>
      <c r="H613" s="587"/>
      <c r="I613" s="324">
        <f>SUM(I612)</f>
        <v>0</v>
      </c>
      <c r="J613" s="349"/>
    </row>
    <row r="614" spans="1:10" ht="35.25" customHeight="1" thickBot="1" x14ac:dyDescent="0.3">
      <c r="A614" s="319"/>
      <c r="B614" s="1049" t="s">
        <v>174</v>
      </c>
      <c r="C614" s="1050"/>
      <c r="D614" s="796"/>
      <c r="E614" s="374">
        <f>+E611+E584+E554+E552</f>
        <v>32161</v>
      </c>
      <c r="F614" s="374">
        <f>+F611+F584+F554+F552</f>
        <v>618419</v>
      </c>
      <c r="G614" s="374"/>
      <c r="H614" s="374"/>
      <c r="I614" s="374">
        <f>+I611+I584+I554+I613</f>
        <v>14195407.400000002</v>
      </c>
      <c r="J614" s="375"/>
    </row>
    <row r="615" spans="1:10" ht="35.25" customHeight="1" x14ac:dyDescent="0.25">
      <c r="A615" s="978" t="s">
        <v>1</v>
      </c>
      <c r="B615" s="981" t="s">
        <v>2</v>
      </c>
      <c r="C615" s="1056" t="s">
        <v>396</v>
      </c>
      <c r="D615" s="1033" t="s">
        <v>397</v>
      </c>
      <c r="E615" s="1060" t="s">
        <v>515</v>
      </c>
      <c r="F615" s="988"/>
      <c r="G615" s="988"/>
      <c r="H615" s="988"/>
      <c r="I615" s="988"/>
      <c r="J615" s="989"/>
    </row>
    <row r="616" spans="1:10" ht="35.25" customHeight="1" x14ac:dyDescent="0.25">
      <c r="A616" s="1054"/>
      <c r="B616" s="1055"/>
      <c r="C616" s="1057"/>
      <c r="D616" s="1034"/>
      <c r="E616" s="1061" t="s">
        <v>412</v>
      </c>
      <c r="F616" s="1062"/>
      <c r="G616" s="1061" t="s">
        <v>411</v>
      </c>
      <c r="H616" s="1063"/>
      <c r="I616" s="1063"/>
      <c r="J616" s="1062"/>
    </row>
    <row r="617" spans="1:10" ht="35.25" customHeight="1" x14ac:dyDescent="0.25">
      <c r="A617" s="979"/>
      <c r="B617" s="982"/>
      <c r="C617" s="1058"/>
      <c r="D617" s="1034"/>
      <c r="E617" s="990" t="s">
        <v>413</v>
      </c>
      <c r="F617" s="992" t="s">
        <v>414</v>
      </c>
      <c r="G617" s="1065" t="s">
        <v>90</v>
      </c>
      <c r="H617" s="1067" t="s">
        <v>91</v>
      </c>
      <c r="I617" s="1067" t="s">
        <v>91</v>
      </c>
      <c r="J617" s="1069" t="s">
        <v>12</v>
      </c>
    </row>
    <row r="618" spans="1:10" ht="35.25" customHeight="1" thickBot="1" x14ac:dyDescent="0.3">
      <c r="A618" s="980"/>
      <c r="B618" s="983"/>
      <c r="C618" s="1059"/>
      <c r="D618" s="1035"/>
      <c r="E618" s="991"/>
      <c r="F618" s="1064"/>
      <c r="G618" s="1066"/>
      <c r="H618" s="1068"/>
      <c r="I618" s="1068"/>
      <c r="J618" s="1070"/>
    </row>
    <row r="619" spans="1:10" ht="35.25" customHeight="1" x14ac:dyDescent="0.25">
      <c r="A619" s="1051" t="s">
        <v>103</v>
      </c>
      <c r="B619" s="439"/>
      <c r="C619" s="577" t="s">
        <v>442</v>
      </c>
      <c r="D619" s="665" t="s">
        <v>374</v>
      </c>
      <c r="E619" s="699"/>
      <c r="F619" s="674">
        <f>+E619+F525</f>
        <v>0</v>
      </c>
      <c r="G619" s="732">
        <v>107.85</v>
      </c>
      <c r="H619" s="591">
        <f t="shared" ref="H619:H633" si="122">E619*G619</f>
        <v>0</v>
      </c>
      <c r="I619" s="594">
        <f>+G619*F619</f>
        <v>0</v>
      </c>
      <c r="J619" s="351"/>
    </row>
    <row r="620" spans="1:10" ht="35.25" customHeight="1" x14ac:dyDescent="0.25">
      <c r="A620" s="1052"/>
      <c r="B620" s="438"/>
      <c r="C620" s="441" t="s">
        <v>264</v>
      </c>
      <c r="D620" s="666" t="s">
        <v>265</v>
      </c>
      <c r="E620" s="700"/>
      <c r="F620" s="701">
        <f t="shared" ref="F620:F633" si="123">+E620+F526</f>
        <v>0</v>
      </c>
      <c r="G620" s="697">
        <v>11</v>
      </c>
      <c r="H620" s="592">
        <f t="shared" si="122"/>
        <v>0</v>
      </c>
      <c r="I620" s="595">
        <f>+G620*F620</f>
        <v>0</v>
      </c>
      <c r="J620" s="352"/>
    </row>
    <row r="621" spans="1:10" ht="35.25" customHeight="1" x14ac:dyDescent="0.25">
      <c r="A621" s="1052"/>
      <c r="B621" s="438"/>
      <c r="C621" s="441" t="s">
        <v>295</v>
      </c>
      <c r="D621" s="666" t="s">
        <v>453</v>
      </c>
      <c r="E621" s="700"/>
      <c r="F621" s="701">
        <f t="shared" si="123"/>
        <v>0</v>
      </c>
      <c r="G621" s="697">
        <v>139.04</v>
      </c>
      <c r="H621" s="592">
        <f t="shared" si="122"/>
        <v>0</v>
      </c>
      <c r="I621" s="595">
        <f t="shared" ref="I621:I633" si="124">+G621*F621</f>
        <v>0</v>
      </c>
      <c r="J621" s="352"/>
    </row>
    <row r="622" spans="1:10" ht="35.25" customHeight="1" x14ac:dyDescent="0.25">
      <c r="A622" s="1052"/>
      <c r="B622" s="438"/>
      <c r="C622" s="441" t="s">
        <v>357</v>
      </c>
      <c r="D622" s="666" t="s">
        <v>358</v>
      </c>
      <c r="E622" s="700"/>
      <c r="F622" s="701">
        <f t="shared" si="123"/>
        <v>0</v>
      </c>
      <c r="G622" s="715">
        <v>20.5</v>
      </c>
      <c r="H622" s="592">
        <f t="shared" si="122"/>
        <v>0</v>
      </c>
      <c r="I622" s="595">
        <f t="shared" si="124"/>
        <v>0</v>
      </c>
      <c r="J622" s="352"/>
    </row>
    <row r="623" spans="1:10" ht="35.25" customHeight="1" x14ac:dyDescent="0.25">
      <c r="A623" s="1052"/>
      <c r="B623" s="438"/>
      <c r="C623" s="441" t="s">
        <v>288</v>
      </c>
      <c r="D623" s="666" t="s">
        <v>177</v>
      </c>
      <c r="E623" s="700"/>
      <c r="F623" s="701">
        <f t="shared" si="123"/>
        <v>0</v>
      </c>
      <c r="G623" s="697">
        <v>14.79</v>
      </c>
      <c r="H623" s="592">
        <f t="shared" si="122"/>
        <v>0</v>
      </c>
      <c r="I623" s="595">
        <f t="shared" si="124"/>
        <v>0</v>
      </c>
      <c r="J623" s="352"/>
    </row>
    <row r="624" spans="1:10" ht="35.25" customHeight="1" x14ac:dyDescent="0.25">
      <c r="A624" s="1052"/>
      <c r="B624" s="438"/>
      <c r="C624" s="441" t="s">
        <v>295</v>
      </c>
      <c r="D624" s="666" t="s">
        <v>265</v>
      </c>
      <c r="E624" s="700"/>
      <c r="F624" s="701">
        <f t="shared" si="123"/>
        <v>1920</v>
      </c>
      <c r="G624" s="697">
        <v>139.04</v>
      </c>
      <c r="H624" s="592">
        <f t="shared" si="122"/>
        <v>0</v>
      </c>
      <c r="I624" s="595">
        <f t="shared" si="124"/>
        <v>266956.79999999999</v>
      </c>
      <c r="J624" s="352"/>
    </row>
    <row r="625" spans="1:10" ht="35.25" customHeight="1" x14ac:dyDescent="0.25">
      <c r="A625" s="1052"/>
      <c r="B625" s="438"/>
      <c r="C625" s="441" t="s">
        <v>391</v>
      </c>
      <c r="D625" s="667" t="s">
        <v>356</v>
      </c>
      <c r="E625" s="700"/>
      <c r="F625" s="701">
        <f t="shared" si="123"/>
        <v>0</v>
      </c>
      <c r="G625" s="697">
        <v>147.58000000000001</v>
      </c>
      <c r="H625" s="592">
        <f t="shared" si="122"/>
        <v>0</v>
      </c>
      <c r="I625" s="595">
        <f t="shared" si="124"/>
        <v>0</v>
      </c>
      <c r="J625" s="352"/>
    </row>
    <row r="626" spans="1:10" ht="35.25" customHeight="1" x14ac:dyDescent="0.25">
      <c r="A626" s="1052"/>
      <c r="B626" s="438"/>
      <c r="C626" s="441" t="s">
        <v>313</v>
      </c>
      <c r="D626" s="667" t="s">
        <v>265</v>
      </c>
      <c r="E626" s="700"/>
      <c r="F626" s="701">
        <f t="shared" si="123"/>
        <v>36720</v>
      </c>
      <c r="G626" s="697">
        <v>18.84</v>
      </c>
      <c r="H626" s="592">
        <f t="shared" si="122"/>
        <v>0</v>
      </c>
      <c r="I626" s="595">
        <f t="shared" si="124"/>
        <v>691804.8</v>
      </c>
      <c r="J626" s="352"/>
    </row>
    <row r="627" spans="1:10" ht="35.25" customHeight="1" x14ac:dyDescent="0.25">
      <c r="A627" s="1052"/>
      <c r="B627" s="438"/>
      <c r="C627" s="441" t="s">
        <v>322</v>
      </c>
      <c r="D627" s="667" t="s">
        <v>232</v>
      </c>
      <c r="E627" s="700"/>
      <c r="F627" s="701">
        <f t="shared" si="123"/>
        <v>0</v>
      </c>
      <c r="G627" s="697">
        <v>21.18</v>
      </c>
      <c r="H627" s="592">
        <f t="shared" si="122"/>
        <v>0</v>
      </c>
      <c r="I627" s="595">
        <f t="shared" si="124"/>
        <v>0</v>
      </c>
      <c r="J627" s="352"/>
    </row>
    <row r="628" spans="1:10" ht="35.25" customHeight="1" x14ac:dyDescent="0.25">
      <c r="A628" s="1052"/>
      <c r="B628" s="438"/>
      <c r="C628" s="441" t="s">
        <v>324</v>
      </c>
      <c r="D628" s="667" t="s">
        <v>325</v>
      </c>
      <c r="E628" s="700"/>
      <c r="F628" s="701">
        <f t="shared" si="123"/>
        <v>0</v>
      </c>
      <c r="G628" s="697">
        <v>21.28</v>
      </c>
      <c r="H628" s="592">
        <f t="shared" si="122"/>
        <v>0</v>
      </c>
      <c r="I628" s="595">
        <f t="shared" si="124"/>
        <v>0</v>
      </c>
      <c r="J628" s="352"/>
    </row>
    <row r="629" spans="1:10" ht="35.25" customHeight="1" x14ac:dyDescent="0.25">
      <c r="A629" s="1052"/>
      <c r="B629" s="438"/>
      <c r="C629" s="441" t="s">
        <v>378</v>
      </c>
      <c r="D629" s="667" t="s">
        <v>374</v>
      </c>
      <c r="E629" s="700"/>
      <c r="F629" s="701">
        <f t="shared" si="123"/>
        <v>0</v>
      </c>
      <c r="G629" s="697">
        <v>143.28</v>
      </c>
      <c r="H629" s="592">
        <f t="shared" si="122"/>
        <v>0</v>
      </c>
      <c r="I629" s="595">
        <f t="shared" si="124"/>
        <v>0</v>
      </c>
      <c r="J629" s="352"/>
    </row>
    <row r="630" spans="1:10" ht="35.25" customHeight="1" x14ac:dyDescent="0.25">
      <c r="A630" s="1052"/>
      <c r="B630" s="438"/>
      <c r="C630" s="441" t="s">
        <v>472</v>
      </c>
      <c r="D630" s="667"/>
      <c r="E630" s="700"/>
      <c r="F630" s="701">
        <f t="shared" si="123"/>
        <v>0</v>
      </c>
      <c r="G630" s="697">
        <v>14.79</v>
      </c>
      <c r="H630" s="592">
        <f t="shared" si="122"/>
        <v>0</v>
      </c>
      <c r="I630" s="595">
        <f t="shared" si="124"/>
        <v>0</v>
      </c>
      <c r="J630" s="352"/>
    </row>
    <row r="631" spans="1:10" ht="35.25" customHeight="1" x14ac:dyDescent="0.25">
      <c r="A631" s="1052"/>
      <c r="B631" s="438"/>
      <c r="C631" s="441" t="s">
        <v>451</v>
      </c>
      <c r="D631" s="666" t="s">
        <v>177</v>
      </c>
      <c r="E631" s="700"/>
      <c r="F631" s="701">
        <f t="shared" si="123"/>
        <v>498432</v>
      </c>
      <c r="G631" s="697">
        <v>14.55</v>
      </c>
      <c r="H631" s="592">
        <f t="shared" si="122"/>
        <v>0</v>
      </c>
      <c r="I631" s="595">
        <f t="shared" si="124"/>
        <v>7252185.6000000006</v>
      </c>
      <c r="J631" s="352"/>
    </row>
    <row r="632" spans="1:10" ht="35.25" customHeight="1" x14ac:dyDescent="0.25">
      <c r="A632" s="1052"/>
      <c r="B632" s="438"/>
      <c r="C632" s="441" t="s">
        <v>327</v>
      </c>
      <c r="D632" s="667" t="s">
        <v>188</v>
      </c>
      <c r="E632" s="700"/>
      <c r="F632" s="701">
        <f t="shared" si="123"/>
        <v>0</v>
      </c>
      <c r="G632" s="697">
        <v>21.28</v>
      </c>
      <c r="H632" s="592">
        <f t="shared" si="122"/>
        <v>0</v>
      </c>
      <c r="I632" s="595">
        <f t="shared" si="124"/>
        <v>0</v>
      </c>
      <c r="J632" s="352"/>
    </row>
    <row r="633" spans="1:10" ht="35.25" customHeight="1" thickBot="1" x14ac:dyDescent="0.3">
      <c r="A633" s="1052"/>
      <c r="B633" s="438"/>
      <c r="C633" s="441" t="s">
        <v>336</v>
      </c>
      <c r="D633" s="668" t="s">
        <v>178</v>
      </c>
      <c r="E633" s="700"/>
      <c r="F633" s="676">
        <f t="shared" si="123"/>
        <v>0</v>
      </c>
      <c r="G633" s="697">
        <v>36.44</v>
      </c>
      <c r="H633" s="592">
        <f t="shared" si="122"/>
        <v>0</v>
      </c>
      <c r="I633" s="595">
        <f t="shared" si="124"/>
        <v>0</v>
      </c>
      <c r="J633" s="352"/>
    </row>
    <row r="634" spans="1:10" ht="35.25" customHeight="1" thickBot="1" x14ac:dyDescent="0.3">
      <c r="A634" s="1052"/>
      <c r="B634" s="1047" t="s">
        <v>266</v>
      </c>
      <c r="C634" s="1048"/>
      <c r="D634" s="809"/>
      <c r="E634" s="326">
        <f>SUM(E619:E633)</f>
        <v>0</v>
      </c>
      <c r="F634" s="698">
        <f>SUM(F619:F633)</f>
        <v>537072</v>
      </c>
      <c r="G634" s="326"/>
      <c r="H634" s="587">
        <f>SUM(H619:H633)</f>
        <v>0</v>
      </c>
      <c r="I634" s="580">
        <f>SUM(I619:I633)</f>
        <v>8210947.2000000011</v>
      </c>
      <c r="J634" s="349"/>
    </row>
    <row r="635" spans="1:10" ht="35.25" customHeight="1" x14ac:dyDescent="0.25">
      <c r="A635" s="1052"/>
      <c r="B635" s="807"/>
      <c r="C635" s="279" t="s">
        <v>271</v>
      </c>
      <c r="D635" s="434" t="s">
        <v>238</v>
      </c>
      <c r="E635" s="280"/>
      <c r="F635" s="435">
        <f>+E635+F541</f>
        <v>0</v>
      </c>
      <c r="G635" s="578">
        <v>160.44999999999999</v>
      </c>
      <c r="H635" s="593">
        <f t="shared" ref="H635:H640" si="125">E635*G635</f>
        <v>0</v>
      </c>
      <c r="I635" s="596">
        <f t="shared" ref="I635:I640" si="126">+G635*F635</f>
        <v>0</v>
      </c>
      <c r="J635" s="373"/>
    </row>
    <row r="636" spans="1:10" ht="35.25" customHeight="1" x14ac:dyDescent="0.25">
      <c r="A636" s="1052"/>
      <c r="B636" s="807"/>
      <c r="C636" s="279" t="s">
        <v>287</v>
      </c>
      <c r="D636" s="434" t="s">
        <v>93</v>
      </c>
      <c r="E636" s="280"/>
      <c r="F636" s="435">
        <f t="shared" ref="F636:F640" si="127">+E636+F542</f>
        <v>37620</v>
      </c>
      <c r="G636" s="578">
        <v>27</v>
      </c>
      <c r="H636" s="593">
        <f t="shared" si="125"/>
        <v>0</v>
      </c>
      <c r="I636" s="596">
        <f t="shared" si="126"/>
        <v>1015740</v>
      </c>
      <c r="J636" s="373"/>
    </row>
    <row r="637" spans="1:10" ht="35.25" customHeight="1" x14ac:dyDescent="0.25">
      <c r="A637" s="1052"/>
      <c r="B637" s="807"/>
      <c r="C637" s="279" t="s">
        <v>287</v>
      </c>
      <c r="D637" s="434" t="s">
        <v>292</v>
      </c>
      <c r="E637" s="280"/>
      <c r="F637" s="435">
        <f t="shared" si="127"/>
        <v>0</v>
      </c>
      <c r="G637" s="578">
        <v>27.5</v>
      </c>
      <c r="H637" s="593">
        <f t="shared" si="125"/>
        <v>0</v>
      </c>
      <c r="I637" s="596">
        <f t="shared" si="126"/>
        <v>0</v>
      </c>
      <c r="J637" s="373"/>
    </row>
    <row r="638" spans="1:10" ht="35.25" customHeight="1" x14ac:dyDescent="0.25">
      <c r="A638" s="1052"/>
      <c r="B638" s="807"/>
      <c r="C638" s="279" t="s">
        <v>276</v>
      </c>
      <c r="D638" s="434" t="s">
        <v>292</v>
      </c>
      <c r="E638" s="280"/>
      <c r="F638" s="435">
        <f t="shared" si="127"/>
        <v>0</v>
      </c>
      <c r="G638" s="578">
        <v>34.5</v>
      </c>
      <c r="H638" s="593">
        <f t="shared" si="125"/>
        <v>0</v>
      </c>
      <c r="I638" s="596">
        <f t="shared" si="126"/>
        <v>0</v>
      </c>
      <c r="J638" s="373"/>
    </row>
    <row r="639" spans="1:10" ht="35.25" customHeight="1" x14ac:dyDescent="0.25">
      <c r="A639" s="1052"/>
      <c r="B639" s="807"/>
      <c r="C639" s="279" t="s">
        <v>473</v>
      </c>
      <c r="D639" s="434" t="s">
        <v>440</v>
      </c>
      <c r="E639" s="280"/>
      <c r="F639" s="435">
        <f t="shared" si="127"/>
        <v>0</v>
      </c>
      <c r="G639" s="578">
        <v>10.57</v>
      </c>
      <c r="H639" s="593">
        <f t="shared" si="125"/>
        <v>0</v>
      </c>
      <c r="I639" s="596">
        <f t="shared" si="126"/>
        <v>0</v>
      </c>
      <c r="J639" s="373"/>
    </row>
    <row r="640" spans="1:10" ht="35.25" customHeight="1" thickBot="1" x14ac:dyDescent="0.3">
      <c r="A640" s="1052"/>
      <c r="B640" s="807"/>
      <c r="C640" s="279" t="s">
        <v>276</v>
      </c>
      <c r="D640" s="434" t="s">
        <v>440</v>
      </c>
      <c r="E640" s="280"/>
      <c r="F640" s="435">
        <f t="shared" si="127"/>
        <v>0</v>
      </c>
      <c r="G640" s="578">
        <v>55.76</v>
      </c>
      <c r="H640" s="593">
        <f t="shared" si="125"/>
        <v>0</v>
      </c>
      <c r="I640" s="596">
        <f t="shared" si="126"/>
        <v>0</v>
      </c>
      <c r="J640" s="373"/>
    </row>
    <row r="641" spans="1:13" ht="35.25" customHeight="1" thickBot="1" x14ac:dyDescent="0.3">
      <c r="A641" s="1052"/>
      <c r="B641" s="1047" t="s">
        <v>267</v>
      </c>
      <c r="C641" s="1048"/>
      <c r="D641" s="809"/>
      <c r="E641" s="326">
        <f>SUM(E635:E640)</f>
        <v>0</v>
      </c>
      <c r="F641" s="326">
        <f>SUM(F635:F640)</f>
        <v>37620</v>
      </c>
      <c r="G641" s="326"/>
      <c r="H641" s="587">
        <f>SUM(H635:H640)</f>
        <v>0</v>
      </c>
      <c r="I641" s="580">
        <f>SUM(I635:I640)</f>
        <v>1015740</v>
      </c>
      <c r="J641" s="349"/>
    </row>
    <row r="642" spans="1:13" ht="35.25" customHeight="1" x14ac:dyDescent="0.25">
      <c r="A642" s="1052"/>
      <c r="B642" s="807"/>
      <c r="C642" s="279" t="s">
        <v>277</v>
      </c>
      <c r="D642" s="434" t="s">
        <v>278</v>
      </c>
      <c r="E642" s="280"/>
      <c r="F642" s="435">
        <f>+E642+F548</f>
        <v>3</v>
      </c>
      <c r="G642" s="578">
        <v>2500</v>
      </c>
      <c r="H642" s="593">
        <f t="shared" ref="H642:H645" si="128">E642*G642</f>
        <v>0</v>
      </c>
      <c r="I642" s="596">
        <f>+G642*F642</f>
        <v>7500</v>
      </c>
      <c r="J642" s="373"/>
    </row>
    <row r="643" spans="1:13" ht="35.25" customHeight="1" x14ac:dyDescent="0.25">
      <c r="A643" s="1052"/>
      <c r="B643" s="807"/>
      <c r="C643" s="279" t="s">
        <v>454</v>
      </c>
      <c r="D643" s="434"/>
      <c r="E643" s="280"/>
      <c r="F643" s="435">
        <f t="shared" ref="F643:F645" si="129">+E643+F549</f>
        <v>0</v>
      </c>
      <c r="G643" s="578">
        <v>30000</v>
      </c>
      <c r="H643" s="593">
        <f t="shared" si="128"/>
        <v>0</v>
      </c>
      <c r="I643" s="596">
        <f>+G643*F643</f>
        <v>0</v>
      </c>
      <c r="J643" s="373"/>
    </row>
    <row r="644" spans="1:13" ht="35.25" customHeight="1" x14ac:dyDescent="0.25">
      <c r="A644" s="1052"/>
      <c r="B644" s="807"/>
      <c r="C644" s="279" t="s">
        <v>379</v>
      </c>
      <c r="D644" s="434" t="s">
        <v>304</v>
      </c>
      <c r="E644" s="280"/>
      <c r="F644" s="435">
        <f t="shared" si="129"/>
        <v>0</v>
      </c>
      <c r="G644" s="578">
        <v>360</v>
      </c>
      <c r="H644" s="593">
        <f t="shared" si="128"/>
        <v>0</v>
      </c>
      <c r="I644" s="596">
        <f>+G644*F644</f>
        <v>0</v>
      </c>
      <c r="J644" s="373"/>
    </row>
    <row r="645" spans="1:13" ht="35.25" customHeight="1" thickBot="1" x14ac:dyDescent="0.3">
      <c r="A645" s="1052"/>
      <c r="B645" s="807"/>
      <c r="C645" s="279" t="s">
        <v>427</v>
      </c>
      <c r="D645" s="434" t="s">
        <v>304</v>
      </c>
      <c r="E645" s="280"/>
      <c r="F645" s="435">
        <f t="shared" si="129"/>
        <v>0</v>
      </c>
      <c r="G645" s="579">
        <v>10</v>
      </c>
      <c r="H645" s="593">
        <f t="shared" si="128"/>
        <v>0</v>
      </c>
      <c r="I645" s="596">
        <f t="shared" ref="I645" si="130">+G645*F645</f>
        <v>0</v>
      </c>
      <c r="J645" s="373"/>
    </row>
    <row r="646" spans="1:13" ht="35.25" customHeight="1" thickBot="1" x14ac:dyDescent="0.3">
      <c r="A646" s="1052"/>
      <c r="B646" s="1047" t="s">
        <v>272</v>
      </c>
      <c r="C646" s="1048"/>
      <c r="D646" s="809"/>
      <c r="E646" s="326">
        <f>SUM(E642:E645)</f>
        <v>0</v>
      </c>
      <c r="F646" s="326">
        <f>SUM(F642:F645)</f>
        <v>3</v>
      </c>
      <c r="G646" s="326"/>
      <c r="H646" s="587">
        <f>SUM(H642:H645)</f>
        <v>0</v>
      </c>
      <c r="I646" s="580">
        <f>SUM(I642:I645)</f>
        <v>7500</v>
      </c>
      <c r="J646" s="373"/>
    </row>
    <row r="647" spans="1:13" ht="35.25" customHeight="1" thickBot="1" x14ac:dyDescent="0.3">
      <c r="A647" s="1052"/>
      <c r="B647" s="807"/>
      <c r="C647" s="279"/>
      <c r="D647" s="434"/>
      <c r="E647" s="280"/>
      <c r="F647" s="317"/>
      <c r="G647" s="579"/>
      <c r="H647" s="588"/>
      <c r="I647" s="282"/>
      <c r="J647" s="373"/>
    </row>
    <row r="648" spans="1:13" ht="35.25" customHeight="1" thickBot="1" x14ac:dyDescent="0.3">
      <c r="A648" s="1053"/>
      <c r="B648" s="1047" t="s">
        <v>269</v>
      </c>
      <c r="C648" s="1048"/>
      <c r="D648" s="805"/>
      <c r="E648" s="326">
        <f>+E646+E641+E634</f>
        <v>0</v>
      </c>
      <c r="F648" s="326">
        <f>+F646+F641+F634</f>
        <v>574695</v>
      </c>
      <c r="G648" s="326"/>
      <c r="H648" s="580">
        <f>+H641+H634+H646</f>
        <v>0</v>
      </c>
      <c r="I648" s="580">
        <f>+I641+I634+I646</f>
        <v>9234187.2000000011</v>
      </c>
      <c r="J648" s="373"/>
      <c r="K648" s="704"/>
      <c r="M648" s="704"/>
    </row>
    <row r="649" spans="1:13" ht="35.25" customHeight="1" x14ac:dyDescent="0.25">
      <c r="A649" s="1051" t="s">
        <v>101</v>
      </c>
      <c r="B649" s="807"/>
      <c r="C649" s="279" t="s">
        <v>281</v>
      </c>
      <c r="D649" s="434" t="s">
        <v>178</v>
      </c>
      <c r="E649" s="280"/>
      <c r="F649" s="435">
        <f>+E649+F555</f>
        <v>0</v>
      </c>
      <c r="G649" s="602">
        <v>13.25</v>
      </c>
      <c r="H649" s="597">
        <f t="shared" ref="H649:H677" si="131">E649*G649</f>
        <v>0</v>
      </c>
      <c r="I649" s="596">
        <f t="shared" ref="I649:I677" si="132">+G649*F649</f>
        <v>0</v>
      </c>
      <c r="J649" s="373"/>
      <c r="K649" s="704"/>
    </row>
    <row r="650" spans="1:13" ht="35.25" customHeight="1" x14ac:dyDescent="0.25">
      <c r="A650" s="1052"/>
      <c r="B650" s="807"/>
      <c r="C650" s="279" t="s">
        <v>282</v>
      </c>
      <c r="D650" s="434"/>
      <c r="E650" s="280"/>
      <c r="F650" s="435">
        <f t="shared" ref="F650:F704" si="133">+E650+F556</f>
        <v>0</v>
      </c>
      <c r="G650" s="603">
        <v>5000</v>
      </c>
      <c r="H650" s="597">
        <f t="shared" si="131"/>
        <v>0</v>
      </c>
      <c r="I650" s="596">
        <f t="shared" si="132"/>
        <v>0</v>
      </c>
      <c r="J650" s="373"/>
      <c r="K650" s="704"/>
    </row>
    <row r="651" spans="1:13" ht="35.25" customHeight="1" x14ac:dyDescent="0.25">
      <c r="A651" s="1052"/>
      <c r="B651" s="807"/>
      <c r="C651" s="279" t="s">
        <v>282</v>
      </c>
      <c r="D651" s="434"/>
      <c r="E651" s="280"/>
      <c r="F651" s="435">
        <f t="shared" si="133"/>
        <v>0</v>
      </c>
      <c r="G651" s="603">
        <v>18000</v>
      </c>
      <c r="H651" s="597">
        <f t="shared" si="131"/>
        <v>0</v>
      </c>
      <c r="I651" s="596">
        <f t="shared" si="132"/>
        <v>0</v>
      </c>
      <c r="J651" s="373"/>
    </row>
    <row r="652" spans="1:13" ht="35.25" customHeight="1" x14ac:dyDescent="0.25">
      <c r="A652" s="1052"/>
      <c r="B652" s="807"/>
      <c r="C652" s="279" t="s">
        <v>465</v>
      </c>
      <c r="D652" s="434" t="s">
        <v>338</v>
      </c>
      <c r="E652" s="280"/>
      <c r="F652" s="435">
        <f t="shared" si="133"/>
        <v>0</v>
      </c>
      <c r="G652" s="602">
        <v>24.93</v>
      </c>
      <c r="H652" s="597">
        <f t="shared" si="131"/>
        <v>0</v>
      </c>
      <c r="I652" s="596">
        <f t="shared" si="132"/>
        <v>0</v>
      </c>
      <c r="J652" s="373"/>
    </row>
    <row r="653" spans="1:13" ht="35.25" customHeight="1" x14ac:dyDescent="0.25">
      <c r="A653" s="1052"/>
      <c r="B653" s="807"/>
      <c r="C653" s="746" t="s">
        <v>466</v>
      </c>
      <c r="D653" s="747" t="s">
        <v>92</v>
      </c>
      <c r="E653" s="280"/>
      <c r="F653" s="435">
        <f t="shared" si="133"/>
        <v>0</v>
      </c>
      <c r="G653" s="602">
        <v>20.8</v>
      </c>
      <c r="H653" s="597">
        <f t="shared" si="131"/>
        <v>0</v>
      </c>
      <c r="I653" s="596">
        <f t="shared" si="132"/>
        <v>0</v>
      </c>
      <c r="J653" s="373"/>
    </row>
    <row r="654" spans="1:13" ht="35.25" customHeight="1" x14ac:dyDescent="0.25">
      <c r="A654" s="1052"/>
      <c r="B654" s="807"/>
      <c r="C654" s="746" t="s">
        <v>467</v>
      </c>
      <c r="D654" s="747" t="s">
        <v>468</v>
      </c>
      <c r="E654" s="280"/>
      <c r="F654" s="435">
        <f t="shared" si="133"/>
        <v>0</v>
      </c>
      <c r="G654" s="602">
        <v>24.93</v>
      </c>
      <c r="H654" s="597">
        <f t="shared" si="131"/>
        <v>0</v>
      </c>
      <c r="I654" s="596">
        <f t="shared" si="132"/>
        <v>0</v>
      </c>
      <c r="J654" s="373"/>
    </row>
    <row r="655" spans="1:13" ht="35.25" customHeight="1" x14ac:dyDescent="0.25">
      <c r="A655" s="1052"/>
      <c r="B655" s="807"/>
      <c r="C655" s="746" t="s">
        <v>467</v>
      </c>
      <c r="D655" s="747" t="s">
        <v>468</v>
      </c>
      <c r="E655" s="280"/>
      <c r="F655" s="435">
        <f t="shared" si="133"/>
        <v>0</v>
      </c>
      <c r="G655" s="602">
        <v>25.49</v>
      </c>
      <c r="H655" s="597">
        <f t="shared" si="131"/>
        <v>0</v>
      </c>
      <c r="I655" s="596">
        <f t="shared" si="132"/>
        <v>0</v>
      </c>
      <c r="J655" s="373"/>
    </row>
    <row r="656" spans="1:13" s="757" customFormat="1" ht="35.25" customHeight="1" x14ac:dyDescent="0.25">
      <c r="A656" s="1052"/>
      <c r="B656" s="748"/>
      <c r="C656" s="749" t="s">
        <v>469</v>
      </c>
      <c r="D656" s="750" t="s">
        <v>309</v>
      </c>
      <c r="E656" s="751"/>
      <c r="F656" s="752">
        <f t="shared" si="133"/>
        <v>0</v>
      </c>
      <c r="G656" s="753">
        <v>24.41</v>
      </c>
      <c r="H656" s="754">
        <f t="shared" si="131"/>
        <v>0</v>
      </c>
      <c r="I656" s="755">
        <f t="shared" si="132"/>
        <v>0</v>
      </c>
      <c r="J656" s="756"/>
    </row>
    <row r="657" spans="1:10" ht="35.25" customHeight="1" x14ac:dyDescent="0.25">
      <c r="A657" s="1052"/>
      <c r="B657" s="807"/>
      <c r="C657" s="279" t="s">
        <v>444</v>
      </c>
      <c r="D657" s="434" t="s">
        <v>423</v>
      </c>
      <c r="E657" s="280"/>
      <c r="F657" s="435">
        <f t="shared" si="133"/>
        <v>0</v>
      </c>
      <c r="G657" s="602">
        <v>20.76</v>
      </c>
      <c r="H657" s="597">
        <f t="shared" si="131"/>
        <v>0</v>
      </c>
      <c r="I657" s="596">
        <f t="shared" si="132"/>
        <v>0</v>
      </c>
      <c r="J657" s="373"/>
    </row>
    <row r="658" spans="1:10" ht="35.25" customHeight="1" x14ac:dyDescent="0.25">
      <c r="A658" s="1052"/>
      <c r="B658" s="807"/>
      <c r="C658" s="279" t="s">
        <v>298</v>
      </c>
      <c r="D658" s="434" t="s">
        <v>107</v>
      </c>
      <c r="E658" s="280"/>
      <c r="F658" s="435">
        <f t="shared" si="133"/>
        <v>0</v>
      </c>
      <c r="G658" s="602">
        <v>24.93</v>
      </c>
      <c r="H658" s="597">
        <f t="shared" si="131"/>
        <v>0</v>
      </c>
      <c r="I658" s="596">
        <f t="shared" si="132"/>
        <v>0</v>
      </c>
      <c r="J658" s="373"/>
    </row>
    <row r="659" spans="1:10" ht="35.25" customHeight="1" x14ac:dyDescent="0.25">
      <c r="A659" s="1052"/>
      <c r="B659" s="807"/>
      <c r="C659" s="279" t="s">
        <v>299</v>
      </c>
      <c r="D659" s="434" t="s">
        <v>280</v>
      </c>
      <c r="E659" s="280"/>
      <c r="F659" s="435">
        <f t="shared" si="133"/>
        <v>0</v>
      </c>
      <c r="G659" s="602">
        <v>24.93</v>
      </c>
      <c r="H659" s="597">
        <f t="shared" si="131"/>
        <v>0</v>
      </c>
      <c r="I659" s="596">
        <f t="shared" si="132"/>
        <v>0</v>
      </c>
      <c r="J659" s="373"/>
    </row>
    <row r="660" spans="1:10" ht="35.25" customHeight="1" x14ac:dyDescent="0.25">
      <c r="A660" s="1052"/>
      <c r="B660" s="807"/>
      <c r="C660" s="279" t="s">
        <v>425</v>
      </c>
      <c r="D660" s="434" t="s">
        <v>309</v>
      </c>
      <c r="E660" s="280"/>
      <c r="F660" s="435">
        <f t="shared" si="133"/>
        <v>0</v>
      </c>
      <c r="G660" s="602">
        <v>23.78</v>
      </c>
      <c r="H660" s="597">
        <f t="shared" si="131"/>
        <v>0</v>
      </c>
      <c r="I660" s="596">
        <f t="shared" si="132"/>
        <v>0</v>
      </c>
      <c r="J660" s="373"/>
    </row>
    <row r="661" spans="1:10" ht="35.25" customHeight="1" x14ac:dyDescent="0.25">
      <c r="A661" s="1052"/>
      <c r="B661" s="807"/>
      <c r="C661" s="279" t="s">
        <v>354</v>
      </c>
      <c r="D661" s="434" t="s">
        <v>309</v>
      </c>
      <c r="E661" s="280"/>
      <c r="F661" s="435">
        <f t="shared" si="133"/>
        <v>0</v>
      </c>
      <c r="G661" s="602">
        <v>37.4566666666</v>
      </c>
      <c r="H661" s="597">
        <f t="shared" si="131"/>
        <v>0</v>
      </c>
      <c r="I661" s="596">
        <f t="shared" si="132"/>
        <v>0</v>
      </c>
      <c r="J661" s="373"/>
    </row>
    <row r="662" spans="1:10" ht="35.25" customHeight="1" x14ac:dyDescent="0.25">
      <c r="A662" s="1052"/>
      <c r="B662" s="807"/>
      <c r="C662" s="279" t="s">
        <v>355</v>
      </c>
      <c r="D662" s="434" t="s">
        <v>309</v>
      </c>
      <c r="E662" s="280"/>
      <c r="F662" s="435">
        <f t="shared" si="133"/>
        <v>0</v>
      </c>
      <c r="G662" s="602">
        <v>37.89</v>
      </c>
      <c r="H662" s="597">
        <f t="shared" si="131"/>
        <v>0</v>
      </c>
      <c r="I662" s="596">
        <f t="shared" si="132"/>
        <v>0</v>
      </c>
      <c r="J662" s="373"/>
    </row>
    <row r="663" spans="1:10" ht="35.25" customHeight="1" x14ac:dyDescent="0.25">
      <c r="A663" s="1052"/>
      <c r="B663" s="807"/>
      <c r="C663" s="279" t="s">
        <v>461</v>
      </c>
      <c r="D663" s="434" t="s">
        <v>92</v>
      </c>
      <c r="E663" s="280"/>
      <c r="F663" s="435">
        <f t="shared" si="133"/>
        <v>0</v>
      </c>
      <c r="G663" s="602">
        <v>28.31</v>
      </c>
      <c r="H663" s="597">
        <f t="shared" si="131"/>
        <v>0</v>
      </c>
      <c r="I663" s="596">
        <f t="shared" si="132"/>
        <v>0</v>
      </c>
      <c r="J663" s="373"/>
    </row>
    <row r="664" spans="1:10" ht="35.25" customHeight="1" x14ac:dyDescent="0.25">
      <c r="A664" s="1052"/>
      <c r="B664" s="807"/>
      <c r="C664" s="279" t="s">
        <v>461</v>
      </c>
      <c r="D664" s="434" t="s">
        <v>423</v>
      </c>
      <c r="E664" s="280"/>
      <c r="F664" s="435">
        <f t="shared" si="133"/>
        <v>0</v>
      </c>
      <c r="G664" s="602">
        <v>28.88</v>
      </c>
      <c r="H664" s="597">
        <f t="shared" si="131"/>
        <v>0</v>
      </c>
      <c r="I664" s="596">
        <f t="shared" si="132"/>
        <v>0</v>
      </c>
      <c r="J664" s="373"/>
    </row>
    <row r="665" spans="1:10" ht="35.25" customHeight="1" x14ac:dyDescent="0.25">
      <c r="A665" s="1052"/>
      <c r="B665" s="807"/>
      <c r="C665" s="279" t="s">
        <v>462</v>
      </c>
      <c r="D665" s="434" t="s">
        <v>423</v>
      </c>
      <c r="E665" s="280"/>
      <c r="F665" s="435">
        <f t="shared" si="133"/>
        <v>0</v>
      </c>
      <c r="G665" s="602">
        <v>28.21</v>
      </c>
      <c r="H665" s="597">
        <f t="shared" si="131"/>
        <v>0</v>
      </c>
      <c r="I665" s="596">
        <f t="shared" si="132"/>
        <v>0</v>
      </c>
      <c r="J665" s="373"/>
    </row>
    <row r="666" spans="1:10" ht="35.25" customHeight="1" x14ac:dyDescent="0.25">
      <c r="A666" s="1052"/>
      <c r="B666" s="807"/>
      <c r="C666" s="279" t="s">
        <v>463</v>
      </c>
      <c r="D666" s="434" t="s">
        <v>338</v>
      </c>
      <c r="E666" s="280"/>
      <c r="F666" s="435">
        <f t="shared" si="133"/>
        <v>0</v>
      </c>
      <c r="G666" s="602">
        <v>39</v>
      </c>
      <c r="H666" s="597">
        <f t="shared" si="131"/>
        <v>0</v>
      </c>
      <c r="I666" s="596">
        <f t="shared" si="132"/>
        <v>0</v>
      </c>
      <c r="J666" s="373"/>
    </row>
    <row r="667" spans="1:10" ht="35.25" customHeight="1" x14ac:dyDescent="0.25">
      <c r="A667" s="1052"/>
      <c r="B667" s="807"/>
      <c r="C667" s="279" t="s">
        <v>463</v>
      </c>
      <c r="D667" s="434" t="s">
        <v>92</v>
      </c>
      <c r="E667" s="280"/>
      <c r="F667" s="435">
        <f t="shared" si="133"/>
        <v>0</v>
      </c>
      <c r="G667" s="602">
        <v>32.65</v>
      </c>
      <c r="H667" s="597">
        <f t="shared" si="131"/>
        <v>0</v>
      </c>
      <c r="I667" s="596">
        <f t="shared" si="132"/>
        <v>0</v>
      </c>
      <c r="J667" s="373"/>
    </row>
    <row r="668" spans="1:10" ht="35.25" customHeight="1" x14ac:dyDescent="0.25">
      <c r="A668" s="1052"/>
      <c r="B668" s="807"/>
      <c r="C668" s="279" t="s">
        <v>463</v>
      </c>
      <c r="D668" s="434" t="s">
        <v>423</v>
      </c>
      <c r="E668" s="280"/>
      <c r="F668" s="435">
        <f t="shared" si="133"/>
        <v>0</v>
      </c>
      <c r="G668" s="602">
        <v>33.299999999999997</v>
      </c>
      <c r="H668" s="597">
        <f t="shared" si="131"/>
        <v>0</v>
      </c>
      <c r="I668" s="596">
        <f t="shared" si="132"/>
        <v>0</v>
      </c>
      <c r="J668" s="373"/>
    </row>
    <row r="669" spans="1:10" ht="35.25" customHeight="1" x14ac:dyDescent="0.25">
      <c r="A669" s="1052"/>
      <c r="B669" s="807"/>
      <c r="C669" s="279" t="s">
        <v>299</v>
      </c>
      <c r="D669" s="434" t="s">
        <v>279</v>
      </c>
      <c r="E669" s="280"/>
      <c r="F669" s="435">
        <f t="shared" si="133"/>
        <v>0</v>
      </c>
      <c r="G669" s="602">
        <v>24.93</v>
      </c>
      <c r="H669" s="597">
        <f t="shared" si="131"/>
        <v>0</v>
      </c>
      <c r="I669" s="596">
        <f t="shared" si="132"/>
        <v>0</v>
      </c>
      <c r="J669" s="373"/>
    </row>
    <row r="670" spans="1:10" ht="35.25" customHeight="1" x14ac:dyDescent="0.25">
      <c r="A670" s="1052"/>
      <c r="B670" s="807"/>
      <c r="C670" s="279" t="s">
        <v>299</v>
      </c>
      <c r="D670" s="434"/>
      <c r="E670" s="280"/>
      <c r="F670" s="435">
        <f t="shared" si="133"/>
        <v>0</v>
      </c>
      <c r="G670" s="602">
        <v>24.93</v>
      </c>
      <c r="H670" s="597">
        <f t="shared" si="131"/>
        <v>0</v>
      </c>
      <c r="I670" s="596">
        <f t="shared" si="132"/>
        <v>0</v>
      </c>
      <c r="J670" s="373"/>
    </row>
    <row r="671" spans="1:10" ht="35.25" customHeight="1" x14ac:dyDescent="0.25">
      <c r="A671" s="1052"/>
      <c r="B671" s="807"/>
      <c r="C671" s="279" t="s">
        <v>316</v>
      </c>
      <c r="D671" s="434" t="s">
        <v>289</v>
      </c>
      <c r="E671" s="280"/>
      <c r="F671" s="435">
        <f t="shared" si="133"/>
        <v>0</v>
      </c>
      <c r="G671" s="602">
        <v>34.26</v>
      </c>
      <c r="H671" s="597">
        <f t="shared" si="131"/>
        <v>0</v>
      </c>
      <c r="I671" s="596">
        <f t="shared" si="132"/>
        <v>0</v>
      </c>
      <c r="J671" s="373"/>
    </row>
    <row r="672" spans="1:10" ht="35.25" customHeight="1" x14ac:dyDescent="0.25">
      <c r="A672" s="1052"/>
      <c r="B672" s="807"/>
      <c r="C672" s="279" t="s">
        <v>328</v>
      </c>
      <c r="D672" s="434" t="s">
        <v>360</v>
      </c>
      <c r="E672" s="280"/>
      <c r="F672" s="435">
        <f t="shared" si="133"/>
        <v>0</v>
      </c>
      <c r="G672" s="602">
        <v>37.89</v>
      </c>
      <c r="H672" s="597">
        <f t="shared" si="131"/>
        <v>0</v>
      </c>
      <c r="I672" s="596">
        <f t="shared" si="132"/>
        <v>0</v>
      </c>
      <c r="J672" s="373"/>
    </row>
    <row r="673" spans="1:10" ht="35.25" customHeight="1" x14ac:dyDescent="0.25">
      <c r="A673" s="1052"/>
      <c r="B673" s="807"/>
      <c r="C673" s="279" t="s">
        <v>363</v>
      </c>
      <c r="D673" s="434" t="s">
        <v>338</v>
      </c>
      <c r="E673" s="280"/>
      <c r="F673" s="435">
        <f t="shared" si="133"/>
        <v>0</v>
      </c>
      <c r="G673" s="602">
        <v>39</v>
      </c>
      <c r="H673" s="597">
        <f t="shared" si="131"/>
        <v>0</v>
      </c>
      <c r="I673" s="596">
        <f t="shared" si="132"/>
        <v>0</v>
      </c>
      <c r="J673" s="373"/>
    </row>
    <row r="674" spans="1:10" ht="35.25" customHeight="1" x14ac:dyDescent="0.25">
      <c r="A674" s="1052"/>
      <c r="B674" s="807"/>
      <c r="C674" s="279" t="s">
        <v>299</v>
      </c>
      <c r="D674" s="434" t="s">
        <v>177</v>
      </c>
      <c r="E674" s="280"/>
      <c r="F674" s="435">
        <f t="shared" si="133"/>
        <v>0</v>
      </c>
      <c r="G674" s="602">
        <v>21.22</v>
      </c>
      <c r="H674" s="597">
        <f t="shared" si="131"/>
        <v>0</v>
      </c>
      <c r="I674" s="596">
        <f t="shared" si="132"/>
        <v>0</v>
      </c>
      <c r="J674" s="373"/>
    </row>
    <row r="675" spans="1:10" ht="35.25" customHeight="1" x14ac:dyDescent="0.25">
      <c r="A675" s="1052"/>
      <c r="B675" s="807"/>
      <c r="C675" s="279" t="s">
        <v>298</v>
      </c>
      <c r="D675" s="434" t="s">
        <v>177</v>
      </c>
      <c r="E675" s="280"/>
      <c r="F675" s="435">
        <f t="shared" si="133"/>
        <v>0</v>
      </c>
      <c r="G675" s="602">
        <v>21.22</v>
      </c>
      <c r="H675" s="597">
        <f t="shared" si="131"/>
        <v>0</v>
      </c>
      <c r="I675" s="596">
        <f t="shared" si="132"/>
        <v>0</v>
      </c>
      <c r="J675" s="373"/>
    </row>
    <row r="676" spans="1:10" ht="35.25" customHeight="1" x14ac:dyDescent="0.25">
      <c r="A676" s="1052"/>
      <c r="B676" s="807"/>
      <c r="C676" s="279" t="s">
        <v>339</v>
      </c>
      <c r="D676" s="434" t="s">
        <v>304</v>
      </c>
      <c r="E676" s="280"/>
      <c r="F676" s="435">
        <f t="shared" si="133"/>
        <v>0</v>
      </c>
      <c r="G676" s="602">
        <v>10000</v>
      </c>
      <c r="H676" s="597">
        <f t="shared" si="131"/>
        <v>0</v>
      </c>
      <c r="I676" s="596">
        <f t="shared" si="132"/>
        <v>0</v>
      </c>
      <c r="J676" s="373"/>
    </row>
    <row r="677" spans="1:10" ht="35.25" customHeight="1" thickBot="1" x14ac:dyDescent="0.3">
      <c r="A677" s="1052"/>
      <c r="B677" s="807"/>
      <c r="C677" s="279" t="s">
        <v>303</v>
      </c>
      <c r="D677" s="434" t="s">
        <v>304</v>
      </c>
      <c r="E677" s="280"/>
      <c r="F677" s="435">
        <f t="shared" si="133"/>
        <v>0</v>
      </c>
      <c r="G677" s="602">
        <v>360</v>
      </c>
      <c r="H677" s="597">
        <f t="shared" si="131"/>
        <v>0</v>
      </c>
      <c r="I677" s="596">
        <f t="shared" si="132"/>
        <v>0</v>
      </c>
      <c r="J677" s="373"/>
    </row>
    <row r="678" spans="1:10" ht="35.25" customHeight="1" thickBot="1" x14ac:dyDescent="0.3">
      <c r="A678" s="1053"/>
      <c r="B678" s="1047" t="s">
        <v>268</v>
      </c>
      <c r="C678" s="1048"/>
      <c r="D678" s="809"/>
      <c r="E678" s="326">
        <f>SUM(E649:E677)</f>
        <v>0</v>
      </c>
      <c r="F678" s="326">
        <f t="shared" si="133"/>
        <v>0</v>
      </c>
      <c r="G678" s="326"/>
      <c r="H678" s="587">
        <f>SUM(H649:H677)</f>
        <v>0</v>
      </c>
      <c r="I678" s="580">
        <f>SUM(I649:I677)</f>
        <v>0</v>
      </c>
      <c r="J678" s="373"/>
    </row>
    <row r="679" spans="1:10" ht="35.25" customHeight="1" x14ac:dyDescent="0.25">
      <c r="A679" s="1051" t="s">
        <v>102</v>
      </c>
      <c r="B679" s="807"/>
      <c r="C679" s="279" t="s">
        <v>509</v>
      </c>
      <c r="D679" s="434" t="s">
        <v>238</v>
      </c>
      <c r="E679" s="280">
        <v>2300</v>
      </c>
      <c r="F679" s="435">
        <f t="shared" si="133"/>
        <v>5700</v>
      </c>
      <c r="G679" s="803">
        <v>624.26</v>
      </c>
      <c r="H679" s="593">
        <f>E679*G679</f>
        <v>1435798</v>
      </c>
      <c r="I679" s="596">
        <f t="shared" ref="I679:I681" si="134">+G679*F679</f>
        <v>3558282</v>
      </c>
      <c r="J679" s="373"/>
    </row>
    <row r="680" spans="1:10" ht="35.25" customHeight="1" x14ac:dyDescent="0.25">
      <c r="A680" s="1052"/>
      <c r="B680" s="807"/>
      <c r="C680" s="279" t="s">
        <v>273</v>
      </c>
      <c r="D680" s="434" t="s">
        <v>238</v>
      </c>
      <c r="E680" s="280">
        <v>320</v>
      </c>
      <c r="F680" s="435">
        <f t="shared" si="133"/>
        <v>320</v>
      </c>
      <c r="G680" s="602">
        <v>430.02</v>
      </c>
      <c r="H680" s="593">
        <f t="shared" ref="H680:H701" si="135">E680*G680</f>
        <v>137606.39999999999</v>
      </c>
      <c r="I680" s="596">
        <f t="shared" si="134"/>
        <v>137606.39999999999</v>
      </c>
      <c r="J680" s="373"/>
    </row>
    <row r="681" spans="1:10" ht="35.25" customHeight="1" x14ac:dyDescent="0.25">
      <c r="A681" s="1052"/>
      <c r="B681" s="807"/>
      <c r="C681" s="279" t="s">
        <v>390</v>
      </c>
      <c r="D681" s="434" t="s">
        <v>238</v>
      </c>
      <c r="E681" s="280"/>
      <c r="F681" s="435">
        <f t="shared" si="133"/>
        <v>0</v>
      </c>
      <c r="G681" s="602">
        <v>445.38</v>
      </c>
      <c r="H681" s="593">
        <f t="shared" si="135"/>
        <v>0</v>
      </c>
      <c r="I681" s="596">
        <f t="shared" si="134"/>
        <v>0</v>
      </c>
      <c r="J681" s="373"/>
    </row>
    <row r="682" spans="1:10" ht="35.25" customHeight="1" x14ac:dyDescent="0.25">
      <c r="A682" s="1052"/>
      <c r="B682" s="807"/>
      <c r="C682" s="279" t="s">
        <v>301</v>
      </c>
      <c r="D682" s="434" t="s">
        <v>238</v>
      </c>
      <c r="E682" s="280"/>
      <c r="F682" s="435">
        <f t="shared" si="133"/>
        <v>8640</v>
      </c>
      <c r="G682" s="602">
        <v>63.55</v>
      </c>
      <c r="H682" s="593">
        <f t="shared" si="135"/>
        <v>0</v>
      </c>
      <c r="I682" s="596">
        <f>+G682*F682</f>
        <v>549072</v>
      </c>
      <c r="J682" s="373"/>
    </row>
    <row r="683" spans="1:10" ht="35.25" customHeight="1" x14ac:dyDescent="0.25">
      <c r="A683" s="1052"/>
      <c r="B683" s="807"/>
      <c r="C683" s="279" t="s">
        <v>514</v>
      </c>
      <c r="D683" s="434" t="s">
        <v>238</v>
      </c>
      <c r="E683" s="280"/>
      <c r="F683" s="435">
        <f t="shared" si="133"/>
        <v>21600</v>
      </c>
      <c r="G683" s="602">
        <v>71.44</v>
      </c>
      <c r="H683" s="593">
        <f t="shared" si="135"/>
        <v>0</v>
      </c>
      <c r="I683" s="596">
        <f>+G683*F683</f>
        <v>1543104</v>
      </c>
      <c r="J683" s="373"/>
    </row>
    <row r="684" spans="1:10" ht="35.25" customHeight="1" x14ac:dyDescent="0.25">
      <c r="A684" s="1052"/>
      <c r="B684" s="807"/>
      <c r="C684" s="279" t="s">
        <v>275</v>
      </c>
      <c r="D684" s="434" t="s">
        <v>238</v>
      </c>
      <c r="E684" s="280">
        <v>15840</v>
      </c>
      <c r="F684" s="435">
        <f t="shared" si="133"/>
        <v>25920</v>
      </c>
      <c r="G684" s="602">
        <v>71.44</v>
      </c>
      <c r="H684" s="593">
        <f t="shared" si="135"/>
        <v>1131609.5999999999</v>
      </c>
      <c r="I684" s="596">
        <f t="shared" ref="I684:I701" si="136">+G684*F684</f>
        <v>1851724.8</v>
      </c>
      <c r="J684" s="373"/>
    </row>
    <row r="685" spans="1:10" ht="35.25" customHeight="1" x14ac:dyDescent="0.25">
      <c r="A685" s="1052"/>
      <c r="B685" s="807"/>
      <c r="C685" s="279" t="s">
        <v>276</v>
      </c>
      <c r="D685" s="434" t="s">
        <v>238</v>
      </c>
      <c r="E685" s="280"/>
      <c r="F685" s="435">
        <f t="shared" si="133"/>
        <v>0</v>
      </c>
      <c r="G685" s="602">
        <v>36.5</v>
      </c>
      <c r="H685" s="593">
        <f t="shared" si="135"/>
        <v>0</v>
      </c>
      <c r="I685" s="596">
        <f t="shared" si="136"/>
        <v>0</v>
      </c>
      <c r="J685" s="373"/>
    </row>
    <row r="686" spans="1:10" ht="35.25" customHeight="1" x14ac:dyDescent="0.25">
      <c r="A686" s="1052"/>
      <c r="B686" s="807"/>
      <c r="C686" s="279" t="s">
        <v>426</v>
      </c>
      <c r="D686" s="434" t="s">
        <v>238</v>
      </c>
      <c r="E686" s="280"/>
      <c r="F686" s="435">
        <f t="shared" si="133"/>
        <v>0</v>
      </c>
      <c r="G686" s="602">
        <v>320.35000000000002</v>
      </c>
      <c r="H686" s="593">
        <f t="shared" si="135"/>
        <v>0</v>
      </c>
      <c r="I686" s="596">
        <f t="shared" si="136"/>
        <v>0</v>
      </c>
      <c r="J686" s="373"/>
    </row>
    <row r="687" spans="1:10" ht="35.25" customHeight="1" x14ac:dyDescent="0.25">
      <c r="A687" s="1052"/>
      <c r="B687" s="807"/>
      <c r="C687" s="279" t="s">
        <v>285</v>
      </c>
      <c r="D687" s="434" t="s">
        <v>238</v>
      </c>
      <c r="E687" s="280"/>
      <c r="F687" s="435">
        <f t="shared" si="133"/>
        <v>0</v>
      </c>
      <c r="G687" s="602">
        <v>320.35000000000002</v>
      </c>
      <c r="H687" s="593">
        <f t="shared" si="135"/>
        <v>0</v>
      </c>
      <c r="I687" s="596">
        <f t="shared" si="136"/>
        <v>0</v>
      </c>
      <c r="J687" s="373"/>
    </row>
    <row r="688" spans="1:10" ht="35.25" customHeight="1" x14ac:dyDescent="0.25">
      <c r="A688" s="1052"/>
      <c r="B688" s="807"/>
      <c r="C688" s="279" t="s">
        <v>296</v>
      </c>
      <c r="D688" s="434" t="s">
        <v>238</v>
      </c>
      <c r="E688" s="280"/>
      <c r="F688" s="435">
        <f t="shared" si="133"/>
        <v>0</v>
      </c>
      <c r="G688" s="602">
        <v>434.41</v>
      </c>
      <c r="H688" s="593">
        <f t="shared" si="135"/>
        <v>0</v>
      </c>
      <c r="I688" s="596">
        <f t="shared" si="136"/>
        <v>0</v>
      </c>
      <c r="J688" s="373"/>
    </row>
    <row r="689" spans="1:10" ht="35.25" customHeight="1" x14ac:dyDescent="0.25">
      <c r="A689" s="1052"/>
      <c r="B689" s="807"/>
      <c r="C689" s="279" t="s">
        <v>282</v>
      </c>
      <c r="D689" s="434" t="s">
        <v>238</v>
      </c>
      <c r="E689" s="280"/>
      <c r="F689" s="435">
        <f t="shared" si="133"/>
        <v>0</v>
      </c>
      <c r="G689" s="602">
        <v>29690</v>
      </c>
      <c r="H689" s="593">
        <f t="shared" si="135"/>
        <v>0</v>
      </c>
      <c r="I689" s="596">
        <f t="shared" si="136"/>
        <v>0</v>
      </c>
      <c r="J689" s="373"/>
    </row>
    <row r="690" spans="1:10" ht="35.25" customHeight="1" x14ac:dyDescent="0.25">
      <c r="A690" s="1052"/>
      <c r="B690" s="807"/>
      <c r="C690" s="279" t="s">
        <v>282</v>
      </c>
      <c r="D690" s="434" t="s">
        <v>238</v>
      </c>
      <c r="E690" s="280"/>
      <c r="F690" s="435">
        <f t="shared" si="133"/>
        <v>1</v>
      </c>
      <c r="G690" s="602">
        <v>26445</v>
      </c>
      <c r="H690" s="593">
        <f t="shared" si="135"/>
        <v>0</v>
      </c>
      <c r="I690" s="596">
        <f t="shared" si="136"/>
        <v>26445</v>
      </c>
      <c r="J690" s="373"/>
    </row>
    <row r="691" spans="1:10" ht="35.25" customHeight="1" x14ac:dyDescent="0.25">
      <c r="A691" s="1052"/>
      <c r="B691" s="807"/>
      <c r="C691" s="279" t="s">
        <v>282</v>
      </c>
      <c r="D691" s="434"/>
      <c r="E691" s="280"/>
      <c r="F691" s="435">
        <f t="shared" si="133"/>
        <v>0</v>
      </c>
      <c r="G691" s="602">
        <v>33947.884599999998</v>
      </c>
      <c r="H691" s="593">
        <f t="shared" si="135"/>
        <v>0</v>
      </c>
      <c r="I691" s="596">
        <f t="shared" si="136"/>
        <v>0</v>
      </c>
      <c r="J691" s="373"/>
    </row>
    <row r="692" spans="1:10" ht="35.25" customHeight="1" x14ac:dyDescent="0.25">
      <c r="A692" s="1052"/>
      <c r="B692" s="807"/>
      <c r="C692" s="279" t="s">
        <v>311</v>
      </c>
      <c r="D692" s="434" t="s">
        <v>337</v>
      </c>
      <c r="E692" s="280"/>
      <c r="F692" s="435">
        <f t="shared" si="133"/>
        <v>0</v>
      </c>
      <c r="G692" s="602">
        <v>50</v>
      </c>
      <c r="H692" s="593">
        <f t="shared" si="135"/>
        <v>0</v>
      </c>
      <c r="I692" s="596">
        <f t="shared" si="136"/>
        <v>0</v>
      </c>
      <c r="J692" s="373"/>
    </row>
    <row r="693" spans="1:10" ht="35.25" customHeight="1" x14ac:dyDescent="0.25">
      <c r="A693" s="1052"/>
      <c r="B693" s="807"/>
      <c r="C693" s="279" t="s">
        <v>311</v>
      </c>
      <c r="D693" s="434"/>
      <c r="E693" s="280"/>
      <c r="F693" s="435">
        <f t="shared" si="133"/>
        <v>0</v>
      </c>
      <c r="G693" s="602">
        <v>10</v>
      </c>
      <c r="H693" s="593">
        <f t="shared" si="135"/>
        <v>0</v>
      </c>
      <c r="I693" s="596">
        <f t="shared" si="136"/>
        <v>0</v>
      </c>
      <c r="J693" s="373"/>
    </row>
    <row r="694" spans="1:10" ht="35.25" customHeight="1" x14ac:dyDescent="0.25">
      <c r="A694" s="1052"/>
      <c r="B694" s="807"/>
      <c r="C694" s="279" t="s">
        <v>329</v>
      </c>
      <c r="D694" s="434" t="s">
        <v>370</v>
      </c>
      <c r="E694" s="280"/>
      <c r="F694" s="435">
        <f t="shared" si="133"/>
        <v>0</v>
      </c>
      <c r="G694" s="602">
        <v>57.64</v>
      </c>
      <c r="H694" s="593">
        <f t="shared" si="135"/>
        <v>0</v>
      </c>
      <c r="I694" s="596">
        <f t="shared" si="136"/>
        <v>0</v>
      </c>
      <c r="J694" s="373"/>
    </row>
    <row r="695" spans="1:10" ht="35.25" customHeight="1" x14ac:dyDescent="0.25">
      <c r="A695" s="1052"/>
      <c r="B695" s="807"/>
      <c r="C695" s="279" t="s">
        <v>329</v>
      </c>
      <c r="D695" s="434" t="s">
        <v>364</v>
      </c>
      <c r="E695" s="280"/>
      <c r="F695" s="435">
        <f t="shared" si="133"/>
        <v>0</v>
      </c>
      <c r="G695" s="602">
        <v>57.64</v>
      </c>
      <c r="H695" s="593">
        <f t="shared" si="135"/>
        <v>0</v>
      </c>
      <c r="I695" s="596">
        <f t="shared" si="136"/>
        <v>0</v>
      </c>
      <c r="J695" s="373"/>
    </row>
    <row r="696" spans="1:10" ht="35.25" customHeight="1" x14ac:dyDescent="0.25">
      <c r="A696" s="1052"/>
      <c r="B696" s="807"/>
      <c r="C696" s="279" t="s">
        <v>330</v>
      </c>
      <c r="D696" s="434" t="s">
        <v>331</v>
      </c>
      <c r="E696" s="280"/>
      <c r="F696" s="435">
        <f t="shared" si="133"/>
        <v>0</v>
      </c>
      <c r="G696" s="602">
        <v>434.41</v>
      </c>
      <c r="H696" s="593">
        <f t="shared" si="135"/>
        <v>0</v>
      </c>
      <c r="I696" s="596">
        <f t="shared" si="136"/>
        <v>0</v>
      </c>
      <c r="J696" s="373"/>
    </row>
    <row r="697" spans="1:10" ht="35.25" customHeight="1" x14ac:dyDescent="0.25">
      <c r="A697" s="1052"/>
      <c r="B697" s="807"/>
      <c r="C697" s="279" t="s">
        <v>343</v>
      </c>
      <c r="D697" s="434" t="s">
        <v>238</v>
      </c>
      <c r="E697" s="280"/>
      <c r="F697" s="435">
        <f t="shared" si="133"/>
        <v>0</v>
      </c>
      <c r="G697" s="602">
        <v>624.26</v>
      </c>
      <c r="H697" s="593">
        <f t="shared" si="135"/>
        <v>0</v>
      </c>
      <c r="I697" s="596">
        <f t="shared" si="136"/>
        <v>0</v>
      </c>
      <c r="J697" s="373"/>
    </row>
    <row r="698" spans="1:10" ht="35.25" customHeight="1" x14ac:dyDescent="0.25">
      <c r="A698" s="1052"/>
      <c r="B698" s="807"/>
      <c r="C698" s="279" t="s">
        <v>332</v>
      </c>
      <c r="D698" s="434" t="s">
        <v>331</v>
      </c>
      <c r="E698" s="280"/>
      <c r="F698" s="435">
        <f t="shared" si="133"/>
        <v>0</v>
      </c>
      <c r="G698" s="602">
        <v>63.55</v>
      </c>
      <c r="H698" s="593">
        <f t="shared" si="135"/>
        <v>0</v>
      </c>
      <c r="I698" s="596">
        <f t="shared" si="136"/>
        <v>0</v>
      </c>
      <c r="J698" s="373"/>
    </row>
    <row r="699" spans="1:10" ht="35.25" customHeight="1" x14ac:dyDescent="0.25">
      <c r="A699" s="1052"/>
      <c r="B699" s="807"/>
      <c r="C699" s="279" t="s">
        <v>371</v>
      </c>
      <c r="D699" s="434" t="s">
        <v>238</v>
      </c>
      <c r="E699" s="280"/>
      <c r="F699" s="435">
        <f t="shared" si="133"/>
        <v>0</v>
      </c>
      <c r="G699" s="602">
        <v>59.96</v>
      </c>
      <c r="H699" s="593">
        <f t="shared" si="135"/>
        <v>0</v>
      </c>
      <c r="I699" s="596">
        <f t="shared" si="136"/>
        <v>0</v>
      </c>
      <c r="J699" s="373"/>
    </row>
    <row r="700" spans="1:10" ht="35.25" customHeight="1" x14ac:dyDescent="0.25">
      <c r="A700" s="1052"/>
      <c r="B700" s="807"/>
      <c r="C700" s="279" t="s">
        <v>419</v>
      </c>
      <c r="D700" s="434" t="s">
        <v>331</v>
      </c>
      <c r="E700" s="280"/>
      <c r="F700" s="435">
        <f t="shared" si="133"/>
        <v>0</v>
      </c>
      <c r="G700" s="602">
        <v>53.86</v>
      </c>
      <c r="H700" s="593">
        <f t="shared" si="135"/>
        <v>0</v>
      </c>
      <c r="I700" s="596">
        <f t="shared" si="136"/>
        <v>0</v>
      </c>
      <c r="J700" s="373"/>
    </row>
    <row r="701" spans="1:10" ht="35.25" customHeight="1" x14ac:dyDescent="0.25">
      <c r="A701" s="1052"/>
      <c r="B701" s="807"/>
      <c r="C701" s="279" t="s">
        <v>379</v>
      </c>
      <c r="D701" s="434"/>
      <c r="E701" s="280"/>
      <c r="F701" s="435">
        <f t="shared" si="133"/>
        <v>0</v>
      </c>
      <c r="G701" s="602">
        <v>360</v>
      </c>
      <c r="H701" s="593">
        <f t="shared" si="135"/>
        <v>0</v>
      </c>
      <c r="I701" s="596">
        <f t="shared" si="136"/>
        <v>0</v>
      </c>
      <c r="J701" s="373"/>
    </row>
    <row r="702" spans="1:10" ht="35.25" customHeight="1" x14ac:dyDescent="0.25">
      <c r="A702" s="1052"/>
      <c r="B702" s="807"/>
      <c r="C702" s="279" t="s">
        <v>471</v>
      </c>
      <c r="D702" s="434"/>
      <c r="E702" s="280"/>
      <c r="F702" s="435">
        <f t="shared" si="133"/>
        <v>0</v>
      </c>
      <c r="G702" s="602"/>
      <c r="H702" s="593">
        <f>+E702</f>
        <v>0</v>
      </c>
      <c r="I702" s="596">
        <f>+H702</f>
        <v>0</v>
      </c>
      <c r="J702" s="373"/>
    </row>
    <row r="703" spans="1:10" ht="35.25" customHeight="1" x14ac:dyDescent="0.25">
      <c r="A703" s="1052"/>
      <c r="B703" s="807"/>
      <c r="C703" s="279" t="s">
        <v>282</v>
      </c>
      <c r="D703" s="434"/>
      <c r="E703" s="280"/>
      <c r="F703" s="435">
        <f t="shared" si="133"/>
        <v>0</v>
      </c>
      <c r="G703" s="602">
        <v>39450</v>
      </c>
      <c r="H703" s="593">
        <f t="shared" ref="H703:H704" si="137">E703*G703</f>
        <v>0</v>
      </c>
      <c r="I703" s="596">
        <f t="shared" ref="I703:I704" si="138">+G703*F703</f>
        <v>0</v>
      </c>
      <c r="J703" s="373"/>
    </row>
    <row r="704" spans="1:10" ht="35.25" customHeight="1" thickBot="1" x14ac:dyDescent="0.3">
      <c r="A704" s="1052"/>
      <c r="B704" s="807"/>
      <c r="C704" s="279" t="s">
        <v>329</v>
      </c>
      <c r="D704" s="434" t="s">
        <v>443</v>
      </c>
      <c r="E704" s="280"/>
      <c r="F704" s="435">
        <f t="shared" si="133"/>
        <v>0</v>
      </c>
      <c r="G704" s="602">
        <v>57.64</v>
      </c>
      <c r="H704" s="593">
        <f t="shared" si="137"/>
        <v>0</v>
      </c>
      <c r="I704" s="596">
        <f t="shared" si="138"/>
        <v>0</v>
      </c>
      <c r="J704" s="373"/>
    </row>
    <row r="705" spans="1:10" ht="35.25" customHeight="1" thickBot="1" x14ac:dyDescent="0.3">
      <c r="A705" s="1053"/>
      <c r="B705" s="1047" t="s">
        <v>270</v>
      </c>
      <c r="C705" s="1048"/>
      <c r="D705" s="809"/>
      <c r="E705" s="326">
        <f>SUM(E679:E704)</f>
        <v>18460</v>
      </c>
      <c r="F705" s="326">
        <f>SUM(F679:F704)</f>
        <v>62181</v>
      </c>
      <c r="G705" s="326"/>
      <c r="H705" s="590">
        <f>SUM(H679:H704)</f>
        <v>2705014</v>
      </c>
      <c r="I705" s="580">
        <f>SUM(I679:I704)</f>
        <v>7666234.2000000002</v>
      </c>
      <c r="J705" s="372"/>
    </row>
    <row r="706" spans="1:10" ht="35.25" customHeight="1" thickBot="1" x14ac:dyDescent="0.3">
      <c r="A706" s="812"/>
      <c r="B706" s="437"/>
      <c r="C706" s="279" t="s">
        <v>379</v>
      </c>
      <c r="D706" s="434"/>
      <c r="E706" s="280"/>
      <c r="F706" s="281">
        <f>+E706</f>
        <v>0</v>
      </c>
      <c r="G706" s="334"/>
      <c r="H706" s="589">
        <f t="shared" ref="H706" si="139">E706*G706</f>
        <v>0</v>
      </c>
      <c r="I706" s="282">
        <f t="shared" ref="I706" si="140">+G706*F706</f>
        <v>0</v>
      </c>
      <c r="J706" s="373"/>
    </row>
    <row r="707" spans="1:10" ht="35.25" customHeight="1" thickBot="1" x14ac:dyDescent="0.3">
      <c r="A707" s="812"/>
      <c r="B707" s="1047" t="s">
        <v>224</v>
      </c>
      <c r="C707" s="1048"/>
      <c r="D707" s="805"/>
      <c r="E707" s="326"/>
      <c r="F707" s="327"/>
      <c r="G707" s="326"/>
      <c r="H707" s="587"/>
      <c r="I707" s="324">
        <f>SUM(I706)</f>
        <v>0</v>
      </c>
      <c r="J707" s="349"/>
    </row>
    <row r="708" spans="1:10" ht="35.25" customHeight="1" thickBot="1" x14ac:dyDescent="0.3">
      <c r="A708" s="319"/>
      <c r="B708" s="1049" t="s">
        <v>174</v>
      </c>
      <c r="C708" s="1050"/>
      <c r="D708" s="806"/>
      <c r="E708" s="374">
        <f>+E705+E678+E648+E646</f>
        <v>18460</v>
      </c>
      <c r="F708" s="374">
        <f>+F705+F678+F648+F646</f>
        <v>636879</v>
      </c>
      <c r="G708" s="374"/>
      <c r="H708" s="374"/>
      <c r="I708" s="374">
        <f>+I705+I678+I648+I707</f>
        <v>16900421.400000002</v>
      </c>
      <c r="J708" s="375"/>
    </row>
    <row r="709" spans="1:10" ht="35.25" customHeight="1" x14ac:dyDescent="0.25">
      <c r="A709" s="978" t="s">
        <v>1</v>
      </c>
      <c r="B709" s="981" t="s">
        <v>2</v>
      </c>
      <c r="C709" s="1056" t="s">
        <v>396</v>
      </c>
      <c r="D709" s="1033" t="s">
        <v>397</v>
      </c>
      <c r="E709" s="1060" t="s">
        <v>525</v>
      </c>
      <c r="F709" s="988"/>
      <c r="G709" s="988"/>
      <c r="H709" s="988"/>
      <c r="I709" s="988"/>
      <c r="J709" s="989"/>
    </row>
    <row r="710" spans="1:10" ht="35.25" customHeight="1" x14ac:dyDescent="0.25">
      <c r="A710" s="1054"/>
      <c r="B710" s="1055"/>
      <c r="C710" s="1057"/>
      <c r="D710" s="1034"/>
      <c r="E710" s="1061" t="s">
        <v>412</v>
      </c>
      <c r="F710" s="1062"/>
      <c r="G710" s="1061" t="s">
        <v>411</v>
      </c>
      <c r="H710" s="1063"/>
      <c r="I710" s="1063"/>
      <c r="J710" s="1062"/>
    </row>
    <row r="711" spans="1:10" ht="35.25" customHeight="1" x14ac:dyDescent="0.25">
      <c r="A711" s="979"/>
      <c r="B711" s="982"/>
      <c r="C711" s="1058"/>
      <c r="D711" s="1034"/>
      <c r="E711" s="990" t="s">
        <v>413</v>
      </c>
      <c r="F711" s="992" t="s">
        <v>414</v>
      </c>
      <c r="G711" s="1065" t="s">
        <v>90</v>
      </c>
      <c r="H711" s="1067" t="s">
        <v>91</v>
      </c>
      <c r="I711" s="1067" t="s">
        <v>91</v>
      </c>
      <c r="J711" s="1069" t="s">
        <v>12</v>
      </c>
    </row>
    <row r="712" spans="1:10" ht="35.25" customHeight="1" thickBot="1" x14ac:dyDescent="0.3">
      <c r="A712" s="980"/>
      <c r="B712" s="983"/>
      <c r="C712" s="1059"/>
      <c r="D712" s="1035"/>
      <c r="E712" s="991"/>
      <c r="F712" s="1064"/>
      <c r="G712" s="1066"/>
      <c r="H712" s="1068"/>
      <c r="I712" s="1068"/>
      <c r="J712" s="1070"/>
    </row>
    <row r="713" spans="1:10" ht="35.25" customHeight="1" x14ac:dyDescent="0.25">
      <c r="A713" s="1051" t="s">
        <v>103</v>
      </c>
      <c r="B713" s="439"/>
      <c r="C713" s="577" t="s">
        <v>442</v>
      </c>
      <c r="D713" s="665" t="s">
        <v>374</v>
      </c>
      <c r="E713" s="699"/>
      <c r="F713" s="674">
        <f>+E713+F619</f>
        <v>0</v>
      </c>
      <c r="G713" s="732">
        <v>107.85</v>
      </c>
      <c r="H713" s="591">
        <f t="shared" ref="H713:H727" si="141">E713*G713</f>
        <v>0</v>
      </c>
      <c r="I713" s="594">
        <f>+G713*F713</f>
        <v>0</v>
      </c>
      <c r="J713" s="351"/>
    </row>
    <row r="714" spans="1:10" ht="35.25" customHeight="1" x14ac:dyDescent="0.25">
      <c r="A714" s="1052"/>
      <c r="B714" s="438"/>
      <c r="C714" s="441" t="s">
        <v>264</v>
      </c>
      <c r="D714" s="666" t="s">
        <v>265</v>
      </c>
      <c r="E714" s="700"/>
      <c r="F714" s="701">
        <f t="shared" ref="F714:F727" si="142">+E714+F620</f>
        <v>0</v>
      </c>
      <c r="G714" s="697">
        <v>11</v>
      </c>
      <c r="H714" s="592">
        <f t="shared" si="141"/>
        <v>0</v>
      </c>
      <c r="I714" s="595">
        <f>+G714*F714</f>
        <v>0</v>
      </c>
      <c r="J714" s="352"/>
    </row>
    <row r="715" spans="1:10" ht="35.25" customHeight="1" x14ac:dyDescent="0.25">
      <c r="A715" s="1052"/>
      <c r="B715" s="438"/>
      <c r="C715" s="441" t="s">
        <v>295</v>
      </c>
      <c r="D715" s="666" t="s">
        <v>453</v>
      </c>
      <c r="E715" s="700">
        <v>640</v>
      </c>
      <c r="F715" s="701">
        <f t="shared" si="142"/>
        <v>640</v>
      </c>
      <c r="G715" s="697">
        <v>139.04</v>
      </c>
      <c r="H715" s="592">
        <f t="shared" si="141"/>
        <v>88985.599999999991</v>
      </c>
      <c r="I715" s="595">
        <f t="shared" ref="I715:I727" si="143">+G715*F715</f>
        <v>88985.599999999991</v>
      </c>
      <c r="J715" s="352"/>
    </row>
    <row r="716" spans="1:10" ht="35.25" customHeight="1" x14ac:dyDescent="0.25">
      <c r="A716" s="1052"/>
      <c r="B716" s="438"/>
      <c r="C716" s="441" t="s">
        <v>531</v>
      </c>
      <c r="D716" s="666" t="s">
        <v>529</v>
      </c>
      <c r="E716" s="700">
        <v>12240</v>
      </c>
      <c r="F716" s="701">
        <f t="shared" si="142"/>
        <v>12240</v>
      </c>
      <c r="G716" s="715">
        <v>20.66</v>
      </c>
      <c r="H716" s="592">
        <f t="shared" si="141"/>
        <v>252878.4</v>
      </c>
      <c r="I716" s="595">
        <f t="shared" si="143"/>
        <v>252878.4</v>
      </c>
      <c r="J716" s="352"/>
    </row>
    <row r="717" spans="1:10" ht="35.25" customHeight="1" x14ac:dyDescent="0.25">
      <c r="A717" s="1052"/>
      <c r="B717" s="438"/>
      <c r="C717" s="441" t="s">
        <v>288</v>
      </c>
      <c r="D717" s="666" t="s">
        <v>177</v>
      </c>
      <c r="E717" s="700"/>
      <c r="F717" s="701">
        <f t="shared" si="142"/>
        <v>0</v>
      </c>
      <c r="G717" s="697">
        <v>14.79</v>
      </c>
      <c r="H717" s="592">
        <f t="shared" si="141"/>
        <v>0</v>
      </c>
      <c r="I717" s="595">
        <f t="shared" si="143"/>
        <v>0</v>
      </c>
      <c r="J717" s="352"/>
    </row>
    <row r="718" spans="1:10" ht="35.25" customHeight="1" x14ac:dyDescent="0.25">
      <c r="A718" s="1052"/>
      <c r="B718" s="438"/>
      <c r="C718" s="441" t="s">
        <v>295</v>
      </c>
      <c r="D718" s="666" t="s">
        <v>265</v>
      </c>
      <c r="E718" s="700">
        <v>1280</v>
      </c>
      <c r="F718" s="701">
        <f t="shared" si="142"/>
        <v>3200</v>
      </c>
      <c r="G718" s="697">
        <v>139.04</v>
      </c>
      <c r="H718" s="592">
        <f t="shared" si="141"/>
        <v>177971.19999999998</v>
      </c>
      <c r="I718" s="595">
        <f t="shared" si="143"/>
        <v>444928</v>
      </c>
      <c r="J718" s="352"/>
    </row>
    <row r="719" spans="1:10" ht="35.25" customHeight="1" x14ac:dyDescent="0.25">
      <c r="A719" s="1052"/>
      <c r="B719" s="438"/>
      <c r="C719" s="441" t="s">
        <v>391</v>
      </c>
      <c r="D719" s="667" t="s">
        <v>356</v>
      </c>
      <c r="E719" s="700"/>
      <c r="F719" s="701">
        <f t="shared" si="142"/>
        <v>0</v>
      </c>
      <c r="G719" s="697">
        <v>147.58000000000001</v>
      </c>
      <c r="H719" s="592">
        <f t="shared" si="141"/>
        <v>0</v>
      </c>
      <c r="I719" s="595">
        <f t="shared" si="143"/>
        <v>0</v>
      </c>
      <c r="J719" s="352"/>
    </row>
    <row r="720" spans="1:10" ht="35.25" customHeight="1" x14ac:dyDescent="0.25">
      <c r="A720" s="1052"/>
      <c r="B720" s="438"/>
      <c r="C720" s="441" t="s">
        <v>313</v>
      </c>
      <c r="D720" s="667" t="s">
        <v>265</v>
      </c>
      <c r="E720" s="700"/>
      <c r="F720" s="701">
        <f t="shared" si="142"/>
        <v>36720</v>
      </c>
      <c r="G720" s="697">
        <v>18.84</v>
      </c>
      <c r="H720" s="592">
        <f t="shared" si="141"/>
        <v>0</v>
      </c>
      <c r="I720" s="595">
        <f t="shared" si="143"/>
        <v>691804.8</v>
      </c>
      <c r="J720" s="352"/>
    </row>
    <row r="721" spans="1:10" ht="35.25" customHeight="1" x14ac:dyDescent="0.25">
      <c r="A721" s="1052"/>
      <c r="B721" s="438"/>
      <c r="C721" s="441" t="s">
        <v>322</v>
      </c>
      <c r="D721" s="667" t="s">
        <v>232</v>
      </c>
      <c r="E721" s="700"/>
      <c r="F721" s="701">
        <f t="shared" si="142"/>
        <v>0</v>
      </c>
      <c r="G721" s="697">
        <v>21.18</v>
      </c>
      <c r="H721" s="592">
        <f t="shared" si="141"/>
        <v>0</v>
      </c>
      <c r="I721" s="595">
        <f t="shared" si="143"/>
        <v>0</v>
      </c>
      <c r="J721" s="352"/>
    </row>
    <row r="722" spans="1:10" ht="35.25" customHeight="1" x14ac:dyDescent="0.25">
      <c r="A722" s="1052"/>
      <c r="B722" s="438"/>
      <c r="C722" s="441" t="s">
        <v>324</v>
      </c>
      <c r="D722" s="667" t="s">
        <v>325</v>
      </c>
      <c r="E722" s="700"/>
      <c r="F722" s="701">
        <f t="shared" si="142"/>
        <v>0</v>
      </c>
      <c r="G722" s="697">
        <v>21.28</v>
      </c>
      <c r="H722" s="592">
        <f t="shared" si="141"/>
        <v>0</v>
      </c>
      <c r="I722" s="595">
        <f t="shared" si="143"/>
        <v>0</v>
      </c>
      <c r="J722" s="352"/>
    </row>
    <row r="723" spans="1:10" ht="35.25" customHeight="1" x14ac:dyDescent="0.25">
      <c r="A723" s="1052"/>
      <c r="B723" s="438"/>
      <c r="C723" s="441" t="s">
        <v>378</v>
      </c>
      <c r="D723" s="667" t="s">
        <v>374</v>
      </c>
      <c r="E723" s="700"/>
      <c r="F723" s="701">
        <f t="shared" si="142"/>
        <v>0</v>
      </c>
      <c r="G723" s="697">
        <v>143.28</v>
      </c>
      <c r="H723" s="592">
        <f t="shared" si="141"/>
        <v>0</v>
      </c>
      <c r="I723" s="595">
        <f t="shared" si="143"/>
        <v>0</v>
      </c>
      <c r="J723" s="352"/>
    </row>
    <row r="724" spans="1:10" ht="35.25" customHeight="1" x14ac:dyDescent="0.25">
      <c r="A724" s="1052"/>
      <c r="B724" s="438"/>
      <c r="C724" s="441" t="s">
        <v>472</v>
      </c>
      <c r="D724" s="667"/>
      <c r="E724" s="700"/>
      <c r="F724" s="701">
        <f t="shared" si="142"/>
        <v>0</v>
      </c>
      <c r="G724" s="697">
        <v>14.79</v>
      </c>
      <c r="H724" s="592">
        <f t="shared" si="141"/>
        <v>0</v>
      </c>
      <c r="I724" s="595">
        <f t="shared" si="143"/>
        <v>0</v>
      </c>
      <c r="J724" s="352"/>
    </row>
    <row r="725" spans="1:10" ht="35.25" customHeight="1" x14ac:dyDescent="0.25">
      <c r="A725" s="1052"/>
      <c r="B725" s="438"/>
      <c r="C725" s="441" t="s">
        <v>451</v>
      </c>
      <c r="D725" s="666" t="s">
        <v>177</v>
      </c>
      <c r="E725" s="700"/>
      <c r="F725" s="701">
        <f t="shared" si="142"/>
        <v>498432</v>
      </c>
      <c r="G725" s="697">
        <v>14.55</v>
      </c>
      <c r="H725" s="592">
        <f t="shared" si="141"/>
        <v>0</v>
      </c>
      <c r="I725" s="595">
        <f t="shared" si="143"/>
        <v>7252185.6000000006</v>
      </c>
      <c r="J725" s="352"/>
    </row>
    <row r="726" spans="1:10" ht="35.25" customHeight="1" x14ac:dyDescent="0.25">
      <c r="A726" s="1052"/>
      <c r="B726" s="438"/>
      <c r="C726" s="441" t="s">
        <v>327</v>
      </c>
      <c r="D726" s="667" t="s">
        <v>188</v>
      </c>
      <c r="E726" s="700"/>
      <c r="F726" s="701">
        <f t="shared" si="142"/>
        <v>0</v>
      </c>
      <c r="G726" s="697">
        <v>21.28</v>
      </c>
      <c r="H726" s="592">
        <f t="shared" si="141"/>
        <v>0</v>
      </c>
      <c r="I726" s="595">
        <f t="shared" si="143"/>
        <v>0</v>
      </c>
      <c r="J726" s="352"/>
    </row>
    <row r="727" spans="1:10" ht="35.25" customHeight="1" thickBot="1" x14ac:dyDescent="0.3">
      <c r="A727" s="1052"/>
      <c r="B727" s="438"/>
      <c r="C727" s="441" t="s">
        <v>336</v>
      </c>
      <c r="D727" s="668" t="s">
        <v>178</v>
      </c>
      <c r="E727" s="700"/>
      <c r="F727" s="676">
        <f t="shared" si="142"/>
        <v>0</v>
      </c>
      <c r="G727" s="697">
        <v>36.44</v>
      </c>
      <c r="H727" s="592">
        <f t="shared" si="141"/>
        <v>0</v>
      </c>
      <c r="I727" s="595">
        <f t="shared" si="143"/>
        <v>0</v>
      </c>
      <c r="J727" s="352"/>
    </row>
    <row r="728" spans="1:10" ht="35.25" customHeight="1" thickBot="1" x14ac:dyDescent="0.3">
      <c r="A728" s="1052"/>
      <c r="B728" s="1047" t="s">
        <v>266</v>
      </c>
      <c r="C728" s="1048"/>
      <c r="D728" s="820"/>
      <c r="E728" s="326">
        <f>SUM(E713:E727)</f>
        <v>14160</v>
      </c>
      <c r="F728" s="698">
        <f>SUM(F713:F727)</f>
        <v>551232</v>
      </c>
      <c r="G728" s="326"/>
      <c r="H728" s="587">
        <f>SUM(H713:H727)</f>
        <v>519835.19999999995</v>
      </c>
      <c r="I728" s="580">
        <f>SUM(I713:I727)</f>
        <v>8730782.4000000004</v>
      </c>
      <c r="J728" s="349"/>
    </row>
    <row r="729" spans="1:10" ht="35.25" customHeight="1" x14ac:dyDescent="0.25">
      <c r="A729" s="1052"/>
      <c r="B729" s="818"/>
      <c r="C729" s="279" t="s">
        <v>271</v>
      </c>
      <c r="D729" s="434" t="s">
        <v>238</v>
      </c>
      <c r="E729" s="280"/>
      <c r="F729" s="435">
        <f>+E729+F635</f>
        <v>0</v>
      </c>
      <c r="G729" s="578">
        <v>160.44999999999999</v>
      </c>
      <c r="H729" s="593">
        <f t="shared" ref="H729:H734" si="144">E729*G729</f>
        <v>0</v>
      </c>
      <c r="I729" s="596">
        <f t="shared" ref="I729:I734" si="145">+G729*F729</f>
        <v>0</v>
      </c>
      <c r="J729" s="373"/>
    </row>
    <row r="730" spans="1:10" ht="35.25" customHeight="1" x14ac:dyDescent="0.25">
      <c r="A730" s="1052"/>
      <c r="B730" s="818"/>
      <c r="C730" s="279" t="s">
        <v>287</v>
      </c>
      <c r="D730" s="434" t="s">
        <v>93</v>
      </c>
      <c r="E730" s="280"/>
      <c r="F730" s="435">
        <f t="shared" ref="F730:F734" si="146">+E730+F636</f>
        <v>37620</v>
      </c>
      <c r="G730" s="578">
        <v>27</v>
      </c>
      <c r="H730" s="593">
        <f t="shared" si="144"/>
        <v>0</v>
      </c>
      <c r="I730" s="596">
        <f t="shared" si="145"/>
        <v>1015740</v>
      </c>
      <c r="J730" s="373"/>
    </row>
    <row r="731" spans="1:10" ht="35.25" customHeight="1" x14ac:dyDescent="0.25">
      <c r="A731" s="1052"/>
      <c r="B731" s="818"/>
      <c r="C731" s="279" t="s">
        <v>287</v>
      </c>
      <c r="D731" s="434" t="s">
        <v>292</v>
      </c>
      <c r="E731" s="280"/>
      <c r="F731" s="435">
        <f t="shared" si="146"/>
        <v>0</v>
      </c>
      <c r="G731" s="578">
        <v>27.5</v>
      </c>
      <c r="H731" s="593">
        <f t="shared" si="144"/>
        <v>0</v>
      </c>
      <c r="I731" s="596">
        <f t="shared" si="145"/>
        <v>0</v>
      </c>
      <c r="J731" s="373"/>
    </row>
    <row r="732" spans="1:10" ht="35.25" customHeight="1" x14ac:dyDescent="0.25">
      <c r="A732" s="1052"/>
      <c r="B732" s="818"/>
      <c r="C732" s="279" t="s">
        <v>276</v>
      </c>
      <c r="D732" s="434" t="s">
        <v>292</v>
      </c>
      <c r="E732" s="280"/>
      <c r="F732" s="435">
        <f t="shared" si="146"/>
        <v>0</v>
      </c>
      <c r="G732" s="578">
        <v>34.5</v>
      </c>
      <c r="H732" s="593">
        <f t="shared" si="144"/>
        <v>0</v>
      </c>
      <c r="I732" s="596">
        <f t="shared" si="145"/>
        <v>0</v>
      </c>
      <c r="J732" s="373"/>
    </row>
    <row r="733" spans="1:10" ht="35.25" customHeight="1" x14ac:dyDescent="0.25">
      <c r="A733" s="1052"/>
      <c r="B733" s="818"/>
      <c r="C733" s="279" t="s">
        <v>473</v>
      </c>
      <c r="D733" s="434" t="s">
        <v>440</v>
      </c>
      <c r="E733" s="280"/>
      <c r="F733" s="435">
        <f t="shared" si="146"/>
        <v>0</v>
      </c>
      <c r="G733" s="578">
        <v>10.57</v>
      </c>
      <c r="H733" s="593">
        <f t="shared" si="144"/>
        <v>0</v>
      </c>
      <c r="I733" s="596">
        <f t="shared" si="145"/>
        <v>0</v>
      </c>
      <c r="J733" s="373"/>
    </row>
    <row r="734" spans="1:10" ht="35.25" customHeight="1" thickBot="1" x14ac:dyDescent="0.3">
      <c r="A734" s="1052"/>
      <c r="B734" s="818"/>
      <c r="C734" s="279" t="s">
        <v>276</v>
      </c>
      <c r="D734" s="434" t="s">
        <v>440</v>
      </c>
      <c r="E734" s="280"/>
      <c r="F734" s="435">
        <f t="shared" si="146"/>
        <v>0</v>
      </c>
      <c r="G734" s="578">
        <v>55.76</v>
      </c>
      <c r="H734" s="593">
        <f t="shared" si="144"/>
        <v>0</v>
      </c>
      <c r="I734" s="596">
        <f t="shared" si="145"/>
        <v>0</v>
      </c>
      <c r="J734" s="373"/>
    </row>
    <row r="735" spans="1:10" ht="35.25" customHeight="1" thickBot="1" x14ac:dyDescent="0.3">
      <c r="A735" s="1052"/>
      <c r="B735" s="1047" t="s">
        <v>267</v>
      </c>
      <c r="C735" s="1048"/>
      <c r="D735" s="820"/>
      <c r="E735" s="326">
        <f>SUM(E729:E734)</f>
        <v>0</v>
      </c>
      <c r="F735" s="326">
        <f>SUM(F729:F734)</f>
        <v>37620</v>
      </c>
      <c r="G735" s="326"/>
      <c r="H735" s="587">
        <f>SUM(H729:H734)</f>
        <v>0</v>
      </c>
      <c r="I735" s="580">
        <f>SUM(I729:I734)</f>
        <v>1015740</v>
      </c>
      <c r="J735" s="349"/>
    </row>
    <row r="736" spans="1:10" ht="35.25" customHeight="1" x14ac:dyDescent="0.25">
      <c r="A736" s="1052"/>
      <c r="B736" s="818"/>
      <c r="C736" s="279" t="s">
        <v>277</v>
      </c>
      <c r="D736" s="434" t="s">
        <v>278</v>
      </c>
      <c r="E736" s="280"/>
      <c r="F736" s="435">
        <f>+E736+F642</f>
        <v>3</v>
      </c>
      <c r="G736" s="578">
        <v>2500</v>
      </c>
      <c r="H736" s="593">
        <f t="shared" ref="H736:H739" si="147">E736*G736</f>
        <v>0</v>
      </c>
      <c r="I736" s="596">
        <f>+G736*F736</f>
        <v>7500</v>
      </c>
      <c r="J736" s="373"/>
    </row>
    <row r="737" spans="1:13" ht="35.25" customHeight="1" x14ac:dyDescent="0.25">
      <c r="A737" s="1052"/>
      <c r="B737" s="818"/>
      <c r="C737" s="279" t="s">
        <v>454</v>
      </c>
      <c r="D737" s="434"/>
      <c r="E737" s="280"/>
      <c r="F737" s="435">
        <f t="shared" ref="F737:F739" si="148">+E737+F643</f>
        <v>0</v>
      </c>
      <c r="G737" s="578">
        <v>30000</v>
      </c>
      <c r="H737" s="593">
        <f t="shared" si="147"/>
        <v>0</v>
      </c>
      <c r="I737" s="596">
        <f>+G737*F737</f>
        <v>0</v>
      </c>
      <c r="J737" s="373"/>
    </row>
    <row r="738" spans="1:13" ht="35.25" customHeight="1" x14ac:dyDescent="0.25">
      <c r="A738" s="1052"/>
      <c r="B738" s="818"/>
      <c r="C738" s="279" t="s">
        <v>379</v>
      </c>
      <c r="D738" s="434" t="s">
        <v>304</v>
      </c>
      <c r="E738" s="280"/>
      <c r="F738" s="435">
        <f t="shared" si="148"/>
        <v>0</v>
      </c>
      <c r="G738" s="578">
        <v>360</v>
      </c>
      <c r="H738" s="593">
        <f t="shared" si="147"/>
        <v>0</v>
      </c>
      <c r="I738" s="596">
        <f>+G738*F738</f>
        <v>0</v>
      </c>
      <c r="J738" s="373"/>
    </row>
    <row r="739" spans="1:13" ht="35.25" customHeight="1" thickBot="1" x14ac:dyDescent="0.3">
      <c r="A739" s="1052"/>
      <c r="B739" s="818"/>
      <c r="C739" s="279" t="s">
        <v>427</v>
      </c>
      <c r="D739" s="434" t="s">
        <v>304</v>
      </c>
      <c r="E739" s="280"/>
      <c r="F739" s="435">
        <f t="shared" si="148"/>
        <v>0</v>
      </c>
      <c r="G739" s="579">
        <v>10</v>
      </c>
      <c r="H739" s="593">
        <f t="shared" si="147"/>
        <v>0</v>
      </c>
      <c r="I739" s="596">
        <f t="shared" ref="I739" si="149">+G739*F739</f>
        <v>0</v>
      </c>
      <c r="J739" s="373"/>
    </row>
    <row r="740" spans="1:13" ht="35.25" customHeight="1" thickBot="1" x14ac:dyDescent="0.3">
      <c r="A740" s="1052"/>
      <c r="B740" s="1047" t="s">
        <v>272</v>
      </c>
      <c r="C740" s="1048"/>
      <c r="D740" s="820"/>
      <c r="E740" s="326">
        <f>SUM(E736:E739)</f>
        <v>0</v>
      </c>
      <c r="F740" s="326">
        <f>SUM(F736:F739)</f>
        <v>3</v>
      </c>
      <c r="G740" s="326"/>
      <c r="H740" s="587">
        <f>SUM(H736:H739)</f>
        <v>0</v>
      </c>
      <c r="I740" s="580">
        <f>SUM(I736:I739)</f>
        <v>7500</v>
      </c>
      <c r="J740" s="373"/>
    </row>
    <row r="741" spans="1:13" ht="35.25" customHeight="1" thickBot="1" x14ac:dyDescent="0.3">
      <c r="A741" s="1052"/>
      <c r="B741" s="818"/>
      <c r="C741" s="279"/>
      <c r="D741" s="434"/>
      <c r="E741" s="280"/>
      <c r="F741" s="317"/>
      <c r="G741" s="579"/>
      <c r="H741" s="588"/>
      <c r="I741" s="282"/>
      <c r="J741" s="373"/>
    </row>
    <row r="742" spans="1:13" ht="35.25" customHeight="1" thickBot="1" x14ac:dyDescent="0.3">
      <c r="A742" s="1053"/>
      <c r="B742" s="1047" t="s">
        <v>269</v>
      </c>
      <c r="C742" s="1048"/>
      <c r="D742" s="816"/>
      <c r="E742" s="326">
        <f>+E740+E735+E728</f>
        <v>14160</v>
      </c>
      <c r="F742" s="326">
        <f>+F740+F735+F728</f>
        <v>588855</v>
      </c>
      <c r="G742" s="326"/>
      <c r="H742" s="580">
        <f>+H735+H728+H740</f>
        <v>519835.19999999995</v>
      </c>
      <c r="I742" s="580">
        <f>+I735+I728+I740</f>
        <v>9754022.4000000004</v>
      </c>
      <c r="J742" s="373"/>
      <c r="K742" s="704"/>
      <c r="M742" s="704"/>
    </row>
    <row r="743" spans="1:13" ht="35.25" customHeight="1" x14ac:dyDescent="0.25">
      <c r="A743" s="1051" t="s">
        <v>101</v>
      </c>
      <c r="B743" s="818"/>
      <c r="C743" s="279" t="s">
        <v>281</v>
      </c>
      <c r="D743" s="434" t="s">
        <v>178</v>
      </c>
      <c r="E743" s="280"/>
      <c r="F743" s="435">
        <f>+E743+F649</f>
        <v>0</v>
      </c>
      <c r="G743" s="602">
        <v>13.25</v>
      </c>
      <c r="H743" s="597">
        <f t="shared" ref="H743:H771" si="150">E743*G743</f>
        <v>0</v>
      </c>
      <c r="I743" s="596">
        <f t="shared" ref="I743:I771" si="151">+G743*F743</f>
        <v>0</v>
      </c>
      <c r="J743" s="373"/>
      <c r="K743" s="704"/>
    </row>
    <row r="744" spans="1:13" ht="35.25" customHeight="1" x14ac:dyDescent="0.25">
      <c r="A744" s="1052"/>
      <c r="B744" s="818"/>
      <c r="C744" s="279" t="s">
        <v>282</v>
      </c>
      <c r="D744" s="434"/>
      <c r="E744" s="280"/>
      <c r="F744" s="435">
        <f t="shared" ref="F744:F798" si="152">+E744+F650</f>
        <v>0</v>
      </c>
      <c r="G744" s="603">
        <v>5000</v>
      </c>
      <c r="H744" s="597">
        <f t="shared" si="150"/>
        <v>0</v>
      </c>
      <c r="I744" s="596">
        <f t="shared" si="151"/>
        <v>0</v>
      </c>
      <c r="J744" s="373"/>
      <c r="K744" s="704"/>
    </row>
    <row r="745" spans="1:13" ht="35.25" customHeight="1" x14ac:dyDescent="0.25">
      <c r="A745" s="1052"/>
      <c r="B745" s="818"/>
      <c r="C745" s="279" t="s">
        <v>282</v>
      </c>
      <c r="D745" s="434"/>
      <c r="E745" s="280"/>
      <c r="F745" s="435">
        <f t="shared" si="152"/>
        <v>0</v>
      </c>
      <c r="G745" s="603">
        <v>18000</v>
      </c>
      <c r="H745" s="597">
        <f t="shared" si="150"/>
        <v>0</v>
      </c>
      <c r="I745" s="596">
        <f t="shared" si="151"/>
        <v>0</v>
      </c>
      <c r="J745" s="373"/>
    </row>
    <row r="746" spans="1:13" ht="35.25" customHeight="1" x14ac:dyDescent="0.25">
      <c r="A746" s="1052"/>
      <c r="B746" s="818"/>
      <c r="C746" s="279" t="s">
        <v>465</v>
      </c>
      <c r="D746" s="434" t="s">
        <v>338</v>
      </c>
      <c r="E746" s="280"/>
      <c r="F746" s="435">
        <f t="shared" si="152"/>
        <v>0</v>
      </c>
      <c r="G746" s="602">
        <v>24.93</v>
      </c>
      <c r="H746" s="597">
        <f t="shared" si="150"/>
        <v>0</v>
      </c>
      <c r="I746" s="596">
        <f t="shared" si="151"/>
        <v>0</v>
      </c>
      <c r="J746" s="373"/>
    </row>
    <row r="747" spans="1:13" ht="35.25" customHeight="1" x14ac:dyDescent="0.25">
      <c r="A747" s="1052"/>
      <c r="B747" s="818"/>
      <c r="C747" s="746" t="s">
        <v>466</v>
      </c>
      <c r="D747" s="747" t="s">
        <v>92</v>
      </c>
      <c r="E747" s="280"/>
      <c r="F747" s="435">
        <f t="shared" si="152"/>
        <v>0</v>
      </c>
      <c r="G747" s="602">
        <v>20.8</v>
      </c>
      <c r="H747" s="597">
        <f t="shared" si="150"/>
        <v>0</v>
      </c>
      <c r="I747" s="596">
        <f t="shared" si="151"/>
        <v>0</v>
      </c>
      <c r="J747" s="373"/>
    </row>
    <row r="748" spans="1:13" ht="35.25" customHeight="1" x14ac:dyDescent="0.25">
      <c r="A748" s="1052"/>
      <c r="B748" s="818"/>
      <c r="C748" s="746" t="s">
        <v>467</v>
      </c>
      <c r="D748" s="747" t="s">
        <v>468</v>
      </c>
      <c r="E748" s="280"/>
      <c r="F748" s="435">
        <f t="shared" si="152"/>
        <v>0</v>
      </c>
      <c r="G748" s="602">
        <v>24.93</v>
      </c>
      <c r="H748" s="597">
        <f t="shared" si="150"/>
        <v>0</v>
      </c>
      <c r="I748" s="596">
        <f t="shared" si="151"/>
        <v>0</v>
      </c>
      <c r="J748" s="373"/>
    </row>
    <row r="749" spans="1:13" ht="35.25" customHeight="1" x14ac:dyDescent="0.25">
      <c r="A749" s="1052"/>
      <c r="B749" s="818"/>
      <c r="C749" s="746" t="s">
        <v>467</v>
      </c>
      <c r="D749" s="747" t="s">
        <v>468</v>
      </c>
      <c r="E749" s="280"/>
      <c r="F749" s="435">
        <f t="shared" si="152"/>
        <v>0</v>
      </c>
      <c r="G749" s="602">
        <v>25.49</v>
      </c>
      <c r="H749" s="597">
        <f t="shared" si="150"/>
        <v>0</v>
      </c>
      <c r="I749" s="596">
        <f t="shared" si="151"/>
        <v>0</v>
      </c>
      <c r="J749" s="373"/>
    </row>
    <row r="750" spans="1:13" s="757" customFormat="1" ht="35.25" customHeight="1" x14ac:dyDescent="0.25">
      <c r="A750" s="1052"/>
      <c r="B750" s="748"/>
      <c r="C750" s="749" t="s">
        <v>469</v>
      </c>
      <c r="D750" s="750" t="s">
        <v>309</v>
      </c>
      <c r="E750" s="751"/>
      <c r="F750" s="752">
        <f t="shared" si="152"/>
        <v>0</v>
      </c>
      <c r="G750" s="753">
        <v>24.41</v>
      </c>
      <c r="H750" s="754">
        <f t="shared" si="150"/>
        <v>0</v>
      </c>
      <c r="I750" s="755">
        <f t="shared" si="151"/>
        <v>0</v>
      </c>
      <c r="J750" s="756"/>
    </row>
    <row r="751" spans="1:13" ht="35.25" customHeight="1" x14ac:dyDescent="0.25">
      <c r="A751" s="1052"/>
      <c r="B751" s="818"/>
      <c r="C751" s="279" t="s">
        <v>444</v>
      </c>
      <c r="D751" s="434" t="s">
        <v>423</v>
      </c>
      <c r="E751" s="280"/>
      <c r="F751" s="435">
        <f t="shared" si="152"/>
        <v>0</v>
      </c>
      <c r="G751" s="602">
        <v>20.76</v>
      </c>
      <c r="H751" s="597">
        <f t="shared" si="150"/>
        <v>0</v>
      </c>
      <c r="I751" s="596">
        <f t="shared" si="151"/>
        <v>0</v>
      </c>
      <c r="J751" s="373"/>
    </row>
    <row r="752" spans="1:13" ht="35.25" customHeight="1" x14ac:dyDescent="0.25">
      <c r="A752" s="1052"/>
      <c r="B752" s="818"/>
      <c r="C752" s="279" t="s">
        <v>298</v>
      </c>
      <c r="D752" s="434" t="s">
        <v>107</v>
      </c>
      <c r="E752" s="280"/>
      <c r="F752" s="435">
        <f t="shared" si="152"/>
        <v>0</v>
      </c>
      <c r="G752" s="602">
        <v>24.93</v>
      </c>
      <c r="H752" s="597">
        <f t="shared" si="150"/>
        <v>0</v>
      </c>
      <c r="I752" s="596">
        <f t="shared" si="151"/>
        <v>0</v>
      </c>
      <c r="J752" s="373"/>
    </row>
    <row r="753" spans="1:10" ht="35.25" customHeight="1" x14ac:dyDescent="0.25">
      <c r="A753" s="1052"/>
      <c r="B753" s="818"/>
      <c r="C753" s="279" t="s">
        <v>299</v>
      </c>
      <c r="D753" s="434" t="s">
        <v>280</v>
      </c>
      <c r="E753" s="280"/>
      <c r="F753" s="435">
        <f t="shared" si="152"/>
        <v>0</v>
      </c>
      <c r="G753" s="602">
        <v>24.93</v>
      </c>
      <c r="H753" s="597">
        <f t="shared" si="150"/>
        <v>0</v>
      </c>
      <c r="I753" s="596">
        <f t="shared" si="151"/>
        <v>0</v>
      </c>
      <c r="J753" s="373"/>
    </row>
    <row r="754" spans="1:10" ht="35.25" customHeight="1" x14ac:dyDescent="0.25">
      <c r="A754" s="1052"/>
      <c r="B754" s="818"/>
      <c r="C754" s="279" t="s">
        <v>425</v>
      </c>
      <c r="D754" s="434" t="s">
        <v>309</v>
      </c>
      <c r="E754" s="280"/>
      <c r="F754" s="435">
        <f t="shared" si="152"/>
        <v>0</v>
      </c>
      <c r="G754" s="602">
        <v>23.78</v>
      </c>
      <c r="H754" s="597">
        <f t="shared" si="150"/>
        <v>0</v>
      </c>
      <c r="I754" s="596">
        <f t="shared" si="151"/>
        <v>0</v>
      </c>
      <c r="J754" s="373"/>
    </row>
    <row r="755" spans="1:10" ht="35.25" customHeight="1" x14ac:dyDescent="0.25">
      <c r="A755" s="1052"/>
      <c r="B755" s="818"/>
      <c r="C755" s="279" t="s">
        <v>354</v>
      </c>
      <c r="D755" s="434" t="s">
        <v>309</v>
      </c>
      <c r="E755" s="280"/>
      <c r="F755" s="435">
        <f t="shared" si="152"/>
        <v>0</v>
      </c>
      <c r="G755" s="602">
        <v>37.4566666666</v>
      </c>
      <c r="H755" s="597">
        <f t="shared" si="150"/>
        <v>0</v>
      </c>
      <c r="I755" s="596">
        <f t="shared" si="151"/>
        <v>0</v>
      </c>
      <c r="J755" s="373"/>
    </row>
    <row r="756" spans="1:10" ht="35.25" customHeight="1" x14ac:dyDescent="0.25">
      <c r="A756" s="1052"/>
      <c r="B756" s="818"/>
      <c r="C756" s="279" t="s">
        <v>355</v>
      </c>
      <c r="D756" s="434" t="s">
        <v>309</v>
      </c>
      <c r="E756" s="280"/>
      <c r="F756" s="435">
        <f t="shared" si="152"/>
        <v>0</v>
      </c>
      <c r="G756" s="602">
        <v>37.89</v>
      </c>
      <c r="H756" s="597">
        <f t="shared" si="150"/>
        <v>0</v>
      </c>
      <c r="I756" s="596">
        <f t="shared" si="151"/>
        <v>0</v>
      </c>
      <c r="J756" s="373"/>
    </row>
    <row r="757" spans="1:10" ht="35.25" customHeight="1" x14ac:dyDescent="0.25">
      <c r="A757" s="1052"/>
      <c r="B757" s="818"/>
      <c r="C757" s="279" t="s">
        <v>461</v>
      </c>
      <c r="D757" s="434" t="s">
        <v>92</v>
      </c>
      <c r="E757" s="280"/>
      <c r="F757" s="435">
        <f t="shared" si="152"/>
        <v>0</v>
      </c>
      <c r="G757" s="602">
        <v>28.31</v>
      </c>
      <c r="H757" s="597">
        <f t="shared" si="150"/>
        <v>0</v>
      </c>
      <c r="I757" s="596">
        <f t="shared" si="151"/>
        <v>0</v>
      </c>
      <c r="J757" s="373"/>
    </row>
    <row r="758" spans="1:10" ht="35.25" customHeight="1" x14ac:dyDescent="0.25">
      <c r="A758" s="1052"/>
      <c r="B758" s="818"/>
      <c r="C758" s="279" t="s">
        <v>461</v>
      </c>
      <c r="D758" s="434" t="s">
        <v>423</v>
      </c>
      <c r="E758" s="280"/>
      <c r="F758" s="435">
        <f t="shared" si="152"/>
        <v>0</v>
      </c>
      <c r="G758" s="602">
        <v>28.88</v>
      </c>
      <c r="H758" s="597">
        <f t="shared" si="150"/>
        <v>0</v>
      </c>
      <c r="I758" s="596">
        <f t="shared" si="151"/>
        <v>0</v>
      </c>
      <c r="J758" s="373"/>
    </row>
    <row r="759" spans="1:10" ht="35.25" customHeight="1" x14ac:dyDescent="0.25">
      <c r="A759" s="1052"/>
      <c r="B759" s="818"/>
      <c r="C759" s="279" t="s">
        <v>462</v>
      </c>
      <c r="D759" s="434" t="s">
        <v>423</v>
      </c>
      <c r="E759" s="280"/>
      <c r="F759" s="435">
        <f t="shared" si="152"/>
        <v>0</v>
      </c>
      <c r="G759" s="602">
        <v>28.21</v>
      </c>
      <c r="H759" s="597">
        <f t="shared" si="150"/>
        <v>0</v>
      </c>
      <c r="I759" s="596">
        <f t="shared" si="151"/>
        <v>0</v>
      </c>
      <c r="J759" s="373"/>
    </row>
    <row r="760" spans="1:10" ht="35.25" customHeight="1" x14ac:dyDescent="0.25">
      <c r="A760" s="1052"/>
      <c r="B760" s="818"/>
      <c r="C760" s="279" t="s">
        <v>463</v>
      </c>
      <c r="D760" s="434" t="s">
        <v>338</v>
      </c>
      <c r="E760" s="280"/>
      <c r="F760" s="435">
        <f t="shared" si="152"/>
        <v>0</v>
      </c>
      <c r="G760" s="602">
        <v>39</v>
      </c>
      <c r="H760" s="597">
        <f t="shared" si="150"/>
        <v>0</v>
      </c>
      <c r="I760" s="596">
        <f t="shared" si="151"/>
        <v>0</v>
      </c>
      <c r="J760" s="373"/>
    </row>
    <row r="761" spans="1:10" ht="35.25" customHeight="1" x14ac:dyDescent="0.25">
      <c r="A761" s="1052"/>
      <c r="B761" s="818"/>
      <c r="C761" s="279" t="s">
        <v>463</v>
      </c>
      <c r="D761" s="434" t="s">
        <v>92</v>
      </c>
      <c r="E761" s="280"/>
      <c r="F761" s="435">
        <f t="shared" si="152"/>
        <v>0</v>
      </c>
      <c r="G761" s="602">
        <v>32.65</v>
      </c>
      <c r="H761" s="597">
        <f t="shared" si="150"/>
        <v>0</v>
      </c>
      <c r="I761" s="596">
        <f t="shared" si="151"/>
        <v>0</v>
      </c>
      <c r="J761" s="373"/>
    </row>
    <row r="762" spans="1:10" ht="35.25" customHeight="1" x14ac:dyDescent="0.25">
      <c r="A762" s="1052"/>
      <c r="B762" s="818"/>
      <c r="C762" s="279" t="s">
        <v>463</v>
      </c>
      <c r="D762" s="434" t="s">
        <v>423</v>
      </c>
      <c r="E762" s="280"/>
      <c r="F762" s="435">
        <f t="shared" si="152"/>
        <v>0</v>
      </c>
      <c r="G762" s="602">
        <v>33.299999999999997</v>
      </c>
      <c r="H762" s="597">
        <f t="shared" si="150"/>
        <v>0</v>
      </c>
      <c r="I762" s="596">
        <f t="shared" si="151"/>
        <v>0</v>
      </c>
      <c r="J762" s="373"/>
    </row>
    <row r="763" spans="1:10" ht="35.25" customHeight="1" x14ac:dyDescent="0.25">
      <c r="A763" s="1052"/>
      <c r="B763" s="818"/>
      <c r="C763" s="279" t="s">
        <v>299</v>
      </c>
      <c r="D763" s="434" t="s">
        <v>279</v>
      </c>
      <c r="E763" s="280"/>
      <c r="F763" s="435">
        <f t="shared" si="152"/>
        <v>0</v>
      </c>
      <c r="G763" s="602">
        <v>24.93</v>
      </c>
      <c r="H763" s="597">
        <f t="shared" si="150"/>
        <v>0</v>
      </c>
      <c r="I763" s="596">
        <f t="shared" si="151"/>
        <v>0</v>
      </c>
      <c r="J763" s="373"/>
    </row>
    <row r="764" spans="1:10" ht="35.25" customHeight="1" x14ac:dyDescent="0.25">
      <c r="A764" s="1052"/>
      <c r="B764" s="818"/>
      <c r="C764" s="279" t="s">
        <v>299</v>
      </c>
      <c r="D764" s="434"/>
      <c r="E764" s="280"/>
      <c r="F764" s="435">
        <f t="shared" si="152"/>
        <v>0</v>
      </c>
      <c r="G764" s="602">
        <v>24.93</v>
      </c>
      <c r="H764" s="597">
        <f t="shared" si="150"/>
        <v>0</v>
      </c>
      <c r="I764" s="596">
        <f t="shared" si="151"/>
        <v>0</v>
      </c>
      <c r="J764" s="373"/>
    </row>
    <row r="765" spans="1:10" ht="35.25" customHeight="1" x14ac:dyDescent="0.25">
      <c r="A765" s="1052"/>
      <c r="B765" s="818"/>
      <c r="C765" s="279" t="s">
        <v>316</v>
      </c>
      <c r="D765" s="434" t="s">
        <v>289</v>
      </c>
      <c r="E765" s="280"/>
      <c r="F765" s="435">
        <f t="shared" si="152"/>
        <v>0</v>
      </c>
      <c r="G765" s="602">
        <v>34.26</v>
      </c>
      <c r="H765" s="597">
        <f t="shared" si="150"/>
        <v>0</v>
      </c>
      <c r="I765" s="596">
        <f t="shared" si="151"/>
        <v>0</v>
      </c>
      <c r="J765" s="373"/>
    </row>
    <row r="766" spans="1:10" ht="35.25" customHeight="1" x14ac:dyDescent="0.25">
      <c r="A766" s="1052"/>
      <c r="B766" s="818"/>
      <c r="C766" s="279" t="s">
        <v>328</v>
      </c>
      <c r="D766" s="434" t="s">
        <v>360</v>
      </c>
      <c r="E766" s="280"/>
      <c r="F766" s="435">
        <f t="shared" si="152"/>
        <v>0</v>
      </c>
      <c r="G766" s="602">
        <v>37.89</v>
      </c>
      <c r="H766" s="597">
        <f t="shared" si="150"/>
        <v>0</v>
      </c>
      <c r="I766" s="596">
        <f t="shared" si="151"/>
        <v>0</v>
      </c>
      <c r="J766" s="373"/>
    </row>
    <row r="767" spans="1:10" ht="35.25" customHeight="1" x14ac:dyDescent="0.25">
      <c r="A767" s="1052"/>
      <c r="B767" s="818"/>
      <c r="C767" s="279" t="s">
        <v>363</v>
      </c>
      <c r="D767" s="434" t="s">
        <v>338</v>
      </c>
      <c r="E767" s="280"/>
      <c r="F767" s="435">
        <f t="shared" si="152"/>
        <v>0</v>
      </c>
      <c r="G767" s="602">
        <v>39</v>
      </c>
      <c r="H767" s="597">
        <f t="shared" si="150"/>
        <v>0</v>
      </c>
      <c r="I767" s="596">
        <f t="shared" si="151"/>
        <v>0</v>
      </c>
      <c r="J767" s="373"/>
    </row>
    <row r="768" spans="1:10" ht="35.25" customHeight="1" x14ac:dyDescent="0.25">
      <c r="A768" s="1052"/>
      <c r="B768" s="818"/>
      <c r="C768" s="279" t="s">
        <v>299</v>
      </c>
      <c r="D768" s="434" t="s">
        <v>177</v>
      </c>
      <c r="E768" s="280"/>
      <c r="F768" s="435">
        <f t="shared" si="152"/>
        <v>0</v>
      </c>
      <c r="G768" s="602">
        <v>21.22</v>
      </c>
      <c r="H768" s="597">
        <f t="shared" si="150"/>
        <v>0</v>
      </c>
      <c r="I768" s="596">
        <f t="shared" si="151"/>
        <v>0</v>
      </c>
      <c r="J768" s="373"/>
    </row>
    <row r="769" spans="1:10" ht="35.25" customHeight="1" x14ac:dyDescent="0.25">
      <c r="A769" s="1052"/>
      <c r="B769" s="818"/>
      <c r="C769" s="279" t="s">
        <v>298</v>
      </c>
      <c r="D769" s="434" t="s">
        <v>177</v>
      </c>
      <c r="E769" s="280"/>
      <c r="F769" s="435">
        <f t="shared" si="152"/>
        <v>0</v>
      </c>
      <c r="G769" s="602">
        <v>21.22</v>
      </c>
      <c r="H769" s="597">
        <f t="shared" si="150"/>
        <v>0</v>
      </c>
      <c r="I769" s="596">
        <f t="shared" si="151"/>
        <v>0</v>
      </c>
      <c r="J769" s="373"/>
    </row>
    <row r="770" spans="1:10" ht="35.25" customHeight="1" x14ac:dyDescent="0.25">
      <c r="A770" s="1052"/>
      <c r="B770" s="818"/>
      <c r="C770" s="279" t="s">
        <v>339</v>
      </c>
      <c r="D770" s="434" t="s">
        <v>304</v>
      </c>
      <c r="E770" s="280"/>
      <c r="F770" s="435">
        <f t="shared" si="152"/>
        <v>0</v>
      </c>
      <c r="G770" s="602">
        <v>10000</v>
      </c>
      <c r="H770" s="597">
        <f t="shared" si="150"/>
        <v>0</v>
      </c>
      <c r="I770" s="596">
        <f t="shared" si="151"/>
        <v>0</v>
      </c>
      <c r="J770" s="373"/>
    </row>
    <row r="771" spans="1:10" ht="35.25" customHeight="1" thickBot="1" x14ac:dyDescent="0.3">
      <c r="A771" s="1052"/>
      <c r="B771" s="818"/>
      <c r="C771" s="279" t="s">
        <v>303</v>
      </c>
      <c r="D771" s="434" t="s">
        <v>304</v>
      </c>
      <c r="E771" s="280"/>
      <c r="F771" s="435">
        <f t="shared" si="152"/>
        <v>0</v>
      </c>
      <c r="G771" s="602">
        <v>360</v>
      </c>
      <c r="H771" s="597">
        <f t="shared" si="150"/>
        <v>0</v>
      </c>
      <c r="I771" s="596">
        <f t="shared" si="151"/>
        <v>0</v>
      </c>
      <c r="J771" s="373"/>
    </row>
    <row r="772" spans="1:10" ht="35.25" customHeight="1" thickBot="1" x14ac:dyDescent="0.3">
      <c r="A772" s="1053"/>
      <c r="B772" s="1047" t="s">
        <v>268</v>
      </c>
      <c r="C772" s="1048"/>
      <c r="D772" s="820"/>
      <c r="E772" s="326">
        <f>SUM(E743:E771)</f>
        <v>0</v>
      </c>
      <c r="F772" s="326">
        <f t="shared" si="152"/>
        <v>0</v>
      </c>
      <c r="G772" s="326"/>
      <c r="H772" s="587">
        <f>SUM(H743:H771)</f>
        <v>0</v>
      </c>
      <c r="I772" s="580">
        <f>SUM(I743:I771)</f>
        <v>0</v>
      </c>
      <c r="J772" s="373"/>
    </row>
    <row r="773" spans="1:10" ht="35.25" customHeight="1" x14ac:dyDescent="0.25">
      <c r="A773" s="1051" t="s">
        <v>102</v>
      </c>
      <c r="B773" s="818"/>
      <c r="C773" s="279" t="s">
        <v>509</v>
      </c>
      <c r="D773" s="434" t="s">
        <v>238</v>
      </c>
      <c r="E773" s="280">
        <v>500</v>
      </c>
      <c r="F773" s="435">
        <f t="shared" si="152"/>
        <v>6200</v>
      </c>
      <c r="G773" s="803">
        <v>624.26</v>
      </c>
      <c r="H773" s="593">
        <f>E773*G773</f>
        <v>312130</v>
      </c>
      <c r="I773" s="596">
        <f t="shared" ref="I773:I775" si="153">+G773*F773</f>
        <v>3870412</v>
      </c>
      <c r="J773" s="373"/>
    </row>
    <row r="774" spans="1:10" ht="35.25" customHeight="1" x14ac:dyDescent="0.25">
      <c r="A774" s="1052"/>
      <c r="B774" s="818"/>
      <c r="C774" s="279" t="s">
        <v>273</v>
      </c>
      <c r="D774" s="434" t="s">
        <v>238</v>
      </c>
      <c r="E774" s="280">
        <v>320</v>
      </c>
      <c r="F774" s="435">
        <f t="shared" si="152"/>
        <v>640</v>
      </c>
      <c r="G774" s="602">
        <v>430.02</v>
      </c>
      <c r="H774" s="593">
        <f t="shared" ref="H774:H795" si="154">E774*G774</f>
        <v>137606.39999999999</v>
      </c>
      <c r="I774" s="596">
        <f t="shared" si="153"/>
        <v>275212.79999999999</v>
      </c>
      <c r="J774" s="373"/>
    </row>
    <row r="775" spans="1:10" ht="35.25" customHeight="1" x14ac:dyDescent="0.25">
      <c r="A775" s="1052"/>
      <c r="B775" s="818"/>
      <c r="C775" s="279" t="s">
        <v>390</v>
      </c>
      <c r="D775" s="434" t="s">
        <v>238</v>
      </c>
      <c r="E775" s="280"/>
      <c r="F775" s="435">
        <f t="shared" si="152"/>
        <v>0</v>
      </c>
      <c r="G775" s="602">
        <v>445.38</v>
      </c>
      <c r="H775" s="593">
        <f t="shared" si="154"/>
        <v>0</v>
      </c>
      <c r="I775" s="596">
        <f t="shared" si="153"/>
        <v>0</v>
      </c>
      <c r="J775" s="373"/>
    </row>
    <row r="776" spans="1:10" ht="35.25" customHeight="1" x14ac:dyDescent="0.25">
      <c r="A776" s="1052"/>
      <c r="B776" s="818"/>
      <c r="C776" s="279" t="s">
        <v>301</v>
      </c>
      <c r="D776" s="434" t="s">
        <v>238</v>
      </c>
      <c r="E776" s="280"/>
      <c r="F776" s="435">
        <f t="shared" si="152"/>
        <v>8640</v>
      </c>
      <c r="G776" s="602">
        <v>63.55</v>
      </c>
      <c r="H776" s="593">
        <f t="shared" si="154"/>
        <v>0</v>
      </c>
      <c r="I776" s="596">
        <f>+G776*F776</f>
        <v>549072</v>
      </c>
      <c r="J776" s="373"/>
    </row>
    <row r="777" spans="1:10" ht="35.25" customHeight="1" x14ac:dyDescent="0.25">
      <c r="A777" s="1052"/>
      <c r="B777" s="818"/>
      <c r="C777" s="279" t="s">
        <v>514</v>
      </c>
      <c r="D777" s="434" t="s">
        <v>238</v>
      </c>
      <c r="E777" s="280">
        <v>23040</v>
      </c>
      <c r="F777" s="435">
        <f t="shared" si="152"/>
        <v>44640</v>
      </c>
      <c r="G777" s="602">
        <v>71.44</v>
      </c>
      <c r="H777" s="593">
        <f t="shared" si="154"/>
        <v>1645977.5999999999</v>
      </c>
      <c r="I777" s="596">
        <f>+G777*F777</f>
        <v>3189081.6</v>
      </c>
      <c r="J777" s="373"/>
    </row>
    <row r="778" spans="1:10" ht="35.25" customHeight="1" x14ac:dyDescent="0.25">
      <c r="A778" s="1052"/>
      <c r="B778" s="818"/>
      <c r="C778" s="279" t="s">
        <v>275</v>
      </c>
      <c r="D778" s="434" t="s">
        <v>238</v>
      </c>
      <c r="E778" s="280">
        <v>8400</v>
      </c>
      <c r="F778" s="435">
        <f t="shared" si="152"/>
        <v>34320</v>
      </c>
      <c r="G778" s="602">
        <v>71.44</v>
      </c>
      <c r="H778" s="593">
        <f t="shared" si="154"/>
        <v>600096</v>
      </c>
      <c r="I778" s="596">
        <f t="shared" ref="I778:I795" si="155">+G778*F778</f>
        <v>2451820.7999999998</v>
      </c>
      <c r="J778" s="373"/>
    </row>
    <row r="779" spans="1:10" ht="35.25" customHeight="1" x14ac:dyDescent="0.25">
      <c r="A779" s="1052"/>
      <c r="B779" s="818"/>
      <c r="C779" s="279" t="s">
        <v>276</v>
      </c>
      <c r="D779" s="434" t="s">
        <v>238</v>
      </c>
      <c r="E779" s="280"/>
      <c r="F779" s="435">
        <f t="shared" si="152"/>
        <v>0</v>
      </c>
      <c r="G779" s="602">
        <v>36.5</v>
      </c>
      <c r="H779" s="593">
        <f t="shared" si="154"/>
        <v>0</v>
      </c>
      <c r="I779" s="596">
        <f t="shared" si="155"/>
        <v>0</v>
      </c>
      <c r="J779" s="373"/>
    </row>
    <row r="780" spans="1:10" ht="35.25" customHeight="1" x14ac:dyDescent="0.25">
      <c r="A780" s="1052"/>
      <c r="B780" s="818"/>
      <c r="C780" s="279" t="s">
        <v>527</v>
      </c>
      <c r="D780" s="434" t="s">
        <v>238</v>
      </c>
      <c r="E780" s="280">
        <v>2000</v>
      </c>
      <c r="F780" s="435">
        <f t="shared" si="152"/>
        <v>2000</v>
      </c>
      <c r="G780" s="602">
        <v>320.35000000000002</v>
      </c>
      <c r="H780" s="593">
        <f t="shared" si="154"/>
        <v>640700</v>
      </c>
      <c r="I780" s="596">
        <f t="shared" si="155"/>
        <v>640700</v>
      </c>
      <c r="J780" s="373"/>
    </row>
    <row r="781" spans="1:10" ht="35.25" customHeight="1" x14ac:dyDescent="0.25">
      <c r="A781" s="1052"/>
      <c r="B781" s="818"/>
      <c r="C781" s="279" t="s">
        <v>285</v>
      </c>
      <c r="D781" s="434" t="s">
        <v>238</v>
      </c>
      <c r="E781" s="280"/>
      <c r="F781" s="435">
        <f t="shared" si="152"/>
        <v>0</v>
      </c>
      <c r="G781" s="602">
        <v>320.35000000000002</v>
      </c>
      <c r="H781" s="593">
        <f t="shared" si="154"/>
        <v>0</v>
      </c>
      <c r="I781" s="596">
        <f t="shared" si="155"/>
        <v>0</v>
      </c>
      <c r="J781" s="373"/>
    </row>
    <row r="782" spans="1:10" ht="35.25" customHeight="1" x14ac:dyDescent="0.25">
      <c r="A782" s="1052"/>
      <c r="B782" s="818"/>
      <c r="C782" s="279" t="s">
        <v>296</v>
      </c>
      <c r="D782" s="434" t="s">
        <v>238</v>
      </c>
      <c r="E782" s="280"/>
      <c r="F782" s="435">
        <f t="shared" si="152"/>
        <v>0</v>
      </c>
      <c r="G782" s="602">
        <v>434.41</v>
      </c>
      <c r="H782" s="593">
        <f t="shared" si="154"/>
        <v>0</v>
      </c>
      <c r="I782" s="596">
        <f t="shared" si="155"/>
        <v>0</v>
      </c>
      <c r="J782" s="373"/>
    </row>
    <row r="783" spans="1:10" ht="35.25" customHeight="1" x14ac:dyDescent="0.25">
      <c r="A783" s="1052"/>
      <c r="B783" s="818"/>
      <c r="C783" s="279" t="s">
        <v>282</v>
      </c>
      <c r="D783" s="434" t="s">
        <v>238</v>
      </c>
      <c r="E783" s="280"/>
      <c r="F783" s="435">
        <f t="shared" si="152"/>
        <v>0</v>
      </c>
      <c r="G783" s="602">
        <v>29690</v>
      </c>
      <c r="H783" s="593">
        <f t="shared" si="154"/>
        <v>0</v>
      </c>
      <c r="I783" s="596">
        <f t="shared" si="155"/>
        <v>0</v>
      </c>
      <c r="J783" s="373"/>
    </row>
    <row r="784" spans="1:10" ht="35.25" customHeight="1" x14ac:dyDescent="0.25">
      <c r="A784" s="1052"/>
      <c r="B784" s="818"/>
      <c r="C784" s="279" t="s">
        <v>282</v>
      </c>
      <c r="D784" s="434" t="s">
        <v>238</v>
      </c>
      <c r="E784" s="280"/>
      <c r="F784" s="435">
        <f t="shared" si="152"/>
        <v>1</v>
      </c>
      <c r="G784" s="602">
        <v>26445</v>
      </c>
      <c r="H784" s="593">
        <f t="shared" si="154"/>
        <v>0</v>
      </c>
      <c r="I784" s="596">
        <f t="shared" si="155"/>
        <v>26445</v>
      </c>
      <c r="J784" s="373"/>
    </row>
    <row r="785" spans="1:10" ht="35.25" customHeight="1" x14ac:dyDescent="0.25">
      <c r="A785" s="1052"/>
      <c r="B785" s="818"/>
      <c r="C785" s="279" t="s">
        <v>282</v>
      </c>
      <c r="D785" s="434"/>
      <c r="E785" s="280"/>
      <c r="F785" s="435">
        <f t="shared" si="152"/>
        <v>0</v>
      </c>
      <c r="G785" s="602">
        <v>33947.884599999998</v>
      </c>
      <c r="H785" s="593">
        <f t="shared" si="154"/>
        <v>0</v>
      </c>
      <c r="I785" s="596">
        <f t="shared" si="155"/>
        <v>0</v>
      </c>
      <c r="J785" s="373"/>
    </row>
    <row r="786" spans="1:10" ht="35.25" customHeight="1" x14ac:dyDescent="0.25">
      <c r="A786" s="1052"/>
      <c r="B786" s="818"/>
      <c r="C786" s="279" t="s">
        <v>311</v>
      </c>
      <c r="D786" s="434" t="s">
        <v>337</v>
      </c>
      <c r="E786" s="280"/>
      <c r="F786" s="435">
        <f t="shared" si="152"/>
        <v>0</v>
      </c>
      <c r="G786" s="602">
        <v>50</v>
      </c>
      <c r="H786" s="593">
        <f t="shared" si="154"/>
        <v>0</v>
      </c>
      <c r="I786" s="596">
        <f t="shared" si="155"/>
        <v>0</v>
      </c>
      <c r="J786" s="373"/>
    </row>
    <row r="787" spans="1:10" ht="35.25" customHeight="1" x14ac:dyDescent="0.25">
      <c r="A787" s="1052"/>
      <c r="B787" s="818"/>
      <c r="C787" s="279" t="s">
        <v>311</v>
      </c>
      <c r="D787" s="434"/>
      <c r="E787" s="280"/>
      <c r="F787" s="435">
        <f t="shared" si="152"/>
        <v>0</v>
      </c>
      <c r="G787" s="602">
        <v>10</v>
      </c>
      <c r="H787" s="593">
        <f t="shared" si="154"/>
        <v>0</v>
      </c>
      <c r="I787" s="596">
        <f t="shared" si="155"/>
        <v>0</v>
      </c>
      <c r="J787" s="373"/>
    </row>
    <row r="788" spans="1:10" ht="35.25" customHeight="1" x14ac:dyDescent="0.25">
      <c r="A788" s="1052"/>
      <c r="B788" s="818"/>
      <c r="C788" s="279" t="s">
        <v>329</v>
      </c>
      <c r="D788" s="434" t="s">
        <v>370</v>
      </c>
      <c r="E788" s="280"/>
      <c r="F788" s="435">
        <f t="shared" si="152"/>
        <v>0</v>
      </c>
      <c r="G788" s="602">
        <v>57.64</v>
      </c>
      <c r="H788" s="593">
        <f t="shared" si="154"/>
        <v>0</v>
      </c>
      <c r="I788" s="596">
        <f t="shared" si="155"/>
        <v>0</v>
      </c>
      <c r="J788" s="373"/>
    </row>
    <row r="789" spans="1:10" ht="35.25" customHeight="1" x14ac:dyDescent="0.25">
      <c r="A789" s="1052"/>
      <c r="B789" s="818"/>
      <c r="C789" s="279" t="s">
        <v>329</v>
      </c>
      <c r="D789" s="434" t="s">
        <v>364</v>
      </c>
      <c r="E789" s="280"/>
      <c r="F789" s="435">
        <f t="shared" si="152"/>
        <v>0</v>
      </c>
      <c r="G789" s="602">
        <v>57.64</v>
      </c>
      <c r="H789" s="593">
        <f t="shared" si="154"/>
        <v>0</v>
      </c>
      <c r="I789" s="596">
        <f t="shared" si="155"/>
        <v>0</v>
      </c>
      <c r="J789" s="373"/>
    </row>
    <row r="790" spans="1:10" ht="35.25" customHeight="1" x14ac:dyDescent="0.25">
      <c r="A790" s="1052"/>
      <c r="B790" s="818"/>
      <c r="C790" s="279" t="s">
        <v>330</v>
      </c>
      <c r="D790" s="434" t="s">
        <v>331</v>
      </c>
      <c r="E790" s="280"/>
      <c r="F790" s="435">
        <f t="shared" si="152"/>
        <v>0</v>
      </c>
      <c r="G790" s="602">
        <v>434.41</v>
      </c>
      <c r="H790" s="593">
        <f t="shared" si="154"/>
        <v>0</v>
      </c>
      <c r="I790" s="596">
        <f t="shared" si="155"/>
        <v>0</v>
      </c>
      <c r="J790" s="373"/>
    </row>
    <row r="791" spans="1:10" ht="35.25" customHeight="1" x14ac:dyDescent="0.25">
      <c r="A791" s="1052"/>
      <c r="B791" s="818"/>
      <c r="C791" s="279" t="s">
        <v>343</v>
      </c>
      <c r="D791" s="434" t="s">
        <v>238</v>
      </c>
      <c r="E791" s="280"/>
      <c r="F791" s="435">
        <f t="shared" si="152"/>
        <v>0</v>
      </c>
      <c r="G791" s="602">
        <v>624.26</v>
      </c>
      <c r="H791" s="593">
        <f t="shared" si="154"/>
        <v>0</v>
      </c>
      <c r="I791" s="596">
        <f t="shared" si="155"/>
        <v>0</v>
      </c>
      <c r="J791" s="373"/>
    </row>
    <row r="792" spans="1:10" ht="35.25" customHeight="1" x14ac:dyDescent="0.25">
      <c r="A792" s="1052"/>
      <c r="B792" s="818"/>
      <c r="C792" s="279" t="s">
        <v>332</v>
      </c>
      <c r="D792" s="434" t="s">
        <v>331</v>
      </c>
      <c r="E792" s="280"/>
      <c r="F792" s="435">
        <f t="shared" si="152"/>
        <v>0</v>
      </c>
      <c r="G792" s="602">
        <v>63.55</v>
      </c>
      <c r="H792" s="593">
        <f t="shared" si="154"/>
        <v>0</v>
      </c>
      <c r="I792" s="596">
        <f t="shared" si="155"/>
        <v>0</v>
      </c>
      <c r="J792" s="373"/>
    </row>
    <row r="793" spans="1:10" ht="35.25" customHeight="1" x14ac:dyDescent="0.25">
      <c r="A793" s="1052"/>
      <c r="B793" s="818"/>
      <c r="C793" s="279" t="s">
        <v>371</v>
      </c>
      <c r="D793" s="434" t="s">
        <v>238</v>
      </c>
      <c r="E793" s="280"/>
      <c r="F793" s="435">
        <f t="shared" si="152"/>
        <v>0</v>
      </c>
      <c r="G793" s="602">
        <v>59.96</v>
      </c>
      <c r="H793" s="593">
        <f t="shared" si="154"/>
        <v>0</v>
      </c>
      <c r="I793" s="596">
        <f t="shared" si="155"/>
        <v>0</v>
      </c>
      <c r="J793" s="373"/>
    </row>
    <row r="794" spans="1:10" ht="35.25" customHeight="1" x14ac:dyDescent="0.25">
      <c r="A794" s="1052"/>
      <c r="B794" s="818"/>
      <c r="C794" s="279" t="s">
        <v>419</v>
      </c>
      <c r="D794" s="434" t="s">
        <v>331</v>
      </c>
      <c r="E794" s="280"/>
      <c r="F794" s="435">
        <f t="shared" si="152"/>
        <v>0</v>
      </c>
      <c r="G794" s="602">
        <v>53.86</v>
      </c>
      <c r="H794" s="593">
        <f t="shared" si="154"/>
        <v>0</v>
      </c>
      <c r="I794" s="596">
        <f t="shared" si="155"/>
        <v>0</v>
      </c>
      <c r="J794" s="373"/>
    </row>
    <row r="795" spans="1:10" ht="35.25" customHeight="1" x14ac:dyDescent="0.25">
      <c r="A795" s="1052"/>
      <c r="B795" s="818"/>
      <c r="C795" s="279" t="s">
        <v>379</v>
      </c>
      <c r="D795" s="434"/>
      <c r="E795" s="280"/>
      <c r="F795" s="435">
        <f t="shared" si="152"/>
        <v>0</v>
      </c>
      <c r="G795" s="602">
        <v>360</v>
      </c>
      <c r="H795" s="593">
        <f t="shared" si="154"/>
        <v>0</v>
      </c>
      <c r="I795" s="596">
        <f t="shared" si="155"/>
        <v>0</v>
      </c>
      <c r="J795" s="373"/>
    </row>
    <row r="796" spans="1:10" ht="35.25" customHeight="1" x14ac:dyDescent="0.25">
      <c r="A796" s="1052"/>
      <c r="B796" s="818"/>
      <c r="C796" s="279" t="s">
        <v>471</v>
      </c>
      <c r="D796" s="434"/>
      <c r="E796" s="280"/>
      <c r="F796" s="435">
        <f t="shared" si="152"/>
        <v>0</v>
      </c>
      <c r="G796" s="602"/>
      <c r="H796" s="593">
        <f>+E796</f>
        <v>0</v>
      </c>
      <c r="I796" s="596">
        <f>+H796</f>
        <v>0</v>
      </c>
      <c r="J796" s="373"/>
    </row>
    <row r="797" spans="1:10" ht="35.25" customHeight="1" x14ac:dyDescent="0.25">
      <c r="A797" s="1052"/>
      <c r="B797" s="818"/>
      <c r="C797" s="279" t="s">
        <v>282</v>
      </c>
      <c r="D797" s="434"/>
      <c r="E797" s="280"/>
      <c r="F797" s="435">
        <f t="shared" si="152"/>
        <v>0</v>
      </c>
      <c r="G797" s="602">
        <v>39450</v>
      </c>
      <c r="H797" s="593">
        <f t="shared" ref="H797:H798" si="156">E797*G797</f>
        <v>0</v>
      </c>
      <c r="I797" s="596">
        <f t="shared" ref="I797:I798" si="157">+G797*F797</f>
        <v>0</v>
      </c>
      <c r="J797" s="373"/>
    </row>
    <row r="798" spans="1:10" ht="35.25" customHeight="1" thickBot="1" x14ac:dyDescent="0.3">
      <c r="A798" s="1052"/>
      <c r="B798" s="818"/>
      <c r="C798" s="279" t="s">
        <v>329</v>
      </c>
      <c r="D798" s="434" t="s">
        <v>443</v>
      </c>
      <c r="E798" s="280"/>
      <c r="F798" s="435">
        <f t="shared" si="152"/>
        <v>0</v>
      </c>
      <c r="G798" s="602">
        <v>57.64</v>
      </c>
      <c r="H798" s="593">
        <f t="shared" si="156"/>
        <v>0</v>
      </c>
      <c r="I798" s="596">
        <f t="shared" si="157"/>
        <v>0</v>
      </c>
      <c r="J798" s="373"/>
    </row>
    <row r="799" spans="1:10" ht="35.25" customHeight="1" thickBot="1" x14ac:dyDescent="0.3">
      <c r="A799" s="1053"/>
      <c r="B799" s="1047" t="s">
        <v>270</v>
      </c>
      <c r="C799" s="1048"/>
      <c r="D799" s="820"/>
      <c r="E799" s="326">
        <f>SUM(E773:E798)</f>
        <v>34260</v>
      </c>
      <c r="F799" s="326">
        <f>SUM(F773:F798)</f>
        <v>96441</v>
      </c>
      <c r="G799" s="326"/>
      <c r="H799" s="590">
        <f>SUM(H773:H798)</f>
        <v>3336510</v>
      </c>
      <c r="I799" s="580">
        <f>SUM(I773:I798)</f>
        <v>11002744.199999999</v>
      </c>
      <c r="J799" s="372"/>
    </row>
    <row r="800" spans="1:10" ht="35.25" customHeight="1" thickBot="1" x14ac:dyDescent="0.3">
      <c r="A800" s="823"/>
      <c r="B800" s="437"/>
      <c r="C800" s="279" t="s">
        <v>379</v>
      </c>
      <c r="D800" s="434"/>
      <c r="E800" s="280"/>
      <c r="F800" s="281">
        <f>+E800</f>
        <v>0</v>
      </c>
      <c r="G800" s="334"/>
      <c r="H800" s="589">
        <f t="shared" ref="H800" si="158">E800*G800</f>
        <v>0</v>
      </c>
      <c r="I800" s="282">
        <f t="shared" ref="I800" si="159">+G800*F800</f>
        <v>0</v>
      </c>
      <c r="J800" s="373"/>
    </row>
    <row r="801" spans="1:10" ht="35.25" customHeight="1" thickBot="1" x14ac:dyDescent="0.3">
      <c r="A801" s="823"/>
      <c r="B801" s="1047" t="s">
        <v>224</v>
      </c>
      <c r="C801" s="1048"/>
      <c r="D801" s="816"/>
      <c r="E801" s="326"/>
      <c r="F801" s="327"/>
      <c r="G801" s="326"/>
      <c r="H801" s="587"/>
      <c r="I801" s="324">
        <f>SUM(I800)</f>
        <v>0</v>
      </c>
      <c r="J801" s="349"/>
    </row>
    <row r="802" spans="1:10" ht="35.25" customHeight="1" thickBot="1" x14ac:dyDescent="0.3">
      <c r="A802" s="319"/>
      <c r="B802" s="1049" t="s">
        <v>174</v>
      </c>
      <c r="C802" s="1050"/>
      <c r="D802" s="817"/>
      <c r="E802" s="374">
        <f>+E799+E772+E742+E740</f>
        <v>48420</v>
      </c>
      <c r="F802" s="374">
        <f>+F799+F772+F742+F740</f>
        <v>685299</v>
      </c>
      <c r="G802" s="374"/>
      <c r="H802" s="374"/>
      <c r="I802" s="374">
        <f>+I799+I772+I742+I801</f>
        <v>20756766.600000001</v>
      </c>
      <c r="J802" s="375"/>
    </row>
    <row r="803" spans="1:10" ht="35.25" customHeight="1" x14ac:dyDescent="0.25">
      <c r="A803" s="978" t="s">
        <v>1</v>
      </c>
      <c r="B803" s="981" t="s">
        <v>2</v>
      </c>
      <c r="C803" s="1056" t="s">
        <v>396</v>
      </c>
      <c r="D803" s="1033" t="s">
        <v>397</v>
      </c>
      <c r="E803" s="1060" t="s">
        <v>532</v>
      </c>
      <c r="F803" s="988"/>
      <c r="G803" s="988"/>
      <c r="H803" s="988"/>
      <c r="I803" s="988"/>
      <c r="J803" s="989"/>
    </row>
    <row r="804" spans="1:10" ht="35.25" customHeight="1" x14ac:dyDescent="0.25">
      <c r="A804" s="1054"/>
      <c r="B804" s="1055"/>
      <c r="C804" s="1057"/>
      <c r="D804" s="1034"/>
      <c r="E804" s="1061" t="s">
        <v>412</v>
      </c>
      <c r="F804" s="1062"/>
      <c r="G804" s="1061" t="s">
        <v>411</v>
      </c>
      <c r="H804" s="1063"/>
      <c r="I804" s="1063"/>
      <c r="J804" s="1062"/>
    </row>
    <row r="805" spans="1:10" ht="35.25" customHeight="1" x14ac:dyDescent="0.25">
      <c r="A805" s="979"/>
      <c r="B805" s="982"/>
      <c r="C805" s="1058"/>
      <c r="D805" s="1034"/>
      <c r="E805" s="990" t="s">
        <v>413</v>
      </c>
      <c r="F805" s="992" t="s">
        <v>414</v>
      </c>
      <c r="G805" s="1065" t="s">
        <v>90</v>
      </c>
      <c r="H805" s="1067" t="s">
        <v>91</v>
      </c>
      <c r="I805" s="1067" t="s">
        <v>91</v>
      </c>
      <c r="J805" s="1069" t="s">
        <v>12</v>
      </c>
    </row>
    <row r="806" spans="1:10" ht="35.25" customHeight="1" thickBot="1" x14ac:dyDescent="0.3">
      <c r="A806" s="980"/>
      <c r="B806" s="983"/>
      <c r="C806" s="1059"/>
      <c r="D806" s="1035"/>
      <c r="E806" s="991"/>
      <c r="F806" s="1064"/>
      <c r="G806" s="1066"/>
      <c r="H806" s="1068"/>
      <c r="I806" s="1068"/>
      <c r="J806" s="1070"/>
    </row>
    <row r="807" spans="1:10" ht="35.25" customHeight="1" x14ac:dyDescent="0.25">
      <c r="A807" s="1051" t="s">
        <v>103</v>
      </c>
      <c r="B807" s="439"/>
      <c r="C807" s="577" t="s">
        <v>538</v>
      </c>
      <c r="D807" s="665" t="s">
        <v>539</v>
      </c>
      <c r="E807" s="699">
        <v>1024</v>
      </c>
      <c r="F807" s="674">
        <f>+E807+F713</f>
        <v>1024</v>
      </c>
      <c r="G807" s="732">
        <v>109.77</v>
      </c>
      <c r="H807" s="591">
        <f t="shared" ref="H807:H821" si="160">E807*G807</f>
        <v>112404.48</v>
      </c>
      <c r="I807" s="594">
        <f>+G807*F807</f>
        <v>112404.48</v>
      </c>
      <c r="J807" s="351"/>
    </row>
    <row r="808" spans="1:10" ht="35.25" customHeight="1" x14ac:dyDescent="0.25">
      <c r="A808" s="1052"/>
      <c r="B808" s="438"/>
      <c r="C808" s="441" t="s">
        <v>264</v>
      </c>
      <c r="D808" s="666" t="s">
        <v>265</v>
      </c>
      <c r="E808" s="700"/>
      <c r="F808" s="701">
        <f t="shared" ref="F808:F821" si="161">+E808+F714</f>
        <v>0</v>
      </c>
      <c r="G808" s="697">
        <v>11</v>
      </c>
      <c r="H808" s="592">
        <f t="shared" si="160"/>
        <v>0</v>
      </c>
      <c r="I808" s="595">
        <f>+G808*F808</f>
        <v>0</v>
      </c>
      <c r="J808" s="352"/>
    </row>
    <row r="809" spans="1:10" ht="35.25" customHeight="1" x14ac:dyDescent="0.25">
      <c r="A809" s="1052"/>
      <c r="B809" s="438"/>
      <c r="C809" s="441" t="s">
        <v>295</v>
      </c>
      <c r="D809" s="666" t="s">
        <v>453</v>
      </c>
      <c r="E809" s="700"/>
      <c r="F809" s="701">
        <f t="shared" si="161"/>
        <v>640</v>
      </c>
      <c r="G809" s="697">
        <v>139.04</v>
      </c>
      <c r="H809" s="592">
        <f t="shared" si="160"/>
        <v>0</v>
      </c>
      <c r="I809" s="595">
        <f t="shared" ref="I809:I821" si="162">+G809*F809</f>
        <v>88985.599999999991</v>
      </c>
      <c r="J809" s="352"/>
    </row>
    <row r="810" spans="1:10" ht="35.25" customHeight="1" x14ac:dyDescent="0.25">
      <c r="A810" s="1052"/>
      <c r="B810" s="438"/>
      <c r="C810" s="441" t="s">
        <v>531</v>
      </c>
      <c r="D810" s="666" t="s">
        <v>529</v>
      </c>
      <c r="E810" s="700"/>
      <c r="F810" s="701">
        <f t="shared" si="161"/>
        <v>12240</v>
      </c>
      <c r="G810" s="715">
        <v>20.66</v>
      </c>
      <c r="H810" s="592">
        <f t="shared" si="160"/>
        <v>0</v>
      </c>
      <c r="I810" s="595">
        <f t="shared" si="162"/>
        <v>252878.4</v>
      </c>
      <c r="J810" s="352"/>
    </row>
    <row r="811" spans="1:10" ht="35.25" customHeight="1" x14ac:dyDescent="0.25">
      <c r="A811" s="1052"/>
      <c r="B811" s="438"/>
      <c r="C811" s="441" t="s">
        <v>288</v>
      </c>
      <c r="D811" s="666" t="s">
        <v>177</v>
      </c>
      <c r="E811" s="700"/>
      <c r="F811" s="701">
        <f t="shared" si="161"/>
        <v>0</v>
      </c>
      <c r="G811" s="697">
        <v>14.79</v>
      </c>
      <c r="H811" s="592">
        <f t="shared" si="160"/>
        <v>0</v>
      </c>
      <c r="I811" s="595">
        <f t="shared" si="162"/>
        <v>0</v>
      </c>
      <c r="J811" s="352"/>
    </row>
    <row r="812" spans="1:10" ht="35.25" customHeight="1" x14ac:dyDescent="0.25">
      <c r="A812" s="1052"/>
      <c r="B812" s="438"/>
      <c r="C812" s="441" t="s">
        <v>295</v>
      </c>
      <c r="D812" s="666" t="s">
        <v>265</v>
      </c>
      <c r="E812" s="700">
        <v>1920</v>
      </c>
      <c r="F812" s="701">
        <f t="shared" si="161"/>
        <v>5120</v>
      </c>
      <c r="G812" s="697">
        <v>139.04</v>
      </c>
      <c r="H812" s="592">
        <f t="shared" si="160"/>
        <v>266956.79999999999</v>
      </c>
      <c r="I812" s="595">
        <f t="shared" si="162"/>
        <v>711884.79999999993</v>
      </c>
      <c r="J812" s="352"/>
    </row>
    <row r="813" spans="1:10" ht="35.25" customHeight="1" x14ac:dyDescent="0.25">
      <c r="A813" s="1052"/>
      <c r="B813" s="438"/>
      <c r="C813" s="441" t="s">
        <v>537</v>
      </c>
      <c r="D813" s="666" t="s">
        <v>265</v>
      </c>
      <c r="E813" s="700">
        <v>640</v>
      </c>
      <c r="F813" s="701">
        <f t="shared" si="161"/>
        <v>640</v>
      </c>
      <c r="G813" s="697">
        <v>135.96</v>
      </c>
      <c r="H813" s="592">
        <f t="shared" si="160"/>
        <v>87014.400000000009</v>
      </c>
      <c r="I813" s="595">
        <f t="shared" si="162"/>
        <v>87014.400000000009</v>
      </c>
      <c r="J813" s="352"/>
    </row>
    <row r="814" spans="1:10" ht="35.25" customHeight="1" x14ac:dyDescent="0.25">
      <c r="A814" s="1052"/>
      <c r="B814" s="438"/>
      <c r="C814" s="441" t="s">
        <v>313</v>
      </c>
      <c r="D814" s="667" t="s">
        <v>265</v>
      </c>
      <c r="E814" s="700">
        <v>12240</v>
      </c>
      <c r="F814" s="701">
        <f t="shared" si="161"/>
        <v>48960</v>
      </c>
      <c r="G814" s="697">
        <v>18.84</v>
      </c>
      <c r="H814" s="592">
        <f t="shared" si="160"/>
        <v>230601.60000000001</v>
      </c>
      <c r="I814" s="595">
        <f t="shared" si="162"/>
        <v>922406.40000000002</v>
      </c>
      <c r="J814" s="352"/>
    </row>
    <row r="815" spans="1:10" ht="35.25" customHeight="1" x14ac:dyDescent="0.25">
      <c r="A815" s="1052"/>
      <c r="B815" s="438"/>
      <c r="C815" s="441" t="s">
        <v>322</v>
      </c>
      <c r="D815" s="667" t="s">
        <v>232</v>
      </c>
      <c r="E815" s="700"/>
      <c r="F815" s="701">
        <f t="shared" si="161"/>
        <v>0</v>
      </c>
      <c r="G815" s="697">
        <v>21.18</v>
      </c>
      <c r="H815" s="592">
        <f t="shared" si="160"/>
        <v>0</v>
      </c>
      <c r="I815" s="595">
        <f t="shared" si="162"/>
        <v>0</v>
      </c>
      <c r="J815" s="352"/>
    </row>
    <row r="816" spans="1:10" ht="35.25" customHeight="1" x14ac:dyDescent="0.25">
      <c r="A816" s="1052"/>
      <c r="B816" s="438"/>
      <c r="C816" s="441" t="s">
        <v>324</v>
      </c>
      <c r="D816" s="667" t="s">
        <v>325</v>
      </c>
      <c r="E816" s="700"/>
      <c r="F816" s="701">
        <f t="shared" si="161"/>
        <v>0</v>
      </c>
      <c r="G816" s="697">
        <v>21.28</v>
      </c>
      <c r="H816" s="592">
        <f t="shared" si="160"/>
        <v>0</v>
      </c>
      <c r="I816" s="595">
        <f t="shared" si="162"/>
        <v>0</v>
      </c>
      <c r="J816" s="352"/>
    </row>
    <row r="817" spans="1:10" ht="35.25" customHeight="1" x14ac:dyDescent="0.25">
      <c r="A817" s="1052"/>
      <c r="B817" s="438"/>
      <c r="C817" s="441" t="s">
        <v>378</v>
      </c>
      <c r="D817" s="667" t="s">
        <v>374</v>
      </c>
      <c r="E817" s="700"/>
      <c r="F817" s="701">
        <f t="shared" si="161"/>
        <v>0</v>
      </c>
      <c r="G817" s="697">
        <v>143.28</v>
      </c>
      <c r="H817" s="592">
        <f t="shared" si="160"/>
        <v>0</v>
      </c>
      <c r="I817" s="595">
        <f t="shared" si="162"/>
        <v>0</v>
      </c>
      <c r="J817" s="352"/>
    </row>
    <row r="818" spans="1:10" ht="35.25" customHeight="1" x14ac:dyDescent="0.25">
      <c r="A818" s="1052"/>
      <c r="B818" s="438"/>
      <c r="C818" s="441" t="s">
        <v>472</v>
      </c>
      <c r="D818" s="667"/>
      <c r="E818" s="700"/>
      <c r="F818" s="701">
        <f t="shared" si="161"/>
        <v>0</v>
      </c>
      <c r="G818" s="697">
        <v>14.79</v>
      </c>
      <c r="H818" s="592">
        <f t="shared" si="160"/>
        <v>0</v>
      </c>
      <c r="I818" s="595">
        <f t="shared" si="162"/>
        <v>0</v>
      </c>
      <c r="J818" s="352"/>
    </row>
    <row r="819" spans="1:10" ht="35.25" customHeight="1" x14ac:dyDescent="0.25">
      <c r="A819" s="1052"/>
      <c r="B819" s="438"/>
      <c r="C819" s="441" t="s">
        <v>451</v>
      </c>
      <c r="D819" s="666" t="s">
        <v>177</v>
      </c>
      <c r="E819" s="700"/>
      <c r="F819" s="701">
        <f t="shared" si="161"/>
        <v>498432</v>
      </c>
      <c r="G819" s="697">
        <v>14.55</v>
      </c>
      <c r="H819" s="592">
        <f t="shared" si="160"/>
        <v>0</v>
      </c>
      <c r="I819" s="595">
        <f t="shared" si="162"/>
        <v>7252185.6000000006</v>
      </c>
      <c r="J819" s="352"/>
    </row>
    <row r="820" spans="1:10" ht="35.25" customHeight="1" x14ac:dyDescent="0.25">
      <c r="A820" s="1052"/>
      <c r="B820" s="438"/>
      <c r="C820" s="441" t="s">
        <v>327</v>
      </c>
      <c r="D820" s="667" t="s">
        <v>188</v>
      </c>
      <c r="E820" s="700"/>
      <c r="F820" s="701">
        <f t="shared" si="161"/>
        <v>0</v>
      </c>
      <c r="G820" s="697">
        <v>21.28</v>
      </c>
      <c r="H820" s="592">
        <f t="shared" si="160"/>
        <v>0</v>
      </c>
      <c r="I820" s="595">
        <f t="shared" si="162"/>
        <v>0</v>
      </c>
      <c r="J820" s="352"/>
    </row>
    <row r="821" spans="1:10" ht="35.25" customHeight="1" thickBot="1" x14ac:dyDescent="0.3">
      <c r="A821" s="1052"/>
      <c r="B821" s="438"/>
      <c r="C821" s="441" t="s">
        <v>336</v>
      </c>
      <c r="D821" s="668" t="s">
        <v>178</v>
      </c>
      <c r="E821" s="700"/>
      <c r="F821" s="676">
        <f t="shared" si="161"/>
        <v>0</v>
      </c>
      <c r="G821" s="697">
        <v>36.44</v>
      </c>
      <c r="H821" s="592">
        <f t="shared" si="160"/>
        <v>0</v>
      </c>
      <c r="I821" s="595">
        <f t="shared" si="162"/>
        <v>0</v>
      </c>
      <c r="J821" s="352"/>
    </row>
    <row r="822" spans="1:10" ht="35.25" customHeight="1" thickBot="1" x14ac:dyDescent="0.3">
      <c r="A822" s="1052"/>
      <c r="B822" s="1047" t="s">
        <v>266</v>
      </c>
      <c r="C822" s="1048"/>
      <c r="D822" s="865"/>
      <c r="E822" s="326">
        <f>SUM(E807:E821)</f>
        <v>15824</v>
      </c>
      <c r="F822" s="698">
        <f>SUM(F807:F821)</f>
        <v>567056</v>
      </c>
      <c r="G822" s="326"/>
      <c r="H822" s="587">
        <f>SUM(H807:H821)</f>
        <v>696977.28</v>
      </c>
      <c r="I822" s="580">
        <f>SUM(I807:I821)</f>
        <v>9427759.6799999997</v>
      </c>
      <c r="J822" s="349"/>
    </row>
    <row r="823" spans="1:10" ht="35.25" customHeight="1" x14ac:dyDescent="0.25">
      <c r="A823" s="1052"/>
      <c r="B823" s="863"/>
      <c r="C823" s="279" t="s">
        <v>271</v>
      </c>
      <c r="D823" s="434" t="s">
        <v>238</v>
      </c>
      <c r="E823" s="280"/>
      <c r="F823" s="435">
        <f>+E823+F729</f>
        <v>0</v>
      </c>
      <c r="G823" s="578">
        <v>160.44999999999999</v>
      </c>
      <c r="H823" s="593">
        <f t="shared" ref="H823:H828" si="163">E823*G823</f>
        <v>0</v>
      </c>
      <c r="I823" s="596">
        <f t="shared" ref="I823:I828" si="164">+G823*F823</f>
        <v>0</v>
      </c>
      <c r="J823" s="373"/>
    </row>
    <row r="824" spans="1:10" ht="35.25" customHeight="1" x14ac:dyDescent="0.25">
      <c r="A824" s="1052"/>
      <c r="B824" s="863"/>
      <c r="C824" s="279" t="s">
        <v>287</v>
      </c>
      <c r="D824" s="434" t="s">
        <v>93</v>
      </c>
      <c r="E824" s="280">
        <v>16140</v>
      </c>
      <c r="F824" s="435">
        <f t="shared" ref="F824:F828" si="165">+E824+F730</f>
        <v>53760</v>
      </c>
      <c r="G824" s="578">
        <v>27</v>
      </c>
      <c r="H824" s="593">
        <f t="shared" si="163"/>
        <v>435780</v>
      </c>
      <c r="I824" s="596">
        <f t="shared" si="164"/>
        <v>1451520</v>
      </c>
      <c r="J824" s="373"/>
    </row>
    <row r="825" spans="1:10" ht="35.25" customHeight="1" x14ac:dyDescent="0.25">
      <c r="A825" s="1052"/>
      <c r="B825" s="863"/>
      <c r="C825" s="279" t="s">
        <v>287</v>
      </c>
      <c r="D825" s="434" t="s">
        <v>292</v>
      </c>
      <c r="E825" s="280"/>
      <c r="F825" s="435">
        <f t="shared" si="165"/>
        <v>0</v>
      </c>
      <c r="G825" s="578">
        <v>27.5</v>
      </c>
      <c r="H825" s="593">
        <f t="shared" si="163"/>
        <v>0</v>
      </c>
      <c r="I825" s="596">
        <f t="shared" si="164"/>
        <v>0</v>
      </c>
      <c r="J825" s="373"/>
    </row>
    <row r="826" spans="1:10" ht="35.25" customHeight="1" x14ac:dyDescent="0.25">
      <c r="A826" s="1052"/>
      <c r="B826" s="863"/>
      <c r="C826" s="279" t="s">
        <v>276</v>
      </c>
      <c r="D826" s="434" t="s">
        <v>292</v>
      </c>
      <c r="E826" s="280"/>
      <c r="F826" s="435">
        <f t="shared" si="165"/>
        <v>0</v>
      </c>
      <c r="G826" s="578">
        <v>34.5</v>
      </c>
      <c r="H826" s="593">
        <f t="shared" si="163"/>
        <v>0</v>
      </c>
      <c r="I826" s="596">
        <f t="shared" si="164"/>
        <v>0</v>
      </c>
      <c r="J826" s="373"/>
    </row>
    <row r="827" spans="1:10" ht="35.25" customHeight="1" x14ac:dyDescent="0.25">
      <c r="A827" s="1052"/>
      <c r="B827" s="863"/>
      <c r="C827" s="279" t="s">
        <v>473</v>
      </c>
      <c r="D827" s="434" t="s">
        <v>440</v>
      </c>
      <c r="E827" s="280"/>
      <c r="F827" s="435">
        <f t="shared" si="165"/>
        <v>0</v>
      </c>
      <c r="G827" s="578">
        <v>10.57</v>
      </c>
      <c r="H827" s="593">
        <f t="shared" si="163"/>
        <v>0</v>
      </c>
      <c r="I827" s="596">
        <f t="shared" si="164"/>
        <v>0</v>
      </c>
      <c r="J827" s="373"/>
    </row>
    <row r="828" spans="1:10" ht="35.25" customHeight="1" thickBot="1" x14ac:dyDescent="0.3">
      <c r="A828" s="1052"/>
      <c r="B828" s="863"/>
      <c r="C828" s="279" t="s">
        <v>276</v>
      </c>
      <c r="D828" s="434" t="s">
        <v>440</v>
      </c>
      <c r="E828" s="280"/>
      <c r="F828" s="435">
        <f t="shared" si="165"/>
        <v>0</v>
      </c>
      <c r="G828" s="578">
        <v>55.76</v>
      </c>
      <c r="H828" s="593">
        <f t="shared" si="163"/>
        <v>0</v>
      </c>
      <c r="I828" s="596">
        <f t="shared" si="164"/>
        <v>0</v>
      </c>
      <c r="J828" s="373"/>
    </row>
    <row r="829" spans="1:10" ht="35.25" customHeight="1" thickBot="1" x14ac:dyDescent="0.3">
      <c r="A829" s="1052"/>
      <c r="B829" s="1047" t="s">
        <v>267</v>
      </c>
      <c r="C829" s="1048"/>
      <c r="D829" s="865"/>
      <c r="E829" s="326">
        <f>SUM(E823:E828)</f>
        <v>16140</v>
      </c>
      <c r="F829" s="326">
        <f>SUM(F823:F828)</f>
        <v>53760</v>
      </c>
      <c r="G829" s="326"/>
      <c r="H829" s="587">
        <f>SUM(H823:H828)</f>
        <v>435780</v>
      </c>
      <c r="I829" s="580">
        <f>SUM(I823:I828)</f>
        <v>1451520</v>
      </c>
      <c r="J829" s="349"/>
    </row>
    <row r="830" spans="1:10" ht="35.25" customHeight="1" x14ac:dyDescent="0.25">
      <c r="A830" s="1052"/>
      <c r="B830" s="863"/>
      <c r="C830" s="279" t="s">
        <v>277</v>
      </c>
      <c r="D830" s="434" t="s">
        <v>278</v>
      </c>
      <c r="E830" s="280"/>
      <c r="F830" s="435">
        <f>+E830+F736</f>
        <v>3</v>
      </c>
      <c r="G830" s="578">
        <v>2500</v>
      </c>
      <c r="H830" s="593">
        <f t="shared" ref="H830:H833" si="166">E830*G830</f>
        <v>0</v>
      </c>
      <c r="I830" s="596">
        <f>+G830*F830</f>
        <v>7500</v>
      </c>
      <c r="J830" s="373"/>
    </row>
    <row r="831" spans="1:10" ht="35.25" customHeight="1" x14ac:dyDescent="0.25">
      <c r="A831" s="1052"/>
      <c r="B831" s="863"/>
      <c r="C831" s="279" t="s">
        <v>454</v>
      </c>
      <c r="D831" s="434"/>
      <c r="E831" s="280"/>
      <c r="F831" s="435">
        <f t="shared" ref="F831:F833" si="167">+E831+F737</f>
        <v>0</v>
      </c>
      <c r="G831" s="578">
        <v>30000</v>
      </c>
      <c r="H831" s="593">
        <f t="shared" si="166"/>
        <v>0</v>
      </c>
      <c r="I831" s="596">
        <f>+G831*F831</f>
        <v>0</v>
      </c>
      <c r="J831" s="373"/>
    </row>
    <row r="832" spans="1:10" ht="35.25" customHeight="1" x14ac:dyDescent="0.25">
      <c r="A832" s="1052"/>
      <c r="B832" s="863"/>
      <c r="C832" s="279" t="s">
        <v>379</v>
      </c>
      <c r="D832" s="434" t="s">
        <v>304</v>
      </c>
      <c r="E832" s="280"/>
      <c r="F832" s="435">
        <f t="shared" si="167"/>
        <v>0</v>
      </c>
      <c r="G832" s="578">
        <v>360</v>
      </c>
      <c r="H832" s="593">
        <f t="shared" si="166"/>
        <v>0</v>
      </c>
      <c r="I832" s="596">
        <f>+G832*F832</f>
        <v>0</v>
      </c>
      <c r="J832" s="373"/>
    </row>
    <row r="833" spans="1:13" ht="35.25" customHeight="1" thickBot="1" x14ac:dyDescent="0.3">
      <c r="A833" s="1052"/>
      <c r="B833" s="863"/>
      <c r="C833" s="279" t="s">
        <v>427</v>
      </c>
      <c r="D833" s="434" t="s">
        <v>304</v>
      </c>
      <c r="E833" s="280"/>
      <c r="F833" s="435">
        <f t="shared" si="167"/>
        <v>0</v>
      </c>
      <c r="G833" s="579">
        <v>10</v>
      </c>
      <c r="H833" s="593">
        <f t="shared" si="166"/>
        <v>0</v>
      </c>
      <c r="I833" s="596">
        <f t="shared" ref="I833" si="168">+G833*F833</f>
        <v>0</v>
      </c>
      <c r="J833" s="373"/>
    </row>
    <row r="834" spans="1:13" ht="35.25" customHeight="1" thickBot="1" x14ac:dyDescent="0.3">
      <c r="A834" s="1052"/>
      <c r="B834" s="1047" t="s">
        <v>272</v>
      </c>
      <c r="C834" s="1048"/>
      <c r="D834" s="865"/>
      <c r="E834" s="326">
        <f>SUM(E830:E833)</f>
        <v>0</v>
      </c>
      <c r="F834" s="326">
        <f>SUM(F830:F833)</f>
        <v>3</v>
      </c>
      <c r="G834" s="326"/>
      <c r="H834" s="587">
        <f>SUM(H830:H833)</f>
        <v>0</v>
      </c>
      <c r="I834" s="580">
        <f>SUM(I830:I833)</f>
        <v>7500</v>
      </c>
      <c r="J834" s="373"/>
    </row>
    <row r="835" spans="1:13" ht="35.25" customHeight="1" thickBot="1" x14ac:dyDescent="0.3">
      <c r="A835" s="1052"/>
      <c r="B835" s="863"/>
      <c r="C835" s="279"/>
      <c r="D835" s="434"/>
      <c r="E835" s="280"/>
      <c r="F835" s="317"/>
      <c r="G835" s="579"/>
      <c r="H835" s="588"/>
      <c r="I835" s="282"/>
      <c r="J835" s="373"/>
    </row>
    <row r="836" spans="1:13" ht="35.25" customHeight="1" thickBot="1" x14ac:dyDescent="0.3">
      <c r="A836" s="1053"/>
      <c r="B836" s="1047" t="s">
        <v>269</v>
      </c>
      <c r="C836" s="1048"/>
      <c r="D836" s="861"/>
      <c r="E836" s="326">
        <f>+E834+E829+E822</f>
        <v>31964</v>
      </c>
      <c r="F836" s="326">
        <f>+F834+F829+F822</f>
        <v>620819</v>
      </c>
      <c r="G836" s="326"/>
      <c r="H836" s="580">
        <f>+H829+H822+H834</f>
        <v>1132757.28</v>
      </c>
      <c r="I836" s="580">
        <f>+I829+I822+I834</f>
        <v>10886779.68</v>
      </c>
      <c r="J836" s="373"/>
      <c r="K836" s="704"/>
      <c r="M836" s="704"/>
    </row>
    <row r="837" spans="1:13" ht="35.25" customHeight="1" x14ac:dyDescent="0.25">
      <c r="A837" s="1051" t="s">
        <v>101</v>
      </c>
      <c r="B837" s="863"/>
      <c r="C837" s="279" t="s">
        <v>281</v>
      </c>
      <c r="D837" s="434" t="s">
        <v>178</v>
      </c>
      <c r="E837" s="280"/>
      <c r="F837" s="435">
        <f>+E837+F743</f>
        <v>0</v>
      </c>
      <c r="G837" s="602">
        <v>13.25</v>
      </c>
      <c r="H837" s="597">
        <f t="shared" ref="H837:H865" si="169">E837*G837</f>
        <v>0</v>
      </c>
      <c r="I837" s="596">
        <f t="shared" ref="I837:I865" si="170">+G837*F837</f>
        <v>0</v>
      </c>
      <c r="J837" s="373"/>
      <c r="K837" s="704"/>
    </row>
    <row r="838" spans="1:13" ht="35.25" customHeight="1" x14ac:dyDescent="0.25">
      <c r="A838" s="1052"/>
      <c r="B838" s="863"/>
      <c r="C838" s="279" t="s">
        <v>282</v>
      </c>
      <c r="D838" s="434"/>
      <c r="E838" s="280"/>
      <c r="F838" s="435">
        <f t="shared" ref="F838:F892" si="171">+E838+F744</f>
        <v>0</v>
      </c>
      <c r="G838" s="603">
        <v>5000</v>
      </c>
      <c r="H838" s="597">
        <f t="shared" si="169"/>
        <v>0</v>
      </c>
      <c r="I838" s="596">
        <f t="shared" si="170"/>
        <v>0</v>
      </c>
      <c r="J838" s="373"/>
      <c r="K838" s="704"/>
    </row>
    <row r="839" spans="1:13" ht="35.25" customHeight="1" x14ac:dyDescent="0.25">
      <c r="A839" s="1052"/>
      <c r="B839" s="863"/>
      <c r="C839" s="279" t="s">
        <v>282</v>
      </c>
      <c r="D839" s="434"/>
      <c r="E839" s="280"/>
      <c r="F839" s="435">
        <f t="shared" si="171"/>
        <v>0</v>
      </c>
      <c r="G839" s="603">
        <v>18000</v>
      </c>
      <c r="H839" s="597">
        <f t="shared" si="169"/>
        <v>0</v>
      </c>
      <c r="I839" s="596">
        <f t="shared" si="170"/>
        <v>0</v>
      </c>
      <c r="J839" s="373"/>
    </row>
    <row r="840" spans="1:13" ht="35.25" customHeight="1" x14ac:dyDescent="0.25">
      <c r="A840" s="1052"/>
      <c r="B840" s="863"/>
      <c r="C840" s="279" t="s">
        <v>465</v>
      </c>
      <c r="D840" s="434" t="s">
        <v>338</v>
      </c>
      <c r="E840" s="280"/>
      <c r="F840" s="435">
        <f t="shared" si="171"/>
        <v>0</v>
      </c>
      <c r="G840" s="602">
        <v>24.93</v>
      </c>
      <c r="H840" s="597">
        <f t="shared" si="169"/>
        <v>0</v>
      </c>
      <c r="I840" s="596">
        <f t="shared" si="170"/>
        <v>0</v>
      </c>
      <c r="J840" s="373"/>
    </row>
    <row r="841" spans="1:13" ht="35.25" customHeight="1" x14ac:dyDescent="0.25">
      <c r="A841" s="1052"/>
      <c r="B841" s="863"/>
      <c r="C841" s="746" t="s">
        <v>466</v>
      </c>
      <c r="D841" s="747" t="s">
        <v>92</v>
      </c>
      <c r="E841" s="280"/>
      <c r="F841" s="435">
        <f t="shared" si="171"/>
        <v>0</v>
      </c>
      <c r="G841" s="602">
        <v>20.8</v>
      </c>
      <c r="H841" s="597">
        <f t="shared" si="169"/>
        <v>0</v>
      </c>
      <c r="I841" s="596">
        <f t="shared" si="170"/>
        <v>0</v>
      </c>
      <c r="J841" s="373"/>
    </row>
    <row r="842" spans="1:13" ht="35.25" customHeight="1" x14ac:dyDescent="0.25">
      <c r="A842" s="1052"/>
      <c r="B842" s="863"/>
      <c r="C842" s="746" t="s">
        <v>467</v>
      </c>
      <c r="D842" s="747" t="s">
        <v>468</v>
      </c>
      <c r="E842" s="280"/>
      <c r="F842" s="435">
        <f t="shared" si="171"/>
        <v>0</v>
      </c>
      <c r="G842" s="602">
        <v>24.93</v>
      </c>
      <c r="H842" s="597">
        <f t="shared" si="169"/>
        <v>0</v>
      </c>
      <c r="I842" s="596">
        <f t="shared" si="170"/>
        <v>0</v>
      </c>
      <c r="J842" s="373"/>
    </row>
    <row r="843" spans="1:13" ht="35.25" customHeight="1" x14ac:dyDescent="0.25">
      <c r="A843" s="1052"/>
      <c r="B843" s="863"/>
      <c r="C843" s="746" t="s">
        <v>467</v>
      </c>
      <c r="D843" s="747" t="s">
        <v>468</v>
      </c>
      <c r="E843" s="280"/>
      <c r="F843" s="435">
        <f t="shared" si="171"/>
        <v>0</v>
      </c>
      <c r="G843" s="602">
        <v>25.49</v>
      </c>
      <c r="H843" s="597">
        <f t="shared" si="169"/>
        <v>0</v>
      </c>
      <c r="I843" s="596">
        <f t="shared" si="170"/>
        <v>0</v>
      </c>
      <c r="J843" s="373"/>
    </row>
    <row r="844" spans="1:13" s="757" customFormat="1" ht="35.25" customHeight="1" x14ac:dyDescent="0.25">
      <c r="A844" s="1052"/>
      <c r="B844" s="748"/>
      <c r="C844" s="749" t="s">
        <v>469</v>
      </c>
      <c r="D844" s="750" t="s">
        <v>309</v>
      </c>
      <c r="E844" s="751"/>
      <c r="F844" s="752">
        <f t="shared" si="171"/>
        <v>0</v>
      </c>
      <c r="G844" s="753">
        <v>24.41</v>
      </c>
      <c r="H844" s="754">
        <f t="shared" si="169"/>
        <v>0</v>
      </c>
      <c r="I844" s="755">
        <f t="shared" si="170"/>
        <v>0</v>
      </c>
      <c r="J844" s="756"/>
    </row>
    <row r="845" spans="1:13" ht="35.25" customHeight="1" x14ac:dyDescent="0.25">
      <c r="A845" s="1052"/>
      <c r="B845" s="863"/>
      <c r="C845" s="279" t="s">
        <v>444</v>
      </c>
      <c r="D845" s="434" t="s">
        <v>423</v>
      </c>
      <c r="E845" s="280"/>
      <c r="F845" s="435">
        <f t="shared" si="171"/>
        <v>0</v>
      </c>
      <c r="G845" s="602">
        <v>20.76</v>
      </c>
      <c r="H845" s="597">
        <f t="shared" si="169"/>
        <v>0</v>
      </c>
      <c r="I845" s="596">
        <f t="shared" si="170"/>
        <v>0</v>
      </c>
      <c r="J845" s="373"/>
    </row>
    <row r="846" spans="1:13" ht="35.25" customHeight="1" x14ac:dyDescent="0.25">
      <c r="A846" s="1052"/>
      <c r="B846" s="863"/>
      <c r="C846" s="279" t="s">
        <v>298</v>
      </c>
      <c r="D846" s="434" t="s">
        <v>107</v>
      </c>
      <c r="E846" s="280"/>
      <c r="F846" s="435">
        <f t="shared" si="171"/>
        <v>0</v>
      </c>
      <c r="G846" s="602">
        <v>24.93</v>
      </c>
      <c r="H846" s="597">
        <f t="shared" si="169"/>
        <v>0</v>
      </c>
      <c r="I846" s="596">
        <f t="shared" si="170"/>
        <v>0</v>
      </c>
      <c r="J846" s="373"/>
    </row>
    <row r="847" spans="1:13" ht="35.25" customHeight="1" x14ac:dyDescent="0.25">
      <c r="A847" s="1052"/>
      <c r="B847" s="863"/>
      <c r="C847" s="279" t="s">
        <v>299</v>
      </c>
      <c r="D847" s="434" t="s">
        <v>280</v>
      </c>
      <c r="E847" s="280"/>
      <c r="F847" s="435">
        <f t="shared" si="171"/>
        <v>0</v>
      </c>
      <c r="G847" s="602">
        <v>24.93</v>
      </c>
      <c r="H847" s="597">
        <f t="shared" si="169"/>
        <v>0</v>
      </c>
      <c r="I847" s="596">
        <f t="shared" si="170"/>
        <v>0</v>
      </c>
      <c r="J847" s="373"/>
    </row>
    <row r="848" spans="1:13" ht="35.25" customHeight="1" x14ac:dyDescent="0.25">
      <c r="A848" s="1052"/>
      <c r="B848" s="863"/>
      <c r="C848" s="279" t="s">
        <v>425</v>
      </c>
      <c r="D848" s="434" t="s">
        <v>309</v>
      </c>
      <c r="E848" s="280"/>
      <c r="F848" s="435">
        <f t="shared" si="171"/>
        <v>0</v>
      </c>
      <c r="G848" s="602">
        <v>23.78</v>
      </c>
      <c r="H848" s="597">
        <f t="shared" si="169"/>
        <v>0</v>
      </c>
      <c r="I848" s="596">
        <f t="shared" si="170"/>
        <v>0</v>
      </c>
      <c r="J848" s="373"/>
    </row>
    <row r="849" spans="1:10" ht="35.25" customHeight="1" x14ac:dyDescent="0.25">
      <c r="A849" s="1052"/>
      <c r="B849" s="863"/>
      <c r="C849" s="279" t="s">
        <v>354</v>
      </c>
      <c r="D849" s="434" t="s">
        <v>309</v>
      </c>
      <c r="E849" s="280"/>
      <c r="F849" s="435">
        <f t="shared" si="171"/>
        <v>0</v>
      </c>
      <c r="G849" s="602">
        <v>37.4566666666</v>
      </c>
      <c r="H849" s="597">
        <f t="shared" si="169"/>
        <v>0</v>
      </c>
      <c r="I849" s="596">
        <f t="shared" si="170"/>
        <v>0</v>
      </c>
      <c r="J849" s="373"/>
    </row>
    <row r="850" spans="1:10" ht="35.25" customHeight="1" x14ac:dyDescent="0.25">
      <c r="A850" s="1052"/>
      <c r="B850" s="863"/>
      <c r="C850" s="279" t="s">
        <v>355</v>
      </c>
      <c r="D850" s="434" t="s">
        <v>309</v>
      </c>
      <c r="E850" s="280"/>
      <c r="F850" s="435">
        <f t="shared" si="171"/>
        <v>0</v>
      </c>
      <c r="G850" s="602">
        <v>37.89</v>
      </c>
      <c r="H850" s="597">
        <f t="shared" si="169"/>
        <v>0</v>
      </c>
      <c r="I850" s="596">
        <f t="shared" si="170"/>
        <v>0</v>
      </c>
      <c r="J850" s="373"/>
    </row>
    <row r="851" spans="1:10" ht="35.25" customHeight="1" x14ac:dyDescent="0.25">
      <c r="A851" s="1052"/>
      <c r="B851" s="863"/>
      <c r="C851" s="279" t="s">
        <v>461</v>
      </c>
      <c r="D851" s="434" t="s">
        <v>92</v>
      </c>
      <c r="E851" s="280"/>
      <c r="F851" s="435">
        <f t="shared" si="171"/>
        <v>0</v>
      </c>
      <c r="G851" s="602">
        <v>28.31</v>
      </c>
      <c r="H851" s="597">
        <f t="shared" si="169"/>
        <v>0</v>
      </c>
      <c r="I851" s="596">
        <f t="shared" si="170"/>
        <v>0</v>
      </c>
      <c r="J851" s="373"/>
    </row>
    <row r="852" spans="1:10" ht="35.25" customHeight="1" x14ac:dyDescent="0.25">
      <c r="A852" s="1052"/>
      <c r="B852" s="863"/>
      <c r="C852" s="279" t="s">
        <v>461</v>
      </c>
      <c r="D852" s="434" t="s">
        <v>423</v>
      </c>
      <c r="E852" s="280"/>
      <c r="F852" s="435">
        <f t="shared" si="171"/>
        <v>0</v>
      </c>
      <c r="G852" s="602">
        <v>28.88</v>
      </c>
      <c r="H852" s="597">
        <f t="shared" si="169"/>
        <v>0</v>
      </c>
      <c r="I852" s="596">
        <f t="shared" si="170"/>
        <v>0</v>
      </c>
      <c r="J852" s="373"/>
    </row>
    <row r="853" spans="1:10" ht="35.25" customHeight="1" x14ac:dyDescent="0.25">
      <c r="A853" s="1052"/>
      <c r="B853" s="863"/>
      <c r="C853" s="279" t="s">
        <v>462</v>
      </c>
      <c r="D853" s="434" t="s">
        <v>423</v>
      </c>
      <c r="E853" s="280"/>
      <c r="F853" s="435">
        <f t="shared" si="171"/>
        <v>0</v>
      </c>
      <c r="G853" s="602">
        <v>28.21</v>
      </c>
      <c r="H853" s="597">
        <f t="shared" si="169"/>
        <v>0</v>
      </c>
      <c r="I853" s="596">
        <f t="shared" si="170"/>
        <v>0</v>
      </c>
      <c r="J853" s="373"/>
    </row>
    <row r="854" spans="1:10" ht="35.25" customHeight="1" x14ac:dyDescent="0.25">
      <c r="A854" s="1052"/>
      <c r="B854" s="863"/>
      <c r="C854" s="279" t="s">
        <v>463</v>
      </c>
      <c r="D854" s="434" t="s">
        <v>338</v>
      </c>
      <c r="E854" s="280"/>
      <c r="F854" s="435">
        <f t="shared" si="171"/>
        <v>0</v>
      </c>
      <c r="G854" s="602">
        <v>39</v>
      </c>
      <c r="H854" s="597">
        <f t="shared" si="169"/>
        <v>0</v>
      </c>
      <c r="I854" s="596">
        <f t="shared" si="170"/>
        <v>0</v>
      </c>
      <c r="J854" s="373"/>
    </row>
    <row r="855" spans="1:10" ht="35.25" customHeight="1" x14ac:dyDescent="0.25">
      <c r="A855" s="1052"/>
      <c r="B855" s="863"/>
      <c r="C855" s="279" t="s">
        <v>463</v>
      </c>
      <c r="D855" s="434" t="s">
        <v>92</v>
      </c>
      <c r="E855" s="280"/>
      <c r="F855" s="435">
        <f t="shared" si="171"/>
        <v>0</v>
      </c>
      <c r="G855" s="602">
        <v>32.65</v>
      </c>
      <c r="H855" s="597">
        <f t="shared" si="169"/>
        <v>0</v>
      </c>
      <c r="I855" s="596">
        <f t="shared" si="170"/>
        <v>0</v>
      </c>
      <c r="J855" s="373"/>
    </row>
    <row r="856" spans="1:10" ht="35.25" customHeight="1" x14ac:dyDescent="0.25">
      <c r="A856" s="1052"/>
      <c r="B856" s="863"/>
      <c r="C856" s="279" t="s">
        <v>463</v>
      </c>
      <c r="D856" s="434" t="s">
        <v>423</v>
      </c>
      <c r="E856" s="280"/>
      <c r="F856" s="435">
        <f t="shared" si="171"/>
        <v>0</v>
      </c>
      <c r="G856" s="602">
        <v>33.299999999999997</v>
      </c>
      <c r="H856" s="597">
        <f t="shared" si="169"/>
        <v>0</v>
      </c>
      <c r="I856" s="596">
        <f t="shared" si="170"/>
        <v>0</v>
      </c>
      <c r="J856" s="373"/>
    </row>
    <row r="857" spans="1:10" ht="35.25" customHeight="1" x14ac:dyDescent="0.25">
      <c r="A857" s="1052"/>
      <c r="B857" s="863"/>
      <c r="C857" s="279" t="s">
        <v>299</v>
      </c>
      <c r="D857" s="434" t="s">
        <v>279</v>
      </c>
      <c r="E857" s="280"/>
      <c r="F857" s="435">
        <f t="shared" si="171"/>
        <v>0</v>
      </c>
      <c r="G857" s="602">
        <v>24.93</v>
      </c>
      <c r="H857" s="597">
        <f t="shared" si="169"/>
        <v>0</v>
      </c>
      <c r="I857" s="596">
        <f t="shared" si="170"/>
        <v>0</v>
      </c>
      <c r="J857" s="373"/>
    </row>
    <row r="858" spans="1:10" ht="35.25" customHeight="1" x14ac:dyDescent="0.25">
      <c r="A858" s="1052"/>
      <c r="B858" s="863"/>
      <c r="C858" s="279" t="s">
        <v>299</v>
      </c>
      <c r="D858" s="434"/>
      <c r="E858" s="280"/>
      <c r="F858" s="435">
        <f t="shared" si="171"/>
        <v>0</v>
      </c>
      <c r="G858" s="602">
        <v>24.93</v>
      </c>
      <c r="H858" s="597">
        <f t="shared" si="169"/>
        <v>0</v>
      </c>
      <c r="I858" s="596">
        <f t="shared" si="170"/>
        <v>0</v>
      </c>
      <c r="J858" s="373"/>
    </row>
    <row r="859" spans="1:10" ht="35.25" customHeight="1" x14ac:dyDescent="0.25">
      <c r="A859" s="1052"/>
      <c r="B859" s="863"/>
      <c r="C859" s="279" t="s">
        <v>316</v>
      </c>
      <c r="D859" s="434" t="s">
        <v>289</v>
      </c>
      <c r="E859" s="280"/>
      <c r="F859" s="435">
        <f t="shared" si="171"/>
        <v>0</v>
      </c>
      <c r="G859" s="602">
        <v>34.26</v>
      </c>
      <c r="H859" s="597">
        <f t="shared" si="169"/>
        <v>0</v>
      </c>
      <c r="I859" s="596">
        <f t="shared" si="170"/>
        <v>0</v>
      </c>
      <c r="J859" s="373"/>
    </row>
    <row r="860" spans="1:10" ht="35.25" customHeight="1" x14ac:dyDescent="0.25">
      <c r="A860" s="1052"/>
      <c r="B860" s="863"/>
      <c r="C860" s="279" t="s">
        <v>328</v>
      </c>
      <c r="D860" s="434" t="s">
        <v>360</v>
      </c>
      <c r="E860" s="280"/>
      <c r="F860" s="435">
        <f t="shared" si="171"/>
        <v>0</v>
      </c>
      <c r="G860" s="602">
        <v>37.89</v>
      </c>
      <c r="H860" s="597">
        <f t="shared" si="169"/>
        <v>0</v>
      </c>
      <c r="I860" s="596">
        <f t="shared" si="170"/>
        <v>0</v>
      </c>
      <c r="J860" s="373"/>
    </row>
    <row r="861" spans="1:10" ht="35.25" customHeight="1" x14ac:dyDescent="0.25">
      <c r="A861" s="1052"/>
      <c r="B861" s="863"/>
      <c r="C861" s="279" t="s">
        <v>363</v>
      </c>
      <c r="D861" s="434" t="s">
        <v>338</v>
      </c>
      <c r="E861" s="280"/>
      <c r="F861" s="435">
        <f t="shared" si="171"/>
        <v>0</v>
      </c>
      <c r="G861" s="602">
        <v>39</v>
      </c>
      <c r="H861" s="597">
        <f t="shared" si="169"/>
        <v>0</v>
      </c>
      <c r="I861" s="596">
        <f t="shared" si="170"/>
        <v>0</v>
      </c>
      <c r="J861" s="373"/>
    </row>
    <row r="862" spans="1:10" ht="35.25" customHeight="1" x14ac:dyDescent="0.25">
      <c r="A862" s="1052"/>
      <c r="B862" s="863"/>
      <c r="C862" s="279" t="s">
        <v>299</v>
      </c>
      <c r="D862" s="434" t="s">
        <v>177</v>
      </c>
      <c r="E862" s="280"/>
      <c r="F862" s="435">
        <f t="shared" si="171"/>
        <v>0</v>
      </c>
      <c r="G862" s="602">
        <v>21.22</v>
      </c>
      <c r="H862" s="597">
        <f t="shared" si="169"/>
        <v>0</v>
      </c>
      <c r="I862" s="596">
        <f t="shared" si="170"/>
        <v>0</v>
      </c>
      <c r="J862" s="373"/>
    </row>
    <row r="863" spans="1:10" ht="35.25" customHeight="1" x14ac:dyDescent="0.25">
      <c r="A863" s="1052"/>
      <c r="B863" s="863"/>
      <c r="C863" s="279" t="s">
        <v>298</v>
      </c>
      <c r="D863" s="434" t="s">
        <v>177</v>
      </c>
      <c r="E863" s="280"/>
      <c r="F863" s="435">
        <f t="shared" si="171"/>
        <v>0</v>
      </c>
      <c r="G863" s="602">
        <v>21.22</v>
      </c>
      <c r="H863" s="597">
        <f t="shared" si="169"/>
        <v>0</v>
      </c>
      <c r="I863" s="596">
        <f t="shared" si="170"/>
        <v>0</v>
      </c>
      <c r="J863" s="373"/>
    </row>
    <row r="864" spans="1:10" ht="35.25" customHeight="1" x14ac:dyDescent="0.25">
      <c r="A864" s="1052"/>
      <c r="B864" s="863"/>
      <c r="C864" s="279" t="s">
        <v>339</v>
      </c>
      <c r="D864" s="434" t="s">
        <v>304</v>
      </c>
      <c r="E864" s="280"/>
      <c r="F864" s="435">
        <f t="shared" si="171"/>
        <v>0</v>
      </c>
      <c r="G864" s="602">
        <v>10000</v>
      </c>
      <c r="H864" s="597">
        <f t="shared" si="169"/>
        <v>0</v>
      </c>
      <c r="I864" s="596">
        <f t="shared" si="170"/>
        <v>0</v>
      </c>
      <c r="J864" s="373"/>
    </row>
    <row r="865" spans="1:10" ht="35.25" customHeight="1" thickBot="1" x14ac:dyDescent="0.3">
      <c r="A865" s="1052"/>
      <c r="B865" s="863"/>
      <c r="C865" s="279" t="s">
        <v>303</v>
      </c>
      <c r="D865" s="434" t="s">
        <v>304</v>
      </c>
      <c r="E865" s="280"/>
      <c r="F865" s="435">
        <f t="shared" si="171"/>
        <v>0</v>
      </c>
      <c r="G865" s="602">
        <v>360</v>
      </c>
      <c r="H865" s="597">
        <f t="shared" si="169"/>
        <v>0</v>
      </c>
      <c r="I865" s="596">
        <f t="shared" si="170"/>
        <v>0</v>
      </c>
      <c r="J865" s="373"/>
    </row>
    <row r="866" spans="1:10" ht="35.25" customHeight="1" thickBot="1" x14ac:dyDescent="0.3">
      <c r="A866" s="1053"/>
      <c r="B866" s="1047" t="s">
        <v>268</v>
      </c>
      <c r="C866" s="1048"/>
      <c r="D866" s="865"/>
      <c r="E866" s="326">
        <f>SUM(E837:E865)</f>
        <v>0</v>
      </c>
      <c r="F866" s="326">
        <f t="shared" si="171"/>
        <v>0</v>
      </c>
      <c r="G866" s="326"/>
      <c r="H866" s="587">
        <f>SUM(H837:H865)</f>
        <v>0</v>
      </c>
      <c r="I866" s="580">
        <f>SUM(I837:I865)</f>
        <v>0</v>
      </c>
      <c r="J866" s="373"/>
    </row>
    <row r="867" spans="1:10" ht="35.25" customHeight="1" x14ac:dyDescent="0.25">
      <c r="A867" s="1051" t="s">
        <v>102</v>
      </c>
      <c r="B867" s="863"/>
      <c r="C867" s="279" t="s">
        <v>509</v>
      </c>
      <c r="D867" s="434" t="s">
        <v>238</v>
      </c>
      <c r="E867" s="280"/>
      <c r="F867" s="435">
        <f t="shared" si="171"/>
        <v>6200</v>
      </c>
      <c r="G867" s="803">
        <v>624.26</v>
      </c>
      <c r="H867" s="593">
        <f>E867*G867</f>
        <v>0</v>
      </c>
      <c r="I867" s="596">
        <f t="shared" ref="I867:I869" si="172">+G867*F867</f>
        <v>3870412</v>
      </c>
      <c r="J867" s="373"/>
    </row>
    <row r="868" spans="1:10" ht="35.25" customHeight="1" x14ac:dyDescent="0.25">
      <c r="A868" s="1052"/>
      <c r="B868" s="863"/>
      <c r="C868" s="279" t="s">
        <v>273</v>
      </c>
      <c r="D868" s="434" t="s">
        <v>238</v>
      </c>
      <c r="E868" s="280"/>
      <c r="F868" s="435">
        <f t="shared" si="171"/>
        <v>640</v>
      </c>
      <c r="G868" s="602">
        <v>430.02</v>
      </c>
      <c r="H868" s="593">
        <f t="shared" ref="H868:H889" si="173">E868*G868</f>
        <v>0</v>
      </c>
      <c r="I868" s="596">
        <f t="shared" si="172"/>
        <v>275212.79999999999</v>
      </c>
      <c r="J868" s="373"/>
    </row>
    <row r="869" spans="1:10" ht="35.25" customHeight="1" x14ac:dyDescent="0.25">
      <c r="A869" s="1052"/>
      <c r="B869" s="863"/>
      <c r="C869" s="279" t="s">
        <v>390</v>
      </c>
      <c r="D869" s="434" t="s">
        <v>238</v>
      </c>
      <c r="E869" s="280"/>
      <c r="F869" s="435">
        <f t="shared" si="171"/>
        <v>0</v>
      </c>
      <c r="G869" s="602">
        <v>445.38</v>
      </c>
      <c r="H869" s="593">
        <f t="shared" si="173"/>
        <v>0</v>
      </c>
      <c r="I869" s="596">
        <f t="shared" si="172"/>
        <v>0</v>
      </c>
      <c r="J869" s="373"/>
    </row>
    <row r="870" spans="1:10" ht="35.25" customHeight="1" x14ac:dyDescent="0.25">
      <c r="A870" s="1052"/>
      <c r="B870" s="863"/>
      <c r="C870" s="279" t="s">
        <v>301</v>
      </c>
      <c r="D870" s="434" t="s">
        <v>238</v>
      </c>
      <c r="E870" s="280"/>
      <c r="F870" s="435">
        <f t="shared" si="171"/>
        <v>8640</v>
      </c>
      <c r="G870" s="602">
        <v>63.55</v>
      </c>
      <c r="H870" s="593">
        <f t="shared" si="173"/>
        <v>0</v>
      </c>
      <c r="I870" s="596">
        <f>+G870*F870</f>
        <v>549072</v>
      </c>
      <c r="J870" s="373"/>
    </row>
    <row r="871" spans="1:10" ht="35.25" customHeight="1" x14ac:dyDescent="0.25">
      <c r="A871" s="1052"/>
      <c r="B871" s="863"/>
      <c r="C871" s="279" t="s">
        <v>514</v>
      </c>
      <c r="D871" s="434" t="s">
        <v>238</v>
      </c>
      <c r="E871" s="280">
        <v>3660</v>
      </c>
      <c r="F871" s="435">
        <f t="shared" si="171"/>
        <v>48300</v>
      </c>
      <c r="G871" s="602">
        <v>71.44</v>
      </c>
      <c r="H871" s="593">
        <f t="shared" si="173"/>
        <v>261470.4</v>
      </c>
      <c r="I871" s="596">
        <f>+G871*F871</f>
        <v>3450552</v>
      </c>
      <c r="J871" s="373"/>
    </row>
    <row r="872" spans="1:10" ht="35.25" customHeight="1" x14ac:dyDescent="0.25">
      <c r="A872" s="1052"/>
      <c r="B872" s="863"/>
      <c r="C872" s="279" t="s">
        <v>275</v>
      </c>
      <c r="D872" s="434" t="s">
        <v>238</v>
      </c>
      <c r="E872" s="280">
        <v>8400</v>
      </c>
      <c r="F872" s="435">
        <f t="shared" si="171"/>
        <v>42720</v>
      </c>
      <c r="G872" s="602">
        <v>71.44</v>
      </c>
      <c r="H872" s="593">
        <f t="shared" si="173"/>
        <v>600096</v>
      </c>
      <c r="I872" s="596">
        <f t="shared" ref="I872:I889" si="174">+G872*F872</f>
        <v>3051916.8</v>
      </c>
      <c r="J872" s="373"/>
    </row>
    <row r="873" spans="1:10" ht="35.25" customHeight="1" x14ac:dyDescent="0.25">
      <c r="A873" s="1052"/>
      <c r="B873" s="863"/>
      <c r="C873" s="279" t="s">
        <v>276</v>
      </c>
      <c r="D873" s="434" t="s">
        <v>238</v>
      </c>
      <c r="E873" s="280"/>
      <c r="F873" s="435">
        <f t="shared" si="171"/>
        <v>0</v>
      </c>
      <c r="G873" s="602">
        <v>36.5</v>
      </c>
      <c r="H873" s="593">
        <f t="shared" si="173"/>
        <v>0</v>
      </c>
      <c r="I873" s="596">
        <f t="shared" si="174"/>
        <v>0</v>
      </c>
      <c r="J873" s="373"/>
    </row>
    <row r="874" spans="1:10" ht="35.25" customHeight="1" x14ac:dyDescent="0.25">
      <c r="A874" s="1052"/>
      <c r="B874" s="863"/>
      <c r="C874" s="279" t="s">
        <v>527</v>
      </c>
      <c r="D874" s="434" t="s">
        <v>238</v>
      </c>
      <c r="E874" s="280"/>
      <c r="F874" s="435">
        <f t="shared" si="171"/>
        <v>2000</v>
      </c>
      <c r="G874" s="602">
        <v>320.35000000000002</v>
      </c>
      <c r="H874" s="593">
        <f t="shared" si="173"/>
        <v>0</v>
      </c>
      <c r="I874" s="596">
        <f t="shared" si="174"/>
        <v>640700</v>
      </c>
      <c r="J874" s="373"/>
    </row>
    <row r="875" spans="1:10" ht="35.25" customHeight="1" x14ac:dyDescent="0.25">
      <c r="A875" s="1052"/>
      <c r="B875" s="863"/>
      <c r="C875" s="279" t="s">
        <v>285</v>
      </c>
      <c r="D875" s="434" t="s">
        <v>238</v>
      </c>
      <c r="E875" s="280"/>
      <c r="F875" s="435">
        <f t="shared" si="171"/>
        <v>0</v>
      </c>
      <c r="G875" s="602">
        <v>320.35000000000002</v>
      </c>
      <c r="H875" s="593">
        <f t="shared" si="173"/>
        <v>0</v>
      </c>
      <c r="I875" s="596">
        <f t="shared" si="174"/>
        <v>0</v>
      </c>
      <c r="J875" s="373"/>
    </row>
    <row r="876" spans="1:10" ht="35.25" customHeight="1" x14ac:dyDescent="0.25">
      <c r="A876" s="1052"/>
      <c r="B876" s="863"/>
      <c r="C876" s="279" t="s">
        <v>296</v>
      </c>
      <c r="D876" s="434" t="s">
        <v>238</v>
      </c>
      <c r="E876" s="280"/>
      <c r="F876" s="435">
        <f t="shared" si="171"/>
        <v>0</v>
      </c>
      <c r="G876" s="602">
        <v>434.41</v>
      </c>
      <c r="H876" s="593">
        <f t="shared" si="173"/>
        <v>0</v>
      </c>
      <c r="I876" s="596">
        <f t="shared" si="174"/>
        <v>0</v>
      </c>
      <c r="J876" s="373"/>
    </row>
    <row r="877" spans="1:10" ht="35.25" customHeight="1" x14ac:dyDescent="0.25">
      <c r="A877" s="1052"/>
      <c r="B877" s="863"/>
      <c r="C877" s="279" t="s">
        <v>282</v>
      </c>
      <c r="D877" s="434" t="s">
        <v>238</v>
      </c>
      <c r="E877" s="280"/>
      <c r="F877" s="435">
        <f t="shared" si="171"/>
        <v>0</v>
      </c>
      <c r="G877" s="602">
        <v>29690</v>
      </c>
      <c r="H877" s="593">
        <f t="shared" si="173"/>
        <v>0</v>
      </c>
      <c r="I877" s="596">
        <f t="shared" si="174"/>
        <v>0</v>
      </c>
      <c r="J877" s="373"/>
    </row>
    <row r="878" spans="1:10" ht="35.25" customHeight="1" x14ac:dyDescent="0.25">
      <c r="A878" s="1052"/>
      <c r="B878" s="863"/>
      <c r="C878" s="279" t="s">
        <v>282</v>
      </c>
      <c r="D878" s="434" t="s">
        <v>238</v>
      </c>
      <c r="E878" s="280"/>
      <c r="F878" s="435">
        <f t="shared" si="171"/>
        <v>1</v>
      </c>
      <c r="G878" s="602">
        <v>26445</v>
      </c>
      <c r="H878" s="593">
        <f t="shared" si="173"/>
        <v>0</v>
      </c>
      <c r="I878" s="596">
        <f t="shared" si="174"/>
        <v>26445</v>
      </c>
      <c r="J878" s="373"/>
    </row>
    <row r="879" spans="1:10" ht="35.25" customHeight="1" x14ac:dyDescent="0.25">
      <c r="A879" s="1052"/>
      <c r="B879" s="863"/>
      <c r="C879" s="279" t="s">
        <v>282</v>
      </c>
      <c r="D879" s="434"/>
      <c r="E879" s="280"/>
      <c r="F879" s="435">
        <f t="shared" si="171"/>
        <v>0</v>
      </c>
      <c r="G879" s="602">
        <v>33947.884599999998</v>
      </c>
      <c r="H879" s="593">
        <f t="shared" si="173"/>
        <v>0</v>
      </c>
      <c r="I879" s="596">
        <f t="shared" si="174"/>
        <v>0</v>
      </c>
      <c r="J879" s="373"/>
    </row>
    <row r="880" spans="1:10" ht="35.25" customHeight="1" x14ac:dyDescent="0.25">
      <c r="A880" s="1052"/>
      <c r="B880" s="863"/>
      <c r="C880" s="279" t="s">
        <v>311</v>
      </c>
      <c r="D880" s="434" t="s">
        <v>337</v>
      </c>
      <c r="E880" s="280"/>
      <c r="F880" s="435">
        <f t="shared" si="171"/>
        <v>0</v>
      </c>
      <c r="G880" s="602">
        <v>50</v>
      </c>
      <c r="H880" s="593">
        <f t="shared" si="173"/>
        <v>0</v>
      </c>
      <c r="I880" s="596">
        <f t="shared" si="174"/>
        <v>0</v>
      </c>
      <c r="J880" s="373"/>
    </row>
    <row r="881" spans="1:10" ht="35.25" customHeight="1" x14ac:dyDescent="0.25">
      <c r="A881" s="1052"/>
      <c r="B881" s="863"/>
      <c r="C881" s="279" t="s">
        <v>311</v>
      </c>
      <c r="D881" s="434"/>
      <c r="E881" s="280"/>
      <c r="F881" s="435">
        <f t="shared" si="171"/>
        <v>0</v>
      </c>
      <c r="G881" s="602">
        <v>10</v>
      </c>
      <c r="H881" s="593">
        <f t="shared" si="173"/>
        <v>0</v>
      </c>
      <c r="I881" s="596">
        <f t="shared" si="174"/>
        <v>0</v>
      </c>
      <c r="J881" s="373"/>
    </row>
    <row r="882" spans="1:10" ht="35.25" customHeight="1" x14ac:dyDescent="0.25">
      <c r="A882" s="1052"/>
      <c r="B882" s="863"/>
      <c r="C882" s="279" t="s">
        <v>329</v>
      </c>
      <c r="D882" s="434" t="s">
        <v>370</v>
      </c>
      <c r="E882" s="280"/>
      <c r="F882" s="435">
        <f t="shared" si="171"/>
        <v>0</v>
      </c>
      <c r="G882" s="602">
        <v>57.64</v>
      </c>
      <c r="H882" s="593">
        <f t="shared" si="173"/>
        <v>0</v>
      </c>
      <c r="I882" s="596">
        <f t="shared" si="174"/>
        <v>0</v>
      </c>
      <c r="J882" s="373"/>
    </row>
    <row r="883" spans="1:10" ht="35.25" customHeight="1" x14ac:dyDescent="0.25">
      <c r="A883" s="1052"/>
      <c r="B883" s="863"/>
      <c r="C883" s="279" t="s">
        <v>329</v>
      </c>
      <c r="D883" s="434" t="s">
        <v>364</v>
      </c>
      <c r="E883" s="280"/>
      <c r="F883" s="435">
        <f t="shared" si="171"/>
        <v>0</v>
      </c>
      <c r="G883" s="602">
        <v>57.64</v>
      </c>
      <c r="H883" s="593">
        <f t="shared" si="173"/>
        <v>0</v>
      </c>
      <c r="I883" s="596">
        <f t="shared" si="174"/>
        <v>0</v>
      </c>
      <c r="J883" s="373"/>
    </row>
    <row r="884" spans="1:10" ht="35.25" customHeight="1" x14ac:dyDescent="0.25">
      <c r="A884" s="1052"/>
      <c r="B884" s="863"/>
      <c r="C884" s="279" t="s">
        <v>330</v>
      </c>
      <c r="D884" s="434" t="s">
        <v>331</v>
      </c>
      <c r="E884" s="280"/>
      <c r="F884" s="435">
        <f t="shared" si="171"/>
        <v>0</v>
      </c>
      <c r="G884" s="602">
        <v>434.41</v>
      </c>
      <c r="H884" s="593">
        <f t="shared" si="173"/>
        <v>0</v>
      </c>
      <c r="I884" s="596">
        <f t="shared" si="174"/>
        <v>0</v>
      </c>
      <c r="J884" s="373"/>
    </row>
    <row r="885" spans="1:10" ht="35.25" customHeight="1" x14ac:dyDescent="0.25">
      <c r="A885" s="1052"/>
      <c r="B885" s="863"/>
      <c r="C885" s="279" t="s">
        <v>343</v>
      </c>
      <c r="D885" s="434" t="s">
        <v>238</v>
      </c>
      <c r="E885" s="280"/>
      <c r="F885" s="435">
        <f t="shared" si="171"/>
        <v>0</v>
      </c>
      <c r="G885" s="602">
        <v>624.26</v>
      </c>
      <c r="H885" s="593">
        <f t="shared" si="173"/>
        <v>0</v>
      </c>
      <c r="I885" s="596">
        <f t="shared" si="174"/>
        <v>0</v>
      </c>
      <c r="J885" s="373"/>
    </row>
    <row r="886" spans="1:10" ht="35.25" customHeight="1" x14ac:dyDescent="0.25">
      <c r="A886" s="1052"/>
      <c r="B886" s="863"/>
      <c r="C886" s="279" t="s">
        <v>332</v>
      </c>
      <c r="D886" s="434" t="s">
        <v>331</v>
      </c>
      <c r="E886" s="280"/>
      <c r="F886" s="435">
        <f t="shared" si="171"/>
        <v>0</v>
      </c>
      <c r="G886" s="602">
        <v>63.55</v>
      </c>
      <c r="H886" s="593">
        <f t="shared" si="173"/>
        <v>0</v>
      </c>
      <c r="I886" s="596">
        <f t="shared" si="174"/>
        <v>0</v>
      </c>
      <c r="J886" s="373"/>
    </row>
    <row r="887" spans="1:10" ht="35.25" customHeight="1" x14ac:dyDescent="0.25">
      <c r="A887" s="1052"/>
      <c r="B887" s="863"/>
      <c r="C887" s="279" t="s">
        <v>371</v>
      </c>
      <c r="D887" s="434" t="s">
        <v>238</v>
      </c>
      <c r="E887" s="280"/>
      <c r="F887" s="435">
        <f t="shared" si="171"/>
        <v>0</v>
      </c>
      <c r="G887" s="602">
        <v>59.96</v>
      </c>
      <c r="H887" s="593">
        <f t="shared" si="173"/>
        <v>0</v>
      </c>
      <c r="I887" s="596">
        <f t="shared" si="174"/>
        <v>0</v>
      </c>
      <c r="J887" s="373"/>
    </row>
    <row r="888" spans="1:10" ht="35.25" customHeight="1" x14ac:dyDescent="0.25">
      <c r="A888" s="1052"/>
      <c r="B888" s="863"/>
      <c r="C888" s="279" t="s">
        <v>419</v>
      </c>
      <c r="D888" s="434" t="s">
        <v>331</v>
      </c>
      <c r="E888" s="280"/>
      <c r="F888" s="435">
        <f t="shared" si="171"/>
        <v>0</v>
      </c>
      <c r="G888" s="602">
        <v>53.86</v>
      </c>
      <c r="H888" s="593">
        <f t="shared" si="173"/>
        <v>0</v>
      </c>
      <c r="I888" s="596">
        <f t="shared" si="174"/>
        <v>0</v>
      </c>
      <c r="J888" s="373"/>
    </row>
    <row r="889" spans="1:10" ht="35.25" customHeight="1" x14ac:dyDescent="0.25">
      <c r="A889" s="1052"/>
      <c r="B889" s="863"/>
      <c r="C889" s="279" t="s">
        <v>379</v>
      </c>
      <c r="D889" s="434"/>
      <c r="E889" s="280"/>
      <c r="F889" s="435">
        <f t="shared" si="171"/>
        <v>0</v>
      </c>
      <c r="G889" s="602">
        <v>360</v>
      </c>
      <c r="H889" s="593">
        <f t="shared" si="173"/>
        <v>0</v>
      </c>
      <c r="I889" s="596">
        <f t="shared" si="174"/>
        <v>0</v>
      </c>
      <c r="J889" s="373"/>
    </row>
    <row r="890" spans="1:10" ht="35.25" customHeight="1" x14ac:dyDescent="0.25">
      <c r="A890" s="1052"/>
      <c r="B890" s="863"/>
      <c r="C890" s="279" t="s">
        <v>471</v>
      </c>
      <c r="D890" s="434"/>
      <c r="E890" s="280"/>
      <c r="F890" s="435">
        <f t="shared" si="171"/>
        <v>0</v>
      </c>
      <c r="G890" s="602"/>
      <c r="H890" s="593">
        <f>+E890</f>
        <v>0</v>
      </c>
      <c r="I890" s="596">
        <f>+H890</f>
        <v>0</v>
      </c>
      <c r="J890" s="373"/>
    </row>
    <row r="891" spans="1:10" ht="35.25" customHeight="1" x14ac:dyDescent="0.25">
      <c r="A891" s="1052"/>
      <c r="B891" s="863"/>
      <c r="C891" s="279" t="s">
        <v>282</v>
      </c>
      <c r="D891" s="434"/>
      <c r="E891" s="280"/>
      <c r="F891" s="435">
        <f t="shared" si="171"/>
        <v>0</v>
      </c>
      <c r="G891" s="602">
        <v>39450</v>
      </c>
      <c r="H891" s="593">
        <f t="shared" ref="H891:H892" si="175">E891*G891</f>
        <v>0</v>
      </c>
      <c r="I891" s="596">
        <f t="shared" ref="I891:I892" si="176">+G891*F891</f>
        <v>0</v>
      </c>
      <c r="J891" s="373"/>
    </row>
    <row r="892" spans="1:10" ht="35.25" customHeight="1" thickBot="1" x14ac:dyDescent="0.3">
      <c r="A892" s="1052"/>
      <c r="B892" s="863"/>
      <c r="C892" s="279" t="s">
        <v>329</v>
      </c>
      <c r="D892" s="434" t="s">
        <v>443</v>
      </c>
      <c r="E892" s="280"/>
      <c r="F892" s="435">
        <f t="shared" si="171"/>
        <v>0</v>
      </c>
      <c r="G892" s="602">
        <v>57.64</v>
      </c>
      <c r="H892" s="593">
        <f t="shared" si="175"/>
        <v>0</v>
      </c>
      <c r="I892" s="596">
        <f t="shared" si="176"/>
        <v>0</v>
      </c>
      <c r="J892" s="373"/>
    </row>
    <row r="893" spans="1:10" ht="35.25" customHeight="1" thickBot="1" x14ac:dyDescent="0.3">
      <c r="A893" s="1053"/>
      <c r="B893" s="1047" t="s">
        <v>270</v>
      </c>
      <c r="C893" s="1048"/>
      <c r="D893" s="865"/>
      <c r="E893" s="326">
        <f>SUM(E867:E892)</f>
        <v>12060</v>
      </c>
      <c r="F893" s="326">
        <f>SUM(F867:F892)</f>
        <v>108501</v>
      </c>
      <c r="G893" s="326"/>
      <c r="H893" s="590">
        <f>SUM(H867:H892)</f>
        <v>861566.4</v>
      </c>
      <c r="I893" s="580">
        <f>SUM(I867:I892)</f>
        <v>11864310.6</v>
      </c>
      <c r="J893" s="372"/>
    </row>
    <row r="894" spans="1:10" ht="35.25" customHeight="1" thickBot="1" x14ac:dyDescent="0.3">
      <c r="A894" s="868"/>
      <c r="B894" s="437"/>
      <c r="C894" s="279" t="s">
        <v>379</v>
      </c>
      <c r="D894" s="434"/>
      <c r="E894" s="280"/>
      <c r="F894" s="281">
        <f>+E894</f>
        <v>0</v>
      </c>
      <c r="G894" s="334"/>
      <c r="H894" s="589">
        <f t="shared" ref="H894" si="177">E894*G894</f>
        <v>0</v>
      </c>
      <c r="I894" s="282">
        <f t="shared" ref="I894" si="178">+G894*F894</f>
        <v>0</v>
      </c>
      <c r="J894" s="373"/>
    </row>
    <row r="895" spans="1:10" ht="35.25" customHeight="1" thickBot="1" x14ac:dyDescent="0.3">
      <c r="A895" s="868"/>
      <c r="B895" s="1047" t="s">
        <v>224</v>
      </c>
      <c r="C895" s="1048"/>
      <c r="D895" s="861"/>
      <c r="E895" s="326"/>
      <c r="F895" s="327"/>
      <c r="G895" s="326"/>
      <c r="H895" s="587"/>
      <c r="I895" s="324">
        <f>SUM(I894)</f>
        <v>0</v>
      </c>
      <c r="J895" s="349"/>
    </row>
    <row r="896" spans="1:10" ht="35.25" customHeight="1" thickBot="1" x14ac:dyDescent="0.3">
      <c r="A896" s="319"/>
      <c r="B896" s="1049" t="s">
        <v>174</v>
      </c>
      <c r="C896" s="1050"/>
      <c r="D896" s="862"/>
      <c r="E896" s="374">
        <f>+E893+E866+E836+E834</f>
        <v>44024</v>
      </c>
      <c r="F896" s="374">
        <f>+F893+F866+F836+F834</f>
        <v>729323</v>
      </c>
      <c r="G896" s="374"/>
      <c r="H896" s="374"/>
      <c r="I896" s="374">
        <f>+I893+I866+I836+I895</f>
        <v>22751090.280000001</v>
      </c>
      <c r="J896" s="375"/>
    </row>
    <row r="897" spans="1:10" ht="35.25" customHeight="1" x14ac:dyDescent="0.25">
      <c r="A897" s="978" t="s">
        <v>1</v>
      </c>
      <c r="B897" s="981" t="s">
        <v>2</v>
      </c>
      <c r="C897" s="1056" t="s">
        <v>396</v>
      </c>
      <c r="D897" s="1033" t="s">
        <v>397</v>
      </c>
      <c r="E897" s="1060" t="s">
        <v>542</v>
      </c>
      <c r="F897" s="988"/>
      <c r="G897" s="988"/>
      <c r="H897" s="988"/>
      <c r="I897" s="988"/>
      <c r="J897" s="989"/>
    </row>
    <row r="898" spans="1:10" ht="35.25" customHeight="1" x14ac:dyDescent="0.25">
      <c r="A898" s="1054"/>
      <c r="B898" s="1055"/>
      <c r="C898" s="1057"/>
      <c r="D898" s="1034"/>
      <c r="E898" s="1061" t="s">
        <v>412</v>
      </c>
      <c r="F898" s="1062"/>
      <c r="G898" s="1061" t="s">
        <v>411</v>
      </c>
      <c r="H898" s="1063"/>
      <c r="I898" s="1063"/>
      <c r="J898" s="1062"/>
    </row>
    <row r="899" spans="1:10" ht="35.25" customHeight="1" x14ac:dyDescent="0.25">
      <c r="A899" s="979"/>
      <c r="B899" s="982"/>
      <c r="C899" s="1058"/>
      <c r="D899" s="1034"/>
      <c r="E899" s="990" t="s">
        <v>413</v>
      </c>
      <c r="F899" s="992" t="s">
        <v>414</v>
      </c>
      <c r="G899" s="1065" t="s">
        <v>90</v>
      </c>
      <c r="H899" s="1067" t="s">
        <v>91</v>
      </c>
      <c r="I899" s="1067" t="s">
        <v>91</v>
      </c>
      <c r="J899" s="1069" t="s">
        <v>12</v>
      </c>
    </row>
    <row r="900" spans="1:10" ht="35.25" customHeight="1" thickBot="1" x14ac:dyDescent="0.3">
      <c r="A900" s="980"/>
      <c r="B900" s="983"/>
      <c r="C900" s="1059"/>
      <c r="D900" s="1035"/>
      <c r="E900" s="991"/>
      <c r="F900" s="1064"/>
      <c r="G900" s="1066"/>
      <c r="H900" s="1068"/>
      <c r="I900" s="1068"/>
      <c r="J900" s="1070"/>
    </row>
    <row r="901" spans="1:10" ht="35.25" customHeight="1" x14ac:dyDescent="0.25">
      <c r="A901" s="1051" t="s">
        <v>103</v>
      </c>
      <c r="B901" s="439"/>
      <c r="C901" s="577" t="s">
        <v>538</v>
      </c>
      <c r="D901" s="665" t="s">
        <v>539</v>
      </c>
      <c r="E901" s="699"/>
      <c r="F901" s="674">
        <f>+E901+F807</f>
        <v>1024</v>
      </c>
      <c r="G901" s="732">
        <v>109.77</v>
      </c>
      <c r="H901" s="591">
        <f t="shared" ref="H901:H915" si="179">E901*G901</f>
        <v>0</v>
      </c>
      <c r="I901" s="594">
        <f>+G901*F901</f>
        <v>112404.48</v>
      </c>
      <c r="J901" s="351"/>
    </row>
    <row r="902" spans="1:10" ht="35.25" customHeight="1" x14ac:dyDescent="0.25">
      <c r="A902" s="1052"/>
      <c r="B902" s="438"/>
      <c r="C902" s="441" t="s">
        <v>264</v>
      </c>
      <c r="D902" s="666" t="s">
        <v>265</v>
      </c>
      <c r="E902" s="700"/>
      <c r="F902" s="701">
        <f t="shared" ref="F902:F915" si="180">+E902+F808</f>
        <v>0</v>
      </c>
      <c r="G902" s="697">
        <v>11</v>
      </c>
      <c r="H902" s="592">
        <f t="shared" si="179"/>
        <v>0</v>
      </c>
      <c r="I902" s="595">
        <f>+G902*F902</f>
        <v>0</v>
      </c>
      <c r="J902" s="352"/>
    </row>
    <row r="903" spans="1:10" ht="35.25" customHeight="1" x14ac:dyDescent="0.25">
      <c r="A903" s="1052"/>
      <c r="B903" s="438"/>
      <c r="C903" s="441" t="s">
        <v>295</v>
      </c>
      <c r="D903" s="666" t="s">
        <v>453</v>
      </c>
      <c r="E903" s="700"/>
      <c r="F903" s="701">
        <f t="shared" si="180"/>
        <v>640</v>
      </c>
      <c r="G903" s="697">
        <v>139.04</v>
      </c>
      <c r="H903" s="592">
        <f t="shared" si="179"/>
        <v>0</v>
      </c>
      <c r="I903" s="595">
        <f t="shared" ref="I903:I915" si="181">+G903*F903</f>
        <v>88985.599999999991</v>
      </c>
      <c r="J903" s="352"/>
    </row>
    <row r="904" spans="1:10" ht="35.25" customHeight="1" x14ac:dyDescent="0.25">
      <c r="A904" s="1052"/>
      <c r="B904" s="438"/>
      <c r="C904" s="441" t="s">
        <v>531</v>
      </c>
      <c r="D904" s="666" t="s">
        <v>529</v>
      </c>
      <c r="E904" s="700"/>
      <c r="F904" s="701">
        <f t="shared" si="180"/>
        <v>12240</v>
      </c>
      <c r="G904" s="715">
        <v>20.66</v>
      </c>
      <c r="H904" s="592">
        <f t="shared" si="179"/>
        <v>0</v>
      </c>
      <c r="I904" s="595">
        <f t="shared" si="181"/>
        <v>252878.4</v>
      </c>
      <c r="J904" s="352"/>
    </row>
    <row r="905" spans="1:10" ht="35.25" customHeight="1" x14ac:dyDescent="0.25">
      <c r="A905" s="1052"/>
      <c r="B905" s="438"/>
      <c r="C905" s="441" t="s">
        <v>288</v>
      </c>
      <c r="D905" s="666" t="s">
        <v>177</v>
      </c>
      <c r="E905" s="700"/>
      <c r="F905" s="701">
        <f t="shared" si="180"/>
        <v>0</v>
      </c>
      <c r="G905" s="697">
        <v>14.79</v>
      </c>
      <c r="H905" s="592">
        <f t="shared" si="179"/>
        <v>0</v>
      </c>
      <c r="I905" s="595">
        <f t="shared" si="181"/>
        <v>0</v>
      </c>
      <c r="J905" s="352"/>
    </row>
    <row r="906" spans="1:10" ht="35.25" customHeight="1" x14ac:dyDescent="0.25">
      <c r="A906" s="1052"/>
      <c r="B906" s="438"/>
      <c r="C906" s="441" t="s">
        <v>295</v>
      </c>
      <c r="D906" s="666" t="s">
        <v>265</v>
      </c>
      <c r="E906" s="700"/>
      <c r="F906" s="701">
        <f t="shared" si="180"/>
        <v>5120</v>
      </c>
      <c r="G906" s="697">
        <v>139.04</v>
      </c>
      <c r="H906" s="592">
        <f t="shared" si="179"/>
        <v>0</v>
      </c>
      <c r="I906" s="595">
        <f t="shared" si="181"/>
        <v>711884.79999999993</v>
      </c>
      <c r="J906" s="352"/>
    </row>
    <row r="907" spans="1:10" ht="35.25" customHeight="1" x14ac:dyDescent="0.25">
      <c r="A907" s="1052"/>
      <c r="B907" s="438"/>
      <c r="C907" s="441" t="s">
        <v>537</v>
      </c>
      <c r="D907" s="666" t="s">
        <v>265</v>
      </c>
      <c r="E907" s="700"/>
      <c r="F907" s="701">
        <f t="shared" si="180"/>
        <v>640</v>
      </c>
      <c r="G907" s="697">
        <v>135.96</v>
      </c>
      <c r="H907" s="592">
        <f t="shared" si="179"/>
        <v>0</v>
      </c>
      <c r="I907" s="595">
        <f t="shared" si="181"/>
        <v>87014.400000000009</v>
      </c>
      <c r="J907" s="352"/>
    </row>
    <row r="908" spans="1:10" ht="35.25" customHeight="1" x14ac:dyDescent="0.25">
      <c r="A908" s="1052"/>
      <c r="B908" s="438"/>
      <c r="C908" s="441" t="s">
        <v>313</v>
      </c>
      <c r="D908" s="667" t="s">
        <v>265</v>
      </c>
      <c r="E908" s="700"/>
      <c r="F908" s="701">
        <f t="shared" si="180"/>
        <v>48960</v>
      </c>
      <c r="G908" s="697">
        <v>18.84</v>
      </c>
      <c r="H908" s="592">
        <f t="shared" si="179"/>
        <v>0</v>
      </c>
      <c r="I908" s="595">
        <f t="shared" si="181"/>
        <v>922406.40000000002</v>
      </c>
      <c r="J908" s="352"/>
    </row>
    <row r="909" spans="1:10" ht="35.25" customHeight="1" x14ac:dyDescent="0.25">
      <c r="A909" s="1052"/>
      <c r="B909" s="438"/>
      <c r="C909" s="441" t="s">
        <v>322</v>
      </c>
      <c r="D909" s="667" t="s">
        <v>232</v>
      </c>
      <c r="E909" s="700"/>
      <c r="F909" s="701">
        <f t="shared" si="180"/>
        <v>0</v>
      </c>
      <c r="G909" s="697">
        <v>21.18</v>
      </c>
      <c r="H909" s="592">
        <f t="shared" si="179"/>
        <v>0</v>
      </c>
      <c r="I909" s="595">
        <f t="shared" si="181"/>
        <v>0</v>
      </c>
      <c r="J909" s="352"/>
    </row>
    <row r="910" spans="1:10" ht="35.25" customHeight="1" x14ac:dyDescent="0.25">
      <c r="A910" s="1052"/>
      <c r="B910" s="438"/>
      <c r="C910" s="441" t="s">
        <v>324</v>
      </c>
      <c r="D910" s="667" t="s">
        <v>325</v>
      </c>
      <c r="E910" s="700"/>
      <c r="F910" s="701">
        <f t="shared" si="180"/>
        <v>0</v>
      </c>
      <c r="G910" s="697">
        <v>21.28</v>
      </c>
      <c r="H910" s="592">
        <f t="shared" si="179"/>
        <v>0</v>
      </c>
      <c r="I910" s="595">
        <f t="shared" si="181"/>
        <v>0</v>
      </c>
      <c r="J910" s="352"/>
    </row>
    <row r="911" spans="1:10" ht="35.25" customHeight="1" x14ac:dyDescent="0.25">
      <c r="A911" s="1052"/>
      <c r="B911" s="438"/>
      <c r="C911" s="441" t="s">
        <v>378</v>
      </c>
      <c r="D911" s="667" t="s">
        <v>374</v>
      </c>
      <c r="E911" s="700"/>
      <c r="F911" s="701">
        <f t="shared" si="180"/>
        <v>0</v>
      </c>
      <c r="G911" s="697">
        <v>143.28</v>
      </c>
      <c r="H911" s="592">
        <f t="shared" si="179"/>
        <v>0</v>
      </c>
      <c r="I911" s="595">
        <f t="shared" si="181"/>
        <v>0</v>
      </c>
      <c r="J911" s="352"/>
    </row>
    <row r="912" spans="1:10" ht="35.25" customHeight="1" x14ac:dyDescent="0.25">
      <c r="A912" s="1052"/>
      <c r="B912" s="438"/>
      <c r="C912" s="441" t="s">
        <v>472</v>
      </c>
      <c r="D912" s="667"/>
      <c r="E912" s="700"/>
      <c r="F912" s="701">
        <f t="shared" si="180"/>
        <v>0</v>
      </c>
      <c r="G912" s="697">
        <v>14.79</v>
      </c>
      <c r="H912" s="592">
        <f t="shared" si="179"/>
        <v>0</v>
      </c>
      <c r="I912" s="595">
        <f t="shared" si="181"/>
        <v>0</v>
      </c>
      <c r="J912" s="352"/>
    </row>
    <row r="913" spans="1:10" ht="35.25" customHeight="1" x14ac:dyDescent="0.25">
      <c r="A913" s="1052"/>
      <c r="B913" s="438"/>
      <c r="C913" s="441" t="s">
        <v>451</v>
      </c>
      <c r="D913" s="666" t="s">
        <v>177</v>
      </c>
      <c r="E913" s="700"/>
      <c r="F913" s="701">
        <f t="shared" si="180"/>
        <v>498432</v>
      </c>
      <c r="G913" s="697">
        <v>14.55</v>
      </c>
      <c r="H913" s="592">
        <f t="shared" si="179"/>
        <v>0</v>
      </c>
      <c r="I913" s="595">
        <f t="shared" si="181"/>
        <v>7252185.6000000006</v>
      </c>
      <c r="J913" s="352"/>
    </row>
    <row r="914" spans="1:10" ht="35.25" customHeight="1" x14ac:dyDescent="0.25">
      <c r="A914" s="1052"/>
      <c r="B914" s="438"/>
      <c r="C914" s="441" t="s">
        <v>327</v>
      </c>
      <c r="D914" s="667" t="s">
        <v>188</v>
      </c>
      <c r="E914" s="700"/>
      <c r="F914" s="701">
        <f t="shared" si="180"/>
        <v>0</v>
      </c>
      <c r="G914" s="697">
        <v>21.28</v>
      </c>
      <c r="H914" s="592">
        <f t="shared" si="179"/>
        <v>0</v>
      </c>
      <c r="I914" s="595">
        <f t="shared" si="181"/>
        <v>0</v>
      </c>
      <c r="J914" s="352"/>
    </row>
    <row r="915" spans="1:10" ht="35.25" customHeight="1" thickBot="1" x14ac:dyDescent="0.3">
      <c r="A915" s="1052"/>
      <c r="B915" s="438"/>
      <c r="C915" s="441" t="s">
        <v>336</v>
      </c>
      <c r="D915" s="668" t="s">
        <v>178</v>
      </c>
      <c r="E915" s="700"/>
      <c r="F915" s="676">
        <f t="shared" si="180"/>
        <v>0</v>
      </c>
      <c r="G915" s="697">
        <v>36.44</v>
      </c>
      <c r="H915" s="592">
        <f t="shared" si="179"/>
        <v>0</v>
      </c>
      <c r="I915" s="595">
        <f t="shared" si="181"/>
        <v>0</v>
      </c>
      <c r="J915" s="352"/>
    </row>
    <row r="916" spans="1:10" ht="35.25" customHeight="1" thickBot="1" x14ac:dyDescent="0.3">
      <c r="A916" s="1052"/>
      <c r="B916" s="1047" t="s">
        <v>266</v>
      </c>
      <c r="C916" s="1048"/>
      <c r="D916" s="889"/>
      <c r="E916" s="326">
        <f>SUM(E901:E915)</f>
        <v>0</v>
      </c>
      <c r="F916" s="698">
        <f>SUM(F901:F915)</f>
        <v>567056</v>
      </c>
      <c r="G916" s="326"/>
      <c r="H916" s="587">
        <f>SUM(H901:H915)</f>
        <v>0</v>
      </c>
      <c r="I916" s="580">
        <f>SUM(I901:I915)</f>
        <v>9427759.6799999997</v>
      </c>
      <c r="J916" s="349"/>
    </row>
    <row r="917" spans="1:10" ht="35.25" customHeight="1" x14ac:dyDescent="0.25">
      <c r="A917" s="1052"/>
      <c r="B917" s="887"/>
      <c r="C917" s="279" t="s">
        <v>271</v>
      </c>
      <c r="D917" s="434" t="s">
        <v>238</v>
      </c>
      <c r="E917" s="280"/>
      <c r="F917" s="435">
        <f>+E917+F823</f>
        <v>0</v>
      </c>
      <c r="G917" s="578">
        <v>160.44999999999999</v>
      </c>
      <c r="H917" s="593">
        <f t="shared" ref="H917:H922" si="182">E917*G917</f>
        <v>0</v>
      </c>
      <c r="I917" s="596">
        <f t="shared" ref="I917:I922" si="183">+G917*F917</f>
        <v>0</v>
      </c>
      <c r="J917" s="373"/>
    </row>
    <row r="918" spans="1:10" ht="35.25" customHeight="1" x14ac:dyDescent="0.25">
      <c r="A918" s="1052"/>
      <c r="B918" s="887"/>
      <c r="C918" s="279" t="s">
        <v>287</v>
      </c>
      <c r="D918" s="434" t="s">
        <v>93</v>
      </c>
      <c r="E918" s="280"/>
      <c r="F918" s="435">
        <f t="shared" ref="F918:F922" si="184">+E918+F824</f>
        <v>53760</v>
      </c>
      <c r="G918" s="578">
        <v>27</v>
      </c>
      <c r="H918" s="593">
        <f t="shared" si="182"/>
        <v>0</v>
      </c>
      <c r="I918" s="596">
        <f t="shared" si="183"/>
        <v>1451520</v>
      </c>
      <c r="J918" s="373"/>
    </row>
    <row r="919" spans="1:10" ht="35.25" customHeight="1" x14ac:dyDescent="0.25">
      <c r="A919" s="1052"/>
      <c r="B919" s="887"/>
      <c r="C919" s="279" t="s">
        <v>287</v>
      </c>
      <c r="D919" s="434" t="s">
        <v>292</v>
      </c>
      <c r="E919" s="280"/>
      <c r="F919" s="435">
        <f t="shared" si="184"/>
        <v>0</v>
      </c>
      <c r="G919" s="578">
        <v>27.5</v>
      </c>
      <c r="H919" s="593">
        <f t="shared" si="182"/>
        <v>0</v>
      </c>
      <c r="I919" s="596">
        <f t="shared" si="183"/>
        <v>0</v>
      </c>
      <c r="J919" s="373"/>
    </row>
    <row r="920" spans="1:10" ht="35.25" customHeight="1" x14ac:dyDescent="0.25">
      <c r="A920" s="1052"/>
      <c r="B920" s="887"/>
      <c r="C920" s="279" t="s">
        <v>276</v>
      </c>
      <c r="D920" s="434" t="s">
        <v>292</v>
      </c>
      <c r="E920" s="280"/>
      <c r="F920" s="435">
        <f t="shared" si="184"/>
        <v>0</v>
      </c>
      <c r="G920" s="578">
        <v>34.5</v>
      </c>
      <c r="H920" s="593">
        <f t="shared" si="182"/>
        <v>0</v>
      </c>
      <c r="I920" s="596">
        <f t="shared" si="183"/>
        <v>0</v>
      </c>
      <c r="J920" s="373"/>
    </row>
    <row r="921" spans="1:10" ht="35.25" customHeight="1" x14ac:dyDescent="0.25">
      <c r="A921" s="1052"/>
      <c r="B921" s="887"/>
      <c r="C921" s="279" t="s">
        <v>473</v>
      </c>
      <c r="D921" s="434" t="s">
        <v>440</v>
      </c>
      <c r="E921" s="280">
        <v>31200</v>
      </c>
      <c r="F921" s="435">
        <f t="shared" si="184"/>
        <v>31200</v>
      </c>
      <c r="G921" s="578">
        <v>10.57</v>
      </c>
      <c r="H921" s="593">
        <f t="shared" si="182"/>
        <v>329784</v>
      </c>
      <c r="I921" s="596">
        <f t="shared" si="183"/>
        <v>329784</v>
      </c>
      <c r="J921" s="373"/>
    </row>
    <row r="922" spans="1:10" ht="35.25" customHeight="1" thickBot="1" x14ac:dyDescent="0.3">
      <c r="A922" s="1052"/>
      <c r="B922" s="887"/>
      <c r="C922" s="279" t="s">
        <v>276</v>
      </c>
      <c r="D922" s="434" t="s">
        <v>440</v>
      </c>
      <c r="E922" s="280">
        <v>26</v>
      </c>
      <c r="F922" s="435">
        <f t="shared" si="184"/>
        <v>26</v>
      </c>
      <c r="G922" s="578">
        <v>55.76</v>
      </c>
      <c r="H922" s="593">
        <f t="shared" si="182"/>
        <v>1449.76</v>
      </c>
      <c r="I922" s="596">
        <f t="shared" si="183"/>
        <v>1449.76</v>
      </c>
      <c r="J922" s="373"/>
    </row>
    <row r="923" spans="1:10" ht="35.25" customHeight="1" thickBot="1" x14ac:dyDescent="0.3">
      <c r="A923" s="1052"/>
      <c r="B923" s="1047" t="s">
        <v>267</v>
      </c>
      <c r="C923" s="1048"/>
      <c r="D923" s="889"/>
      <c r="E923" s="326">
        <f>SUM(E917:E922)</f>
        <v>31226</v>
      </c>
      <c r="F923" s="326">
        <f>SUM(F917:F922)</f>
        <v>84986</v>
      </c>
      <c r="G923" s="326"/>
      <c r="H923" s="587">
        <f>SUM(H917:H922)</f>
        <v>331233.76</v>
      </c>
      <c r="I923" s="580">
        <f>SUM(I917:I922)</f>
        <v>1782753.76</v>
      </c>
      <c r="J923" s="349"/>
    </row>
    <row r="924" spans="1:10" ht="35.25" customHeight="1" x14ac:dyDescent="0.25">
      <c r="A924" s="1052"/>
      <c r="B924" s="887"/>
      <c r="C924" s="279" t="s">
        <v>277</v>
      </c>
      <c r="D924" s="434" t="s">
        <v>278</v>
      </c>
      <c r="E924" s="280">
        <v>2</v>
      </c>
      <c r="F924" s="435">
        <f>+E924+F830</f>
        <v>5</v>
      </c>
      <c r="G924" s="578">
        <v>2500</v>
      </c>
      <c r="H924" s="593">
        <f t="shared" ref="H924:H927" si="185">E924*G924</f>
        <v>5000</v>
      </c>
      <c r="I924" s="596">
        <f>+G924*F924</f>
        <v>12500</v>
      </c>
      <c r="J924" s="373"/>
    </row>
    <row r="925" spans="1:10" ht="35.25" customHeight="1" x14ac:dyDescent="0.25">
      <c r="A925" s="1052"/>
      <c r="B925" s="887"/>
      <c r="C925" s="279" t="s">
        <v>454</v>
      </c>
      <c r="D925" s="434"/>
      <c r="E925" s="280"/>
      <c r="F925" s="435">
        <f t="shared" ref="F925:F927" si="186">+E925+F831</f>
        <v>0</v>
      </c>
      <c r="G925" s="578">
        <v>30000</v>
      </c>
      <c r="H925" s="593">
        <f t="shared" si="185"/>
        <v>0</v>
      </c>
      <c r="I925" s="596">
        <f>+G925*F925</f>
        <v>0</v>
      </c>
      <c r="J925" s="373"/>
    </row>
    <row r="926" spans="1:10" ht="35.25" customHeight="1" x14ac:dyDescent="0.25">
      <c r="A926" s="1052"/>
      <c r="B926" s="887"/>
      <c r="C926" s="279" t="s">
        <v>379</v>
      </c>
      <c r="D926" s="434" t="s">
        <v>304</v>
      </c>
      <c r="E926" s="280"/>
      <c r="F926" s="435">
        <f t="shared" si="186"/>
        <v>0</v>
      </c>
      <c r="G926" s="578">
        <v>360</v>
      </c>
      <c r="H926" s="593">
        <f t="shared" si="185"/>
        <v>0</v>
      </c>
      <c r="I926" s="596">
        <f>+G926*F926</f>
        <v>0</v>
      </c>
      <c r="J926" s="373"/>
    </row>
    <row r="927" spans="1:10" ht="35.25" customHeight="1" thickBot="1" x14ac:dyDescent="0.3">
      <c r="A927" s="1052"/>
      <c r="B927" s="887"/>
      <c r="C927" s="279" t="s">
        <v>427</v>
      </c>
      <c r="D927" s="434" t="s">
        <v>304</v>
      </c>
      <c r="E927" s="280"/>
      <c r="F927" s="435">
        <f t="shared" si="186"/>
        <v>0</v>
      </c>
      <c r="G927" s="579">
        <v>10</v>
      </c>
      <c r="H927" s="593">
        <f t="shared" si="185"/>
        <v>0</v>
      </c>
      <c r="I927" s="596">
        <f t="shared" ref="I927" si="187">+G927*F927</f>
        <v>0</v>
      </c>
      <c r="J927" s="373"/>
    </row>
    <row r="928" spans="1:10" ht="35.25" customHeight="1" thickBot="1" x14ac:dyDescent="0.3">
      <c r="A928" s="1052"/>
      <c r="B928" s="1047" t="s">
        <v>272</v>
      </c>
      <c r="C928" s="1048"/>
      <c r="D928" s="889"/>
      <c r="E928" s="326">
        <f>SUM(E924:E927)</f>
        <v>2</v>
      </c>
      <c r="F928" s="326">
        <f>SUM(F924:F927)</f>
        <v>5</v>
      </c>
      <c r="G928" s="326"/>
      <c r="H928" s="587">
        <f>SUM(H924:H927)</f>
        <v>5000</v>
      </c>
      <c r="I928" s="580">
        <f>SUM(I924:I927)</f>
        <v>12500</v>
      </c>
      <c r="J928" s="373"/>
    </row>
    <row r="929" spans="1:13" ht="35.25" customHeight="1" thickBot="1" x14ac:dyDescent="0.3">
      <c r="A929" s="1052"/>
      <c r="B929" s="887"/>
      <c r="C929" s="279"/>
      <c r="D929" s="434"/>
      <c r="E929" s="280"/>
      <c r="F929" s="317"/>
      <c r="G929" s="579"/>
      <c r="H929" s="588"/>
      <c r="I929" s="282"/>
      <c r="J929" s="373"/>
    </row>
    <row r="930" spans="1:13" ht="35.25" customHeight="1" thickBot="1" x14ac:dyDescent="0.3">
      <c r="A930" s="1053"/>
      <c r="B930" s="1047" t="s">
        <v>269</v>
      </c>
      <c r="C930" s="1048"/>
      <c r="D930" s="885"/>
      <c r="E930" s="326">
        <f>+E928+E923+E916</f>
        <v>31228</v>
      </c>
      <c r="F930" s="326">
        <f>+F928+F923+F916</f>
        <v>652047</v>
      </c>
      <c r="G930" s="326"/>
      <c r="H930" s="580">
        <f>+H923+H916+H928</f>
        <v>336233.76</v>
      </c>
      <c r="I930" s="580">
        <f>+I923+I916+I928</f>
        <v>11223013.439999999</v>
      </c>
      <c r="J930" s="373"/>
      <c r="K930" s="704"/>
      <c r="M930" s="704"/>
    </row>
    <row r="931" spans="1:13" ht="35.25" customHeight="1" x14ac:dyDescent="0.25">
      <c r="A931" s="1051" t="s">
        <v>101</v>
      </c>
      <c r="B931" s="887"/>
      <c r="C931" s="279" t="s">
        <v>281</v>
      </c>
      <c r="D931" s="434" t="s">
        <v>178</v>
      </c>
      <c r="E931" s="280"/>
      <c r="F931" s="435">
        <f>+E931+F837</f>
        <v>0</v>
      </c>
      <c r="G931" s="602">
        <v>13.25</v>
      </c>
      <c r="H931" s="597">
        <f t="shared" ref="H931:H959" si="188">E931*G931</f>
        <v>0</v>
      </c>
      <c r="I931" s="596">
        <f t="shared" ref="I931:I959" si="189">+G931*F931</f>
        <v>0</v>
      </c>
      <c r="J931" s="373"/>
      <c r="K931" s="704"/>
    </row>
    <row r="932" spans="1:13" ht="35.25" customHeight="1" x14ac:dyDescent="0.25">
      <c r="A932" s="1052"/>
      <c r="B932" s="887"/>
      <c r="C932" s="279" t="s">
        <v>282</v>
      </c>
      <c r="D932" s="434"/>
      <c r="E932" s="280"/>
      <c r="F932" s="435">
        <f t="shared" ref="F932:F986" si="190">+E932+F838</f>
        <v>0</v>
      </c>
      <c r="G932" s="603">
        <v>5000</v>
      </c>
      <c r="H932" s="597">
        <f t="shared" si="188"/>
        <v>0</v>
      </c>
      <c r="I932" s="596">
        <f t="shared" si="189"/>
        <v>0</v>
      </c>
      <c r="J932" s="373"/>
      <c r="K932" s="704"/>
    </row>
    <row r="933" spans="1:13" ht="35.25" customHeight="1" x14ac:dyDescent="0.25">
      <c r="A933" s="1052"/>
      <c r="B933" s="887"/>
      <c r="C933" s="279" t="s">
        <v>282</v>
      </c>
      <c r="D933" s="434"/>
      <c r="E933" s="280"/>
      <c r="F933" s="435">
        <f t="shared" si="190"/>
        <v>0</v>
      </c>
      <c r="G933" s="603">
        <v>18000</v>
      </c>
      <c r="H933" s="597">
        <f t="shared" si="188"/>
        <v>0</v>
      </c>
      <c r="I933" s="596">
        <f t="shared" si="189"/>
        <v>0</v>
      </c>
      <c r="J933" s="373"/>
    </row>
    <row r="934" spans="1:13" ht="35.25" customHeight="1" x14ac:dyDescent="0.25">
      <c r="A934" s="1052"/>
      <c r="B934" s="887"/>
      <c r="C934" s="279" t="s">
        <v>465</v>
      </c>
      <c r="D934" s="434" t="s">
        <v>338</v>
      </c>
      <c r="E934" s="280"/>
      <c r="F934" s="435">
        <f t="shared" si="190"/>
        <v>0</v>
      </c>
      <c r="G934" s="602">
        <v>24.93</v>
      </c>
      <c r="H934" s="597">
        <f t="shared" si="188"/>
        <v>0</v>
      </c>
      <c r="I934" s="596">
        <f t="shared" si="189"/>
        <v>0</v>
      </c>
      <c r="J934" s="373"/>
    </row>
    <row r="935" spans="1:13" ht="35.25" customHeight="1" x14ac:dyDescent="0.25">
      <c r="A935" s="1052"/>
      <c r="B935" s="887"/>
      <c r="C935" s="746" t="s">
        <v>466</v>
      </c>
      <c r="D935" s="747" t="s">
        <v>92</v>
      </c>
      <c r="E935" s="280"/>
      <c r="F935" s="435">
        <f t="shared" si="190"/>
        <v>0</v>
      </c>
      <c r="G935" s="602">
        <v>20.8</v>
      </c>
      <c r="H935" s="597">
        <f t="shared" si="188"/>
        <v>0</v>
      </c>
      <c r="I935" s="596">
        <f t="shared" si="189"/>
        <v>0</v>
      </c>
      <c r="J935" s="373"/>
    </row>
    <row r="936" spans="1:13" ht="35.25" customHeight="1" x14ac:dyDescent="0.25">
      <c r="A936" s="1052"/>
      <c r="B936" s="887"/>
      <c r="C936" s="746" t="s">
        <v>467</v>
      </c>
      <c r="D936" s="747" t="s">
        <v>468</v>
      </c>
      <c r="E936" s="280"/>
      <c r="F936" s="435">
        <f t="shared" si="190"/>
        <v>0</v>
      </c>
      <c r="G936" s="602">
        <v>24.93</v>
      </c>
      <c r="H936" s="597">
        <f t="shared" si="188"/>
        <v>0</v>
      </c>
      <c r="I936" s="596">
        <f t="shared" si="189"/>
        <v>0</v>
      </c>
      <c r="J936" s="373"/>
    </row>
    <row r="937" spans="1:13" ht="35.25" customHeight="1" x14ac:dyDescent="0.25">
      <c r="A937" s="1052"/>
      <c r="B937" s="887"/>
      <c r="C937" s="746" t="s">
        <v>467</v>
      </c>
      <c r="D937" s="747" t="s">
        <v>468</v>
      </c>
      <c r="E937" s="280"/>
      <c r="F937" s="435">
        <f t="shared" si="190"/>
        <v>0</v>
      </c>
      <c r="G937" s="602">
        <v>25.49</v>
      </c>
      <c r="H937" s="597">
        <f t="shared" si="188"/>
        <v>0</v>
      </c>
      <c r="I937" s="596">
        <f t="shared" si="189"/>
        <v>0</v>
      </c>
      <c r="J937" s="373"/>
    </row>
    <row r="938" spans="1:13" s="757" customFormat="1" ht="35.25" customHeight="1" x14ac:dyDescent="0.25">
      <c r="A938" s="1052"/>
      <c r="B938" s="748"/>
      <c r="C938" s="749" t="s">
        <v>469</v>
      </c>
      <c r="D938" s="750" t="s">
        <v>309</v>
      </c>
      <c r="E938" s="751"/>
      <c r="F938" s="752">
        <f t="shared" si="190"/>
        <v>0</v>
      </c>
      <c r="G938" s="753">
        <v>24.41</v>
      </c>
      <c r="H938" s="754">
        <f t="shared" si="188"/>
        <v>0</v>
      </c>
      <c r="I938" s="755">
        <f t="shared" si="189"/>
        <v>0</v>
      </c>
      <c r="J938" s="756"/>
    </row>
    <row r="939" spans="1:13" ht="35.25" customHeight="1" x14ac:dyDescent="0.25">
      <c r="A939" s="1052"/>
      <c r="B939" s="887"/>
      <c r="C939" s="279" t="s">
        <v>444</v>
      </c>
      <c r="D939" s="434" t="s">
        <v>423</v>
      </c>
      <c r="E939" s="280"/>
      <c r="F939" s="435">
        <f t="shared" si="190"/>
        <v>0</v>
      </c>
      <c r="G939" s="602">
        <v>20.76</v>
      </c>
      <c r="H939" s="597">
        <f t="shared" si="188"/>
        <v>0</v>
      </c>
      <c r="I939" s="596">
        <f t="shared" si="189"/>
        <v>0</v>
      </c>
      <c r="J939" s="373"/>
    </row>
    <row r="940" spans="1:13" ht="35.25" customHeight="1" x14ac:dyDescent="0.25">
      <c r="A940" s="1052"/>
      <c r="B940" s="887"/>
      <c r="C940" s="279" t="s">
        <v>298</v>
      </c>
      <c r="D940" s="434" t="s">
        <v>107</v>
      </c>
      <c r="E940" s="280"/>
      <c r="F940" s="435">
        <f t="shared" si="190"/>
        <v>0</v>
      </c>
      <c r="G940" s="602">
        <v>24.93</v>
      </c>
      <c r="H940" s="597">
        <f t="shared" si="188"/>
        <v>0</v>
      </c>
      <c r="I940" s="596">
        <f t="shared" si="189"/>
        <v>0</v>
      </c>
      <c r="J940" s="373"/>
    </row>
    <row r="941" spans="1:13" ht="35.25" customHeight="1" x14ac:dyDescent="0.25">
      <c r="A941" s="1052"/>
      <c r="B941" s="887"/>
      <c r="C941" s="279" t="s">
        <v>299</v>
      </c>
      <c r="D941" s="434" t="s">
        <v>280</v>
      </c>
      <c r="E941" s="280"/>
      <c r="F941" s="435">
        <f t="shared" si="190"/>
        <v>0</v>
      </c>
      <c r="G941" s="602">
        <v>24.93</v>
      </c>
      <c r="H941" s="597">
        <f t="shared" si="188"/>
        <v>0</v>
      </c>
      <c r="I941" s="596">
        <f t="shared" si="189"/>
        <v>0</v>
      </c>
      <c r="J941" s="373"/>
    </row>
    <row r="942" spans="1:13" ht="35.25" customHeight="1" x14ac:dyDescent="0.25">
      <c r="A942" s="1052"/>
      <c r="B942" s="887"/>
      <c r="C942" s="279" t="s">
        <v>425</v>
      </c>
      <c r="D942" s="434" t="s">
        <v>309</v>
      </c>
      <c r="E942" s="280"/>
      <c r="F942" s="435">
        <f t="shared" si="190"/>
        <v>0</v>
      </c>
      <c r="G942" s="602">
        <v>23.78</v>
      </c>
      <c r="H942" s="597">
        <f t="shared" si="188"/>
        <v>0</v>
      </c>
      <c r="I942" s="596">
        <f t="shared" si="189"/>
        <v>0</v>
      </c>
      <c r="J942" s="373"/>
    </row>
    <row r="943" spans="1:13" ht="35.25" customHeight="1" x14ac:dyDescent="0.25">
      <c r="A943" s="1052"/>
      <c r="B943" s="887"/>
      <c r="C943" s="279" t="s">
        <v>354</v>
      </c>
      <c r="D943" s="434" t="s">
        <v>309</v>
      </c>
      <c r="E943" s="280"/>
      <c r="F943" s="435">
        <f t="shared" si="190"/>
        <v>0</v>
      </c>
      <c r="G943" s="602">
        <v>37.4566666666</v>
      </c>
      <c r="H943" s="597">
        <f t="shared" si="188"/>
        <v>0</v>
      </c>
      <c r="I943" s="596">
        <f t="shared" si="189"/>
        <v>0</v>
      </c>
      <c r="J943" s="373"/>
    </row>
    <row r="944" spans="1:13" ht="35.25" customHeight="1" x14ac:dyDescent="0.25">
      <c r="A944" s="1052"/>
      <c r="B944" s="887"/>
      <c r="C944" s="279" t="s">
        <v>355</v>
      </c>
      <c r="D944" s="434" t="s">
        <v>309</v>
      </c>
      <c r="E944" s="280"/>
      <c r="F944" s="435">
        <f t="shared" si="190"/>
        <v>0</v>
      </c>
      <c r="G944" s="602">
        <v>37.89</v>
      </c>
      <c r="H944" s="597">
        <f t="shared" si="188"/>
        <v>0</v>
      </c>
      <c r="I944" s="596">
        <f t="shared" si="189"/>
        <v>0</v>
      </c>
      <c r="J944" s="373"/>
    </row>
    <row r="945" spans="1:10" ht="35.25" customHeight="1" x14ac:dyDescent="0.25">
      <c r="A945" s="1052"/>
      <c r="B945" s="887"/>
      <c r="C945" s="279" t="s">
        <v>461</v>
      </c>
      <c r="D945" s="434" t="s">
        <v>92</v>
      </c>
      <c r="E945" s="280"/>
      <c r="F945" s="435">
        <f t="shared" si="190"/>
        <v>0</v>
      </c>
      <c r="G945" s="602">
        <v>28.31</v>
      </c>
      <c r="H945" s="597">
        <f t="shared" si="188"/>
        <v>0</v>
      </c>
      <c r="I945" s="596">
        <f t="shared" si="189"/>
        <v>0</v>
      </c>
      <c r="J945" s="373"/>
    </row>
    <row r="946" spans="1:10" ht="35.25" customHeight="1" x14ac:dyDescent="0.25">
      <c r="A946" s="1052"/>
      <c r="B946" s="887"/>
      <c r="C946" s="279" t="s">
        <v>461</v>
      </c>
      <c r="D946" s="434" t="s">
        <v>423</v>
      </c>
      <c r="E946" s="280"/>
      <c r="F946" s="435">
        <f t="shared" si="190"/>
        <v>0</v>
      </c>
      <c r="G946" s="602">
        <v>28.88</v>
      </c>
      <c r="H946" s="597">
        <f t="shared" si="188"/>
        <v>0</v>
      </c>
      <c r="I946" s="596">
        <f t="shared" si="189"/>
        <v>0</v>
      </c>
      <c r="J946" s="373"/>
    </row>
    <row r="947" spans="1:10" ht="35.25" customHeight="1" x14ac:dyDescent="0.25">
      <c r="A947" s="1052"/>
      <c r="B947" s="887"/>
      <c r="C947" s="279" t="s">
        <v>462</v>
      </c>
      <c r="D947" s="434" t="s">
        <v>423</v>
      </c>
      <c r="E947" s="280"/>
      <c r="F947" s="435">
        <f t="shared" si="190"/>
        <v>0</v>
      </c>
      <c r="G947" s="602">
        <v>28.21</v>
      </c>
      <c r="H947" s="597">
        <f t="shared" si="188"/>
        <v>0</v>
      </c>
      <c r="I947" s="596">
        <f t="shared" si="189"/>
        <v>0</v>
      </c>
      <c r="J947" s="373"/>
    </row>
    <row r="948" spans="1:10" ht="35.25" customHeight="1" x14ac:dyDescent="0.25">
      <c r="A948" s="1052"/>
      <c r="B948" s="887"/>
      <c r="C948" s="279" t="s">
        <v>463</v>
      </c>
      <c r="D948" s="434" t="s">
        <v>338</v>
      </c>
      <c r="E948" s="280"/>
      <c r="F948" s="435">
        <f t="shared" si="190"/>
        <v>0</v>
      </c>
      <c r="G948" s="602">
        <v>39</v>
      </c>
      <c r="H948" s="597">
        <f t="shared" si="188"/>
        <v>0</v>
      </c>
      <c r="I948" s="596">
        <f t="shared" si="189"/>
        <v>0</v>
      </c>
      <c r="J948" s="373"/>
    </row>
    <row r="949" spans="1:10" ht="35.25" customHeight="1" x14ac:dyDescent="0.25">
      <c r="A949" s="1052"/>
      <c r="B949" s="887"/>
      <c r="C949" s="279" t="s">
        <v>463</v>
      </c>
      <c r="D949" s="434" t="s">
        <v>92</v>
      </c>
      <c r="E949" s="280"/>
      <c r="F949" s="435">
        <f t="shared" si="190"/>
        <v>0</v>
      </c>
      <c r="G949" s="602">
        <v>32.65</v>
      </c>
      <c r="H949" s="597">
        <f t="shared" si="188"/>
        <v>0</v>
      </c>
      <c r="I949" s="596">
        <f t="shared" si="189"/>
        <v>0</v>
      </c>
      <c r="J949" s="373"/>
    </row>
    <row r="950" spans="1:10" ht="35.25" customHeight="1" x14ac:dyDescent="0.25">
      <c r="A950" s="1052"/>
      <c r="B950" s="887"/>
      <c r="C950" s="279" t="s">
        <v>463</v>
      </c>
      <c r="D950" s="434" t="s">
        <v>423</v>
      </c>
      <c r="E950" s="280"/>
      <c r="F950" s="435">
        <f t="shared" si="190"/>
        <v>0</v>
      </c>
      <c r="G950" s="602">
        <v>33.299999999999997</v>
      </c>
      <c r="H950" s="597">
        <f t="shared" si="188"/>
        <v>0</v>
      </c>
      <c r="I950" s="596">
        <f t="shared" si="189"/>
        <v>0</v>
      </c>
      <c r="J950" s="373"/>
    </row>
    <row r="951" spans="1:10" ht="35.25" customHeight="1" x14ac:dyDescent="0.25">
      <c r="A951" s="1052"/>
      <c r="B951" s="887"/>
      <c r="C951" s="279" t="s">
        <v>299</v>
      </c>
      <c r="D951" s="434" t="s">
        <v>279</v>
      </c>
      <c r="E951" s="280"/>
      <c r="F951" s="435">
        <f t="shared" si="190"/>
        <v>0</v>
      </c>
      <c r="G951" s="602">
        <v>24.93</v>
      </c>
      <c r="H951" s="597">
        <f t="shared" si="188"/>
        <v>0</v>
      </c>
      <c r="I951" s="596">
        <f t="shared" si="189"/>
        <v>0</v>
      </c>
      <c r="J951" s="373"/>
    </row>
    <row r="952" spans="1:10" ht="35.25" customHeight="1" x14ac:dyDescent="0.25">
      <c r="A952" s="1052"/>
      <c r="B952" s="887"/>
      <c r="C952" s="279" t="s">
        <v>299</v>
      </c>
      <c r="D952" s="434"/>
      <c r="E952" s="280"/>
      <c r="F952" s="435">
        <f t="shared" si="190"/>
        <v>0</v>
      </c>
      <c r="G952" s="602">
        <v>24.93</v>
      </c>
      <c r="H952" s="597">
        <f t="shared" si="188"/>
        <v>0</v>
      </c>
      <c r="I952" s="596">
        <f t="shared" si="189"/>
        <v>0</v>
      </c>
      <c r="J952" s="373"/>
    </row>
    <row r="953" spans="1:10" ht="35.25" customHeight="1" x14ac:dyDescent="0.25">
      <c r="A953" s="1052"/>
      <c r="B953" s="887"/>
      <c r="C953" s="279" t="s">
        <v>316</v>
      </c>
      <c r="D953" s="434" t="s">
        <v>289</v>
      </c>
      <c r="E953" s="280"/>
      <c r="F953" s="435">
        <f t="shared" si="190"/>
        <v>0</v>
      </c>
      <c r="G953" s="602">
        <v>34.26</v>
      </c>
      <c r="H953" s="597">
        <f t="shared" si="188"/>
        <v>0</v>
      </c>
      <c r="I953" s="596">
        <f t="shared" si="189"/>
        <v>0</v>
      </c>
      <c r="J953" s="373"/>
    </row>
    <row r="954" spans="1:10" ht="35.25" customHeight="1" x14ac:dyDescent="0.25">
      <c r="A954" s="1052"/>
      <c r="B954" s="887"/>
      <c r="C954" s="279" t="s">
        <v>328</v>
      </c>
      <c r="D954" s="434" t="s">
        <v>360</v>
      </c>
      <c r="E954" s="280"/>
      <c r="F954" s="435">
        <f t="shared" si="190"/>
        <v>0</v>
      </c>
      <c r="G954" s="602">
        <v>37.89</v>
      </c>
      <c r="H954" s="597">
        <f t="shared" si="188"/>
        <v>0</v>
      </c>
      <c r="I954" s="596">
        <f t="shared" si="189"/>
        <v>0</v>
      </c>
      <c r="J954" s="373"/>
    </row>
    <row r="955" spans="1:10" ht="35.25" customHeight="1" x14ac:dyDescent="0.25">
      <c r="A955" s="1052"/>
      <c r="B955" s="887"/>
      <c r="C955" s="279" t="s">
        <v>363</v>
      </c>
      <c r="D955" s="434" t="s">
        <v>338</v>
      </c>
      <c r="E955" s="280"/>
      <c r="F955" s="435">
        <f t="shared" si="190"/>
        <v>0</v>
      </c>
      <c r="G955" s="602">
        <v>39</v>
      </c>
      <c r="H955" s="597">
        <f t="shared" si="188"/>
        <v>0</v>
      </c>
      <c r="I955" s="596">
        <f t="shared" si="189"/>
        <v>0</v>
      </c>
      <c r="J955" s="373"/>
    </row>
    <row r="956" spans="1:10" ht="35.25" customHeight="1" x14ac:dyDescent="0.25">
      <c r="A956" s="1052"/>
      <c r="B956" s="887"/>
      <c r="C956" s="279" t="s">
        <v>299</v>
      </c>
      <c r="D956" s="434" t="s">
        <v>177</v>
      </c>
      <c r="E956" s="280"/>
      <c r="F956" s="435">
        <f t="shared" si="190"/>
        <v>0</v>
      </c>
      <c r="G956" s="602">
        <v>21.22</v>
      </c>
      <c r="H956" s="597">
        <f t="shared" si="188"/>
        <v>0</v>
      </c>
      <c r="I956" s="596">
        <f t="shared" si="189"/>
        <v>0</v>
      </c>
      <c r="J956" s="373"/>
    </row>
    <row r="957" spans="1:10" ht="35.25" customHeight="1" x14ac:dyDescent="0.25">
      <c r="A957" s="1052"/>
      <c r="B957" s="887"/>
      <c r="C957" s="279" t="s">
        <v>298</v>
      </c>
      <c r="D957" s="434" t="s">
        <v>177</v>
      </c>
      <c r="E957" s="280"/>
      <c r="F957" s="435">
        <f t="shared" si="190"/>
        <v>0</v>
      </c>
      <c r="G957" s="602">
        <v>21.22</v>
      </c>
      <c r="H957" s="597">
        <f t="shared" si="188"/>
        <v>0</v>
      </c>
      <c r="I957" s="596">
        <f t="shared" si="189"/>
        <v>0</v>
      </c>
      <c r="J957" s="373"/>
    </row>
    <row r="958" spans="1:10" ht="35.25" customHeight="1" x14ac:dyDescent="0.25">
      <c r="A958" s="1052"/>
      <c r="B958" s="887"/>
      <c r="C958" s="279" t="s">
        <v>339</v>
      </c>
      <c r="D958" s="434" t="s">
        <v>304</v>
      </c>
      <c r="E958" s="280"/>
      <c r="F958" s="435">
        <f t="shared" si="190"/>
        <v>0</v>
      </c>
      <c r="G958" s="602">
        <v>10000</v>
      </c>
      <c r="H958" s="597">
        <f t="shared" si="188"/>
        <v>0</v>
      </c>
      <c r="I958" s="596">
        <f t="shared" si="189"/>
        <v>0</v>
      </c>
      <c r="J958" s="373"/>
    </row>
    <row r="959" spans="1:10" ht="35.25" customHeight="1" thickBot="1" x14ac:dyDescent="0.3">
      <c r="A959" s="1052"/>
      <c r="B959" s="887"/>
      <c r="C959" s="279" t="s">
        <v>303</v>
      </c>
      <c r="D959" s="434" t="s">
        <v>304</v>
      </c>
      <c r="E959" s="280"/>
      <c r="F959" s="435">
        <f t="shared" si="190"/>
        <v>0</v>
      </c>
      <c r="G959" s="602">
        <v>360</v>
      </c>
      <c r="H959" s="597">
        <f t="shared" si="188"/>
        <v>0</v>
      </c>
      <c r="I959" s="596">
        <f t="shared" si="189"/>
        <v>0</v>
      </c>
      <c r="J959" s="373"/>
    </row>
    <row r="960" spans="1:10" ht="35.25" customHeight="1" thickBot="1" x14ac:dyDescent="0.3">
      <c r="A960" s="1053"/>
      <c r="B960" s="1047" t="s">
        <v>268</v>
      </c>
      <c r="C960" s="1048"/>
      <c r="D960" s="889"/>
      <c r="E960" s="326">
        <f>SUM(E931:E959)</f>
        <v>0</v>
      </c>
      <c r="F960" s="326">
        <f t="shared" si="190"/>
        <v>0</v>
      </c>
      <c r="G960" s="326"/>
      <c r="H960" s="587">
        <f>SUM(H931:H959)</f>
        <v>0</v>
      </c>
      <c r="I960" s="580">
        <f>SUM(I931:I959)</f>
        <v>0</v>
      </c>
      <c r="J960" s="373"/>
    </row>
    <row r="961" spans="1:10" ht="35.25" customHeight="1" x14ac:dyDescent="0.25">
      <c r="A961" s="1051" t="s">
        <v>102</v>
      </c>
      <c r="B961" s="887"/>
      <c r="C961" s="279" t="s">
        <v>509</v>
      </c>
      <c r="D961" s="434" t="s">
        <v>238</v>
      </c>
      <c r="E961" s="280"/>
      <c r="F961" s="435">
        <f t="shared" si="190"/>
        <v>6200</v>
      </c>
      <c r="G961" s="803">
        <v>624.26</v>
      </c>
      <c r="H961" s="593">
        <f>E961*G961</f>
        <v>0</v>
      </c>
      <c r="I961" s="596">
        <f t="shared" ref="I961:I963" si="191">+G961*F961</f>
        <v>3870412</v>
      </c>
      <c r="J961" s="373"/>
    </row>
    <row r="962" spans="1:10" ht="35.25" customHeight="1" x14ac:dyDescent="0.25">
      <c r="A962" s="1052"/>
      <c r="B962" s="887"/>
      <c r="C962" s="279" t="s">
        <v>273</v>
      </c>
      <c r="D962" s="434" t="s">
        <v>238</v>
      </c>
      <c r="E962" s="280">
        <v>1483</v>
      </c>
      <c r="F962" s="435">
        <f t="shared" si="190"/>
        <v>2123</v>
      </c>
      <c r="G962" s="602">
        <v>430.02</v>
      </c>
      <c r="H962" s="593">
        <f t="shared" ref="H962:H983" si="192">E962*G962</f>
        <v>637719.65999999992</v>
      </c>
      <c r="I962" s="596">
        <f t="shared" si="191"/>
        <v>912932.46</v>
      </c>
      <c r="J962" s="373"/>
    </row>
    <row r="963" spans="1:10" ht="35.25" customHeight="1" x14ac:dyDescent="0.25">
      <c r="A963" s="1052"/>
      <c r="B963" s="887"/>
      <c r="C963" s="279" t="s">
        <v>390</v>
      </c>
      <c r="D963" s="434" t="s">
        <v>238</v>
      </c>
      <c r="E963" s="280"/>
      <c r="F963" s="435">
        <f t="shared" si="190"/>
        <v>0</v>
      </c>
      <c r="G963" s="602">
        <v>445.38</v>
      </c>
      <c r="H963" s="593">
        <f t="shared" si="192"/>
        <v>0</v>
      </c>
      <c r="I963" s="596">
        <f t="shared" si="191"/>
        <v>0</v>
      </c>
      <c r="J963" s="373"/>
    </row>
    <row r="964" spans="1:10" ht="35.25" customHeight="1" x14ac:dyDescent="0.25">
      <c r="A964" s="1052"/>
      <c r="B964" s="887"/>
      <c r="C964" s="279" t="s">
        <v>301</v>
      </c>
      <c r="D964" s="434" t="s">
        <v>238</v>
      </c>
      <c r="E964" s="280"/>
      <c r="F964" s="435">
        <f t="shared" si="190"/>
        <v>8640</v>
      </c>
      <c r="G964" s="602">
        <v>63.55</v>
      </c>
      <c r="H964" s="593">
        <f t="shared" si="192"/>
        <v>0</v>
      </c>
      <c r="I964" s="596">
        <f>+G964*F964</f>
        <v>549072</v>
      </c>
      <c r="J964" s="373"/>
    </row>
    <row r="965" spans="1:10" ht="35.25" customHeight="1" x14ac:dyDescent="0.25">
      <c r="A965" s="1052"/>
      <c r="B965" s="887"/>
      <c r="C965" s="279" t="s">
        <v>514</v>
      </c>
      <c r="D965" s="434" t="s">
        <v>238</v>
      </c>
      <c r="E965" s="280"/>
      <c r="F965" s="435">
        <f t="shared" si="190"/>
        <v>48300</v>
      </c>
      <c r="G965" s="602">
        <v>71.44</v>
      </c>
      <c r="H965" s="593">
        <f t="shared" si="192"/>
        <v>0</v>
      </c>
      <c r="I965" s="596">
        <f>+G965*F965</f>
        <v>3450552</v>
      </c>
      <c r="J965" s="373"/>
    </row>
    <row r="966" spans="1:10" ht="35.25" customHeight="1" x14ac:dyDescent="0.25">
      <c r="A966" s="1052"/>
      <c r="B966" s="887"/>
      <c r="C966" s="279" t="s">
        <v>275</v>
      </c>
      <c r="D966" s="434" t="s">
        <v>238</v>
      </c>
      <c r="E966" s="280">
        <v>28560</v>
      </c>
      <c r="F966" s="435">
        <f t="shared" si="190"/>
        <v>71280</v>
      </c>
      <c r="G966" s="602">
        <v>71.44</v>
      </c>
      <c r="H966" s="593">
        <f t="shared" si="192"/>
        <v>2040326.4</v>
      </c>
      <c r="I966" s="596">
        <f t="shared" ref="I966:I983" si="193">+G966*F966</f>
        <v>5092243.2</v>
      </c>
      <c r="J966" s="373"/>
    </row>
    <row r="967" spans="1:10" ht="35.25" customHeight="1" x14ac:dyDescent="0.25">
      <c r="A967" s="1052"/>
      <c r="B967" s="887"/>
      <c r="C967" s="279" t="s">
        <v>276</v>
      </c>
      <c r="D967" s="434" t="s">
        <v>238</v>
      </c>
      <c r="E967" s="280"/>
      <c r="F967" s="435">
        <f t="shared" si="190"/>
        <v>0</v>
      </c>
      <c r="G967" s="602">
        <v>36.5</v>
      </c>
      <c r="H967" s="593">
        <f t="shared" si="192"/>
        <v>0</v>
      </c>
      <c r="I967" s="596">
        <f t="shared" si="193"/>
        <v>0</v>
      </c>
      <c r="J967" s="373"/>
    </row>
    <row r="968" spans="1:10" ht="35.25" customHeight="1" x14ac:dyDescent="0.25">
      <c r="A968" s="1052"/>
      <c r="B968" s="887"/>
      <c r="C968" s="279" t="s">
        <v>527</v>
      </c>
      <c r="D968" s="434" t="s">
        <v>238</v>
      </c>
      <c r="E968" s="280"/>
      <c r="F968" s="435">
        <f t="shared" si="190"/>
        <v>2000</v>
      </c>
      <c r="G968" s="602">
        <v>320.35000000000002</v>
      </c>
      <c r="H968" s="593">
        <f t="shared" si="192"/>
        <v>0</v>
      </c>
      <c r="I968" s="596">
        <f t="shared" si="193"/>
        <v>640700</v>
      </c>
      <c r="J968" s="373"/>
    </row>
    <row r="969" spans="1:10" ht="35.25" customHeight="1" x14ac:dyDescent="0.25">
      <c r="A969" s="1052"/>
      <c r="B969" s="887"/>
      <c r="C969" s="279" t="s">
        <v>285</v>
      </c>
      <c r="D969" s="434" t="s">
        <v>238</v>
      </c>
      <c r="E969" s="280"/>
      <c r="F969" s="435">
        <f t="shared" si="190"/>
        <v>0</v>
      </c>
      <c r="G969" s="602">
        <v>320.35000000000002</v>
      </c>
      <c r="H969" s="593">
        <f t="shared" si="192"/>
        <v>0</v>
      </c>
      <c r="I969" s="596">
        <f t="shared" si="193"/>
        <v>0</v>
      </c>
      <c r="J969" s="373"/>
    </row>
    <row r="970" spans="1:10" ht="35.25" customHeight="1" x14ac:dyDescent="0.25">
      <c r="A970" s="1052"/>
      <c r="B970" s="887"/>
      <c r="C970" s="279" t="s">
        <v>296</v>
      </c>
      <c r="D970" s="434" t="s">
        <v>238</v>
      </c>
      <c r="E970" s="280"/>
      <c r="F970" s="435">
        <f t="shared" si="190"/>
        <v>0</v>
      </c>
      <c r="G970" s="602">
        <v>434.41</v>
      </c>
      <c r="H970" s="593">
        <f t="shared" si="192"/>
        <v>0</v>
      </c>
      <c r="I970" s="596">
        <f t="shared" si="193"/>
        <v>0</v>
      </c>
      <c r="J970" s="373"/>
    </row>
    <row r="971" spans="1:10" ht="35.25" customHeight="1" x14ac:dyDescent="0.25">
      <c r="A971" s="1052"/>
      <c r="B971" s="887"/>
      <c r="C971" s="279" t="s">
        <v>282</v>
      </c>
      <c r="D971" s="434" t="s">
        <v>238</v>
      </c>
      <c r="E971" s="280"/>
      <c r="F971" s="435">
        <f t="shared" si="190"/>
        <v>0</v>
      </c>
      <c r="G971" s="602">
        <v>29690</v>
      </c>
      <c r="H971" s="593">
        <f t="shared" si="192"/>
        <v>0</v>
      </c>
      <c r="I971" s="596">
        <f t="shared" si="193"/>
        <v>0</v>
      </c>
      <c r="J971" s="373"/>
    </row>
    <row r="972" spans="1:10" ht="35.25" customHeight="1" x14ac:dyDescent="0.25">
      <c r="A972" s="1052"/>
      <c r="B972" s="887"/>
      <c r="C972" s="279" t="s">
        <v>282</v>
      </c>
      <c r="D972" s="434" t="s">
        <v>238</v>
      </c>
      <c r="E972" s="280">
        <v>1</v>
      </c>
      <c r="F972" s="435">
        <f t="shared" si="190"/>
        <v>2</v>
      </c>
      <c r="G972" s="602">
        <v>26445</v>
      </c>
      <c r="H972" s="593">
        <f t="shared" si="192"/>
        <v>26445</v>
      </c>
      <c r="I972" s="596">
        <f t="shared" si="193"/>
        <v>52890</v>
      </c>
      <c r="J972" s="373"/>
    </row>
    <row r="973" spans="1:10" ht="35.25" customHeight="1" x14ac:dyDescent="0.25">
      <c r="A973" s="1052"/>
      <c r="B973" s="887"/>
      <c r="C973" s="279" t="s">
        <v>282</v>
      </c>
      <c r="D973" s="434"/>
      <c r="E973" s="280"/>
      <c r="F973" s="435">
        <f t="shared" si="190"/>
        <v>0</v>
      </c>
      <c r="G973" s="602">
        <v>33947.884599999998</v>
      </c>
      <c r="H973" s="593">
        <f t="shared" si="192"/>
        <v>0</v>
      </c>
      <c r="I973" s="596">
        <f t="shared" si="193"/>
        <v>0</v>
      </c>
      <c r="J973" s="373"/>
    </row>
    <row r="974" spans="1:10" ht="35.25" customHeight="1" x14ac:dyDescent="0.25">
      <c r="A974" s="1052"/>
      <c r="B974" s="887"/>
      <c r="C974" s="279" t="s">
        <v>311</v>
      </c>
      <c r="D974" s="434" t="s">
        <v>337</v>
      </c>
      <c r="E974" s="280"/>
      <c r="F974" s="435">
        <f t="shared" si="190"/>
        <v>0</v>
      </c>
      <c r="G974" s="602">
        <v>50</v>
      </c>
      <c r="H974" s="593">
        <f t="shared" si="192"/>
        <v>0</v>
      </c>
      <c r="I974" s="596">
        <f t="shared" si="193"/>
        <v>0</v>
      </c>
      <c r="J974" s="373"/>
    </row>
    <row r="975" spans="1:10" ht="35.25" customHeight="1" x14ac:dyDescent="0.25">
      <c r="A975" s="1052"/>
      <c r="B975" s="887"/>
      <c r="C975" s="279" t="s">
        <v>311</v>
      </c>
      <c r="D975" s="434"/>
      <c r="E975" s="280"/>
      <c r="F975" s="435">
        <f t="shared" si="190"/>
        <v>0</v>
      </c>
      <c r="G975" s="602">
        <v>10</v>
      </c>
      <c r="H975" s="593">
        <f t="shared" si="192"/>
        <v>0</v>
      </c>
      <c r="I975" s="596">
        <f t="shared" si="193"/>
        <v>0</v>
      </c>
      <c r="J975" s="373"/>
    </row>
    <row r="976" spans="1:10" ht="35.25" customHeight="1" x14ac:dyDescent="0.25">
      <c r="A976" s="1052"/>
      <c r="B976" s="887"/>
      <c r="C976" s="279" t="s">
        <v>329</v>
      </c>
      <c r="D976" s="434" t="s">
        <v>370</v>
      </c>
      <c r="E976" s="280"/>
      <c r="F976" s="435">
        <f t="shared" si="190"/>
        <v>0</v>
      </c>
      <c r="G976" s="602">
        <v>57.64</v>
      </c>
      <c r="H976" s="593">
        <f t="shared" si="192"/>
        <v>0</v>
      </c>
      <c r="I976" s="596">
        <f t="shared" si="193"/>
        <v>0</v>
      </c>
      <c r="J976" s="373"/>
    </row>
    <row r="977" spans="1:10" ht="35.25" customHeight="1" x14ac:dyDescent="0.25">
      <c r="A977" s="1052"/>
      <c r="B977" s="887"/>
      <c r="C977" s="279" t="s">
        <v>329</v>
      </c>
      <c r="D977" s="434" t="s">
        <v>364</v>
      </c>
      <c r="E977" s="280"/>
      <c r="F977" s="435">
        <f t="shared" si="190"/>
        <v>0</v>
      </c>
      <c r="G977" s="602">
        <v>57.64</v>
      </c>
      <c r="H977" s="593">
        <f t="shared" si="192"/>
        <v>0</v>
      </c>
      <c r="I977" s="596">
        <f t="shared" si="193"/>
        <v>0</v>
      </c>
      <c r="J977" s="373"/>
    </row>
    <row r="978" spans="1:10" ht="35.25" customHeight="1" x14ac:dyDescent="0.25">
      <c r="A978" s="1052"/>
      <c r="B978" s="887"/>
      <c r="C978" s="279" t="s">
        <v>330</v>
      </c>
      <c r="D978" s="434" t="s">
        <v>331</v>
      </c>
      <c r="E978" s="280"/>
      <c r="F978" s="435">
        <f t="shared" si="190"/>
        <v>0</v>
      </c>
      <c r="G978" s="602">
        <v>434.41</v>
      </c>
      <c r="H978" s="593">
        <f t="shared" si="192"/>
        <v>0</v>
      </c>
      <c r="I978" s="596">
        <f t="shared" si="193"/>
        <v>0</v>
      </c>
      <c r="J978" s="373"/>
    </row>
    <row r="979" spans="1:10" ht="35.25" customHeight="1" x14ac:dyDescent="0.25">
      <c r="A979" s="1052"/>
      <c r="B979" s="887"/>
      <c r="C979" s="279" t="s">
        <v>343</v>
      </c>
      <c r="D979" s="434" t="s">
        <v>238</v>
      </c>
      <c r="E979" s="280"/>
      <c r="F979" s="435">
        <f t="shared" si="190"/>
        <v>0</v>
      </c>
      <c r="G979" s="602">
        <v>624.26</v>
      </c>
      <c r="H979" s="593">
        <f t="shared" si="192"/>
        <v>0</v>
      </c>
      <c r="I979" s="596">
        <f t="shared" si="193"/>
        <v>0</v>
      </c>
      <c r="J979" s="373"/>
    </row>
    <row r="980" spans="1:10" ht="35.25" customHeight="1" x14ac:dyDescent="0.25">
      <c r="A980" s="1052"/>
      <c r="B980" s="887"/>
      <c r="C980" s="279" t="s">
        <v>332</v>
      </c>
      <c r="D980" s="434" t="s">
        <v>331</v>
      </c>
      <c r="E980" s="280"/>
      <c r="F980" s="435">
        <f t="shared" si="190"/>
        <v>0</v>
      </c>
      <c r="G980" s="602">
        <v>63.55</v>
      </c>
      <c r="H980" s="593">
        <f t="shared" si="192"/>
        <v>0</v>
      </c>
      <c r="I980" s="596">
        <f t="shared" si="193"/>
        <v>0</v>
      </c>
      <c r="J980" s="373"/>
    </row>
    <row r="981" spans="1:10" ht="35.25" customHeight="1" x14ac:dyDescent="0.25">
      <c r="A981" s="1052"/>
      <c r="B981" s="887"/>
      <c r="C981" s="279" t="s">
        <v>371</v>
      </c>
      <c r="D981" s="434" t="s">
        <v>238</v>
      </c>
      <c r="E981" s="280"/>
      <c r="F981" s="435">
        <f t="shared" si="190"/>
        <v>0</v>
      </c>
      <c r="G981" s="602">
        <v>59.96</v>
      </c>
      <c r="H981" s="593">
        <f t="shared" si="192"/>
        <v>0</v>
      </c>
      <c r="I981" s="596">
        <f t="shared" si="193"/>
        <v>0</v>
      </c>
      <c r="J981" s="373"/>
    </row>
    <row r="982" spans="1:10" ht="35.25" customHeight="1" x14ac:dyDescent="0.25">
      <c r="A982" s="1052"/>
      <c r="B982" s="887"/>
      <c r="C982" s="279" t="s">
        <v>419</v>
      </c>
      <c r="D982" s="434" t="s">
        <v>331</v>
      </c>
      <c r="E982" s="280"/>
      <c r="F982" s="435">
        <f t="shared" si="190"/>
        <v>0</v>
      </c>
      <c r="G982" s="602">
        <v>53.86</v>
      </c>
      <c r="H982" s="593">
        <f t="shared" si="192"/>
        <v>0</v>
      </c>
      <c r="I982" s="596">
        <f t="shared" si="193"/>
        <v>0</v>
      </c>
      <c r="J982" s="373"/>
    </row>
    <row r="983" spans="1:10" ht="35.25" customHeight="1" x14ac:dyDescent="0.25">
      <c r="A983" s="1052"/>
      <c r="B983" s="887"/>
      <c r="C983" s="279" t="s">
        <v>379</v>
      </c>
      <c r="D983" s="434"/>
      <c r="E983" s="280"/>
      <c r="F983" s="435">
        <f t="shared" si="190"/>
        <v>0</v>
      </c>
      <c r="G983" s="602">
        <v>360</v>
      </c>
      <c r="H983" s="593">
        <f t="shared" si="192"/>
        <v>0</v>
      </c>
      <c r="I983" s="596">
        <f t="shared" si="193"/>
        <v>0</v>
      </c>
      <c r="J983" s="373"/>
    </row>
    <row r="984" spans="1:10" ht="35.25" customHeight="1" x14ac:dyDescent="0.25">
      <c r="A984" s="1052"/>
      <c r="B984" s="887"/>
      <c r="C984" s="279" t="s">
        <v>471</v>
      </c>
      <c r="D984" s="434"/>
      <c r="E984" s="280"/>
      <c r="F984" s="435">
        <f t="shared" si="190"/>
        <v>0</v>
      </c>
      <c r="G984" s="602"/>
      <c r="H984" s="593">
        <f>+E984</f>
        <v>0</v>
      </c>
      <c r="I984" s="596">
        <f>+H984</f>
        <v>0</v>
      </c>
      <c r="J984" s="373"/>
    </row>
    <row r="985" spans="1:10" ht="35.25" customHeight="1" x14ac:dyDescent="0.25">
      <c r="A985" s="1052"/>
      <c r="B985" s="887"/>
      <c r="C985" s="279" t="s">
        <v>282</v>
      </c>
      <c r="D985" s="434"/>
      <c r="E985" s="280"/>
      <c r="F985" s="435">
        <f t="shared" si="190"/>
        <v>0</v>
      </c>
      <c r="G985" s="602">
        <v>39450</v>
      </c>
      <c r="H985" s="593">
        <f t="shared" ref="H985:H986" si="194">E985*G985</f>
        <v>0</v>
      </c>
      <c r="I985" s="596">
        <f t="shared" ref="I985:I986" si="195">+G985*F985</f>
        <v>0</v>
      </c>
      <c r="J985" s="373"/>
    </row>
    <row r="986" spans="1:10" ht="35.25" customHeight="1" thickBot="1" x14ac:dyDescent="0.3">
      <c r="A986" s="1052"/>
      <c r="B986" s="887"/>
      <c r="C986" s="279" t="s">
        <v>329</v>
      </c>
      <c r="D986" s="434" t="s">
        <v>443</v>
      </c>
      <c r="E986" s="280"/>
      <c r="F986" s="435">
        <f t="shared" si="190"/>
        <v>0</v>
      </c>
      <c r="G986" s="602">
        <v>57.64</v>
      </c>
      <c r="H986" s="593">
        <f t="shared" si="194"/>
        <v>0</v>
      </c>
      <c r="I986" s="596">
        <f t="shared" si="195"/>
        <v>0</v>
      </c>
      <c r="J986" s="373"/>
    </row>
    <row r="987" spans="1:10" ht="35.25" customHeight="1" thickBot="1" x14ac:dyDescent="0.3">
      <c r="A987" s="1053"/>
      <c r="B987" s="1047" t="s">
        <v>270</v>
      </c>
      <c r="C987" s="1048"/>
      <c r="D987" s="889"/>
      <c r="E987" s="326">
        <f>SUM(E961:E986)</f>
        <v>30044</v>
      </c>
      <c r="F987" s="326">
        <f>SUM(F961:F986)</f>
        <v>138545</v>
      </c>
      <c r="G987" s="326"/>
      <c r="H987" s="590">
        <f>SUM(H961:H986)</f>
        <v>2704491.0599999996</v>
      </c>
      <c r="I987" s="580">
        <f>SUM(I961:I986)</f>
        <v>14568801.66</v>
      </c>
      <c r="J987" s="372"/>
    </row>
    <row r="988" spans="1:10" ht="35.25" customHeight="1" thickBot="1" x14ac:dyDescent="0.3">
      <c r="A988" s="892"/>
      <c r="B988" s="437"/>
      <c r="C988" s="279" t="s">
        <v>379</v>
      </c>
      <c r="D988" s="434"/>
      <c r="E988" s="280"/>
      <c r="F988" s="281">
        <f>+E988</f>
        <v>0</v>
      </c>
      <c r="G988" s="334"/>
      <c r="H988" s="589">
        <f t="shared" ref="H988" si="196">E988*G988</f>
        <v>0</v>
      </c>
      <c r="I988" s="282">
        <f t="shared" ref="I988" si="197">+G988*F988</f>
        <v>0</v>
      </c>
      <c r="J988" s="373"/>
    </row>
    <row r="989" spans="1:10" ht="35.25" customHeight="1" thickBot="1" x14ac:dyDescent="0.3">
      <c r="A989" s="892"/>
      <c r="B989" s="1047" t="s">
        <v>224</v>
      </c>
      <c r="C989" s="1048"/>
      <c r="D989" s="885"/>
      <c r="E989" s="326"/>
      <c r="F989" s="327"/>
      <c r="G989" s="326"/>
      <c r="H989" s="587"/>
      <c r="I989" s="324">
        <f>SUM(I988)</f>
        <v>0</v>
      </c>
      <c r="J989" s="349"/>
    </row>
    <row r="990" spans="1:10" ht="35.25" customHeight="1" thickBot="1" x14ac:dyDescent="0.3">
      <c r="A990" s="319"/>
      <c r="B990" s="1049" t="s">
        <v>174</v>
      </c>
      <c r="C990" s="1050"/>
      <c r="D990" s="886"/>
      <c r="E990" s="374">
        <f>+E987+E960+E930+E928</f>
        <v>61274</v>
      </c>
      <c r="F990" s="374">
        <f>+F987+F960+F930+F928</f>
        <v>790597</v>
      </c>
      <c r="G990" s="374"/>
      <c r="H990" s="374"/>
      <c r="I990" s="374">
        <f>+I987+I960+I930+I989</f>
        <v>25791815.100000001</v>
      </c>
      <c r="J990" s="375"/>
    </row>
    <row r="991" spans="1:10" ht="35.25" customHeight="1" x14ac:dyDescent="0.25">
      <c r="A991" s="978" t="s">
        <v>1</v>
      </c>
      <c r="B991" s="981" t="s">
        <v>2</v>
      </c>
      <c r="C991" s="1056" t="s">
        <v>396</v>
      </c>
      <c r="D991" s="1033" t="s">
        <v>397</v>
      </c>
      <c r="E991" s="1060" t="s">
        <v>552</v>
      </c>
      <c r="F991" s="988"/>
      <c r="G991" s="988"/>
      <c r="H991" s="988"/>
      <c r="I991" s="988"/>
      <c r="J991" s="989"/>
    </row>
    <row r="992" spans="1:10" ht="35.25" customHeight="1" x14ac:dyDescent="0.25">
      <c r="A992" s="1054"/>
      <c r="B992" s="1055"/>
      <c r="C992" s="1057"/>
      <c r="D992" s="1034"/>
      <c r="E992" s="1061" t="s">
        <v>412</v>
      </c>
      <c r="F992" s="1062"/>
      <c r="G992" s="1061" t="s">
        <v>411</v>
      </c>
      <c r="H992" s="1063"/>
      <c r="I992" s="1063"/>
      <c r="J992" s="1062"/>
    </row>
    <row r="993" spans="1:10" ht="35.25" customHeight="1" x14ac:dyDescent="0.25">
      <c r="A993" s="979"/>
      <c r="B993" s="982"/>
      <c r="C993" s="1058"/>
      <c r="D993" s="1034"/>
      <c r="E993" s="990" t="s">
        <v>413</v>
      </c>
      <c r="F993" s="992" t="s">
        <v>414</v>
      </c>
      <c r="G993" s="1065" t="s">
        <v>90</v>
      </c>
      <c r="H993" s="1067" t="s">
        <v>91</v>
      </c>
      <c r="I993" s="1067" t="s">
        <v>91</v>
      </c>
      <c r="J993" s="1069" t="s">
        <v>12</v>
      </c>
    </row>
    <row r="994" spans="1:10" ht="35.25" customHeight="1" thickBot="1" x14ac:dyDescent="0.3">
      <c r="A994" s="980"/>
      <c r="B994" s="983"/>
      <c r="C994" s="1059"/>
      <c r="D994" s="1035"/>
      <c r="E994" s="991"/>
      <c r="F994" s="1064"/>
      <c r="G994" s="1066"/>
      <c r="H994" s="1068"/>
      <c r="I994" s="1068"/>
      <c r="J994" s="1070"/>
    </row>
    <row r="995" spans="1:10" ht="35.25" customHeight="1" x14ac:dyDescent="0.25">
      <c r="A995" s="1051" t="s">
        <v>103</v>
      </c>
      <c r="B995" s="439"/>
      <c r="C995" s="577" t="s">
        <v>538</v>
      </c>
      <c r="D995" s="665" t="s">
        <v>539</v>
      </c>
      <c r="E995" s="699"/>
      <c r="F995" s="674">
        <f>+E995+F901</f>
        <v>1024</v>
      </c>
      <c r="G995" s="732">
        <v>109.77</v>
      </c>
      <c r="H995" s="591">
        <f t="shared" ref="H995:H1009" si="198">E995*G995</f>
        <v>0</v>
      </c>
      <c r="I995" s="594">
        <f>+G995*F995</f>
        <v>112404.48</v>
      </c>
      <c r="J995" s="351"/>
    </row>
    <row r="996" spans="1:10" ht="35.25" customHeight="1" x14ac:dyDescent="0.25">
      <c r="A996" s="1052"/>
      <c r="B996" s="438"/>
      <c r="C996" s="441" t="s">
        <v>264</v>
      </c>
      <c r="D996" s="666" t="s">
        <v>265</v>
      </c>
      <c r="E996" s="700"/>
      <c r="F996" s="701">
        <f t="shared" ref="F996:F1009" si="199">+E996+F902</f>
        <v>0</v>
      </c>
      <c r="G996" s="697">
        <v>11</v>
      </c>
      <c r="H996" s="592">
        <f t="shared" si="198"/>
        <v>0</v>
      </c>
      <c r="I996" s="595">
        <f>+G996*F996</f>
        <v>0</v>
      </c>
      <c r="J996" s="352"/>
    </row>
    <row r="997" spans="1:10" ht="35.25" customHeight="1" x14ac:dyDescent="0.25">
      <c r="A997" s="1052"/>
      <c r="B997" s="438"/>
      <c r="C997" s="441" t="s">
        <v>295</v>
      </c>
      <c r="D997" s="666" t="s">
        <v>453</v>
      </c>
      <c r="E997" s="700"/>
      <c r="F997" s="701">
        <f t="shared" si="199"/>
        <v>640</v>
      </c>
      <c r="G997" s="697">
        <v>139.04</v>
      </c>
      <c r="H997" s="592">
        <f t="shared" si="198"/>
        <v>0</v>
      </c>
      <c r="I997" s="595">
        <f t="shared" ref="I997:I1009" si="200">+G997*F997</f>
        <v>88985.599999999991</v>
      </c>
      <c r="J997" s="352"/>
    </row>
    <row r="998" spans="1:10" ht="35.25" customHeight="1" x14ac:dyDescent="0.25">
      <c r="A998" s="1052"/>
      <c r="B998" s="438"/>
      <c r="C998" s="441" t="s">
        <v>531</v>
      </c>
      <c r="D998" s="666" t="s">
        <v>529</v>
      </c>
      <c r="E998" s="700"/>
      <c r="F998" s="701">
        <f t="shared" si="199"/>
        <v>12240</v>
      </c>
      <c r="G998" s="715">
        <v>20.66</v>
      </c>
      <c r="H998" s="592">
        <f t="shared" si="198"/>
        <v>0</v>
      </c>
      <c r="I998" s="595">
        <f t="shared" si="200"/>
        <v>252878.4</v>
      </c>
      <c r="J998" s="352"/>
    </row>
    <row r="999" spans="1:10" ht="35.25" customHeight="1" x14ac:dyDescent="0.25">
      <c r="A999" s="1052"/>
      <c r="B999" s="438"/>
      <c r="C999" s="441" t="s">
        <v>288</v>
      </c>
      <c r="D999" s="666" t="s">
        <v>177</v>
      </c>
      <c r="E999" s="700"/>
      <c r="F999" s="701">
        <f t="shared" si="199"/>
        <v>0</v>
      </c>
      <c r="G999" s="697">
        <v>14.79</v>
      </c>
      <c r="H999" s="592">
        <f t="shared" si="198"/>
        <v>0</v>
      </c>
      <c r="I999" s="595">
        <f t="shared" si="200"/>
        <v>0</v>
      </c>
      <c r="J999" s="352"/>
    </row>
    <row r="1000" spans="1:10" ht="35.25" customHeight="1" x14ac:dyDescent="0.25">
      <c r="A1000" s="1052"/>
      <c r="B1000" s="438"/>
      <c r="C1000" s="441" t="s">
        <v>295</v>
      </c>
      <c r="D1000" s="666" t="s">
        <v>265</v>
      </c>
      <c r="E1000" s="700"/>
      <c r="F1000" s="701">
        <f t="shared" si="199"/>
        <v>5120</v>
      </c>
      <c r="G1000" s="697">
        <v>139.04</v>
      </c>
      <c r="H1000" s="592">
        <f t="shared" si="198"/>
        <v>0</v>
      </c>
      <c r="I1000" s="595">
        <f t="shared" si="200"/>
        <v>711884.79999999993</v>
      </c>
      <c r="J1000" s="352"/>
    </row>
    <row r="1001" spans="1:10" ht="35.25" customHeight="1" x14ac:dyDescent="0.25">
      <c r="A1001" s="1052"/>
      <c r="B1001" s="438"/>
      <c r="C1001" s="441" t="s">
        <v>537</v>
      </c>
      <c r="D1001" s="666" t="s">
        <v>265</v>
      </c>
      <c r="E1001" s="700">
        <v>1920</v>
      </c>
      <c r="F1001" s="701">
        <f t="shared" si="199"/>
        <v>2560</v>
      </c>
      <c r="G1001" s="697">
        <v>135.96</v>
      </c>
      <c r="H1001" s="592">
        <f t="shared" si="198"/>
        <v>261043.20000000001</v>
      </c>
      <c r="I1001" s="595">
        <f t="shared" si="200"/>
        <v>348057.60000000003</v>
      </c>
      <c r="J1001" s="352"/>
    </row>
    <row r="1002" spans="1:10" ht="35.25" customHeight="1" x14ac:dyDescent="0.25">
      <c r="A1002" s="1052"/>
      <c r="B1002" s="438"/>
      <c r="C1002" s="441" t="s">
        <v>313</v>
      </c>
      <c r="D1002" s="667" t="s">
        <v>265</v>
      </c>
      <c r="E1002" s="700"/>
      <c r="F1002" s="701">
        <f t="shared" si="199"/>
        <v>48960</v>
      </c>
      <c r="G1002" s="697">
        <v>18.84</v>
      </c>
      <c r="H1002" s="592">
        <f t="shared" si="198"/>
        <v>0</v>
      </c>
      <c r="I1002" s="595">
        <f t="shared" si="200"/>
        <v>922406.40000000002</v>
      </c>
      <c r="J1002" s="352"/>
    </row>
    <row r="1003" spans="1:10" ht="35.25" customHeight="1" x14ac:dyDescent="0.25">
      <c r="A1003" s="1052"/>
      <c r="B1003" s="438"/>
      <c r="C1003" s="441" t="s">
        <v>322</v>
      </c>
      <c r="D1003" s="667" t="s">
        <v>232</v>
      </c>
      <c r="E1003" s="700"/>
      <c r="F1003" s="701">
        <f t="shared" si="199"/>
        <v>0</v>
      </c>
      <c r="G1003" s="697">
        <v>21.18</v>
      </c>
      <c r="H1003" s="592">
        <f t="shared" si="198"/>
        <v>0</v>
      </c>
      <c r="I1003" s="595">
        <f t="shared" si="200"/>
        <v>0</v>
      </c>
      <c r="J1003" s="352"/>
    </row>
    <row r="1004" spans="1:10" ht="35.25" customHeight="1" x14ac:dyDescent="0.25">
      <c r="A1004" s="1052"/>
      <c r="B1004" s="438"/>
      <c r="C1004" s="441" t="s">
        <v>324</v>
      </c>
      <c r="D1004" s="667" t="s">
        <v>325</v>
      </c>
      <c r="E1004" s="700"/>
      <c r="F1004" s="701">
        <f t="shared" si="199"/>
        <v>0</v>
      </c>
      <c r="G1004" s="697">
        <v>21.28</v>
      </c>
      <c r="H1004" s="592">
        <f t="shared" si="198"/>
        <v>0</v>
      </c>
      <c r="I1004" s="595">
        <f t="shared" si="200"/>
        <v>0</v>
      </c>
      <c r="J1004" s="352"/>
    </row>
    <row r="1005" spans="1:10" ht="35.25" customHeight="1" x14ac:dyDescent="0.25">
      <c r="A1005" s="1052"/>
      <c r="B1005" s="438"/>
      <c r="C1005" s="441" t="s">
        <v>378</v>
      </c>
      <c r="D1005" s="667" t="s">
        <v>374</v>
      </c>
      <c r="E1005" s="700"/>
      <c r="F1005" s="701">
        <f t="shared" si="199"/>
        <v>0</v>
      </c>
      <c r="G1005" s="697">
        <v>143.28</v>
      </c>
      <c r="H1005" s="592">
        <f t="shared" si="198"/>
        <v>0</v>
      </c>
      <c r="I1005" s="595">
        <f t="shared" si="200"/>
        <v>0</v>
      </c>
      <c r="J1005" s="352"/>
    </row>
    <row r="1006" spans="1:10" ht="35.25" customHeight="1" x14ac:dyDescent="0.25">
      <c r="A1006" s="1052"/>
      <c r="B1006" s="438"/>
      <c r="C1006" s="441" t="s">
        <v>472</v>
      </c>
      <c r="D1006" s="667"/>
      <c r="E1006" s="700"/>
      <c r="F1006" s="701">
        <f t="shared" si="199"/>
        <v>0</v>
      </c>
      <c r="G1006" s="697">
        <v>14.79</v>
      </c>
      <c r="H1006" s="592">
        <f t="shared" si="198"/>
        <v>0</v>
      </c>
      <c r="I1006" s="595">
        <f t="shared" si="200"/>
        <v>0</v>
      </c>
      <c r="J1006" s="352"/>
    </row>
    <row r="1007" spans="1:10" ht="35.25" customHeight="1" x14ac:dyDescent="0.25">
      <c r="A1007" s="1052"/>
      <c r="B1007" s="438"/>
      <c r="C1007" s="441" t="s">
        <v>451</v>
      </c>
      <c r="D1007" s="666" t="s">
        <v>177</v>
      </c>
      <c r="E1007" s="700"/>
      <c r="F1007" s="701">
        <f t="shared" si="199"/>
        <v>498432</v>
      </c>
      <c r="G1007" s="697">
        <v>14.55</v>
      </c>
      <c r="H1007" s="592">
        <f t="shared" si="198"/>
        <v>0</v>
      </c>
      <c r="I1007" s="595">
        <f t="shared" si="200"/>
        <v>7252185.6000000006</v>
      </c>
      <c r="J1007" s="352"/>
    </row>
    <row r="1008" spans="1:10" ht="35.25" customHeight="1" x14ac:dyDescent="0.25">
      <c r="A1008" s="1052"/>
      <c r="B1008" s="438"/>
      <c r="C1008" s="441" t="s">
        <v>327</v>
      </c>
      <c r="D1008" s="667" t="s">
        <v>188</v>
      </c>
      <c r="E1008" s="700"/>
      <c r="F1008" s="701">
        <f t="shared" si="199"/>
        <v>0</v>
      </c>
      <c r="G1008" s="697">
        <v>21.28</v>
      </c>
      <c r="H1008" s="592">
        <f t="shared" si="198"/>
        <v>0</v>
      </c>
      <c r="I1008" s="595">
        <f t="shared" si="200"/>
        <v>0</v>
      </c>
      <c r="J1008" s="352"/>
    </row>
    <row r="1009" spans="1:13" ht="35.25" customHeight="1" thickBot="1" x14ac:dyDescent="0.3">
      <c r="A1009" s="1052"/>
      <c r="B1009" s="438"/>
      <c r="C1009" s="441" t="s">
        <v>336</v>
      </c>
      <c r="D1009" s="668" t="s">
        <v>178</v>
      </c>
      <c r="E1009" s="700"/>
      <c r="F1009" s="676">
        <f t="shared" si="199"/>
        <v>0</v>
      </c>
      <c r="G1009" s="697">
        <v>36.44</v>
      </c>
      <c r="H1009" s="592">
        <f t="shared" si="198"/>
        <v>0</v>
      </c>
      <c r="I1009" s="595">
        <f t="shared" si="200"/>
        <v>0</v>
      </c>
      <c r="J1009" s="352"/>
    </row>
    <row r="1010" spans="1:13" ht="35.25" customHeight="1" thickBot="1" x14ac:dyDescent="0.3">
      <c r="A1010" s="1052"/>
      <c r="B1010" s="1047" t="s">
        <v>266</v>
      </c>
      <c r="C1010" s="1048"/>
      <c r="D1010" s="906"/>
      <c r="E1010" s="326">
        <f>SUM(E995:E1009)</f>
        <v>1920</v>
      </c>
      <c r="F1010" s="698">
        <f>SUM(F995:F1009)</f>
        <v>568976</v>
      </c>
      <c r="G1010" s="326"/>
      <c r="H1010" s="587">
        <f>SUM(H995:H1009)</f>
        <v>261043.20000000001</v>
      </c>
      <c r="I1010" s="580">
        <f>SUM(I995:I1009)</f>
        <v>9688802.8800000008</v>
      </c>
      <c r="J1010" s="349"/>
    </row>
    <row r="1011" spans="1:13" ht="35.25" customHeight="1" x14ac:dyDescent="0.25">
      <c r="A1011" s="1052"/>
      <c r="B1011" s="904"/>
      <c r="C1011" s="279" t="s">
        <v>271</v>
      </c>
      <c r="D1011" s="434" t="s">
        <v>238</v>
      </c>
      <c r="E1011" s="280"/>
      <c r="F1011" s="435">
        <f>+E1011+F917</f>
        <v>0</v>
      </c>
      <c r="G1011" s="578">
        <v>160.44999999999999</v>
      </c>
      <c r="H1011" s="593">
        <f t="shared" ref="H1011:H1016" si="201">E1011*G1011</f>
        <v>0</v>
      </c>
      <c r="I1011" s="596">
        <f t="shared" ref="I1011:I1016" si="202">+G1011*F1011</f>
        <v>0</v>
      </c>
      <c r="J1011" s="373"/>
    </row>
    <row r="1012" spans="1:13" ht="35.25" customHeight="1" x14ac:dyDescent="0.25">
      <c r="A1012" s="1052"/>
      <c r="B1012" s="904"/>
      <c r="C1012" s="279" t="s">
        <v>287</v>
      </c>
      <c r="D1012" s="434" t="s">
        <v>93</v>
      </c>
      <c r="E1012" s="280">
        <v>37620</v>
      </c>
      <c r="F1012" s="435">
        <f t="shared" ref="F1012:F1016" si="203">+E1012+F918</f>
        <v>91380</v>
      </c>
      <c r="G1012" s="578">
        <v>27</v>
      </c>
      <c r="H1012" s="593">
        <f t="shared" si="201"/>
        <v>1015740</v>
      </c>
      <c r="I1012" s="596">
        <f t="shared" si="202"/>
        <v>2467260</v>
      </c>
      <c r="J1012" s="373"/>
    </row>
    <row r="1013" spans="1:13" ht="35.25" customHeight="1" x14ac:dyDescent="0.25">
      <c r="A1013" s="1052"/>
      <c r="B1013" s="904"/>
      <c r="C1013" s="279" t="s">
        <v>287</v>
      </c>
      <c r="D1013" s="434" t="s">
        <v>292</v>
      </c>
      <c r="E1013" s="280"/>
      <c r="F1013" s="435">
        <f t="shared" si="203"/>
        <v>0</v>
      </c>
      <c r="G1013" s="578">
        <v>27.5</v>
      </c>
      <c r="H1013" s="593">
        <f t="shared" si="201"/>
        <v>0</v>
      </c>
      <c r="I1013" s="596">
        <f t="shared" si="202"/>
        <v>0</v>
      </c>
      <c r="J1013" s="373"/>
    </row>
    <row r="1014" spans="1:13" ht="35.25" customHeight="1" x14ac:dyDescent="0.25">
      <c r="A1014" s="1052"/>
      <c r="B1014" s="904"/>
      <c r="C1014" s="279" t="s">
        <v>276</v>
      </c>
      <c r="D1014" s="434" t="s">
        <v>292</v>
      </c>
      <c r="E1014" s="280"/>
      <c r="F1014" s="435">
        <f t="shared" si="203"/>
        <v>0</v>
      </c>
      <c r="G1014" s="578">
        <v>34.5</v>
      </c>
      <c r="H1014" s="593">
        <f t="shared" si="201"/>
        <v>0</v>
      </c>
      <c r="I1014" s="596">
        <f t="shared" si="202"/>
        <v>0</v>
      </c>
      <c r="J1014" s="373"/>
    </row>
    <row r="1015" spans="1:13" ht="35.25" customHeight="1" x14ac:dyDescent="0.25">
      <c r="A1015" s="1052"/>
      <c r="B1015" s="904"/>
      <c r="C1015" s="279" t="s">
        <v>473</v>
      </c>
      <c r="D1015" s="434" t="s">
        <v>440</v>
      </c>
      <c r="E1015" s="280"/>
      <c r="F1015" s="435">
        <f t="shared" si="203"/>
        <v>31200</v>
      </c>
      <c r="G1015" s="578">
        <v>10.57</v>
      </c>
      <c r="H1015" s="593">
        <f t="shared" si="201"/>
        <v>0</v>
      </c>
      <c r="I1015" s="596">
        <f t="shared" si="202"/>
        <v>329784</v>
      </c>
      <c r="J1015" s="373"/>
    </row>
    <row r="1016" spans="1:13" ht="35.25" customHeight="1" thickBot="1" x14ac:dyDescent="0.3">
      <c r="A1016" s="1052"/>
      <c r="B1016" s="904"/>
      <c r="C1016" s="279" t="s">
        <v>276</v>
      </c>
      <c r="D1016" s="434" t="s">
        <v>440</v>
      </c>
      <c r="E1016" s="280"/>
      <c r="F1016" s="435">
        <f t="shared" si="203"/>
        <v>26</v>
      </c>
      <c r="G1016" s="578">
        <v>55.76</v>
      </c>
      <c r="H1016" s="593">
        <f t="shared" si="201"/>
        <v>0</v>
      </c>
      <c r="I1016" s="596">
        <f t="shared" si="202"/>
        <v>1449.76</v>
      </c>
      <c r="J1016" s="373"/>
    </row>
    <row r="1017" spans="1:13" ht="35.25" customHeight="1" thickBot="1" x14ac:dyDescent="0.3">
      <c r="A1017" s="1052"/>
      <c r="B1017" s="1047" t="s">
        <v>267</v>
      </c>
      <c r="C1017" s="1048"/>
      <c r="D1017" s="906"/>
      <c r="E1017" s="326">
        <f>SUM(E1011:E1016)</f>
        <v>37620</v>
      </c>
      <c r="F1017" s="326">
        <f>SUM(F1011:F1016)</f>
        <v>122606</v>
      </c>
      <c r="G1017" s="326"/>
      <c r="H1017" s="587">
        <f>SUM(H1011:H1016)</f>
        <v>1015740</v>
      </c>
      <c r="I1017" s="580">
        <f>SUM(I1011:I1016)</f>
        <v>2798493.76</v>
      </c>
      <c r="J1017" s="349"/>
    </row>
    <row r="1018" spans="1:13" ht="35.25" customHeight="1" x14ac:dyDescent="0.25">
      <c r="A1018" s="1052"/>
      <c r="B1018" s="904"/>
      <c r="C1018" s="279" t="s">
        <v>277</v>
      </c>
      <c r="D1018" s="434" t="s">
        <v>278</v>
      </c>
      <c r="E1018" s="280"/>
      <c r="F1018" s="435">
        <f>+E1018+F924</f>
        <v>5</v>
      </c>
      <c r="G1018" s="578">
        <v>2500</v>
      </c>
      <c r="H1018" s="593">
        <f t="shared" ref="H1018:H1021" si="204">E1018*G1018</f>
        <v>0</v>
      </c>
      <c r="I1018" s="596">
        <f>+G1018*F1018</f>
        <v>12500</v>
      </c>
      <c r="J1018" s="373"/>
    </row>
    <row r="1019" spans="1:13" ht="35.25" customHeight="1" x14ac:dyDescent="0.25">
      <c r="A1019" s="1052"/>
      <c r="B1019" s="904"/>
      <c r="C1019" s="279" t="s">
        <v>454</v>
      </c>
      <c r="D1019" s="434"/>
      <c r="E1019" s="280"/>
      <c r="F1019" s="435">
        <f t="shared" ref="F1019:F1021" si="205">+E1019+F925</f>
        <v>0</v>
      </c>
      <c r="G1019" s="578">
        <v>30000</v>
      </c>
      <c r="H1019" s="593">
        <f t="shared" si="204"/>
        <v>0</v>
      </c>
      <c r="I1019" s="596">
        <f>+G1019*F1019</f>
        <v>0</v>
      </c>
      <c r="J1019" s="373"/>
    </row>
    <row r="1020" spans="1:13" ht="35.25" customHeight="1" x14ac:dyDescent="0.25">
      <c r="A1020" s="1052"/>
      <c r="B1020" s="904"/>
      <c r="C1020" s="279" t="s">
        <v>379</v>
      </c>
      <c r="D1020" s="434" t="s">
        <v>304</v>
      </c>
      <c r="E1020" s="280"/>
      <c r="F1020" s="435">
        <f t="shared" si="205"/>
        <v>0</v>
      </c>
      <c r="G1020" s="578">
        <v>360</v>
      </c>
      <c r="H1020" s="593">
        <f t="shared" si="204"/>
        <v>0</v>
      </c>
      <c r="I1020" s="596">
        <f>+G1020*F1020</f>
        <v>0</v>
      </c>
      <c r="J1020" s="373"/>
    </row>
    <row r="1021" spans="1:13" ht="35.25" customHeight="1" thickBot="1" x14ac:dyDescent="0.3">
      <c r="A1021" s="1052"/>
      <c r="B1021" s="904"/>
      <c r="C1021" s="279" t="s">
        <v>427</v>
      </c>
      <c r="D1021" s="434" t="s">
        <v>304</v>
      </c>
      <c r="E1021" s="280"/>
      <c r="F1021" s="435">
        <f t="shared" si="205"/>
        <v>0</v>
      </c>
      <c r="G1021" s="579">
        <v>10</v>
      </c>
      <c r="H1021" s="593">
        <f t="shared" si="204"/>
        <v>0</v>
      </c>
      <c r="I1021" s="596">
        <f t="shared" ref="I1021" si="206">+G1021*F1021</f>
        <v>0</v>
      </c>
      <c r="J1021" s="373"/>
    </row>
    <row r="1022" spans="1:13" ht="35.25" customHeight="1" thickBot="1" x14ac:dyDescent="0.3">
      <c r="A1022" s="1052"/>
      <c r="B1022" s="1047" t="s">
        <v>272</v>
      </c>
      <c r="C1022" s="1048"/>
      <c r="D1022" s="906"/>
      <c r="E1022" s="326">
        <f>SUM(E1018:E1021)</f>
        <v>0</v>
      </c>
      <c r="F1022" s="326">
        <f>SUM(F1018:F1021)</f>
        <v>5</v>
      </c>
      <c r="G1022" s="326"/>
      <c r="H1022" s="587">
        <f>SUM(H1018:H1021)</f>
        <v>0</v>
      </c>
      <c r="I1022" s="580">
        <f>SUM(I1018:I1021)</f>
        <v>12500</v>
      </c>
      <c r="J1022" s="373"/>
    </row>
    <row r="1023" spans="1:13" ht="35.25" customHeight="1" thickBot="1" x14ac:dyDescent="0.3">
      <c r="A1023" s="1052"/>
      <c r="B1023" s="904"/>
      <c r="C1023" s="279"/>
      <c r="D1023" s="434"/>
      <c r="E1023" s="280"/>
      <c r="F1023" s="317"/>
      <c r="G1023" s="579"/>
      <c r="H1023" s="588"/>
      <c r="I1023" s="282"/>
      <c r="J1023" s="373"/>
    </row>
    <row r="1024" spans="1:13" ht="35.25" customHeight="1" thickBot="1" x14ac:dyDescent="0.3">
      <c r="A1024" s="1053"/>
      <c r="B1024" s="1047" t="s">
        <v>269</v>
      </c>
      <c r="C1024" s="1048"/>
      <c r="D1024" s="902"/>
      <c r="E1024" s="326">
        <f>+E1022+E1017+E1010</f>
        <v>39540</v>
      </c>
      <c r="F1024" s="326">
        <f>+F1022+F1017+F1010</f>
        <v>691587</v>
      </c>
      <c r="G1024" s="326"/>
      <c r="H1024" s="580">
        <f>+H1017+H1010+H1022</f>
        <v>1276783.2</v>
      </c>
      <c r="I1024" s="580">
        <f>+I1017+I1010+I1022</f>
        <v>12499796.640000001</v>
      </c>
      <c r="J1024" s="373"/>
      <c r="K1024" s="704"/>
      <c r="M1024" s="704"/>
    </row>
    <row r="1025" spans="1:11" ht="35.25" customHeight="1" x14ac:dyDescent="0.25">
      <c r="A1025" s="1051" t="s">
        <v>101</v>
      </c>
      <c r="B1025" s="904"/>
      <c r="C1025" s="279" t="s">
        <v>281</v>
      </c>
      <c r="D1025" s="434" t="s">
        <v>178</v>
      </c>
      <c r="E1025" s="280"/>
      <c r="F1025" s="435">
        <f>+E1025+F931</f>
        <v>0</v>
      </c>
      <c r="G1025" s="602">
        <v>13.25</v>
      </c>
      <c r="H1025" s="597">
        <f t="shared" ref="H1025:H1053" si="207">E1025*G1025</f>
        <v>0</v>
      </c>
      <c r="I1025" s="596">
        <f t="shared" ref="I1025:I1053" si="208">+G1025*F1025</f>
        <v>0</v>
      </c>
      <c r="J1025" s="373"/>
      <c r="K1025" s="704"/>
    </row>
    <row r="1026" spans="1:11" ht="35.25" customHeight="1" x14ac:dyDescent="0.25">
      <c r="A1026" s="1052"/>
      <c r="B1026" s="904"/>
      <c r="C1026" s="279" t="s">
        <v>282</v>
      </c>
      <c r="D1026" s="434"/>
      <c r="E1026" s="280"/>
      <c r="F1026" s="435">
        <f t="shared" ref="F1026:F1080" si="209">+E1026+F932</f>
        <v>0</v>
      </c>
      <c r="G1026" s="603">
        <v>5000</v>
      </c>
      <c r="H1026" s="597">
        <f t="shared" si="207"/>
        <v>0</v>
      </c>
      <c r="I1026" s="596">
        <f t="shared" si="208"/>
        <v>0</v>
      </c>
      <c r="J1026" s="373"/>
      <c r="K1026" s="704"/>
    </row>
    <row r="1027" spans="1:11" ht="35.25" customHeight="1" x14ac:dyDescent="0.25">
      <c r="A1027" s="1052"/>
      <c r="B1027" s="904"/>
      <c r="C1027" s="279" t="s">
        <v>282</v>
      </c>
      <c r="D1027" s="434"/>
      <c r="E1027" s="280"/>
      <c r="F1027" s="435">
        <f t="shared" si="209"/>
        <v>0</v>
      </c>
      <c r="G1027" s="603">
        <v>18000</v>
      </c>
      <c r="H1027" s="597">
        <f t="shared" si="207"/>
        <v>0</v>
      </c>
      <c r="I1027" s="596">
        <f t="shared" si="208"/>
        <v>0</v>
      </c>
      <c r="J1027" s="373"/>
    </row>
    <row r="1028" spans="1:11" ht="35.25" customHeight="1" x14ac:dyDescent="0.25">
      <c r="A1028" s="1052"/>
      <c r="B1028" s="904"/>
      <c r="C1028" s="279" t="s">
        <v>465</v>
      </c>
      <c r="D1028" s="434" t="s">
        <v>338</v>
      </c>
      <c r="E1028" s="280"/>
      <c r="F1028" s="435">
        <f t="shared" si="209"/>
        <v>0</v>
      </c>
      <c r="G1028" s="602">
        <v>24.93</v>
      </c>
      <c r="H1028" s="597">
        <f t="shared" si="207"/>
        <v>0</v>
      </c>
      <c r="I1028" s="596">
        <f t="shared" si="208"/>
        <v>0</v>
      </c>
      <c r="J1028" s="373"/>
    </row>
    <row r="1029" spans="1:11" ht="35.25" customHeight="1" x14ac:dyDescent="0.25">
      <c r="A1029" s="1052"/>
      <c r="B1029" s="904"/>
      <c r="C1029" s="746" t="s">
        <v>466</v>
      </c>
      <c r="D1029" s="747" t="s">
        <v>92</v>
      </c>
      <c r="E1029" s="280"/>
      <c r="F1029" s="435">
        <f t="shared" si="209"/>
        <v>0</v>
      </c>
      <c r="G1029" s="602">
        <v>20.8</v>
      </c>
      <c r="H1029" s="597">
        <f t="shared" si="207"/>
        <v>0</v>
      </c>
      <c r="I1029" s="596">
        <f t="shared" si="208"/>
        <v>0</v>
      </c>
      <c r="J1029" s="373"/>
    </row>
    <row r="1030" spans="1:11" ht="35.25" customHeight="1" x14ac:dyDescent="0.25">
      <c r="A1030" s="1052"/>
      <c r="B1030" s="904"/>
      <c r="C1030" s="746" t="s">
        <v>467</v>
      </c>
      <c r="D1030" s="747" t="s">
        <v>468</v>
      </c>
      <c r="E1030" s="280"/>
      <c r="F1030" s="435">
        <f t="shared" si="209"/>
        <v>0</v>
      </c>
      <c r="G1030" s="602">
        <v>24.93</v>
      </c>
      <c r="H1030" s="597">
        <f t="shared" si="207"/>
        <v>0</v>
      </c>
      <c r="I1030" s="596">
        <f t="shared" si="208"/>
        <v>0</v>
      </c>
      <c r="J1030" s="373"/>
    </row>
    <row r="1031" spans="1:11" ht="35.25" customHeight="1" x14ac:dyDescent="0.25">
      <c r="A1031" s="1052"/>
      <c r="B1031" s="904"/>
      <c r="C1031" s="746" t="s">
        <v>467</v>
      </c>
      <c r="D1031" s="747" t="s">
        <v>468</v>
      </c>
      <c r="E1031" s="280"/>
      <c r="F1031" s="435">
        <f t="shared" si="209"/>
        <v>0</v>
      </c>
      <c r="G1031" s="602">
        <v>25.49</v>
      </c>
      <c r="H1031" s="597">
        <f t="shared" si="207"/>
        <v>0</v>
      </c>
      <c r="I1031" s="596">
        <f t="shared" si="208"/>
        <v>0</v>
      </c>
      <c r="J1031" s="373"/>
    </row>
    <row r="1032" spans="1:11" s="757" customFormat="1" ht="35.25" customHeight="1" x14ac:dyDescent="0.25">
      <c r="A1032" s="1052"/>
      <c r="B1032" s="748"/>
      <c r="C1032" s="749" t="s">
        <v>469</v>
      </c>
      <c r="D1032" s="750" t="s">
        <v>309</v>
      </c>
      <c r="E1032" s="751"/>
      <c r="F1032" s="752">
        <f t="shared" si="209"/>
        <v>0</v>
      </c>
      <c r="G1032" s="753">
        <v>24.41</v>
      </c>
      <c r="H1032" s="754">
        <f t="shared" si="207"/>
        <v>0</v>
      </c>
      <c r="I1032" s="755">
        <f t="shared" si="208"/>
        <v>0</v>
      </c>
      <c r="J1032" s="756"/>
    </row>
    <row r="1033" spans="1:11" ht="35.25" customHeight="1" x14ac:dyDescent="0.25">
      <c r="A1033" s="1052"/>
      <c r="B1033" s="904"/>
      <c r="C1033" s="279" t="s">
        <v>444</v>
      </c>
      <c r="D1033" s="434" t="s">
        <v>423</v>
      </c>
      <c r="E1033" s="280"/>
      <c r="F1033" s="435">
        <f t="shared" si="209"/>
        <v>0</v>
      </c>
      <c r="G1033" s="602">
        <v>20.76</v>
      </c>
      <c r="H1033" s="597">
        <f t="shared" si="207"/>
        <v>0</v>
      </c>
      <c r="I1033" s="596">
        <f t="shared" si="208"/>
        <v>0</v>
      </c>
      <c r="J1033" s="373"/>
    </row>
    <row r="1034" spans="1:11" ht="35.25" customHeight="1" x14ac:dyDescent="0.25">
      <c r="A1034" s="1052"/>
      <c r="B1034" s="904"/>
      <c r="C1034" s="279" t="s">
        <v>298</v>
      </c>
      <c r="D1034" s="434" t="s">
        <v>107</v>
      </c>
      <c r="E1034" s="280"/>
      <c r="F1034" s="435">
        <f t="shared" si="209"/>
        <v>0</v>
      </c>
      <c r="G1034" s="602">
        <v>24.93</v>
      </c>
      <c r="H1034" s="597">
        <f t="shared" si="207"/>
        <v>0</v>
      </c>
      <c r="I1034" s="596">
        <f t="shared" si="208"/>
        <v>0</v>
      </c>
      <c r="J1034" s="373"/>
    </row>
    <row r="1035" spans="1:11" ht="35.25" customHeight="1" x14ac:dyDescent="0.25">
      <c r="A1035" s="1052"/>
      <c r="B1035" s="904"/>
      <c r="C1035" s="279" t="s">
        <v>299</v>
      </c>
      <c r="D1035" s="434" t="s">
        <v>280</v>
      </c>
      <c r="E1035" s="280"/>
      <c r="F1035" s="435">
        <f t="shared" si="209"/>
        <v>0</v>
      </c>
      <c r="G1035" s="602">
        <v>24.93</v>
      </c>
      <c r="H1035" s="597">
        <f t="shared" si="207"/>
        <v>0</v>
      </c>
      <c r="I1035" s="596">
        <f t="shared" si="208"/>
        <v>0</v>
      </c>
      <c r="J1035" s="373"/>
    </row>
    <row r="1036" spans="1:11" ht="35.25" customHeight="1" x14ac:dyDescent="0.25">
      <c r="A1036" s="1052"/>
      <c r="B1036" s="904"/>
      <c r="C1036" s="279" t="s">
        <v>425</v>
      </c>
      <c r="D1036" s="434" t="s">
        <v>309</v>
      </c>
      <c r="E1036" s="280"/>
      <c r="F1036" s="435">
        <f t="shared" si="209"/>
        <v>0</v>
      </c>
      <c r="G1036" s="602">
        <v>23.78</v>
      </c>
      <c r="H1036" s="597">
        <f t="shared" si="207"/>
        <v>0</v>
      </c>
      <c r="I1036" s="596">
        <f t="shared" si="208"/>
        <v>0</v>
      </c>
      <c r="J1036" s="373"/>
    </row>
    <row r="1037" spans="1:11" ht="35.25" customHeight="1" x14ac:dyDescent="0.25">
      <c r="A1037" s="1052"/>
      <c r="B1037" s="904"/>
      <c r="C1037" s="279" t="s">
        <v>354</v>
      </c>
      <c r="D1037" s="434" t="s">
        <v>309</v>
      </c>
      <c r="E1037" s="280"/>
      <c r="F1037" s="435">
        <f t="shared" si="209"/>
        <v>0</v>
      </c>
      <c r="G1037" s="602">
        <v>37.4566666666</v>
      </c>
      <c r="H1037" s="597">
        <f t="shared" si="207"/>
        <v>0</v>
      </c>
      <c r="I1037" s="596">
        <f t="shared" si="208"/>
        <v>0</v>
      </c>
      <c r="J1037" s="373"/>
    </row>
    <row r="1038" spans="1:11" ht="35.25" customHeight="1" x14ac:dyDescent="0.25">
      <c r="A1038" s="1052"/>
      <c r="B1038" s="904"/>
      <c r="C1038" s="279" t="s">
        <v>355</v>
      </c>
      <c r="D1038" s="434" t="s">
        <v>309</v>
      </c>
      <c r="E1038" s="280"/>
      <c r="F1038" s="435">
        <f t="shared" si="209"/>
        <v>0</v>
      </c>
      <c r="G1038" s="602">
        <v>37.89</v>
      </c>
      <c r="H1038" s="597">
        <f t="shared" si="207"/>
        <v>0</v>
      </c>
      <c r="I1038" s="596">
        <f t="shared" si="208"/>
        <v>0</v>
      </c>
      <c r="J1038" s="373"/>
    </row>
    <row r="1039" spans="1:11" ht="35.25" customHeight="1" x14ac:dyDescent="0.25">
      <c r="A1039" s="1052"/>
      <c r="B1039" s="904"/>
      <c r="C1039" s="279" t="s">
        <v>461</v>
      </c>
      <c r="D1039" s="434" t="s">
        <v>92</v>
      </c>
      <c r="E1039" s="280"/>
      <c r="F1039" s="435">
        <f t="shared" si="209"/>
        <v>0</v>
      </c>
      <c r="G1039" s="602">
        <v>28.31</v>
      </c>
      <c r="H1039" s="597">
        <f t="shared" si="207"/>
        <v>0</v>
      </c>
      <c r="I1039" s="596">
        <f t="shared" si="208"/>
        <v>0</v>
      </c>
      <c r="J1039" s="373"/>
    </row>
    <row r="1040" spans="1:11" ht="35.25" customHeight="1" x14ac:dyDescent="0.25">
      <c r="A1040" s="1052"/>
      <c r="B1040" s="904"/>
      <c r="C1040" s="279" t="s">
        <v>461</v>
      </c>
      <c r="D1040" s="434" t="s">
        <v>423</v>
      </c>
      <c r="E1040" s="280"/>
      <c r="F1040" s="435">
        <f t="shared" si="209"/>
        <v>0</v>
      </c>
      <c r="G1040" s="602">
        <v>28.88</v>
      </c>
      <c r="H1040" s="597">
        <f t="shared" si="207"/>
        <v>0</v>
      </c>
      <c r="I1040" s="596">
        <f t="shared" si="208"/>
        <v>0</v>
      </c>
      <c r="J1040" s="373"/>
    </row>
    <row r="1041" spans="1:10" ht="35.25" customHeight="1" x14ac:dyDescent="0.25">
      <c r="A1041" s="1052"/>
      <c r="B1041" s="904"/>
      <c r="C1041" s="279" t="s">
        <v>462</v>
      </c>
      <c r="D1041" s="434" t="s">
        <v>423</v>
      </c>
      <c r="E1041" s="280"/>
      <c r="F1041" s="435">
        <f t="shared" si="209"/>
        <v>0</v>
      </c>
      <c r="G1041" s="602">
        <v>28.21</v>
      </c>
      <c r="H1041" s="597">
        <f t="shared" si="207"/>
        <v>0</v>
      </c>
      <c r="I1041" s="596">
        <f t="shared" si="208"/>
        <v>0</v>
      </c>
      <c r="J1041" s="373"/>
    </row>
    <row r="1042" spans="1:10" ht="35.25" customHeight="1" x14ac:dyDescent="0.25">
      <c r="A1042" s="1052"/>
      <c r="B1042" s="904"/>
      <c r="C1042" s="279" t="s">
        <v>463</v>
      </c>
      <c r="D1042" s="434" t="s">
        <v>338</v>
      </c>
      <c r="E1042" s="280"/>
      <c r="F1042" s="435">
        <f t="shared" si="209"/>
        <v>0</v>
      </c>
      <c r="G1042" s="602">
        <v>39</v>
      </c>
      <c r="H1042" s="597">
        <f t="shared" si="207"/>
        <v>0</v>
      </c>
      <c r="I1042" s="596">
        <f t="shared" si="208"/>
        <v>0</v>
      </c>
      <c r="J1042" s="373"/>
    </row>
    <row r="1043" spans="1:10" ht="35.25" customHeight="1" x14ac:dyDescent="0.25">
      <c r="A1043" s="1052"/>
      <c r="B1043" s="904"/>
      <c r="C1043" s="279" t="s">
        <v>463</v>
      </c>
      <c r="D1043" s="434" t="s">
        <v>92</v>
      </c>
      <c r="E1043" s="280"/>
      <c r="F1043" s="435">
        <f t="shared" si="209"/>
        <v>0</v>
      </c>
      <c r="G1043" s="602">
        <v>32.65</v>
      </c>
      <c r="H1043" s="597">
        <f t="shared" si="207"/>
        <v>0</v>
      </c>
      <c r="I1043" s="596">
        <f t="shared" si="208"/>
        <v>0</v>
      </c>
      <c r="J1043" s="373"/>
    </row>
    <row r="1044" spans="1:10" ht="35.25" customHeight="1" x14ac:dyDescent="0.25">
      <c r="A1044" s="1052"/>
      <c r="B1044" s="904"/>
      <c r="C1044" s="279" t="s">
        <v>463</v>
      </c>
      <c r="D1044" s="434" t="s">
        <v>423</v>
      </c>
      <c r="E1044" s="280"/>
      <c r="F1044" s="435">
        <f t="shared" si="209"/>
        <v>0</v>
      </c>
      <c r="G1044" s="602">
        <v>33.299999999999997</v>
      </c>
      <c r="H1044" s="597">
        <f t="shared" si="207"/>
        <v>0</v>
      </c>
      <c r="I1044" s="596">
        <f t="shared" si="208"/>
        <v>0</v>
      </c>
      <c r="J1044" s="373"/>
    </row>
    <row r="1045" spans="1:10" ht="35.25" customHeight="1" x14ac:dyDescent="0.25">
      <c r="A1045" s="1052"/>
      <c r="B1045" s="904"/>
      <c r="C1045" s="279" t="s">
        <v>299</v>
      </c>
      <c r="D1045" s="434" t="s">
        <v>279</v>
      </c>
      <c r="E1045" s="280"/>
      <c r="F1045" s="435">
        <f t="shared" si="209"/>
        <v>0</v>
      </c>
      <c r="G1045" s="602">
        <v>24.93</v>
      </c>
      <c r="H1045" s="597">
        <f t="shared" si="207"/>
        <v>0</v>
      </c>
      <c r="I1045" s="596">
        <f t="shared" si="208"/>
        <v>0</v>
      </c>
      <c r="J1045" s="373"/>
    </row>
    <row r="1046" spans="1:10" ht="35.25" customHeight="1" x14ac:dyDescent="0.25">
      <c r="A1046" s="1052"/>
      <c r="B1046" s="904"/>
      <c r="C1046" s="279" t="s">
        <v>299</v>
      </c>
      <c r="D1046" s="434"/>
      <c r="E1046" s="280"/>
      <c r="F1046" s="435">
        <f t="shared" si="209"/>
        <v>0</v>
      </c>
      <c r="G1046" s="602">
        <v>24.93</v>
      </c>
      <c r="H1046" s="597">
        <f t="shared" si="207"/>
        <v>0</v>
      </c>
      <c r="I1046" s="596">
        <f t="shared" si="208"/>
        <v>0</v>
      </c>
      <c r="J1046" s="373"/>
    </row>
    <row r="1047" spans="1:10" ht="35.25" customHeight="1" x14ac:dyDescent="0.25">
      <c r="A1047" s="1052"/>
      <c r="B1047" s="904"/>
      <c r="C1047" s="279" t="s">
        <v>316</v>
      </c>
      <c r="D1047" s="434" t="s">
        <v>289</v>
      </c>
      <c r="E1047" s="280"/>
      <c r="F1047" s="435">
        <f t="shared" si="209"/>
        <v>0</v>
      </c>
      <c r="G1047" s="602">
        <v>34.26</v>
      </c>
      <c r="H1047" s="597">
        <f t="shared" si="207"/>
        <v>0</v>
      </c>
      <c r="I1047" s="596">
        <f t="shared" si="208"/>
        <v>0</v>
      </c>
      <c r="J1047" s="373"/>
    </row>
    <row r="1048" spans="1:10" ht="35.25" customHeight="1" x14ac:dyDescent="0.25">
      <c r="A1048" s="1052"/>
      <c r="B1048" s="904"/>
      <c r="C1048" s="279" t="s">
        <v>328</v>
      </c>
      <c r="D1048" s="434" t="s">
        <v>360</v>
      </c>
      <c r="E1048" s="280"/>
      <c r="F1048" s="435">
        <f t="shared" si="209"/>
        <v>0</v>
      </c>
      <c r="G1048" s="602">
        <v>37.89</v>
      </c>
      <c r="H1048" s="597">
        <f t="shared" si="207"/>
        <v>0</v>
      </c>
      <c r="I1048" s="596">
        <f t="shared" si="208"/>
        <v>0</v>
      </c>
      <c r="J1048" s="373"/>
    </row>
    <row r="1049" spans="1:10" ht="35.25" customHeight="1" x14ac:dyDescent="0.25">
      <c r="A1049" s="1052"/>
      <c r="B1049" s="904"/>
      <c r="C1049" s="279" t="s">
        <v>363</v>
      </c>
      <c r="D1049" s="434" t="s">
        <v>338</v>
      </c>
      <c r="E1049" s="280"/>
      <c r="F1049" s="435">
        <f t="shared" si="209"/>
        <v>0</v>
      </c>
      <c r="G1049" s="602">
        <v>39</v>
      </c>
      <c r="H1049" s="597">
        <f t="shared" si="207"/>
        <v>0</v>
      </c>
      <c r="I1049" s="596">
        <f t="shared" si="208"/>
        <v>0</v>
      </c>
      <c r="J1049" s="373"/>
    </row>
    <row r="1050" spans="1:10" ht="35.25" customHeight="1" x14ac:dyDescent="0.25">
      <c r="A1050" s="1052"/>
      <c r="B1050" s="904"/>
      <c r="C1050" s="279" t="s">
        <v>299</v>
      </c>
      <c r="D1050" s="434" t="s">
        <v>177</v>
      </c>
      <c r="E1050" s="280"/>
      <c r="F1050" s="435">
        <f t="shared" si="209"/>
        <v>0</v>
      </c>
      <c r="G1050" s="602">
        <v>21.22</v>
      </c>
      <c r="H1050" s="597">
        <f t="shared" si="207"/>
        <v>0</v>
      </c>
      <c r="I1050" s="596">
        <f t="shared" si="208"/>
        <v>0</v>
      </c>
      <c r="J1050" s="373"/>
    </row>
    <row r="1051" spans="1:10" ht="35.25" customHeight="1" x14ac:dyDescent="0.25">
      <c r="A1051" s="1052"/>
      <c r="B1051" s="904"/>
      <c r="C1051" s="279" t="s">
        <v>298</v>
      </c>
      <c r="D1051" s="434" t="s">
        <v>177</v>
      </c>
      <c r="E1051" s="280"/>
      <c r="F1051" s="435">
        <f t="shared" si="209"/>
        <v>0</v>
      </c>
      <c r="G1051" s="602">
        <v>21.22</v>
      </c>
      <c r="H1051" s="597">
        <f t="shared" si="207"/>
        <v>0</v>
      </c>
      <c r="I1051" s="596">
        <f t="shared" si="208"/>
        <v>0</v>
      </c>
      <c r="J1051" s="373"/>
    </row>
    <row r="1052" spans="1:10" ht="35.25" customHeight="1" x14ac:dyDescent="0.25">
      <c r="A1052" s="1052"/>
      <c r="B1052" s="904"/>
      <c r="C1052" s="279" t="s">
        <v>339</v>
      </c>
      <c r="D1052" s="434" t="s">
        <v>304</v>
      </c>
      <c r="E1052" s="280"/>
      <c r="F1052" s="435">
        <f t="shared" si="209"/>
        <v>0</v>
      </c>
      <c r="G1052" s="602">
        <v>10000</v>
      </c>
      <c r="H1052" s="597">
        <f t="shared" si="207"/>
        <v>0</v>
      </c>
      <c r="I1052" s="596">
        <f t="shared" si="208"/>
        <v>0</v>
      </c>
      <c r="J1052" s="373"/>
    </row>
    <row r="1053" spans="1:10" ht="35.25" customHeight="1" thickBot="1" x14ac:dyDescent="0.3">
      <c r="A1053" s="1052"/>
      <c r="B1053" s="904"/>
      <c r="C1053" s="279" t="s">
        <v>303</v>
      </c>
      <c r="D1053" s="434" t="s">
        <v>304</v>
      </c>
      <c r="E1053" s="280"/>
      <c r="F1053" s="435">
        <f t="shared" si="209"/>
        <v>0</v>
      </c>
      <c r="G1053" s="602">
        <v>360</v>
      </c>
      <c r="H1053" s="597">
        <f t="shared" si="207"/>
        <v>0</v>
      </c>
      <c r="I1053" s="596">
        <f t="shared" si="208"/>
        <v>0</v>
      </c>
      <c r="J1053" s="373"/>
    </row>
    <row r="1054" spans="1:10" ht="35.25" customHeight="1" thickBot="1" x14ac:dyDescent="0.3">
      <c r="A1054" s="1053"/>
      <c r="B1054" s="1047" t="s">
        <v>268</v>
      </c>
      <c r="C1054" s="1048"/>
      <c r="D1054" s="906"/>
      <c r="E1054" s="326">
        <f>SUM(E1025:E1053)</f>
        <v>0</v>
      </c>
      <c r="F1054" s="326">
        <f t="shared" si="209"/>
        <v>0</v>
      </c>
      <c r="G1054" s="326"/>
      <c r="H1054" s="587">
        <f>SUM(H1025:H1053)</f>
        <v>0</v>
      </c>
      <c r="I1054" s="580">
        <f>SUM(I1025:I1053)</f>
        <v>0</v>
      </c>
      <c r="J1054" s="373"/>
    </row>
    <row r="1055" spans="1:10" ht="35.25" customHeight="1" x14ac:dyDescent="0.25">
      <c r="A1055" s="1051" t="s">
        <v>102</v>
      </c>
      <c r="B1055" s="904"/>
      <c r="C1055" s="279" t="s">
        <v>509</v>
      </c>
      <c r="D1055" s="434" t="s">
        <v>238</v>
      </c>
      <c r="E1055" s="280">
        <v>0</v>
      </c>
      <c r="F1055" s="435">
        <f t="shared" si="209"/>
        <v>6200</v>
      </c>
      <c r="G1055" s="803">
        <v>624.26</v>
      </c>
      <c r="H1055" s="593">
        <f>E1055*G1055</f>
        <v>0</v>
      </c>
      <c r="I1055" s="596">
        <f t="shared" ref="I1055:I1057" si="210">+G1055*F1055</f>
        <v>3870412</v>
      </c>
      <c r="J1055" s="373"/>
    </row>
    <row r="1056" spans="1:10" ht="35.25" customHeight="1" x14ac:dyDescent="0.25">
      <c r="A1056" s="1052"/>
      <c r="B1056" s="904"/>
      <c r="C1056" s="279" t="s">
        <v>273</v>
      </c>
      <c r="D1056" s="434" t="s">
        <v>238</v>
      </c>
      <c r="E1056" s="280">
        <v>640</v>
      </c>
      <c r="F1056" s="435">
        <f t="shared" si="209"/>
        <v>2763</v>
      </c>
      <c r="G1056" s="602">
        <v>430.02</v>
      </c>
      <c r="H1056" s="593">
        <f t="shared" ref="H1056:H1077" si="211">E1056*G1056</f>
        <v>275212.79999999999</v>
      </c>
      <c r="I1056" s="596">
        <f t="shared" si="210"/>
        <v>1188145.26</v>
      </c>
      <c r="J1056" s="373"/>
    </row>
    <row r="1057" spans="1:10" ht="35.25" customHeight="1" x14ac:dyDescent="0.25">
      <c r="A1057" s="1052"/>
      <c r="B1057" s="904"/>
      <c r="C1057" s="279" t="s">
        <v>390</v>
      </c>
      <c r="D1057" s="434" t="s">
        <v>238</v>
      </c>
      <c r="E1057" s="280"/>
      <c r="F1057" s="435">
        <f t="shared" si="209"/>
        <v>0</v>
      </c>
      <c r="G1057" s="602">
        <v>445.38</v>
      </c>
      <c r="H1057" s="593">
        <f t="shared" si="211"/>
        <v>0</v>
      </c>
      <c r="I1057" s="596">
        <f t="shared" si="210"/>
        <v>0</v>
      </c>
      <c r="J1057" s="373"/>
    </row>
    <row r="1058" spans="1:10" ht="35.25" customHeight="1" x14ac:dyDescent="0.25">
      <c r="A1058" s="1052"/>
      <c r="B1058" s="904"/>
      <c r="C1058" s="279" t="s">
        <v>301</v>
      </c>
      <c r="D1058" s="434" t="s">
        <v>238</v>
      </c>
      <c r="E1058" s="280"/>
      <c r="F1058" s="435">
        <f t="shared" si="209"/>
        <v>8640</v>
      </c>
      <c r="G1058" s="602">
        <v>63.55</v>
      </c>
      <c r="H1058" s="593">
        <f t="shared" si="211"/>
        <v>0</v>
      </c>
      <c r="I1058" s="596">
        <f>+G1058*F1058</f>
        <v>549072</v>
      </c>
      <c r="J1058" s="373"/>
    </row>
    <row r="1059" spans="1:10" ht="35.25" customHeight="1" x14ac:dyDescent="0.25">
      <c r="A1059" s="1052"/>
      <c r="B1059" s="904"/>
      <c r="C1059" s="279" t="s">
        <v>514</v>
      </c>
      <c r="D1059" s="434" t="s">
        <v>238</v>
      </c>
      <c r="E1059" s="280"/>
      <c r="F1059" s="435">
        <f t="shared" si="209"/>
        <v>48300</v>
      </c>
      <c r="G1059" s="602">
        <v>71.44</v>
      </c>
      <c r="H1059" s="593">
        <f t="shared" si="211"/>
        <v>0</v>
      </c>
      <c r="I1059" s="596">
        <f>+G1059*F1059</f>
        <v>3450552</v>
      </c>
      <c r="J1059" s="373"/>
    </row>
    <row r="1060" spans="1:10" ht="35.25" customHeight="1" x14ac:dyDescent="0.25">
      <c r="A1060" s="1052"/>
      <c r="B1060" s="904"/>
      <c r="C1060" s="279" t="s">
        <v>275</v>
      </c>
      <c r="D1060" s="434" t="s">
        <v>238</v>
      </c>
      <c r="E1060" s="280">
        <v>21036</v>
      </c>
      <c r="F1060" s="435">
        <f t="shared" si="209"/>
        <v>92316</v>
      </c>
      <c r="G1060" s="602">
        <v>71.44</v>
      </c>
      <c r="H1060" s="593">
        <f t="shared" si="211"/>
        <v>1502811.8399999999</v>
      </c>
      <c r="I1060" s="596">
        <f t="shared" ref="I1060:I1077" si="212">+G1060*F1060</f>
        <v>6595055.04</v>
      </c>
      <c r="J1060" s="373"/>
    </row>
    <row r="1061" spans="1:10" ht="35.25" customHeight="1" x14ac:dyDescent="0.25">
      <c r="A1061" s="1052"/>
      <c r="B1061" s="904"/>
      <c r="C1061" s="279" t="s">
        <v>276</v>
      </c>
      <c r="D1061" s="434" t="s">
        <v>238</v>
      </c>
      <c r="E1061" s="280"/>
      <c r="F1061" s="435">
        <f t="shared" si="209"/>
        <v>0</v>
      </c>
      <c r="G1061" s="602">
        <v>36.5</v>
      </c>
      <c r="H1061" s="593">
        <f t="shared" si="211"/>
        <v>0</v>
      </c>
      <c r="I1061" s="596">
        <f t="shared" si="212"/>
        <v>0</v>
      </c>
      <c r="J1061" s="373"/>
    </row>
    <row r="1062" spans="1:10" ht="35.25" customHeight="1" x14ac:dyDescent="0.25">
      <c r="A1062" s="1052"/>
      <c r="B1062" s="904"/>
      <c r="C1062" s="279" t="s">
        <v>527</v>
      </c>
      <c r="D1062" s="434" t="s">
        <v>238</v>
      </c>
      <c r="E1062" s="280">
        <v>2800</v>
      </c>
      <c r="F1062" s="435">
        <f t="shared" si="209"/>
        <v>4800</v>
      </c>
      <c r="G1062" s="602">
        <v>320.35000000000002</v>
      </c>
      <c r="H1062" s="593">
        <f t="shared" si="211"/>
        <v>896980.00000000012</v>
      </c>
      <c r="I1062" s="596">
        <f t="shared" si="212"/>
        <v>1537680</v>
      </c>
      <c r="J1062" s="373"/>
    </row>
    <row r="1063" spans="1:10" ht="35.25" customHeight="1" x14ac:dyDescent="0.25">
      <c r="A1063" s="1052"/>
      <c r="B1063" s="904"/>
      <c r="C1063" s="279" t="s">
        <v>285</v>
      </c>
      <c r="D1063" s="434" t="s">
        <v>238</v>
      </c>
      <c r="E1063" s="280"/>
      <c r="F1063" s="435">
        <f t="shared" si="209"/>
        <v>0</v>
      </c>
      <c r="G1063" s="602">
        <v>320.35000000000002</v>
      </c>
      <c r="H1063" s="593">
        <f t="shared" si="211"/>
        <v>0</v>
      </c>
      <c r="I1063" s="596">
        <f t="shared" si="212"/>
        <v>0</v>
      </c>
      <c r="J1063" s="373"/>
    </row>
    <row r="1064" spans="1:10" ht="35.25" customHeight="1" x14ac:dyDescent="0.25">
      <c r="A1064" s="1052"/>
      <c r="B1064" s="904"/>
      <c r="C1064" s="279" t="s">
        <v>296</v>
      </c>
      <c r="D1064" s="434" t="s">
        <v>238</v>
      </c>
      <c r="E1064" s="280"/>
      <c r="F1064" s="435">
        <f t="shared" si="209"/>
        <v>0</v>
      </c>
      <c r="G1064" s="602">
        <v>434.41</v>
      </c>
      <c r="H1064" s="593">
        <f t="shared" si="211"/>
        <v>0</v>
      </c>
      <c r="I1064" s="596">
        <f t="shared" si="212"/>
        <v>0</v>
      </c>
      <c r="J1064" s="373"/>
    </row>
    <row r="1065" spans="1:10" ht="35.25" customHeight="1" x14ac:dyDescent="0.25">
      <c r="A1065" s="1052"/>
      <c r="B1065" s="904"/>
      <c r="C1065" s="279" t="s">
        <v>282</v>
      </c>
      <c r="D1065" s="434" t="s">
        <v>238</v>
      </c>
      <c r="E1065" s="280"/>
      <c r="F1065" s="435">
        <f t="shared" si="209"/>
        <v>0</v>
      </c>
      <c r="G1065" s="602">
        <v>29690</v>
      </c>
      <c r="H1065" s="593">
        <f t="shared" si="211"/>
        <v>0</v>
      </c>
      <c r="I1065" s="596">
        <f t="shared" si="212"/>
        <v>0</v>
      </c>
      <c r="J1065" s="373"/>
    </row>
    <row r="1066" spans="1:10" ht="35.25" customHeight="1" x14ac:dyDescent="0.25">
      <c r="A1066" s="1052"/>
      <c r="B1066" s="904"/>
      <c r="C1066" s="279" t="s">
        <v>282</v>
      </c>
      <c r="D1066" s="434" t="s">
        <v>238</v>
      </c>
      <c r="E1066" s="280"/>
      <c r="F1066" s="435">
        <f t="shared" si="209"/>
        <v>2</v>
      </c>
      <c r="G1066" s="602">
        <v>26445</v>
      </c>
      <c r="H1066" s="593">
        <f t="shared" si="211"/>
        <v>0</v>
      </c>
      <c r="I1066" s="596">
        <f t="shared" si="212"/>
        <v>52890</v>
      </c>
      <c r="J1066" s="373"/>
    </row>
    <row r="1067" spans="1:10" ht="35.25" customHeight="1" x14ac:dyDescent="0.25">
      <c r="A1067" s="1052"/>
      <c r="B1067" s="904"/>
      <c r="C1067" s="279" t="s">
        <v>282</v>
      </c>
      <c r="D1067" s="434"/>
      <c r="E1067" s="280"/>
      <c r="F1067" s="435">
        <f t="shared" si="209"/>
        <v>0</v>
      </c>
      <c r="G1067" s="602">
        <v>33947.884599999998</v>
      </c>
      <c r="H1067" s="593">
        <f t="shared" si="211"/>
        <v>0</v>
      </c>
      <c r="I1067" s="596">
        <f t="shared" si="212"/>
        <v>0</v>
      </c>
      <c r="J1067" s="373"/>
    </row>
    <row r="1068" spans="1:10" ht="35.25" customHeight="1" x14ac:dyDescent="0.25">
      <c r="A1068" s="1052"/>
      <c r="B1068" s="904"/>
      <c r="C1068" s="279" t="s">
        <v>311</v>
      </c>
      <c r="D1068" s="434" t="s">
        <v>337</v>
      </c>
      <c r="E1068" s="280"/>
      <c r="F1068" s="435">
        <f t="shared" si="209"/>
        <v>0</v>
      </c>
      <c r="G1068" s="602">
        <v>50</v>
      </c>
      <c r="H1068" s="593">
        <f t="shared" si="211"/>
        <v>0</v>
      </c>
      <c r="I1068" s="596">
        <f t="shared" si="212"/>
        <v>0</v>
      </c>
      <c r="J1068" s="373"/>
    </row>
    <row r="1069" spans="1:10" ht="35.25" customHeight="1" x14ac:dyDescent="0.25">
      <c r="A1069" s="1052"/>
      <c r="B1069" s="904"/>
      <c r="C1069" s="279" t="s">
        <v>311</v>
      </c>
      <c r="D1069" s="434"/>
      <c r="E1069" s="280"/>
      <c r="F1069" s="435">
        <f t="shared" si="209"/>
        <v>0</v>
      </c>
      <c r="G1069" s="602">
        <v>10</v>
      </c>
      <c r="H1069" s="593">
        <f t="shared" si="211"/>
        <v>0</v>
      </c>
      <c r="I1069" s="596">
        <f t="shared" si="212"/>
        <v>0</v>
      </c>
      <c r="J1069" s="373"/>
    </row>
    <row r="1070" spans="1:10" ht="35.25" customHeight="1" x14ac:dyDescent="0.25">
      <c r="A1070" s="1052"/>
      <c r="B1070" s="904"/>
      <c r="C1070" s="279" t="s">
        <v>329</v>
      </c>
      <c r="D1070" s="434" t="s">
        <v>370</v>
      </c>
      <c r="E1070" s="280"/>
      <c r="F1070" s="435">
        <f t="shared" si="209"/>
        <v>0</v>
      </c>
      <c r="G1070" s="602">
        <v>57.64</v>
      </c>
      <c r="H1070" s="593">
        <f t="shared" si="211"/>
        <v>0</v>
      </c>
      <c r="I1070" s="596">
        <f t="shared" si="212"/>
        <v>0</v>
      </c>
      <c r="J1070" s="373"/>
    </row>
    <row r="1071" spans="1:10" ht="35.25" customHeight="1" x14ac:dyDescent="0.25">
      <c r="A1071" s="1052"/>
      <c r="B1071" s="904"/>
      <c r="C1071" s="279" t="s">
        <v>329</v>
      </c>
      <c r="D1071" s="434" t="s">
        <v>364</v>
      </c>
      <c r="E1071" s="280"/>
      <c r="F1071" s="435">
        <f t="shared" si="209"/>
        <v>0</v>
      </c>
      <c r="G1071" s="602">
        <v>57.64</v>
      </c>
      <c r="H1071" s="593">
        <f t="shared" si="211"/>
        <v>0</v>
      </c>
      <c r="I1071" s="596">
        <f t="shared" si="212"/>
        <v>0</v>
      </c>
      <c r="J1071" s="373"/>
    </row>
    <row r="1072" spans="1:10" ht="35.25" customHeight="1" x14ac:dyDescent="0.25">
      <c r="A1072" s="1052"/>
      <c r="B1072" s="904"/>
      <c r="C1072" s="279" t="s">
        <v>330</v>
      </c>
      <c r="D1072" s="434" t="s">
        <v>331</v>
      </c>
      <c r="E1072" s="280"/>
      <c r="F1072" s="435">
        <f t="shared" si="209"/>
        <v>0</v>
      </c>
      <c r="G1072" s="602">
        <v>434.41</v>
      </c>
      <c r="H1072" s="593">
        <f t="shared" si="211"/>
        <v>0</v>
      </c>
      <c r="I1072" s="596">
        <f t="shared" si="212"/>
        <v>0</v>
      </c>
      <c r="J1072" s="373"/>
    </row>
    <row r="1073" spans="1:10" ht="35.25" customHeight="1" x14ac:dyDescent="0.25">
      <c r="A1073" s="1052"/>
      <c r="B1073" s="904"/>
      <c r="C1073" s="279" t="s">
        <v>343</v>
      </c>
      <c r="D1073" s="434" t="s">
        <v>238</v>
      </c>
      <c r="E1073" s="280"/>
      <c r="F1073" s="435">
        <f t="shared" si="209"/>
        <v>0</v>
      </c>
      <c r="G1073" s="602">
        <v>624.26</v>
      </c>
      <c r="H1073" s="593">
        <f t="shared" si="211"/>
        <v>0</v>
      </c>
      <c r="I1073" s="596">
        <f t="shared" si="212"/>
        <v>0</v>
      </c>
      <c r="J1073" s="373"/>
    </row>
    <row r="1074" spans="1:10" ht="35.25" customHeight="1" x14ac:dyDescent="0.25">
      <c r="A1074" s="1052"/>
      <c r="B1074" s="904"/>
      <c r="C1074" s="279" t="s">
        <v>332</v>
      </c>
      <c r="D1074" s="434" t="s">
        <v>331</v>
      </c>
      <c r="E1074" s="280"/>
      <c r="F1074" s="435">
        <f t="shared" si="209"/>
        <v>0</v>
      </c>
      <c r="G1074" s="602">
        <v>63.55</v>
      </c>
      <c r="H1074" s="593">
        <f t="shared" si="211"/>
        <v>0</v>
      </c>
      <c r="I1074" s="596">
        <f t="shared" si="212"/>
        <v>0</v>
      </c>
      <c r="J1074" s="373"/>
    </row>
    <row r="1075" spans="1:10" ht="35.25" customHeight="1" x14ac:dyDescent="0.25">
      <c r="A1075" s="1052"/>
      <c r="B1075" s="904"/>
      <c r="C1075" s="279" t="s">
        <v>371</v>
      </c>
      <c r="D1075" s="434" t="s">
        <v>238</v>
      </c>
      <c r="E1075" s="280"/>
      <c r="F1075" s="435">
        <f t="shared" si="209"/>
        <v>0</v>
      </c>
      <c r="G1075" s="602">
        <v>59.96</v>
      </c>
      <c r="H1075" s="593">
        <f t="shared" si="211"/>
        <v>0</v>
      </c>
      <c r="I1075" s="596">
        <f t="shared" si="212"/>
        <v>0</v>
      </c>
      <c r="J1075" s="373"/>
    </row>
    <row r="1076" spans="1:10" ht="35.25" customHeight="1" x14ac:dyDescent="0.25">
      <c r="A1076" s="1052"/>
      <c r="B1076" s="904"/>
      <c r="C1076" s="279" t="s">
        <v>419</v>
      </c>
      <c r="D1076" s="434" t="s">
        <v>331</v>
      </c>
      <c r="E1076" s="280"/>
      <c r="F1076" s="435">
        <f t="shared" si="209"/>
        <v>0</v>
      </c>
      <c r="G1076" s="602">
        <v>53.86</v>
      </c>
      <c r="H1076" s="593">
        <f t="shared" si="211"/>
        <v>0</v>
      </c>
      <c r="I1076" s="596">
        <f t="shared" si="212"/>
        <v>0</v>
      </c>
      <c r="J1076" s="373"/>
    </row>
    <row r="1077" spans="1:10" ht="35.25" customHeight="1" x14ac:dyDescent="0.25">
      <c r="A1077" s="1052"/>
      <c r="B1077" s="904"/>
      <c r="C1077" s="279" t="s">
        <v>379</v>
      </c>
      <c r="D1077" s="434"/>
      <c r="E1077" s="280"/>
      <c r="F1077" s="435">
        <f t="shared" si="209"/>
        <v>0</v>
      </c>
      <c r="G1077" s="602">
        <v>360</v>
      </c>
      <c r="H1077" s="593">
        <f t="shared" si="211"/>
        <v>0</v>
      </c>
      <c r="I1077" s="596">
        <f t="shared" si="212"/>
        <v>0</v>
      </c>
      <c r="J1077" s="373"/>
    </row>
    <row r="1078" spans="1:10" ht="35.25" customHeight="1" x14ac:dyDescent="0.25">
      <c r="A1078" s="1052"/>
      <c r="B1078" s="904"/>
      <c r="C1078" s="279" t="s">
        <v>471</v>
      </c>
      <c r="D1078" s="434"/>
      <c r="E1078" s="280"/>
      <c r="F1078" s="435">
        <f t="shared" si="209"/>
        <v>0</v>
      </c>
      <c r="G1078" s="602"/>
      <c r="H1078" s="593">
        <f>+E1078</f>
        <v>0</v>
      </c>
      <c r="I1078" s="596">
        <f>+H1078</f>
        <v>0</v>
      </c>
      <c r="J1078" s="373"/>
    </row>
    <row r="1079" spans="1:10" ht="35.25" customHeight="1" x14ac:dyDescent="0.25">
      <c r="A1079" s="1052"/>
      <c r="B1079" s="904"/>
      <c r="C1079" s="279" t="s">
        <v>282</v>
      </c>
      <c r="D1079" s="434"/>
      <c r="E1079" s="280"/>
      <c r="F1079" s="435">
        <f t="shared" si="209"/>
        <v>0</v>
      </c>
      <c r="G1079" s="602">
        <v>39450</v>
      </c>
      <c r="H1079" s="593">
        <f t="shared" ref="H1079:H1080" si="213">E1079*G1079</f>
        <v>0</v>
      </c>
      <c r="I1079" s="596">
        <f t="shared" ref="I1079:I1080" si="214">+G1079*F1079</f>
        <v>0</v>
      </c>
      <c r="J1079" s="373"/>
    </row>
    <row r="1080" spans="1:10" ht="35.25" customHeight="1" thickBot="1" x14ac:dyDescent="0.3">
      <c r="A1080" s="1052"/>
      <c r="B1080" s="904"/>
      <c r="C1080" s="279" t="s">
        <v>329</v>
      </c>
      <c r="D1080" s="434" t="s">
        <v>443</v>
      </c>
      <c r="E1080" s="280"/>
      <c r="F1080" s="435">
        <f t="shared" si="209"/>
        <v>0</v>
      </c>
      <c r="G1080" s="602">
        <v>57.64</v>
      </c>
      <c r="H1080" s="593">
        <f t="shared" si="213"/>
        <v>0</v>
      </c>
      <c r="I1080" s="596">
        <f t="shared" si="214"/>
        <v>0</v>
      </c>
      <c r="J1080" s="373"/>
    </row>
    <row r="1081" spans="1:10" ht="35.25" customHeight="1" thickBot="1" x14ac:dyDescent="0.3">
      <c r="A1081" s="1053"/>
      <c r="B1081" s="1047" t="s">
        <v>270</v>
      </c>
      <c r="C1081" s="1048"/>
      <c r="D1081" s="906"/>
      <c r="E1081" s="326">
        <f>SUM(E1055:E1080)</f>
        <v>24476</v>
      </c>
      <c r="F1081" s="326">
        <f>SUM(F1055:F1080)</f>
        <v>163021</v>
      </c>
      <c r="G1081" s="326"/>
      <c r="H1081" s="590">
        <f>SUM(H1055:H1080)</f>
        <v>2675004.64</v>
      </c>
      <c r="I1081" s="580">
        <f>SUM(I1055:I1080)</f>
        <v>17243806.300000001</v>
      </c>
      <c r="J1081" s="372"/>
    </row>
    <row r="1082" spans="1:10" ht="35.25" customHeight="1" thickBot="1" x14ac:dyDescent="0.3">
      <c r="A1082" s="909"/>
      <c r="B1082" s="437"/>
      <c r="C1082" s="279" t="s">
        <v>379</v>
      </c>
      <c r="D1082" s="434"/>
      <c r="E1082" s="280"/>
      <c r="F1082" s="281">
        <f>+E1082</f>
        <v>0</v>
      </c>
      <c r="G1082" s="334"/>
      <c r="H1082" s="589">
        <f t="shared" ref="H1082" si="215">E1082*G1082</f>
        <v>0</v>
      </c>
      <c r="I1082" s="282">
        <f t="shared" ref="I1082" si="216">+G1082*F1082</f>
        <v>0</v>
      </c>
      <c r="J1082" s="373"/>
    </row>
    <row r="1083" spans="1:10" ht="35.25" customHeight="1" thickBot="1" x14ac:dyDescent="0.3">
      <c r="A1083" s="909"/>
      <c r="B1083" s="1047" t="s">
        <v>224</v>
      </c>
      <c r="C1083" s="1048"/>
      <c r="D1083" s="902"/>
      <c r="E1083" s="326"/>
      <c r="F1083" s="327"/>
      <c r="G1083" s="326"/>
      <c r="H1083" s="587"/>
      <c r="I1083" s="324">
        <f>SUM(I1082)</f>
        <v>0</v>
      </c>
      <c r="J1083" s="349"/>
    </row>
    <row r="1084" spans="1:10" ht="35.25" customHeight="1" thickBot="1" x14ac:dyDescent="0.3">
      <c r="A1084" s="319"/>
      <c r="B1084" s="1049" t="s">
        <v>174</v>
      </c>
      <c r="C1084" s="1050"/>
      <c r="D1084" s="903"/>
      <c r="E1084" s="374">
        <f>+E1081+E1054+E1024+E1022</f>
        <v>64016</v>
      </c>
      <c r="F1084" s="374">
        <f>+F1081+F1054+F1024+F1022</f>
        <v>854613</v>
      </c>
      <c r="G1084" s="374"/>
      <c r="H1084" s="374"/>
      <c r="I1084" s="374">
        <f>+I1081+I1054+I1024+I1083</f>
        <v>29743602.940000001</v>
      </c>
      <c r="J1084" s="375"/>
    </row>
    <row r="1085" spans="1:10" ht="22.5" x14ac:dyDescent="0.25">
      <c r="A1085" s="978" t="s">
        <v>1</v>
      </c>
      <c r="B1085" s="981" t="s">
        <v>2</v>
      </c>
      <c r="C1085" s="1056" t="s">
        <v>396</v>
      </c>
      <c r="D1085" s="1033" t="s">
        <v>397</v>
      </c>
      <c r="E1085" s="1060" t="s">
        <v>556</v>
      </c>
      <c r="F1085" s="988"/>
      <c r="G1085" s="988"/>
      <c r="H1085" s="988"/>
      <c r="I1085" s="988"/>
      <c r="J1085" s="989"/>
    </row>
    <row r="1086" spans="1:10" ht="22.5" x14ac:dyDescent="0.25">
      <c r="A1086" s="1054"/>
      <c r="B1086" s="1055"/>
      <c r="C1086" s="1057"/>
      <c r="D1086" s="1034"/>
      <c r="E1086" s="1061" t="s">
        <v>412</v>
      </c>
      <c r="F1086" s="1062"/>
      <c r="G1086" s="1061" t="s">
        <v>411</v>
      </c>
      <c r="H1086" s="1063"/>
      <c r="I1086" s="1063"/>
      <c r="J1086" s="1062"/>
    </row>
    <row r="1087" spans="1:10" x14ac:dyDescent="0.25">
      <c r="A1087" s="979"/>
      <c r="B1087" s="982"/>
      <c r="C1087" s="1058"/>
      <c r="D1087" s="1034"/>
      <c r="E1087" s="990" t="s">
        <v>413</v>
      </c>
      <c r="F1087" s="992" t="s">
        <v>414</v>
      </c>
      <c r="G1087" s="1065" t="s">
        <v>90</v>
      </c>
      <c r="H1087" s="1067" t="s">
        <v>91</v>
      </c>
      <c r="I1087" s="1067" t="s">
        <v>91</v>
      </c>
      <c r="J1087" s="1069" t="s">
        <v>12</v>
      </c>
    </row>
    <row r="1088" spans="1:10" ht="17.25" thickBot="1" x14ac:dyDescent="0.3">
      <c r="A1088" s="980"/>
      <c r="B1088" s="983"/>
      <c r="C1088" s="1059"/>
      <c r="D1088" s="1035"/>
      <c r="E1088" s="991"/>
      <c r="F1088" s="1064"/>
      <c r="G1088" s="1066"/>
      <c r="H1088" s="1068"/>
      <c r="I1088" s="1068"/>
      <c r="J1088" s="1070"/>
    </row>
    <row r="1089" spans="1:10" ht="24" x14ac:dyDescent="0.25">
      <c r="A1089" s="1051" t="s">
        <v>103</v>
      </c>
      <c r="B1089" s="439"/>
      <c r="C1089" s="577" t="s">
        <v>538</v>
      </c>
      <c r="D1089" s="665" t="s">
        <v>539</v>
      </c>
      <c r="E1089" s="699"/>
      <c r="F1089" s="674">
        <f>+E1089+F995</f>
        <v>1024</v>
      </c>
      <c r="G1089" s="732">
        <v>109.77</v>
      </c>
      <c r="H1089" s="591">
        <f t="shared" ref="H1089:H1103" si="217">E1089*G1089</f>
        <v>0</v>
      </c>
      <c r="I1089" s="594">
        <f>+G1089*F1089</f>
        <v>112404.48</v>
      </c>
      <c r="J1089" s="351"/>
    </row>
    <row r="1090" spans="1:10" ht="24" x14ac:dyDescent="0.25">
      <c r="A1090" s="1052"/>
      <c r="B1090" s="438"/>
      <c r="C1090" s="441" t="s">
        <v>264</v>
      </c>
      <c r="D1090" s="666" t="s">
        <v>265</v>
      </c>
      <c r="E1090" s="700"/>
      <c r="F1090" s="701">
        <f t="shared" ref="F1090:F1103" si="218">+E1090+F996</f>
        <v>0</v>
      </c>
      <c r="G1090" s="697">
        <v>11</v>
      </c>
      <c r="H1090" s="592">
        <f t="shared" si="217"/>
        <v>0</v>
      </c>
      <c r="I1090" s="595">
        <f>+G1090*F1090</f>
        <v>0</v>
      </c>
      <c r="J1090" s="352"/>
    </row>
    <row r="1091" spans="1:10" ht="24" x14ac:dyDescent="0.25">
      <c r="A1091" s="1052"/>
      <c r="B1091" s="438"/>
      <c r="C1091" s="441" t="s">
        <v>295</v>
      </c>
      <c r="D1091" s="666" t="s">
        <v>453</v>
      </c>
      <c r="E1091" s="700"/>
      <c r="F1091" s="701">
        <f t="shared" si="218"/>
        <v>640</v>
      </c>
      <c r="G1091" s="697">
        <v>139.04</v>
      </c>
      <c r="H1091" s="592">
        <f t="shared" si="217"/>
        <v>0</v>
      </c>
      <c r="I1091" s="595">
        <f t="shared" ref="I1091:I1103" si="219">+G1091*F1091</f>
        <v>88985.599999999991</v>
      </c>
      <c r="J1091" s="352"/>
    </row>
    <row r="1092" spans="1:10" ht="24" x14ac:dyDescent="0.25">
      <c r="A1092" s="1052"/>
      <c r="B1092" s="438"/>
      <c r="C1092" s="441" t="s">
        <v>531</v>
      </c>
      <c r="D1092" s="666" t="s">
        <v>529</v>
      </c>
      <c r="E1092" s="700"/>
      <c r="F1092" s="701">
        <f t="shared" si="218"/>
        <v>12240</v>
      </c>
      <c r="G1092" s="715">
        <v>20.66</v>
      </c>
      <c r="H1092" s="592">
        <f t="shared" si="217"/>
        <v>0</v>
      </c>
      <c r="I1092" s="595">
        <f t="shared" si="219"/>
        <v>252878.4</v>
      </c>
      <c r="J1092" s="352"/>
    </row>
    <row r="1093" spans="1:10" ht="24" x14ac:dyDescent="0.25">
      <c r="A1093" s="1052"/>
      <c r="B1093" s="438"/>
      <c r="C1093" s="441" t="s">
        <v>288</v>
      </c>
      <c r="D1093" s="666" t="s">
        <v>177</v>
      </c>
      <c r="E1093" s="700"/>
      <c r="F1093" s="701">
        <f t="shared" si="218"/>
        <v>0</v>
      </c>
      <c r="G1093" s="697">
        <v>14.79</v>
      </c>
      <c r="H1093" s="592">
        <f t="shared" si="217"/>
        <v>0</v>
      </c>
      <c r="I1093" s="595">
        <f t="shared" si="219"/>
        <v>0</v>
      </c>
      <c r="J1093" s="352"/>
    </row>
    <row r="1094" spans="1:10" ht="24" x14ac:dyDescent="0.25">
      <c r="A1094" s="1052"/>
      <c r="B1094" s="438"/>
      <c r="C1094" s="441" t="s">
        <v>295</v>
      </c>
      <c r="D1094" s="666" t="s">
        <v>265</v>
      </c>
      <c r="E1094" s="700">
        <v>1600</v>
      </c>
      <c r="F1094" s="701">
        <f t="shared" si="218"/>
        <v>6720</v>
      </c>
      <c r="G1094" s="697">
        <v>139.04</v>
      </c>
      <c r="H1094" s="592">
        <f t="shared" si="217"/>
        <v>222464</v>
      </c>
      <c r="I1094" s="595">
        <f t="shared" si="219"/>
        <v>934348.79999999993</v>
      </c>
      <c r="J1094" s="352"/>
    </row>
    <row r="1095" spans="1:10" ht="24" x14ac:dyDescent="0.25">
      <c r="A1095" s="1052"/>
      <c r="B1095" s="438"/>
      <c r="C1095" s="441" t="s">
        <v>537</v>
      </c>
      <c r="D1095" s="666" t="s">
        <v>265</v>
      </c>
      <c r="E1095" s="700">
        <v>0</v>
      </c>
      <c r="F1095" s="701">
        <f t="shared" si="218"/>
        <v>2560</v>
      </c>
      <c r="G1095" s="697">
        <v>135.96</v>
      </c>
      <c r="H1095" s="592">
        <f t="shared" si="217"/>
        <v>0</v>
      </c>
      <c r="I1095" s="595">
        <f t="shared" si="219"/>
        <v>348057.60000000003</v>
      </c>
      <c r="J1095" s="352"/>
    </row>
    <row r="1096" spans="1:10" ht="24" x14ac:dyDescent="0.25">
      <c r="A1096" s="1052"/>
      <c r="B1096" s="438"/>
      <c r="C1096" s="441" t="s">
        <v>313</v>
      </c>
      <c r="D1096" s="667" t="s">
        <v>265</v>
      </c>
      <c r="E1096" s="700">
        <v>9932</v>
      </c>
      <c r="F1096" s="701">
        <f t="shared" si="218"/>
        <v>58892</v>
      </c>
      <c r="G1096" s="697">
        <v>18.84</v>
      </c>
      <c r="H1096" s="592">
        <f t="shared" si="217"/>
        <v>187118.88</v>
      </c>
      <c r="I1096" s="595">
        <f t="shared" si="219"/>
        <v>1109525.28</v>
      </c>
      <c r="J1096" s="352"/>
    </row>
    <row r="1097" spans="1:10" ht="24" x14ac:dyDescent="0.25">
      <c r="A1097" s="1052"/>
      <c r="B1097" s="438"/>
      <c r="C1097" s="441" t="s">
        <v>322</v>
      </c>
      <c r="D1097" s="667" t="s">
        <v>232</v>
      </c>
      <c r="E1097" s="700"/>
      <c r="F1097" s="701">
        <f t="shared" si="218"/>
        <v>0</v>
      </c>
      <c r="G1097" s="697">
        <v>21.18</v>
      </c>
      <c r="H1097" s="592">
        <f t="shared" si="217"/>
        <v>0</v>
      </c>
      <c r="I1097" s="595">
        <f t="shared" si="219"/>
        <v>0</v>
      </c>
      <c r="J1097" s="352"/>
    </row>
    <row r="1098" spans="1:10" ht="24" x14ac:dyDescent="0.25">
      <c r="A1098" s="1052"/>
      <c r="B1098" s="438"/>
      <c r="C1098" s="441" t="s">
        <v>324</v>
      </c>
      <c r="D1098" s="667" t="s">
        <v>325</v>
      </c>
      <c r="E1098" s="700"/>
      <c r="F1098" s="701">
        <f t="shared" si="218"/>
        <v>0</v>
      </c>
      <c r="G1098" s="697">
        <v>21.28</v>
      </c>
      <c r="H1098" s="592">
        <f t="shared" si="217"/>
        <v>0</v>
      </c>
      <c r="I1098" s="595">
        <f t="shared" si="219"/>
        <v>0</v>
      </c>
      <c r="J1098" s="352"/>
    </row>
    <row r="1099" spans="1:10" ht="24" x14ac:dyDescent="0.25">
      <c r="A1099" s="1052"/>
      <c r="B1099" s="438"/>
      <c r="C1099" s="441" t="s">
        <v>378</v>
      </c>
      <c r="D1099" s="667" t="s">
        <v>374</v>
      </c>
      <c r="E1099" s="700">
        <v>9920</v>
      </c>
      <c r="F1099" s="701">
        <f t="shared" si="218"/>
        <v>9920</v>
      </c>
      <c r="G1099" s="697">
        <v>143.28</v>
      </c>
      <c r="H1099" s="592">
        <f t="shared" si="217"/>
        <v>1421337.6000000001</v>
      </c>
      <c r="I1099" s="595">
        <f t="shared" si="219"/>
        <v>1421337.6000000001</v>
      </c>
      <c r="J1099" s="352"/>
    </row>
    <row r="1100" spans="1:10" ht="24" x14ac:dyDescent="0.25">
      <c r="A1100" s="1052"/>
      <c r="B1100" s="438"/>
      <c r="C1100" s="441" t="s">
        <v>472</v>
      </c>
      <c r="D1100" s="667"/>
      <c r="E1100" s="700"/>
      <c r="F1100" s="701">
        <f t="shared" si="218"/>
        <v>0</v>
      </c>
      <c r="G1100" s="697">
        <v>14.79</v>
      </c>
      <c r="H1100" s="592">
        <f t="shared" si="217"/>
        <v>0</v>
      </c>
      <c r="I1100" s="595">
        <f t="shared" si="219"/>
        <v>0</v>
      </c>
      <c r="J1100" s="352"/>
    </row>
    <row r="1101" spans="1:10" ht="24" x14ac:dyDescent="0.25">
      <c r="A1101" s="1052"/>
      <c r="B1101" s="438"/>
      <c r="C1101" s="441" t="s">
        <v>451</v>
      </c>
      <c r="D1101" s="666" t="s">
        <v>177</v>
      </c>
      <c r="E1101" s="700"/>
      <c r="F1101" s="701">
        <f t="shared" si="218"/>
        <v>498432</v>
      </c>
      <c r="G1101" s="697">
        <v>14.55</v>
      </c>
      <c r="H1101" s="592">
        <f t="shared" si="217"/>
        <v>0</v>
      </c>
      <c r="I1101" s="595">
        <f t="shared" si="219"/>
        <v>7252185.6000000006</v>
      </c>
      <c r="J1101" s="352"/>
    </row>
    <row r="1102" spans="1:10" ht="24" x14ac:dyDescent="0.25">
      <c r="A1102" s="1052"/>
      <c r="B1102" s="438"/>
      <c r="C1102" s="441" t="s">
        <v>327</v>
      </c>
      <c r="D1102" s="667" t="s">
        <v>188</v>
      </c>
      <c r="E1102" s="700"/>
      <c r="F1102" s="701">
        <f t="shared" si="218"/>
        <v>0</v>
      </c>
      <c r="G1102" s="697">
        <v>21.28</v>
      </c>
      <c r="H1102" s="592">
        <f t="shared" si="217"/>
        <v>0</v>
      </c>
      <c r="I1102" s="595">
        <f t="shared" si="219"/>
        <v>0</v>
      </c>
      <c r="J1102" s="352"/>
    </row>
    <row r="1103" spans="1:10" ht="24.75" thickBot="1" x14ac:dyDescent="0.3">
      <c r="A1103" s="1052"/>
      <c r="B1103" s="438"/>
      <c r="C1103" s="441" t="s">
        <v>336</v>
      </c>
      <c r="D1103" s="668" t="s">
        <v>178</v>
      </c>
      <c r="E1103" s="700"/>
      <c r="F1103" s="676">
        <f t="shared" si="218"/>
        <v>0</v>
      </c>
      <c r="G1103" s="697">
        <v>36.44</v>
      </c>
      <c r="H1103" s="592">
        <f t="shared" si="217"/>
        <v>0</v>
      </c>
      <c r="I1103" s="595">
        <f t="shared" si="219"/>
        <v>0</v>
      </c>
      <c r="J1103" s="352"/>
    </row>
    <row r="1104" spans="1:10" ht="23.25" thickBot="1" x14ac:dyDescent="0.3">
      <c r="A1104" s="1052"/>
      <c r="B1104" s="1047" t="s">
        <v>266</v>
      </c>
      <c r="C1104" s="1048"/>
      <c r="D1104" s="923"/>
      <c r="E1104" s="326">
        <f>SUM(E1089:E1103)</f>
        <v>21452</v>
      </c>
      <c r="F1104" s="698">
        <f>SUM(F1089:F1103)</f>
        <v>590428</v>
      </c>
      <c r="G1104" s="326"/>
      <c r="H1104" s="587">
        <f>SUM(H1089:H1103)</f>
        <v>1830920.48</v>
      </c>
      <c r="I1104" s="580">
        <f>SUM(I1089:I1103)</f>
        <v>11519723.359999999</v>
      </c>
      <c r="J1104" s="349"/>
    </row>
    <row r="1105" spans="1:10" ht="24" x14ac:dyDescent="0.25">
      <c r="A1105" s="1052"/>
      <c r="B1105" s="921"/>
      <c r="C1105" s="279" t="s">
        <v>271</v>
      </c>
      <c r="D1105" s="434" t="s">
        <v>238</v>
      </c>
      <c r="E1105" s="280"/>
      <c r="F1105" s="435">
        <f>+E1105+F1011</f>
        <v>0</v>
      </c>
      <c r="G1105" s="578">
        <v>160.44999999999999</v>
      </c>
      <c r="H1105" s="593">
        <f t="shared" ref="H1105:H1110" si="220">E1105*G1105</f>
        <v>0</v>
      </c>
      <c r="I1105" s="596">
        <f t="shared" ref="I1105:I1110" si="221">+G1105*F1105</f>
        <v>0</v>
      </c>
      <c r="J1105" s="373"/>
    </row>
    <row r="1106" spans="1:10" ht="24" x14ac:dyDescent="0.25">
      <c r="A1106" s="1052"/>
      <c r="B1106" s="921"/>
      <c r="C1106" s="279" t="s">
        <v>287</v>
      </c>
      <c r="D1106" s="434" t="s">
        <v>93</v>
      </c>
      <c r="E1106" s="280">
        <v>0</v>
      </c>
      <c r="F1106" s="435">
        <f t="shared" ref="F1106:F1110" si="222">+E1106+F1012</f>
        <v>91380</v>
      </c>
      <c r="G1106" s="578">
        <v>27</v>
      </c>
      <c r="H1106" s="593">
        <f t="shared" si="220"/>
        <v>0</v>
      </c>
      <c r="I1106" s="596">
        <f t="shared" si="221"/>
        <v>2467260</v>
      </c>
      <c r="J1106" s="373"/>
    </row>
    <row r="1107" spans="1:10" ht="24" x14ac:dyDescent="0.25">
      <c r="A1107" s="1052"/>
      <c r="B1107" s="921"/>
      <c r="C1107" s="279" t="s">
        <v>287</v>
      </c>
      <c r="D1107" s="434" t="s">
        <v>292</v>
      </c>
      <c r="E1107" s="280"/>
      <c r="F1107" s="435">
        <f t="shared" si="222"/>
        <v>0</v>
      </c>
      <c r="G1107" s="578">
        <v>27.5</v>
      </c>
      <c r="H1107" s="593">
        <f t="shared" si="220"/>
        <v>0</v>
      </c>
      <c r="I1107" s="596">
        <f t="shared" si="221"/>
        <v>0</v>
      </c>
      <c r="J1107" s="373"/>
    </row>
    <row r="1108" spans="1:10" ht="24" x14ac:dyDescent="0.25">
      <c r="A1108" s="1052"/>
      <c r="B1108" s="921"/>
      <c r="C1108" s="279" t="s">
        <v>276</v>
      </c>
      <c r="D1108" s="434" t="s">
        <v>292</v>
      </c>
      <c r="E1108" s="280"/>
      <c r="F1108" s="435">
        <f t="shared" si="222"/>
        <v>0</v>
      </c>
      <c r="G1108" s="578">
        <v>34.5</v>
      </c>
      <c r="H1108" s="593">
        <f t="shared" si="220"/>
        <v>0</v>
      </c>
      <c r="I1108" s="596">
        <f t="shared" si="221"/>
        <v>0</v>
      </c>
      <c r="J1108" s="373"/>
    </row>
    <row r="1109" spans="1:10" ht="24" x14ac:dyDescent="0.25">
      <c r="A1109" s="1052"/>
      <c r="B1109" s="921"/>
      <c r="C1109" s="279" t="s">
        <v>473</v>
      </c>
      <c r="D1109" s="434" t="s">
        <v>440</v>
      </c>
      <c r="E1109" s="280"/>
      <c r="F1109" s="435">
        <f t="shared" si="222"/>
        <v>31200</v>
      </c>
      <c r="G1109" s="578">
        <v>10.57</v>
      </c>
      <c r="H1109" s="593">
        <f t="shared" si="220"/>
        <v>0</v>
      </c>
      <c r="I1109" s="596">
        <f t="shared" si="221"/>
        <v>329784</v>
      </c>
      <c r="J1109" s="373"/>
    </row>
    <row r="1110" spans="1:10" ht="24.75" thickBot="1" x14ac:dyDescent="0.3">
      <c r="A1110" s="1052"/>
      <c r="B1110" s="921"/>
      <c r="C1110" s="279" t="s">
        <v>276</v>
      </c>
      <c r="D1110" s="434" t="s">
        <v>440</v>
      </c>
      <c r="E1110" s="280"/>
      <c r="F1110" s="435">
        <f t="shared" si="222"/>
        <v>26</v>
      </c>
      <c r="G1110" s="578">
        <v>55.76</v>
      </c>
      <c r="H1110" s="593">
        <f t="shared" si="220"/>
        <v>0</v>
      </c>
      <c r="I1110" s="596">
        <f t="shared" si="221"/>
        <v>1449.76</v>
      </c>
      <c r="J1110" s="373"/>
    </row>
    <row r="1111" spans="1:10" ht="23.25" thickBot="1" x14ac:dyDescent="0.3">
      <c r="A1111" s="1052"/>
      <c r="B1111" s="1047" t="s">
        <v>267</v>
      </c>
      <c r="C1111" s="1048"/>
      <c r="D1111" s="923"/>
      <c r="E1111" s="326">
        <f>SUM(E1105:E1110)</f>
        <v>0</v>
      </c>
      <c r="F1111" s="326">
        <f>SUM(F1105:F1110)</f>
        <v>122606</v>
      </c>
      <c r="G1111" s="326"/>
      <c r="H1111" s="587">
        <f>SUM(H1105:H1110)</f>
        <v>0</v>
      </c>
      <c r="I1111" s="580">
        <f>SUM(I1105:I1110)</f>
        <v>2798493.76</v>
      </c>
      <c r="J1111" s="349"/>
    </row>
    <row r="1112" spans="1:10" ht="24" x14ac:dyDescent="0.25">
      <c r="A1112" s="1052"/>
      <c r="B1112" s="921"/>
      <c r="C1112" s="279" t="s">
        <v>277</v>
      </c>
      <c r="D1112" s="434" t="s">
        <v>278</v>
      </c>
      <c r="E1112" s="280"/>
      <c r="F1112" s="435">
        <f>+E1112+F1018</f>
        <v>5</v>
      </c>
      <c r="G1112" s="578">
        <v>2500</v>
      </c>
      <c r="H1112" s="593">
        <f t="shared" ref="H1112:H1115" si="223">E1112*G1112</f>
        <v>0</v>
      </c>
      <c r="I1112" s="596">
        <f>+G1112*F1112</f>
        <v>12500</v>
      </c>
      <c r="J1112" s="373"/>
    </row>
    <row r="1113" spans="1:10" ht="24" x14ac:dyDescent="0.25">
      <c r="A1113" s="1052"/>
      <c r="B1113" s="921"/>
      <c r="C1113" s="279" t="s">
        <v>454</v>
      </c>
      <c r="D1113" s="434"/>
      <c r="E1113" s="280"/>
      <c r="F1113" s="435">
        <f t="shared" ref="F1113:F1115" si="224">+E1113+F1019</f>
        <v>0</v>
      </c>
      <c r="G1113" s="578">
        <v>30000</v>
      </c>
      <c r="H1113" s="593">
        <f t="shared" si="223"/>
        <v>0</v>
      </c>
      <c r="I1113" s="596">
        <f>+G1113*F1113</f>
        <v>0</v>
      </c>
      <c r="J1113" s="373"/>
    </row>
    <row r="1114" spans="1:10" ht="24" x14ac:dyDescent="0.25">
      <c r="A1114" s="1052"/>
      <c r="B1114" s="921"/>
      <c r="C1114" s="279" t="s">
        <v>379</v>
      </c>
      <c r="D1114" s="434" t="s">
        <v>304</v>
      </c>
      <c r="E1114" s="280"/>
      <c r="F1114" s="435">
        <f t="shared" si="224"/>
        <v>0</v>
      </c>
      <c r="G1114" s="578">
        <v>360</v>
      </c>
      <c r="H1114" s="593">
        <f t="shared" si="223"/>
        <v>0</v>
      </c>
      <c r="I1114" s="596">
        <f>+G1114*F1114</f>
        <v>0</v>
      </c>
      <c r="J1114" s="373"/>
    </row>
    <row r="1115" spans="1:10" ht="24.75" thickBot="1" x14ac:dyDescent="0.3">
      <c r="A1115" s="1052"/>
      <c r="B1115" s="921"/>
      <c r="C1115" s="279" t="s">
        <v>427</v>
      </c>
      <c r="D1115" s="434" t="s">
        <v>304</v>
      </c>
      <c r="E1115" s="280"/>
      <c r="F1115" s="435">
        <f t="shared" si="224"/>
        <v>0</v>
      </c>
      <c r="G1115" s="579">
        <v>10</v>
      </c>
      <c r="H1115" s="593">
        <f t="shared" si="223"/>
        <v>0</v>
      </c>
      <c r="I1115" s="596">
        <f t="shared" ref="I1115" si="225">+G1115*F1115</f>
        <v>0</v>
      </c>
      <c r="J1115" s="373"/>
    </row>
    <row r="1116" spans="1:10" ht="23.25" thickBot="1" x14ac:dyDescent="0.3">
      <c r="A1116" s="1052"/>
      <c r="B1116" s="1047" t="s">
        <v>272</v>
      </c>
      <c r="C1116" s="1048"/>
      <c r="D1116" s="923"/>
      <c r="E1116" s="326">
        <f>SUM(E1112:E1115)</f>
        <v>0</v>
      </c>
      <c r="F1116" s="326">
        <f>SUM(F1112:F1115)</f>
        <v>5</v>
      </c>
      <c r="G1116" s="326"/>
      <c r="H1116" s="587">
        <f>SUM(H1112:H1115)</f>
        <v>0</v>
      </c>
      <c r="I1116" s="580">
        <f>SUM(I1112:I1115)</f>
        <v>12500</v>
      </c>
      <c r="J1116" s="373"/>
    </row>
    <row r="1117" spans="1:10" ht="24.75" thickBot="1" x14ac:dyDescent="0.3">
      <c r="A1117" s="1052"/>
      <c r="B1117" s="921"/>
      <c r="C1117" s="279"/>
      <c r="D1117" s="434"/>
      <c r="E1117" s="280"/>
      <c r="F1117" s="317"/>
      <c r="G1117" s="579"/>
      <c r="H1117" s="588"/>
      <c r="I1117" s="282"/>
      <c r="J1117" s="373"/>
    </row>
    <row r="1118" spans="1:10" ht="23.25" thickBot="1" x14ac:dyDescent="0.3">
      <c r="A1118" s="1053"/>
      <c r="B1118" s="1047" t="s">
        <v>269</v>
      </c>
      <c r="C1118" s="1048"/>
      <c r="D1118" s="919"/>
      <c r="E1118" s="326">
        <f>+E1116+E1111+E1104</f>
        <v>21452</v>
      </c>
      <c r="F1118" s="326">
        <f>+F1116+F1111+F1104</f>
        <v>713039</v>
      </c>
      <c r="G1118" s="326"/>
      <c r="H1118" s="580">
        <f>+H1111+H1104+H1116</f>
        <v>1830920.48</v>
      </c>
      <c r="I1118" s="580">
        <f>+I1111+I1104+I1116</f>
        <v>14330717.119999999</v>
      </c>
      <c r="J1118" s="373"/>
    </row>
    <row r="1119" spans="1:10" ht="24" x14ac:dyDescent="0.25">
      <c r="A1119" s="1051" t="s">
        <v>101</v>
      </c>
      <c r="B1119" s="921"/>
      <c r="C1119" s="279" t="s">
        <v>281</v>
      </c>
      <c r="D1119" s="434" t="s">
        <v>178</v>
      </c>
      <c r="E1119" s="280"/>
      <c r="F1119" s="435">
        <f>+E1119+F1025</f>
        <v>0</v>
      </c>
      <c r="G1119" s="602">
        <v>13.25</v>
      </c>
      <c r="H1119" s="597">
        <f t="shared" ref="H1119:H1147" si="226">E1119*G1119</f>
        <v>0</v>
      </c>
      <c r="I1119" s="596">
        <f t="shared" ref="I1119:I1147" si="227">+G1119*F1119</f>
        <v>0</v>
      </c>
      <c r="J1119" s="373"/>
    </row>
    <row r="1120" spans="1:10" ht="24" x14ac:dyDescent="0.25">
      <c r="A1120" s="1052"/>
      <c r="B1120" s="921"/>
      <c r="C1120" s="279" t="s">
        <v>282</v>
      </c>
      <c r="D1120" s="434"/>
      <c r="E1120" s="280"/>
      <c r="F1120" s="435">
        <f t="shared" ref="F1120:F1174" si="228">+E1120+F1026</f>
        <v>0</v>
      </c>
      <c r="G1120" s="603">
        <v>5000</v>
      </c>
      <c r="H1120" s="597">
        <f t="shared" si="226"/>
        <v>0</v>
      </c>
      <c r="I1120" s="596">
        <f t="shared" si="227"/>
        <v>0</v>
      </c>
      <c r="J1120" s="373"/>
    </row>
    <row r="1121" spans="1:10" ht="24" x14ac:dyDescent="0.25">
      <c r="A1121" s="1052"/>
      <c r="B1121" s="921"/>
      <c r="C1121" s="279" t="s">
        <v>282</v>
      </c>
      <c r="D1121" s="434"/>
      <c r="E1121" s="280"/>
      <c r="F1121" s="435">
        <f t="shared" si="228"/>
        <v>0</v>
      </c>
      <c r="G1121" s="603">
        <v>18000</v>
      </c>
      <c r="H1121" s="597">
        <f t="shared" si="226"/>
        <v>0</v>
      </c>
      <c r="I1121" s="596">
        <f t="shared" si="227"/>
        <v>0</v>
      </c>
      <c r="J1121" s="373"/>
    </row>
    <row r="1122" spans="1:10" ht="24" x14ac:dyDescent="0.25">
      <c r="A1122" s="1052"/>
      <c r="B1122" s="921"/>
      <c r="C1122" s="279" t="s">
        <v>465</v>
      </c>
      <c r="D1122" s="434" t="s">
        <v>338</v>
      </c>
      <c r="E1122" s="280"/>
      <c r="F1122" s="435">
        <f t="shared" si="228"/>
        <v>0</v>
      </c>
      <c r="G1122" s="602">
        <v>24.93</v>
      </c>
      <c r="H1122" s="597">
        <f t="shared" si="226"/>
        <v>0</v>
      </c>
      <c r="I1122" s="596">
        <f t="shared" si="227"/>
        <v>0</v>
      </c>
      <c r="J1122" s="373"/>
    </row>
    <row r="1123" spans="1:10" ht="24" x14ac:dyDescent="0.25">
      <c r="A1123" s="1052"/>
      <c r="B1123" s="921"/>
      <c r="C1123" s="746" t="s">
        <v>466</v>
      </c>
      <c r="D1123" s="747" t="s">
        <v>92</v>
      </c>
      <c r="E1123" s="280"/>
      <c r="F1123" s="435">
        <f t="shared" si="228"/>
        <v>0</v>
      </c>
      <c r="G1123" s="602">
        <v>20.8</v>
      </c>
      <c r="H1123" s="597">
        <f t="shared" si="226"/>
        <v>0</v>
      </c>
      <c r="I1123" s="596">
        <f t="shared" si="227"/>
        <v>0</v>
      </c>
      <c r="J1123" s="373"/>
    </row>
    <row r="1124" spans="1:10" ht="24" x14ac:dyDescent="0.25">
      <c r="A1124" s="1052"/>
      <c r="B1124" s="921"/>
      <c r="C1124" s="746" t="s">
        <v>467</v>
      </c>
      <c r="D1124" s="747" t="s">
        <v>468</v>
      </c>
      <c r="E1124" s="280"/>
      <c r="F1124" s="435">
        <f t="shared" si="228"/>
        <v>0</v>
      </c>
      <c r="G1124" s="602">
        <v>24.93</v>
      </c>
      <c r="H1124" s="597">
        <f t="shared" si="226"/>
        <v>0</v>
      </c>
      <c r="I1124" s="596">
        <f t="shared" si="227"/>
        <v>0</v>
      </c>
      <c r="J1124" s="373"/>
    </row>
    <row r="1125" spans="1:10" ht="24" x14ac:dyDescent="0.25">
      <c r="A1125" s="1052"/>
      <c r="B1125" s="921"/>
      <c r="C1125" s="746" t="s">
        <v>467</v>
      </c>
      <c r="D1125" s="747" t="s">
        <v>468</v>
      </c>
      <c r="E1125" s="280"/>
      <c r="F1125" s="435">
        <f t="shared" si="228"/>
        <v>0</v>
      </c>
      <c r="G1125" s="602">
        <v>25.49</v>
      </c>
      <c r="H1125" s="597">
        <f t="shared" si="226"/>
        <v>0</v>
      </c>
      <c r="I1125" s="596">
        <f t="shared" si="227"/>
        <v>0</v>
      </c>
      <c r="J1125" s="373"/>
    </row>
    <row r="1126" spans="1:10" ht="24" x14ac:dyDescent="0.25">
      <c r="A1126" s="1052"/>
      <c r="B1126" s="748"/>
      <c r="C1126" s="749" t="s">
        <v>469</v>
      </c>
      <c r="D1126" s="750" t="s">
        <v>309</v>
      </c>
      <c r="E1126" s="751"/>
      <c r="F1126" s="752">
        <f t="shared" si="228"/>
        <v>0</v>
      </c>
      <c r="G1126" s="753">
        <v>24.41</v>
      </c>
      <c r="H1126" s="754">
        <f t="shared" si="226"/>
        <v>0</v>
      </c>
      <c r="I1126" s="755">
        <f t="shared" si="227"/>
        <v>0</v>
      </c>
      <c r="J1126" s="756"/>
    </row>
    <row r="1127" spans="1:10" ht="24" x14ac:dyDescent="0.25">
      <c r="A1127" s="1052"/>
      <c r="B1127" s="921"/>
      <c r="C1127" s="279" t="s">
        <v>444</v>
      </c>
      <c r="D1127" s="434" t="s">
        <v>423</v>
      </c>
      <c r="E1127" s="280"/>
      <c r="F1127" s="435">
        <f t="shared" si="228"/>
        <v>0</v>
      </c>
      <c r="G1127" s="602">
        <v>20.76</v>
      </c>
      <c r="H1127" s="597">
        <f t="shared" si="226"/>
        <v>0</v>
      </c>
      <c r="I1127" s="596">
        <f t="shared" si="227"/>
        <v>0</v>
      </c>
      <c r="J1127" s="373"/>
    </row>
    <row r="1128" spans="1:10" ht="24" x14ac:dyDescent="0.25">
      <c r="A1128" s="1052"/>
      <c r="B1128" s="921"/>
      <c r="C1128" s="279" t="s">
        <v>298</v>
      </c>
      <c r="D1128" s="434" t="s">
        <v>107</v>
      </c>
      <c r="E1128" s="280"/>
      <c r="F1128" s="435">
        <f t="shared" si="228"/>
        <v>0</v>
      </c>
      <c r="G1128" s="602">
        <v>24.93</v>
      </c>
      <c r="H1128" s="597">
        <f t="shared" si="226"/>
        <v>0</v>
      </c>
      <c r="I1128" s="596">
        <f t="shared" si="227"/>
        <v>0</v>
      </c>
      <c r="J1128" s="373"/>
    </row>
    <row r="1129" spans="1:10" ht="24" x14ac:dyDescent="0.25">
      <c r="A1129" s="1052"/>
      <c r="B1129" s="921"/>
      <c r="C1129" s="279" t="s">
        <v>299</v>
      </c>
      <c r="D1129" s="434" t="s">
        <v>280</v>
      </c>
      <c r="E1129" s="280"/>
      <c r="F1129" s="435">
        <f t="shared" si="228"/>
        <v>0</v>
      </c>
      <c r="G1129" s="602">
        <v>24.93</v>
      </c>
      <c r="H1129" s="597">
        <f t="shared" si="226"/>
        <v>0</v>
      </c>
      <c r="I1129" s="596">
        <f t="shared" si="227"/>
        <v>0</v>
      </c>
      <c r="J1129" s="373"/>
    </row>
    <row r="1130" spans="1:10" ht="24" x14ac:dyDescent="0.25">
      <c r="A1130" s="1052"/>
      <c r="B1130" s="921"/>
      <c r="C1130" s="279" t="s">
        <v>425</v>
      </c>
      <c r="D1130" s="434" t="s">
        <v>309</v>
      </c>
      <c r="E1130" s="280"/>
      <c r="F1130" s="435">
        <f t="shared" si="228"/>
        <v>0</v>
      </c>
      <c r="G1130" s="602">
        <v>23.78</v>
      </c>
      <c r="H1130" s="597">
        <f t="shared" si="226"/>
        <v>0</v>
      </c>
      <c r="I1130" s="596">
        <f t="shared" si="227"/>
        <v>0</v>
      </c>
      <c r="J1130" s="373"/>
    </row>
    <row r="1131" spans="1:10" ht="24" x14ac:dyDescent="0.25">
      <c r="A1131" s="1052"/>
      <c r="B1131" s="921"/>
      <c r="C1131" s="279" t="s">
        <v>354</v>
      </c>
      <c r="D1131" s="434" t="s">
        <v>309</v>
      </c>
      <c r="E1131" s="280"/>
      <c r="F1131" s="435">
        <f t="shared" si="228"/>
        <v>0</v>
      </c>
      <c r="G1131" s="602">
        <v>37.4566666666</v>
      </c>
      <c r="H1131" s="597">
        <f t="shared" si="226"/>
        <v>0</v>
      </c>
      <c r="I1131" s="596">
        <f t="shared" si="227"/>
        <v>0</v>
      </c>
      <c r="J1131" s="373"/>
    </row>
    <row r="1132" spans="1:10" ht="24" x14ac:dyDescent="0.25">
      <c r="A1132" s="1052"/>
      <c r="B1132" s="921"/>
      <c r="C1132" s="279" t="s">
        <v>355</v>
      </c>
      <c r="D1132" s="434" t="s">
        <v>309</v>
      </c>
      <c r="E1132" s="280"/>
      <c r="F1132" s="435">
        <f t="shared" si="228"/>
        <v>0</v>
      </c>
      <c r="G1132" s="602">
        <v>37.89</v>
      </c>
      <c r="H1132" s="597">
        <f t="shared" si="226"/>
        <v>0</v>
      </c>
      <c r="I1132" s="596">
        <f t="shared" si="227"/>
        <v>0</v>
      </c>
      <c r="J1132" s="373"/>
    </row>
    <row r="1133" spans="1:10" ht="24" x14ac:dyDescent="0.25">
      <c r="A1133" s="1052"/>
      <c r="B1133" s="921"/>
      <c r="C1133" s="279" t="s">
        <v>461</v>
      </c>
      <c r="D1133" s="434" t="s">
        <v>92</v>
      </c>
      <c r="E1133" s="280"/>
      <c r="F1133" s="435">
        <f t="shared" si="228"/>
        <v>0</v>
      </c>
      <c r="G1133" s="602">
        <v>28.31</v>
      </c>
      <c r="H1133" s="597">
        <f t="shared" si="226"/>
        <v>0</v>
      </c>
      <c r="I1133" s="596">
        <f t="shared" si="227"/>
        <v>0</v>
      </c>
      <c r="J1133" s="373"/>
    </row>
    <row r="1134" spans="1:10" ht="24" x14ac:dyDescent="0.25">
      <c r="A1134" s="1052"/>
      <c r="B1134" s="921"/>
      <c r="C1134" s="279" t="s">
        <v>461</v>
      </c>
      <c r="D1134" s="434" t="s">
        <v>423</v>
      </c>
      <c r="E1134" s="280"/>
      <c r="F1134" s="435">
        <f t="shared" si="228"/>
        <v>0</v>
      </c>
      <c r="G1134" s="602">
        <v>28.88</v>
      </c>
      <c r="H1134" s="597">
        <f t="shared" si="226"/>
        <v>0</v>
      </c>
      <c r="I1134" s="596">
        <f t="shared" si="227"/>
        <v>0</v>
      </c>
      <c r="J1134" s="373"/>
    </row>
    <row r="1135" spans="1:10" ht="24" x14ac:dyDescent="0.25">
      <c r="A1135" s="1052"/>
      <c r="B1135" s="921"/>
      <c r="C1135" s="279" t="s">
        <v>462</v>
      </c>
      <c r="D1135" s="434" t="s">
        <v>423</v>
      </c>
      <c r="E1135" s="280"/>
      <c r="F1135" s="435">
        <f t="shared" si="228"/>
        <v>0</v>
      </c>
      <c r="G1135" s="602">
        <v>28.21</v>
      </c>
      <c r="H1135" s="597">
        <f t="shared" si="226"/>
        <v>0</v>
      </c>
      <c r="I1135" s="596">
        <f t="shared" si="227"/>
        <v>0</v>
      </c>
      <c r="J1135" s="373"/>
    </row>
    <row r="1136" spans="1:10" ht="24" x14ac:dyDescent="0.25">
      <c r="A1136" s="1052"/>
      <c r="B1136" s="921"/>
      <c r="C1136" s="279" t="s">
        <v>463</v>
      </c>
      <c r="D1136" s="434" t="s">
        <v>338</v>
      </c>
      <c r="E1136" s="280"/>
      <c r="F1136" s="435">
        <f t="shared" si="228"/>
        <v>0</v>
      </c>
      <c r="G1136" s="602">
        <v>39</v>
      </c>
      <c r="H1136" s="597">
        <f t="shared" si="226"/>
        <v>0</v>
      </c>
      <c r="I1136" s="596">
        <f t="shared" si="227"/>
        <v>0</v>
      </c>
      <c r="J1136" s="373"/>
    </row>
    <row r="1137" spans="1:10" ht="24" x14ac:dyDescent="0.25">
      <c r="A1137" s="1052"/>
      <c r="B1137" s="921"/>
      <c r="C1137" s="279" t="s">
        <v>463</v>
      </c>
      <c r="D1137" s="434" t="s">
        <v>92</v>
      </c>
      <c r="E1137" s="280"/>
      <c r="F1137" s="435">
        <f t="shared" si="228"/>
        <v>0</v>
      </c>
      <c r="G1137" s="602">
        <v>32.65</v>
      </c>
      <c r="H1137" s="597">
        <f t="shared" si="226"/>
        <v>0</v>
      </c>
      <c r="I1137" s="596">
        <f t="shared" si="227"/>
        <v>0</v>
      </c>
      <c r="J1137" s="373"/>
    </row>
    <row r="1138" spans="1:10" ht="24" x14ac:dyDescent="0.25">
      <c r="A1138" s="1052"/>
      <c r="B1138" s="921"/>
      <c r="C1138" s="279" t="s">
        <v>463</v>
      </c>
      <c r="D1138" s="434" t="s">
        <v>423</v>
      </c>
      <c r="E1138" s="280"/>
      <c r="F1138" s="435">
        <f t="shared" si="228"/>
        <v>0</v>
      </c>
      <c r="G1138" s="602">
        <v>33.299999999999997</v>
      </c>
      <c r="H1138" s="597">
        <f t="shared" si="226"/>
        <v>0</v>
      </c>
      <c r="I1138" s="596">
        <f t="shared" si="227"/>
        <v>0</v>
      </c>
      <c r="J1138" s="373"/>
    </row>
    <row r="1139" spans="1:10" ht="24" x14ac:dyDescent="0.25">
      <c r="A1139" s="1052"/>
      <c r="B1139" s="921"/>
      <c r="C1139" s="279" t="s">
        <v>299</v>
      </c>
      <c r="D1139" s="434" t="s">
        <v>279</v>
      </c>
      <c r="E1139" s="280"/>
      <c r="F1139" s="435">
        <f t="shared" si="228"/>
        <v>0</v>
      </c>
      <c r="G1139" s="602">
        <v>24.93</v>
      </c>
      <c r="H1139" s="597">
        <f t="shared" si="226"/>
        <v>0</v>
      </c>
      <c r="I1139" s="596">
        <f t="shared" si="227"/>
        <v>0</v>
      </c>
      <c r="J1139" s="373"/>
    </row>
    <row r="1140" spans="1:10" ht="24" x14ac:dyDescent="0.25">
      <c r="A1140" s="1052"/>
      <c r="B1140" s="921"/>
      <c r="C1140" s="279" t="s">
        <v>299</v>
      </c>
      <c r="D1140" s="434"/>
      <c r="E1140" s="280"/>
      <c r="F1140" s="435">
        <f t="shared" si="228"/>
        <v>0</v>
      </c>
      <c r="G1140" s="602">
        <v>24.93</v>
      </c>
      <c r="H1140" s="597">
        <f t="shared" si="226"/>
        <v>0</v>
      </c>
      <c r="I1140" s="596">
        <f t="shared" si="227"/>
        <v>0</v>
      </c>
      <c r="J1140" s="373"/>
    </row>
    <row r="1141" spans="1:10" ht="24" x14ac:dyDescent="0.25">
      <c r="A1141" s="1052"/>
      <c r="B1141" s="921"/>
      <c r="C1141" s="279" t="s">
        <v>316</v>
      </c>
      <c r="D1141" s="434" t="s">
        <v>289</v>
      </c>
      <c r="E1141" s="280"/>
      <c r="F1141" s="435">
        <f t="shared" si="228"/>
        <v>0</v>
      </c>
      <c r="G1141" s="602">
        <v>34.26</v>
      </c>
      <c r="H1141" s="597">
        <f t="shared" si="226"/>
        <v>0</v>
      </c>
      <c r="I1141" s="596">
        <f t="shared" si="227"/>
        <v>0</v>
      </c>
      <c r="J1141" s="373"/>
    </row>
    <row r="1142" spans="1:10" ht="24" x14ac:dyDescent="0.25">
      <c r="A1142" s="1052"/>
      <c r="B1142" s="921"/>
      <c r="C1142" s="279" t="s">
        <v>328</v>
      </c>
      <c r="D1142" s="434" t="s">
        <v>360</v>
      </c>
      <c r="E1142" s="280"/>
      <c r="F1142" s="435">
        <f t="shared" si="228"/>
        <v>0</v>
      </c>
      <c r="G1142" s="602">
        <v>37.89</v>
      </c>
      <c r="H1142" s="597">
        <f t="shared" si="226"/>
        <v>0</v>
      </c>
      <c r="I1142" s="596">
        <f t="shared" si="227"/>
        <v>0</v>
      </c>
      <c r="J1142" s="373"/>
    </row>
    <row r="1143" spans="1:10" ht="24" x14ac:dyDescent="0.25">
      <c r="A1143" s="1052"/>
      <c r="B1143" s="921"/>
      <c r="C1143" s="279" t="s">
        <v>363</v>
      </c>
      <c r="D1143" s="434" t="s">
        <v>338</v>
      </c>
      <c r="E1143" s="280"/>
      <c r="F1143" s="435">
        <f t="shared" si="228"/>
        <v>0</v>
      </c>
      <c r="G1143" s="602">
        <v>39</v>
      </c>
      <c r="H1143" s="597">
        <f t="shared" si="226"/>
        <v>0</v>
      </c>
      <c r="I1143" s="596">
        <f t="shared" si="227"/>
        <v>0</v>
      </c>
      <c r="J1143" s="373"/>
    </row>
    <row r="1144" spans="1:10" ht="24" x14ac:dyDescent="0.25">
      <c r="A1144" s="1052"/>
      <c r="B1144" s="921"/>
      <c r="C1144" s="279" t="s">
        <v>299</v>
      </c>
      <c r="D1144" s="434" t="s">
        <v>177</v>
      </c>
      <c r="E1144" s="280"/>
      <c r="F1144" s="435">
        <f t="shared" si="228"/>
        <v>0</v>
      </c>
      <c r="G1144" s="602">
        <v>21.22</v>
      </c>
      <c r="H1144" s="597">
        <f t="shared" si="226"/>
        <v>0</v>
      </c>
      <c r="I1144" s="596">
        <f t="shared" si="227"/>
        <v>0</v>
      </c>
      <c r="J1144" s="373"/>
    </row>
    <row r="1145" spans="1:10" ht="24" x14ac:dyDescent="0.25">
      <c r="A1145" s="1052"/>
      <c r="B1145" s="921"/>
      <c r="C1145" s="279" t="s">
        <v>298</v>
      </c>
      <c r="D1145" s="434" t="s">
        <v>177</v>
      </c>
      <c r="E1145" s="280"/>
      <c r="F1145" s="435">
        <f t="shared" si="228"/>
        <v>0</v>
      </c>
      <c r="G1145" s="602">
        <v>21.22</v>
      </c>
      <c r="H1145" s="597">
        <f t="shared" si="226"/>
        <v>0</v>
      </c>
      <c r="I1145" s="596">
        <f t="shared" si="227"/>
        <v>0</v>
      </c>
      <c r="J1145" s="373"/>
    </row>
    <row r="1146" spans="1:10" ht="24" x14ac:dyDescent="0.25">
      <c r="A1146" s="1052"/>
      <c r="B1146" s="921"/>
      <c r="C1146" s="279" t="s">
        <v>339</v>
      </c>
      <c r="D1146" s="434" t="s">
        <v>304</v>
      </c>
      <c r="E1146" s="280"/>
      <c r="F1146" s="435">
        <f t="shared" si="228"/>
        <v>0</v>
      </c>
      <c r="G1146" s="602">
        <v>10000</v>
      </c>
      <c r="H1146" s="597">
        <f t="shared" si="226"/>
        <v>0</v>
      </c>
      <c r="I1146" s="596">
        <f t="shared" si="227"/>
        <v>0</v>
      </c>
      <c r="J1146" s="373"/>
    </row>
    <row r="1147" spans="1:10" ht="24.75" thickBot="1" x14ac:dyDescent="0.3">
      <c r="A1147" s="1052"/>
      <c r="B1147" s="921"/>
      <c r="C1147" s="279" t="s">
        <v>303</v>
      </c>
      <c r="D1147" s="434" t="s">
        <v>304</v>
      </c>
      <c r="E1147" s="280"/>
      <c r="F1147" s="435">
        <f t="shared" si="228"/>
        <v>0</v>
      </c>
      <c r="G1147" s="602">
        <v>360</v>
      </c>
      <c r="H1147" s="597">
        <f t="shared" si="226"/>
        <v>0</v>
      </c>
      <c r="I1147" s="596">
        <f t="shared" si="227"/>
        <v>0</v>
      </c>
      <c r="J1147" s="373"/>
    </row>
    <row r="1148" spans="1:10" ht="23.25" thickBot="1" x14ac:dyDescent="0.3">
      <c r="A1148" s="1053"/>
      <c r="B1148" s="1047" t="s">
        <v>268</v>
      </c>
      <c r="C1148" s="1048"/>
      <c r="D1148" s="923"/>
      <c r="E1148" s="326">
        <f>SUM(E1119:E1147)</f>
        <v>0</v>
      </c>
      <c r="F1148" s="326">
        <f t="shared" si="228"/>
        <v>0</v>
      </c>
      <c r="G1148" s="326"/>
      <c r="H1148" s="587">
        <f>SUM(H1119:H1147)</f>
        <v>0</v>
      </c>
      <c r="I1148" s="580">
        <f>SUM(I1119:I1147)</f>
        <v>0</v>
      </c>
      <c r="J1148" s="373"/>
    </row>
    <row r="1149" spans="1:10" ht="24" x14ac:dyDescent="0.25">
      <c r="A1149" s="1051" t="s">
        <v>102</v>
      </c>
      <c r="B1149" s="921"/>
      <c r="C1149" s="279" t="s">
        <v>509</v>
      </c>
      <c r="D1149" s="434" t="s">
        <v>238</v>
      </c>
      <c r="E1149" s="280">
        <v>0</v>
      </c>
      <c r="F1149" s="435">
        <f t="shared" si="228"/>
        <v>6200</v>
      </c>
      <c r="G1149" s="803">
        <v>624.26</v>
      </c>
      <c r="H1149" s="593">
        <f>E1149*G1149</f>
        <v>0</v>
      </c>
      <c r="I1149" s="596">
        <f t="shared" ref="I1149:I1151" si="229">+G1149*F1149</f>
        <v>3870412</v>
      </c>
      <c r="J1149" s="373"/>
    </row>
    <row r="1150" spans="1:10" ht="24" x14ac:dyDescent="0.25">
      <c r="A1150" s="1052"/>
      <c r="B1150" s="921"/>
      <c r="C1150" s="279" t="s">
        <v>273</v>
      </c>
      <c r="D1150" s="434" t="s">
        <v>238</v>
      </c>
      <c r="E1150" s="280">
        <v>0</v>
      </c>
      <c r="F1150" s="435">
        <f t="shared" si="228"/>
        <v>2763</v>
      </c>
      <c r="G1150" s="602">
        <v>430.02</v>
      </c>
      <c r="H1150" s="593">
        <f t="shared" ref="H1150:H1171" si="230">E1150*G1150</f>
        <v>0</v>
      </c>
      <c r="I1150" s="596">
        <f t="shared" si="229"/>
        <v>1188145.26</v>
      </c>
      <c r="J1150" s="373"/>
    </row>
    <row r="1151" spans="1:10" ht="24" x14ac:dyDescent="0.25">
      <c r="A1151" s="1052"/>
      <c r="B1151" s="921"/>
      <c r="C1151" s="279" t="s">
        <v>390</v>
      </c>
      <c r="D1151" s="434" t="s">
        <v>238</v>
      </c>
      <c r="E1151" s="280"/>
      <c r="F1151" s="435">
        <f t="shared" si="228"/>
        <v>0</v>
      </c>
      <c r="G1151" s="602">
        <v>445.38</v>
      </c>
      <c r="H1151" s="593">
        <f t="shared" si="230"/>
        <v>0</v>
      </c>
      <c r="I1151" s="596">
        <f t="shared" si="229"/>
        <v>0</v>
      </c>
      <c r="J1151" s="373"/>
    </row>
    <row r="1152" spans="1:10" ht="24" x14ac:dyDescent="0.25">
      <c r="A1152" s="1052"/>
      <c r="B1152" s="921"/>
      <c r="C1152" s="279" t="s">
        <v>301</v>
      </c>
      <c r="D1152" s="434" t="s">
        <v>238</v>
      </c>
      <c r="E1152" s="280"/>
      <c r="F1152" s="435">
        <f t="shared" si="228"/>
        <v>8640</v>
      </c>
      <c r="G1152" s="602">
        <v>63.55</v>
      </c>
      <c r="H1152" s="593">
        <f t="shared" si="230"/>
        <v>0</v>
      </c>
      <c r="I1152" s="596">
        <f>+G1152*F1152</f>
        <v>549072</v>
      </c>
      <c r="J1152" s="373"/>
    </row>
    <row r="1153" spans="1:10" ht="24" x14ac:dyDescent="0.25">
      <c r="A1153" s="1052"/>
      <c r="B1153" s="921"/>
      <c r="C1153" s="279" t="s">
        <v>514</v>
      </c>
      <c r="D1153" s="434" t="s">
        <v>238</v>
      </c>
      <c r="E1153" s="280"/>
      <c r="F1153" s="435">
        <f t="shared" si="228"/>
        <v>48300</v>
      </c>
      <c r="G1153" s="602">
        <v>71.44</v>
      </c>
      <c r="H1153" s="593">
        <f t="shared" si="230"/>
        <v>0</v>
      </c>
      <c r="I1153" s="596">
        <f>+G1153*F1153</f>
        <v>3450552</v>
      </c>
      <c r="J1153" s="373"/>
    </row>
    <row r="1154" spans="1:10" ht="24" x14ac:dyDescent="0.25">
      <c r="A1154" s="1052"/>
      <c r="B1154" s="921"/>
      <c r="C1154" s="279" t="s">
        <v>275</v>
      </c>
      <c r="D1154" s="434" t="s">
        <v>238</v>
      </c>
      <c r="E1154" s="280">
        <v>59796</v>
      </c>
      <c r="F1154" s="435">
        <f t="shared" si="228"/>
        <v>152112</v>
      </c>
      <c r="G1154" s="602">
        <v>71.44</v>
      </c>
      <c r="H1154" s="593">
        <f t="shared" si="230"/>
        <v>4271826.24</v>
      </c>
      <c r="I1154" s="596">
        <f t="shared" ref="I1154:I1171" si="231">+G1154*F1154</f>
        <v>10866881.279999999</v>
      </c>
      <c r="J1154" s="373"/>
    </row>
    <row r="1155" spans="1:10" ht="24" x14ac:dyDescent="0.25">
      <c r="A1155" s="1052"/>
      <c r="B1155" s="921"/>
      <c r="C1155" s="279" t="s">
        <v>276</v>
      </c>
      <c r="D1155" s="434" t="s">
        <v>238</v>
      </c>
      <c r="E1155" s="280"/>
      <c r="F1155" s="435">
        <f t="shared" si="228"/>
        <v>0</v>
      </c>
      <c r="G1155" s="602">
        <v>36.5</v>
      </c>
      <c r="H1155" s="593">
        <f t="shared" si="230"/>
        <v>0</v>
      </c>
      <c r="I1155" s="596">
        <f t="shared" si="231"/>
        <v>0</v>
      </c>
      <c r="J1155" s="373"/>
    </row>
    <row r="1156" spans="1:10" ht="24" x14ac:dyDescent="0.25">
      <c r="A1156" s="1052"/>
      <c r="B1156" s="921"/>
      <c r="C1156" s="279" t="s">
        <v>527</v>
      </c>
      <c r="D1156" s="434" t="s">
        <v>238</v>
      </c>
      <c r="E1156" s="280">
        <v>0</v>
      </c>
      <c r="F1156" s="435">
        <f t="shared" si="228"/>
        <v>4800</v>
      </c>
      <c r="G1156" s="602">
        <v>320.35000000000002</v>
      </c>
      <c r="H1156" s="593">
        <f t="shared" si="230"/>
        <v>0</v>
      </c>
      <c r="I1156" s="596">
        <f t="shared" si="231"/>
        <v>1537680</v>
      </c>
      <c r="J1156" s="373"/>
    </row>
    <row r="1157" spans="1:10" ht="24" x14ac:dyDescent="0.25">
      <c r="A1157" s="1052"/>
      <c r="B1157" s="921"/>
      <c r="C1157" s="279" t="s">
        <v>285</v>
      </c>
      <c r="D1157" s="434" t="s">
        <v>238</v>
      </c>
      <c r="E1157" s="280"/>
      <c r="F1157" s="435">
        <f t="shared" si="228"/>
        <v>0</v>
      </c>
      <c r="G1157" s="602">
        <v>320.35000000000002</v>
      </c>
      <c r="H1157" s="593">
        <f t="shared" si="230"/>
        <v>0</v>
      </c>
      <c r="I1157" s="596">
        <f t="shared" si="231"/>
        <v>0</v>
      </c>
      <c r="J1157" s="373"/>
    </row>
    <row r="1158" spans="1:10" ht="24" x14ac:dyDescent="0.25">
      <c r="A1158" s="1052"/>
      <c r="B1158" s="921"/>
      <c r="C1158" s="279" t="s">
        <v>296</v>
      </c>
      <c r="D1158" s="434" t="s">
        <v>238</v>
      </c>
      <c r="E1158" s="280"/>
      <c r="F1158" s="435">
        <f t="shared" si="228"/>
        <v>0</v>
      </c>
      <c r="G1158" s="602">
        <v>434.41</v>
      </c>
      <c r="H1158" s="593">
        <f t="shared" si="230"/>
        <v>0</v>
      </c>
      <c r="I1158" s="596">
        <f t="shared" si="231"/>
        <v>0</v>
      </c>
      <c r="J1158" s="373"/>
    </row>
    <row r="1159" spans="1:10" ht="24" x14ac:dyDescent="0.25">
      <c r="A1159" s="1052"/>
      <c r="B1159" s="921"/>
      <c r="C1159" s="279" t="s">
        <v>282</v>
      </c>
      <c r="D1159" s="434" t="s">
        <v>238</v>
      </c>
      <c r="E1159" s="280"/>
      <c r="F1159" s="435">
        <f t="shared" si="228"/>
        <v>0</v>
      </c>
      <c r="G1159" s="602">
        <v>29690</v>
      </c>
      <c r="H1159" s="593">
        <f t="shared" si="230"/>
        <v>0</v>
      </c>
      <c r="I1159" s="596">
        <f t="shared" si="231"/>
        <v>0</v>
      </c>
      <c r="J1159" s="373"/>
    </row>
    <row r="1160" spans="1:10" ht="24" x14ac:dyDescent="0.25">
      <c r="A1160" s="1052"/>
      <c r="B1160" s="921"/>
      <c r="C1160" s="279" t="s">
        <v>282</v>
      </c>
      <c r="D1160" s="434" t="s">
        <v>238</v>
      </c>
      <c r="E1160" s="280"/>
      <c r="F1160" s="435">
        <f t="shared" si="228"/>
        <v>2</v>
      </c>
      <c r="G1160" s="602">
        <v>26445</v>
      </c>
      <c r="H1160" s="593">
        <f t="shared" si="230"/>
        <v>0</v>
      </c>
      <c r="I1160" s="596">
        <f t="shared" si="231"/>
        <v>52890</v>
      </c>
      <c r="J1160" s="373"/>
    </row>
    <row r="1161" spans="1:10" ht="24" x14ac:dyDescent="0.25">
      <c r="A1161" s="1052"/>
      <c r="B1161" s="921"/>
      <c r="C1161" s="279" t="s">
        <v>282</v>
      </c>
      <c r="D1161" s="434"/>
      <c r="E1161" s="280"/>
      <c r="F1161" s="435">
        <f t="shared" si="228"/>
        <v>0</v>
      </c>
      <c r="G1161" s="602">
        <v>33947.884599999998</v>
      </c>
      <c r="H1161" s="593">
        <f t="shared" si="230"/>
        <v>0</v>
      </c>
      <c r="I1161" s="596">
        <f t="shared" si="231"/>
        <v>0</v>
      </c>
      <c r="J1161" s="373"/>
    </row>
    <row r="1162" spans="1:10" ht="24" x14ac:dyDescent="0.25">
      <c r="A1162" s="1052"/>
      <c r="B1162" s="921"/>
      <c r="C1162" s="279" t="s">
        <v>311</v>
      </c>
      <c r="D1162" s="434" t="s">
        <v>337</v>
      </c>
      <c r="E1162" s="280"/>
      <c r="F1162" s="435">
        <f t="shared" si="228"/>
        <v>0</v>
      </c>
      <c r="G1162" s="602">
        <v>50</v>
      </c>
      <c r="H1162" s="593">
        <f t="shared" si="230"/>
        <v>0</v>
      </c>
      <c r="I1162" s="596">
        <f t="shared" si="231"/>
        <v>0</v>
      </c>
      <c r="J1162" s="373"/>
    </row>
    <row r="1163" spans="1:10" ht="24" x14ac:dyDescent="0.25">
      <c r="A1163" s="1052"/>
      <c r="B1163" s="921"/>
      <c r="C1163" s="279" t="s">
        <v>311</v>
      </c>
      <c r="D1163" s="434"/>
      <c r="E1163" s="280"/>
      <c r="F1163" s="435">
        <f t="shared" si="228"/>
        <v>0</v>
      </c>
      <c r="G1163" s="602">
        <v>10</v>
      </c>
      <c r="H1163" s="593">
        <f t="shared" si="230"/>
        <v>0</v>
      </c>
      <c r="I1163" s="596">
        <f t="shared" si="231"/>
        <v>0</v>
      </c>
      <c r="J1163" s="373"/>
    </row>
    <row r="1164" spans="1:10" ht="24" x14ac:dyDescent="0.25">
      <c r="A1164" s="1052"/>
      <c r="B1164" s="921"/>
      <c r="C1164" s="279" t="s">
        <v>329</v>
      </c>
      <c r="D1164" s="434" t="s">
        <v>370</v>
      </c>
      <c r="E1164" s="280"/>
      <c r="F1164" s="435">
        <f t="shared" si="228"/>
        <v>0</v>
      </c>
      <c r="G1164" s="602">
        <v>57.64</v>
      </c>
      <c r="H1164" s="593">
        <f t="shared" si="230"/>
        <v>0</v>
      </c>
      <c r="I1164" s="596">
        <f t="shared" si="231"/>
        <v>0</v>
      </c>
      <c r="J1164" s="373"/>
    </row>
    <row r="1165" spans="1:10" ht="24" x14ac:dyDescent="0.25">
      <c r="A1165" s="1052"/>
      <c r="B1165" s="921"/>
      <c r="C1165" s="279" t="s">
        <v>329</v>
      </c>
      <c r="D1165" s="434" t="s">
        <v>364</v>
      </c>
      <c r="E1165" s="280"/>
      <c r="F1165" s="435">
        <f t="shared" si="228"/>
        <v>0</v>
      </c>
      <c r="G1165" s="602">
        <v>57.64</v>
      </c>
      <c r="H1165" s="593">
        <f t="shared" si="230"/>
        <v>0</v>
      </c>
      <c r="I1165" s="596">
        <f t="shared" si="231"/>
        <v>0</v>
      </c>
      <c r="J1165" s="373"/>
    </row>
    <row r="1166" spans="1:10" ht="24" x14ac:dyDescent="0.25">
      <c r="A1166" s="1052"/>
      <c r="B1166" s="921"/>
      <c r="C1166" s="279" t="s">
        <v>330</v>
      </c>
      <c r="D1166" s="434" t="s">
        <v>331</v>
      </c>
      <c r="E1166" s="280"/>
      <c r="F1166" s="435">
        <f t="shared" si="228"/>
        <v>0</v>
      </c>
      <c r="G1166" s="602">
        <v>434.41</v>
      </c>
      <c r="H1166" s="593">
        <f t="shared" si="230"/>
        <v>0</v>
      </c>
      <c r="I1166" s="596">
        <f t="shared" si="231"/>
        <v>0</v>
      </c>
      <c r="J1166" s="373"/>
    </row>
    <row r="1167" spans="1:10" ht="24" x14ac:dyDescent="0.25">
      <c r="A1167" s="1052"/>
      <c r="B1167" s="921"/>
      <c r="C1167" s="279" t="s">
        <v>343</v>
      </c>
      <c r="D1167" s="434" t="s">
        <v>238</v>
      </c>
      <c r="E1167" s="280"/>
      <c r="F1167" s="435">
        <f t="shared" si="228"/>
        <v>0</v>
      </c>
      <c r="G1167" s="602">
        <v>624.26</v>
      </c>
      <c r="H1167" s="593">
        <f t="shared" si="230"/>
        <v>0</v>
      </c>
      <c r="I1167" s="596">
        <f t="shared" si="231"/>
        <v>0</v>
      </c>
      <c r="J1167" s="373"/>
    </row>
    <row r="1168" spans="1:10" ht="24" x14ac:dyDescent="0.25">
      <c r="A1168" s="1052"/>
      <c r="B1168" s="921"/>
      <c r="C1168" s="279" t="s">
        <v>332</v>
      </c>
      <c r="D1168" s="434" t="s">
        <v>331</v>
      </c>
      <c r="E1168" s="280"/>
      <c r="F1168" s="435">
        <f t="shared" si="228"/>
        <v>0</v>
      </c>
      <c r="G1168" s="602">
        <v>63.55</v>
      </c>
      <c r="H1168" s="593">
        <f t="shared" si="230"/>
        <v>0</v>
      </c>
      <c r="I1168" s="596">
        <f t="shared" si="231"/>
        <v>0</v>
      </c>
      <c r="J1168" s="373"/>
    </row>
    <row r="1169" spans="1:10" ht="24" x14ac:dyDescent="0.25">
      <c r="A1169" s="1052"/>
      <c r="B1169" s="921"/>
      <c r="C1169" s="279" t="s">
        <v>559</v>
      </c>
      <c r="D1169" s="434" t="s">
        <v>238</v>
      </c>
      <c r="E1169" s="280">
        <v>30000</v>
      </c>
      <c r="F1169" s="435">
        <f t="shared" si="228"/>
        <v>30000</v>
      </c>
      <c r="G1169" s="602">
        <v>59.96</v>
      </c>
      <c r="H1169" s="593">
        <f t="shared" si="230"/>
        <v>1798800</v>
      </c>
      <c r="I1169" s="596">
        <f t="shared" si="231"/>
        <v>1798800</v>
      </c>
      <c r="J1169" s="373"/>
    </row>
    <row r="1170" spans="1:10" ht="24" x14ac:dyDescent="0.25">
      <c r="A1170" s="1052"/>
      <c r="B1170" s="921"/>
      <c r="C1170" s="279" t="s">
        <v>419</v>
      </c>
      <c r="D1170" s="434" t="s">
        <v>331</v>
      </c>
      <c r="E1170" s="280"/>
      <c r="F1170" s="435">
        <f t="shared" si="228"/>
        <v>0</v>
      </c>
      <c r="G1170" s="602">
        <v>53.86</v>
      </c>
      <c r="H1170" s="593">
        <f t="shared" si="230"/>
        <v>0</v>
      </c>
      <c r="I1170" s="596">
        <f t="shared" si="231"/>
        <v>0</v>
      </c>
      <c r="J1170" s="373"/>
    </row>
    <row r="1171" spans="1:10" ht="24" x14ac:dyDescent="0.25">
      <c r="A1171" s="1052"/>
      <c r="B1171" s="921"/>
      <c r="C1171" s="279" t="s">
        <v>379</v>
      </c>
      <c r="D1171" s="434"/>
      <c r="E1171" s="280"/>
      <c r="F1171" s="435">
        <f t="shared" si="228"/>
        <v>0</v>
      </c>
      <c r="G1171" s="602">
        <v>360</v>
      </c>
      <c r="H1171" s="593">
        <f t="shared" si="230"/>
        <v>0</v>
      </c>
      <c r="I1171" s="596">
        <f t="shared" si="231"/>
        <v>0</v>
      </c>
      <c r="J1171" s="373"/>
    </row>
    <row r="1172" spans="1:10" ht="24" x14ac:dyDescent="0.25">
      <c r="A1172" s="1052"/>
      <c r="B1172" s="921"/>
      <c r="C1172" s="279" t="s">
        <v>471</v>
      </c>
      <c r="D1172" s="434"/>
      <c r="E1172" s="280"/>
      <c r="F1172" s="435">
        <f t="shared" si="228"/>
        <v>0</v>
      </c>
      <c r="G1172" s="602"/>
      <c r="H1172" s="593">
        <f>+E1172</f>
        <v>0</v>
      </c>
      <c r="I1172" s="596">
        <f>+H1172</f>
        <v>0</v>
      </c>
      <c r="J1172" s="373"/>
    </row>
    <row r="1173" spans="1:10" ht="24" x14ac:dyDescent="0.25">
      <c r="A1173" s="1052"/>
      <c r="B1173" s="921"/>
      <c r="C1173" s="279" t="s">
        <v>282</v>
      </c>
      <c r="D1173" s="434"/>
      <c r="E1173" s="280"/>
      <c r="F1173" s="435">
        <f t="shared" si="228"/>
        <v>0</v>
      </c>
      <c r="G1173" s="602">
        <v>39450</v>
      </c>
      <c r="H1173" s="593">
        <f t="shared" ref="H1173:H1174" si="232">E1173*G1173</f>
        <v>0</v>
      </c>
      <c r="I1173" s="596">
        <f t="shared" ref="I1173:I1174" si="233">+G1173*F1173</f>
        <v>0</v>
      </c>
      <c r="J1173" s="373"/>
    </row>
    <row r="1174" spans="1:10" ht="24.75" thickBot="1" x14ac:dyDescent="0.3">
      <c r="A1174" s="1052"/>
      <c r="B1174" s="921"/>
      <c r="C1174" s="279" t="s">
        <v>329</v>
      </c>
      <c r="D1174" s="434" t="s">
        <v>443</v>
      </c>
      <c r="E1174" s="280"/>
      <c r="F1174" s="435">
        <f t="shared" si="228"/>
        <v>0</v>
      </c>
      <c r="G1174" s="602">
        <v>57.64</v>
      </c>
      <c r="H1174" s="593">
        <f t="shared" si="232"/>
        <v>0</v>
      </c>
      <c r="I1174" s="596">
        <f t="shared" si="233"/>
        <v>0</v>
      </c>
      <c r="J1174" s="373"/>
    </row>
    <row r="1175" spans="1:10" ht="23.25" thickBot="1" x14ac:dyDescent="0.3">
      <c r="A1175" s="1053"/>
      <c r="B1175" s="1047" t="s">
        <v>270</v>
      </c>
      <c r="C1175" s="1048"/>
      <c r="D1175" s="923"/>
      <c r="E1175" s="326">
        <f>SUM(E1149:E1174)</f>
        <v>89796</v>
      </c>
      <c r="F1175" s="326">
        <f>SUM(F1149:F1174)</f>
        <v>252817</v>
      </c>
      <c r="G1175" s="326"/>
      <c r="H1175" s="590">
        <f>SUM(H1149:H1174)</f>
        <v>6070626.2400000002</v>
      </c>
      <c r="I1175" s="580">
        <f>SUM(I1149:I1174)</f>
        <v>23314432.539999999</v>
      </c>
      <c r="J1175" s="372"/>
    </row>
    <row r="1176" spans="1:10" ht="24.75" thickBot="1" x14ac:dyDescent="0.3">
      <c r="A1176" s="926"/>
      <c r="B1176" s="437"/>
      <c r="C1176" s="279" t="s">
        <v>379</v>
      </c>
      <c r="D1176" s="434"/>
      <c r="E1176" s="280"/>
      <c r="F1176" s="281">
        <f>+E1176</f>
        <v>0</v>
      </c>
      <c r="G1176" s="334"/>
      <c r="H1176" s="589">
        <f t="shared" ref="H1176" si="234">E1176*G1176</f>
        <v>0</v>
      </c>
      <c r="I1176" s="282">
        <f t="shared" ref="I1176" si="235">+G1176*F1176</f>
        <v>0</v>
      </c>
      <c r="J1176" s="373"/>
    </row>
    <row r="1177" spans="1:10" ht="23.25" thickBot="1" x14ac:dyDescent="0.3">
      <c r="A1177" s="926"/>
      <c r="B1177" s="1047" t="s">
        <v>224</v>
      </c>
      <c r="C1177" s="1048"/>
      <c r="D1177" s="919"/>
      <c r="E1177" s="326"/>
      <c r="F1177" s="327"/>
      <c r="G1177" s="326"/>
      <c r="H1177" s="587"/>
      <c r="I1177" s="324">
        <f>SUM(I1176)</f>
        <v>0</v>
      </c>
      <c r="J1177" s="349"/>
    </row>
    <row r="1178" spans="1:10" ht="26.25" thickBot="1" x14ac:dyDescent="0.3">
      <c r="A1178" s="319"/>
      <c r="B1178" s="1049" t="s">
        <v>174</v>
      </c>
      <c r="C1178" s="1050"/>
      <c r="D1178" s="920"/>
      <c r="E1178" s="374">
        <f>+E1175+E1148+E1118+E1116</f>
        <v>111248</v>
      </c>
      <c r="F1178" s="374">
        <f>+F1175+F1148+F1118+F1116</f>
        <v>965861</v>
      </c>
      <c r="G1178" s="374"/>
      <c r="H1178" s="374"/>
      <c r="I1178" s="374">
        <f>+I1175+I1148+I1118+I1177</f>
        <v>37645149.659999996</v>
      </c>
      <c r="J1178" s="375"/>
    </row>
  </sheetData>
  <mergeCells count="289">
    <mergeCell ref="B989:C989"/>
    <mergeCell ref="B990:C990"/>
    <mergeCell ref="A901:A930"/>
    <mergeCell ref="B916:C916"/>
    <mergeCell ref="B923:C923"/>
    <mergeCell ref="B928:C928"/>
    <mergeCell ref="B930:C930"/>
    <mergeCell ref="A931:A960"/>
    <mergeCell ref="B960:C960"/>
    <mergeCell ref="A961:A987"/>
    <mergeCell ref="B987:C987"/>
    <mergeCell ref="A897:A900"/>
    <mergeCell ref="B897:B900"/>
    <mergeCell ref="C897:C900"/>
    <mergeCell ref="D897:D900"/>
    <mergeCell ref="E897:J897"/>
    <mergeCell ref="E898:F898"/>
    <mergeCell ref="G898:J898"/>
    <mergeCell ref="E899:E900"/>
    <mergeCell ref="F899:F900"/>
    <mergeCell ref="G899:G900"/>
    <mergeCell ref="H899:H900"/>
    <mergeCell ref="I899:I900"/>
    <mergeCell ref="J899:J900"/>
    <mergeCell ref="A231:A272"/>
    <mergeCell ref="B247:C247"/>
    <mergeCell ref="B262:C262"/>
    <mergeCell ref="B270:C270"/>
    <mergeCell ref="B272:C272"/>
    <mergeCell ref="B334:C334"/>
    <mergeCell ref="A273:A305"/>
    <mergeCell ref="B305:C305"/>
    <mergeCell ref="A306:A331"/>
    <mergeCell ref="B331:C331"/>
    <mergeCell ref="B333:C333"/>
    <mergeCell ref="A227:A230"/>
    <mergeCell ref="B227:B230"/>
    <mergeCell ref="C227:C230"/>
    <mergeCell ref="D227:D230"/>
    <mergeCell ref="E227:J227"/>
    <mergeCell ref="E228:F228"/>
    <mergeCell ref="G228:J228"/>
    <mergeCell ref="E229:E230"/>
    <mergeCell ref="F229:F230"/>
    <mergeCell ref="G229:G230"/>
    <mergeCell ref="H229:H230"/>
    <mergeCell ref="I229:I230"/>
    <mergeCell ref="J229:J230"/>
    <mergeCell ref="A123:A164"/>
    <mergeCell ref="B139:C139"/>
    <mergeCell ref="B154:C154"/>
    <mergeCell ref="B162:C162"/>
    <mergeCell ref="B164:C164"/>
    <mergeCell ref="B226:C226"/>
    <mergeCell ref="A165:A197"/>
    <mergeCell ref="B197:C197"/>
    <mergeCell ref="A198:A223"/>
    <mergeCell ref="B223:C223"/>
    <mergeCell ref="B225:C225"/>
    <mergeCell ref="A119:A122"/>
    <mergeCell ref="B119:B122"/>
    <mergeCell ref="C119:C122"/>
    <mergeCell ref="D119:D122"/>
    <mergeCell ref="E119:J119"/>
    <mergeCell ref="E120:F120"/>
    <mergeCell ref="G120:J120"/>
    <mergeCell ref="E121:E122"/>
    <mergeCell ref="F121:F122"/>
    <mergeCell ref="G121:G122"/>
    <mergeCell ref="H121:H122"/>
    <mergeCell ref="I121:I122"/>
    <mergeCell ref="J121:J122"/>
    <mergeCell ref="A9:J9"/>
    <mergeCell ref="A11:A14"/>
    <mergeCell ref="B11:B14"/>
    <mergeCell ref="C11:C14"/>
    <mergeCell ref="D11:D14"/>
    <mergeCell ref="E11:J11"/>
    <mergeCell ref="E12:F12"/>
    <mergeCell ref="G12:J12"/>
    <mergeCell ref="E13:E14"/>
    <mergeCell ref="F13:F14"/>
    <mergeCell ref="G13:G14"/>
    <mergeCell ref="H13:H14"/>
    <mergeCell ref="I13:I14"/>
    <mergeCell ref="J13:J14"/>
    <mergeCell ref="B117:C117"/>
    <mergeCell ref="B118:C118"/>
    <mergeCell ref="A15:A56"/>
    <mergeCell ref="B31:C31"/>
    <mergeCell ref="B46:C46"/>
    <mergeCell ref="B54:C54"/>
    <mergeCell ref="B56:C56"/>
    <mergeCell ref="A57:A89"/>
    <mergeCell ref="B89:C89"/>
    <mergeCell ref="A90:A115"/>
    <mergeCell ref="B115:C115"/>
    <mergeCell ref="A335:A338"/>
    <mergeCell ref="B335:B338"/>
    <mergeCell ref="C335:C338"/>
    <mergeCell ref="D335:D338"/>
    <mergeCell ref="E335:J335"/>
    <mergeCell ref="E336:F336"/>
    <mergeCell ref="G336:J336"/>
    <mergeCell ref="E337:E338"/>
    <mergeCell ref="F337:F338"/>
    <mergeCell ref="G337:G338"/>
    <mergeCell ref="H337:H338"/>
    <mergeCell ref="I337:I338"/>
    <mergeCell ref="J337:J338"/>
    <mergeCell ref="B427:C427"/>
    <mergeCell ref="A369:A398"/>
    <mergeCell ref="B398:C398"/>
    <mergeCell ref="A399:A424"/>
    <mergeCell ref="B424:C424"/>
    <mergeCell ref="B426:C426"/>
    <mergeCell ref="A339:A368"/>
    <mergeCell ref="B354:C354"/>
    <mergeCell ref="B361:C361"/>
    <mergeCell ref="B366:C366"/>
    <mergeCell ref="B368:C368"/>
    <mergeCell ref="A428:A431"/>
    <mergeCell ref="B428:B431"/>
    <mergeCell ref="C428:C431"/>
    <mergeCell ref="D428:D431"/>
    <mergeCell ref="E428:J428"/>
    <mergeCell ref="E429:F429"/>
    <mergeCell ref="G429:J429"/>
    <mergeCell ref="E430:E431"/>
    <mergeCell ref="F430:F431"/>
    <mergeCell ref="G430:G431"/>
    <mergeCell ref="H430:H431"/>
    <mergeCell ref="I430:I431"/>
    <mergeCell ref="J430:J431"/>
    <mergeCell ref="B520:C520"/>
    <mergeCell ref="A462:A491"/>
    <mergeCell ref="B491:C491"/>
    <mergeCell ref="A492:A517"/>
    <mergeCell ref="B517:C517"/>
    <mergeCell ref="B519:C519"/>
    <mergeCell ref="A432:A461"/>
    <mergeCell ref="B447:C447"/>
    <mergeCell ref="B454:C454"/>
    <mergeCell ref="B459:C459"/>
    <mergeCell ref="B461:C461"/>
    <mergeCell ref="A521:A524"/>
    <mergeCell ref="B521:B524"/>
    <mergeCell ref="C521:C524"/>
    <mergeCell ref="D521:D524"/>
    <mergeCell ref="E521:J521"/>
    <mergeCell ref="E522:F522"/>
    <mergeCell ref="G522:J522"/>
    <mergeCell ref="E523:E524"/>
    <mergeCell ref="F523:F524"/>
    <mergeCell ref="G523:G524"/>
    <mergeCell ref="H523:H524"/>
    <mergeCell ref="I523:I524"/>
    <mergeCell ref="J523:J524"/>
    <mergeCell ref="B613:C613"/>
    <mergeCell ref="B614:C614"/>
    <mergeCell ref="A525:A554"/>
    <mergeCell ref="B540:C540"/>
    <mergeCell ref="B547:C547"/>
    <mergeCell ref="B552:C552"/>
    <mergeCell ref="B554:C554"/>
    <mergeCell ref="A555:A584"/>
    <mergeCell ref="B584:C584"/>
    <mergeCell ref="A585:A611"/>
    <mergeCell ref="B611:C611"/>
    <mergeCell ref="A615:A618"/>
    <mergeCell ref="B615:B618"/>
    <mergeCell ref="C615:C618"/>
    <mergeCell ref="D615:D618"/>
    <mergeCell ref="E615:J615"/>
    <mergeCell ref="E616:F616"/>
    <mergeCell ref="G616:J616"/>
    <mergeCell ref="E617:E618"/>
    <mergeCell ref="F617:F618"/>
    <mergeCell ref="G617:G618"/>
    <mergeCell ref="H617:H618"/>
    <mergeCell ref="I617:I618"/>
    <mergeCell ref="J617:J618"/>
    <mergeCell ref="B707:C707"/>
    <mergeCell ref="B708:C708"/>
    <mergeCell ref="A619:A648"/>
    <mergeCell ref="B634:C634"/>
    <mergeCell ref="B641:C641"/>
    <mergeCell ref="B646:C646"/>
    <mergeCell ref="B648:C648"/>
    <mergeCell ref="A649:A678"/>
    <mergeCell ref="B678:C678"/>
    <mergeCell ref="A679:A705"/>
    <mergeCell ref="B705:C705"/>
    <mergeCell ref="A709:A712"/>
    <mergeCell ref="B709:B712"/>
    <mergeCell ref="C709:C712"/>
    <mergeCell ref="D709:D712"/>
    <mergeCell ref="E709:J709"/>
    <mergeCell ref="E710:F710"/>
    <mergeCell ref="G710:J710"/>
    <mergeCell ref="E711:E712"/>
    <mergeCell ref="F711:F712"/>
    <mergeCell ref="G711:G712"/>
    <mergeCell ref="H711:H712"/>
    <mergeCell ref="I711:I712"/>
    <mergeCell ref="J711:J712"/>
    <mergeCell ref="B801:C801"/>
    <mergeCell ref="B802:C802"/>
    <mergeCell ref="A713:A742"/>
    <mergeCell ref="B728:C728"/>
    <mergeCell ref="B735:C735"/>
    <mergeCell ref="B740:C740"/>
    <mergeCell ref="B742:C742"/>
    <mergeCell ref="A743:A772"/>
    <mergeCell ref="B772:C772"/>
    <mergeCell ref="A773:A799"/>
    <mergeCell ref="B799:C799"/>
    <mergeCell ref="A803:A806"/>
    <mergeCell ref="B803:B806"/>
    <mergeCell ref="C803:C806"/>
    <mergeCell ref="D803:D806"/>
    <mergeCell ref="E803:J803"/>
    <mergeCell ref="E804:F804"/>
    <mergeCell ref="G804:J804"/>
    <mergeCell ref="E805:E806"/>
    <mergeCell ref="F805:F806"/>
    <mergeCell ref="G805:G806"/>
    <mergeCell ref="H805:H806"/>
    <mergeCell ref="I805:I806"/>
    <mergeCell ref="J805:J806"/>
    <mergeCell ref="B895:C895"/>
    <mergeCell ref="B896:C896"/>
    <mergeCell ref="A807:A836"/>
    <mergeCell ref="B822:C822"/>
    <mergeCell ref="B829:C829"/>
    <mergeCell ref="B834:C834"/>
    <mergeCell ref="B836:C836"/>
    <mergeCell ref="A837:A866"/>
    <mergeCell ref="B866:C866"/>
    <mergeCell ref="A867:A893"/>
    <mergeCell ref="B893:C893"/>
    <mergeCell ref="A991:A994"/>
    <mergeCell ref="B991:B994"/>
    <mergeCell ref="C991:C994"/>
    <mergeCell ref="D991:D994"/>
    <mergeCell ref="E991:J991"/>
    <mergeCell ref="E992:F992"/>
    <mergeCell ref="G992:J992"/>
    <mergeCell ref="E993:E994"/>
    <mergeCell ref="F993:F994"/>
    <mergeCell ref="G993:G994"/>
    <mergeCell ref="H993:H994"/>
    <mergeCell ref="I993:I994"/>
    <mergeCell ref="J993:J994"/>
    <mergeCell ref="B1083:C1083"/>
    <mergeCell ref="B1084:C1084"/>
    <mergeCell ref="A995:A1024"/>
    <mergeCell ref="B1010:C1010"/>
    <mergeCell ref="B1017:C1017"/>
    <mergeCell ref="B1022:C1022"/>
    <mergeCell ref="B1024:C1024"/>
    <mergeCell ref="A1025:A1054"/>
    <mergeCell ref="B1054:C1054"/>
    <mergeCell ref="A1055:A1081"/>
    <mergeCell ref="B1081:C1081"/>
    <mergeCell ref="A1085:A1088"/>
    <mergeCell ref="B1085:B1088"/>
    <mergeCell ref="C1085:C1088"/>
    <mergeCell ref="D1085:D1088"/>
    <mergeCell ref="E1085:J1085"/>
    <mergeCell ref="E1086:F1086"/>
    <mergeCell ref="G1086:J1086"/>
    <mergeCell ref="E1087:E1088"/>
    <mergeCell ref="F1087:F1088"/>
    <mergeCell ref="G1087:G1088"/>
    <mergeCell ref="H1087:H1088"/>
    <mergeCell ref="I1087:I1088"/>
    <mergeCell ref="J1087:J1088"/>
    <mergeCell ref="B1177:C1177"/>
    <mergeCell ref="B1178:C1178"/>
    <mergeCell ref="A1089:A1118"/>
    <mergeCell ref="B1104:C1104"/>
    <mergeCell ref="B1111:C1111"/>
    <mergeCell ref="B1116:C1116"/>
    <mergeCell ref="B1118:C1118"/>
    <mergeCell ref="A1119:A1148"/>
    <mergeCell ref="B1148:C1148"/>
    <mergeCell ref="A1149:A1175"/>
    <mergeCell ref="B1175:C1175"/>
  </mergeCells>
  <pageMargins left="0.19685039370078741" right="0.19685039370078741" top="0.19685039370078741" bottom="0.19685039370078741" header="0.19685039370078741" footer="0.19685039370078741"/>
  <pageSetup paperSize="9" scale="20" orientation="portrait" verticalDpi="300" r:id="rId1"/>
  <rowBreaks count="11" manualBreakCount="11">
    <brk id="118" max="8" man="1"/>
    <brk id="226" max="8" man="1"/>
    <brk id="334" max="8" man="1"/>
    <brk id="427" max="8" man="1"/>
    <brk id="520" max="8" man="1"/>
    <brk id="614" max="8" man="1"/>
    <brk id="708" max="8" man="1"/>
    <brk id="802" max="8" man="1"/>
    <brk id="896" max="8" man="1"/>
    <brk id="990" max="8" man="1"/>
    <brk id="1084" max="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CC"/>
    <pageSetUpPr fitToPage="1"/>
  </sheetPr>
  <dimension ref="A1:O191"/>
  <sheetViews>
    <sheetView tabSelected="1" view="pageBreakPreview" topLeftCell="A179" zoomScale="50" zoomScaleNormal="70" zoomScaleSheetLayoutView="50" workbookViewId="0">
      <selection activeCell="A176" sqref="A176:J190"/>
    </sheetView>
  </sheetViews>
  <sheetFormatPr baseColWidth="10" defaultColWidth="9.140625" defaultRowHeight="16.5" x14ac:dyDescent="0.25"/>
  <cols>
    <col min="1" max="1" width="11.28515625" style="229" customWidth="1"/>
    <col min="2" max="2" width="51.140625" style="266" customWidth="1"/>
    <col min="3" max="3" width="38.140625" style="229" customWidth="1"/>
    <col min="4" max="4" width="38" style="222" customWidth="1"/>
    <col min="5" max="5" width="26.5703125" style="222" customWidth="1"/>
    <col min="6" max="6" width="39.140625" style="223" customWidth="1"/>
    <col min="7" max="7" width="33.42578125" style="222" customWidth="1"/>
    <col min="8" max="8" width="39" style="222" customWidth="1"/>
    <col min="9" max="9" width="41.42578125" style="222" customWidth="1"/>
    <col min="10" max="10" width="40.42578125" style="224" customWidth="1"/>
    <col min="11" max="11" width="9.140625" style="229"/>
    <col min="12" max="12" width="8.42578125" style="229" customWidth="1"/>
    <col min="13" max="14" width="9.140625" style="229" hidden="1" customWidth="1"/>
    <col min="15" max="15" width="13" style="229" bestFit="1" customWidth="1"/>
    <col min="16" max="16384" width="9.140625" style="229"/>
  </cols>
  <sheetData>
    <row r="1" spans="1:15" x14ac:dyDescent="0.25">
      <c r="A1" s="229" t="s">
        <v>305</v>
      </c>
    </row>
    <row r="7" spans="1:15" ht="67.150000000000006" customHeight="1" x14ac:dyDescent="0.25">
      <c r="A7" s="220" t="s">
        <v>0</v>
      </c>
    </row>
    <row r="9" spans="1:15" ht="81" customHeight="1" x14ac:dyDescent="0.25">
      <c r="A9" s="1007" t="s">
        <v>481</v>
      </c>
      <c r="B9" s="1008"/>
      <c r="C9" s="1008"/>
      <c r="D9" s="1008"/>
      <c r="E9" s="1008"/>
      <c r="F9" s="1008"/>
      <c r="G9" s="1008"/>
      <c r="H9" s="1008"/>
      <c r="I9" s="1008"/>
      <c r="J9" s="1008"/>
    </row>
    <row r="10" spans="1:15" ht="24.6" customHeight="1" thickBot="1" x14ac:dyDescent="0.3">
      <c r="A10" s="230"/>
      <c r="B10" s="230"/>
      <c r="C10" s="230"/>
      <c r="D10" s="232"/>
      <c r="E10" s="232"/>
      <c r="F10" s="232"/>
      <c r="G10" s="232"/>
      <c r="H10" s="232"/>
      <c r="I10" s="232"/>
      <c r="J10" s="234"/>
    </row>
    <row r="11" spans="1:15" ht="41.45" customHeight="1" x14ac:dyDescent="0.25">
      <c r="A11" s="978" t="s">
        <v>1</v>
      </c>
      <c r="B11" s="984" t="s">
        <v>396</v>
      </c>
      <c r="C11" s="984" t="s">
        <v>226</v>
      </c>
      <c r="D11" s="1072" t="s">
        <v>477</v>
      </c>
      <c r="E11" s="1073"/>
      <c r="F11" s="1073"/>
      <c r="G11" s="1073"/>
      <c r="H11" s="1074"/>
      <c r="I11" s="1075" t="s">
        <v>417</v>
      </c>
      <c r="J11" s="1075" t="s">
        <v>418</v>
      </c>
      <c r="K11" s="229" t="s">
        <v>420</v>
      </c>
    </row>
    <row r="12" spans="1:15" ht="41.45" customHeight="1" x14ac:dyDescent="0.25">
      <c r="A12" s="1054"/>
      <c r="B12" s="1071"/>
      <c r="C12" s="1071"/>
      <c r="D12" s="1078" t="s">
        <v>229</v>
      </c>
      <c r="E12" s="1079"/>
      <c r="F12" s="1080"/>
      <c r="G12" s="1078" t="s">
        <v>227</v>
      </c>
      <c r="H12" s="1080"/>
      <c r="I12" s="1076"/>
      <c r="J12" s="1076"/>
    </row>
    <row r="13" spans="1:15" ht="25.9" customHeight="1" x14ac:dyDescent="0.25">
      <c r="A13" s="979"/>
      <c r="B13" s="985"/>
      <c r="C13" s="985"/>
      <c r="D13" s="1081" t="s">
        <v>415</v>
      </c>
      <c r="E13" s="1083" t="s">
        <v>9</v>
      </c>
      <c r="F13" s="1085" t="s">
        <v>416</v>
      </c>
      <c r="G13" s="1087" t="s">
        <v>228</v>
      </c>
      <c r="H13" s="1089" t="s">
        <v>416</v>
      </c>
      <c r="I13" s="1076"/>
      <c r="J13" s="1076"/>
    </row>
    <row r="14" spans="1:15" ht="25.9" customHeight="1" thickBot="1" x14ac:dyDescent="0.3">
      <c r="A14" s="980"/>
      <c r="B14" s="986"/>
      <c r="C14" s="986"/>
      <c r="D14" s="1082"/>
      <c r="E14" s="1084"/>
      <c r="F14" s="1086"/>
      <c r="G14" s="1088"/>
      <c r="H14" s="1090"/>
      <c r="I14" s="1077"/>
      <c r="J14" s="1077"/>
    </row>
    <row r="15" spans="1:15" ht="60.6" customHeight="1" x14ac:dyDescent="0.25">
      <c r="A15" s="268" t="s">
        <v>103</v>
      </c>
      <c r="B15" s="572" t="s">
        <v>220</v>
      </c>
      <c r="C15" s="550">
        <f>+'01 Prod Physique Boites'!E42</f>
        <v>0</v>
      </c>
      <c r="D15" s="551">
        <f>+'01 Prod Physique Boites'!K42</f>
        <v>125085</v>
      </c>
      <c r="E15" s="552" t="str">
        <f>IFERROR(D15/C15,"-")</f>
        <v>-</v>
      </c>
      <c r="F15" s="553">
        <f>+'02 Prod Valorisée Boites'!G44</f>
        <v>1529690.5127999999</v>
      </c>
      <c r="G15" s="551">
        <f>+'03 Prod Accessoires'!K19</f>
        <v>151550</v>
      </c>
      <c r="H15" s="554">
        <f>+'03 Prod Accessoires'!Q19</f>
        <v>774209.91000000015</v>
      </c>
      <c r="I15" s="554">
        <f>+'02 Prod Valorisée Boites'!J44</f>
        <v>1846317.6</v>
      </c>
      <c r="J15" s="555">
        <f>+'04 Ventes'!I31</f>
        <v>0</v>
      </c>
      <c r="K15" s="712"/>
      <c r="L15" s="712"/>
      <c r="O15" s="704"/>
    </row>
    <row r="16" spans="1:15" ht="60.6" customHeight="1" x14ac:dyDescent="0.25">
      <c r="A16" s="744" t="s">
        <v>103</v>
      </c>
      <c r="B16" s="573" t="s">
        <v>221</v>
      </c>
      <c r="C16" s="556">
        <f>+'01 Prod Physique Boites'!E58</f>
        <v>0</v>
      </c>
      <c r="D16" s="557">
        <f>+'01 Prod Physique Boites'!K58</f>
        <v>0</v>
      </c>
      <c r="E16" s="558" t="str">
        <f t="shared" ref="E16:E24" si="0">IFERROR(D16/C16,"-")</f>
        <v>-</v>
      </c>
      <c r="F16" s="559">
        <f>+'02 Prod Valorisée Boites'!G60</f>
        <v>0</v>
      </c>
      <c r="G16" s="557">
        <f>+'03 Prod Accessoires'!K27</f>
        <v>0</v>
      </c>
      <c r="H16" s="560">
        <f>+'03 Prod Accessoires'!Q27</f>
        <v>0</v>
      </c>
      <c r="I16" s="560">
        <f>+'02 Prod Valorisée Boites'!J60</f>
        <v>0</v>
      </c>
      <c r="J16" s="561">
        <f>+'04 Ventes'!I46</f>
        <v>1015740</v>
      </c>
      <c r="K16" s="712"/>
      <c r="L16" s="712"/>
      <c r="O16" s="704"/>
    </row>
    <row r="17" spans="1:15" ht="60.6" customHeight="1" thickBot="1" x14ac:dyDescent="0.3">
      <c r="A17" s="274" t="s">
        <v>103</v>
      </c>
      <c r="B17" s="275" t="s">
        <v>222</v>
      </c>
      <c r="C17" s="556"/>
      <c r="D17" s="557"/>
      <c r="E17" s="558" t="str">
        <f t="shared" si="0"/>
        <v>-</v>
      </c>
      <c r="F17" s="559"/>
      <c r="G17" s="557"/>
      <c r="H17" s="560"/>
      <c r="I17" s="560"/>
      <c r="J17" s="561">
        <f>+'04 Ventes'!I54</f>
        <v>0</v>
      </c>
    </row>
    <row r="18" spans="1:15" s="294" customFormat="1" ht="60.6" customHeight="1" thickBot="1" x14ac:dyDescent="0.3">
      <c r="A18" s="318" t="s">
        <v>103</v>
      </c>
      <c r="B18" s="433" t="s">
        <v>223</v>
      </c>
      <c r="C18" s="562">
        <f>SUM(C15:C17)</f>
        <v>0</v>
      </c>
      <c r="D18" s="563">
        <f t="shared" ref="D18" si="1">SUM(D15:D17)</f>
        <v>125085</v>
      </c>
      <c r="E18" s="564" t="str">
        <f t="shared" si="0"/>
        <v>-</v>
      </c>
      <c r="F18" s="565">
        <f>SUM(F15:F17)</f>
        <v>1529690.5127999999</v>
      </c>
      <c r="G18" s="563">
        <f t="shared" ref="G18:H18" si="2">SUM(G15:G17)</f>
        <v>151550</v>
      </c>
      <c r="H18" s="565">
        <f t="shared" si="2"/>
        <v>774209.91000000015</v>
      </c>
      <c r="I18" s="565">
        <f>SUM(I15:I17)</f>
        <v>1846317.6</v>
      </c>
      <c r="J18" s="758">
        <f t="shared" ref="J18" si="3">SUM(J15:J17)</f>
        <v>1015740</v>
      </c>
    </row>
    <row r="19" spans="1:15" ht="60.6" customHeight="1" x14ac:dyDescent="0.25">
      <c r="A19" s="268" t="s">
        <v>101</v>
      </c>
      <c r="B19" s="572" t="s">
        <v>220</v>
      </c>
      <c r="C19" s="550">
        <f>+'01 Prod Physique Boites'!E94</f>
        <v>0</v>
      </c>
      <c r="D19" s="551">
        <f>+'01 Prod Physique Boites'!K94</f>
        <v>92915</v>
      </c>
      <c r="E19" s="552" t="str">
        <f t="shared" si="0"/>
        <v>-</v>
      </c>
      <c r="F19" s="553">
        <f>+'02 Prod Valorisée Boites'!G96</f>
        <v>1530584.8271999999</v>
      </c>
      <c r="G19" s="551">
        <f>+'03 Prod Accessoires'!K37</f>
        <v>100000</v>
      </c>
      <c r="H19" s="554">
        <f>+'03 Prod Accessoires'!Q36</f>
        <v>221410.00000000003</v>
      </c>
      <c r="I19" s="550">
        <f>+'02 Prod Valorisée Boites'!J96</f>
        <v>1899415.44</v>
      </c>
      <c r="J19" s="566">
        <f>+'04 Ventes'!I89</f>
        <v>0</v>
      </c>
      <c r="L19" s="712"/>
      <c r="O19" s="704"/>
    </row>
    <row r="20" spans="1:15" ht="60.6" customHeight="1" thickBot="1" x14ac:dyDescent="0.3">
      <c r="A20" s="744" t="s">
        <v>101</v>
      </c>
      <c r="B20" s="295" t="s">
        <v>222</v>
      </c>
      <c r="C20" s="567"/>
      <c r="D20" s="557"/>
      <c r="E20" s="558" t="str">
        <f t="shared" si="0"/>
        <v>-</v>
      </c>
      <c r="F20" s="559"/>
      <c r="G20" s="557"/>
      <c r="H20" s="560"/>
      <c r="I20" s="560"/>
      <c r="J20" s="568"/>
    </row>
    <row r="21" spans="1:15" s="294" customFormat="1" ht="60.6" customHeight="1" thickBot="1" x14ac:dyDescent="0.3">
      <c r="A21" s="318" t="s">
        <v>101</v>
      </c>
      <c r="B21" s="433" t="s">
        <v>224</v>
      </c>
      <c r="C21" s="562">
        <f>SUM(C19:C20)</f>
        <v>0</v>
      </c>
      <c r="D21" s="563">
        <f t="shared" ref="D21" si="4">SUM(D19:D20)</f>
        <v>92915</v>
      </c>
      <c r="E21" s="564" t="str">
        <f t="shared" si="0"/>
        <v>-</v>
      </c>
      <c r="F21" s="565">
        <f t="shared" ref="F21:J21" si="5">SUM(F19:F20)</f>
        <v>1530584.8271999999</v>
      </c>
      <c r="G21" s="563">
        <f t="shared" si="5"/>
        <v>100000</v>
      </c>
      <c r="H21" s="565">
        <f t="shared" si="5"/>
        <v>221410.00000000003</v>
      </c>
      <c r="I21" s="565">
        <f t="shared" si="5"/>
        <v>1899415.44</v>
      </c>
      <c r="J21" s="758">
        <f t="shared" si="5"/>
        <v>0</v>
      </c>
    </row>
    <row r="22" spans="1:15" ht="60.6" customHeight="1" x14ac:dyDescent="0.25">
      <c r="A22" s="268" t="s">
        <v>102</v>
      </c>
      <c r="B22" s="574" t="s">
        <v>221</v>
      </c>
      <c r="C22" s="554">
        <f>+'01 Prod Physique Boites'!E121</f>
        <v>0</v>
      </c>
      <c r="D22" s="551">
        <f>+'01 Prod Physique Boites'!K121</f>
        <v>18660</v>
      </c>
      <c r="E22" s="552" t="str">
        <f t="shared" si="0"/>
        <v>-</v>
      </c>
      <c r="F22" s="553">
        <f>+'02 Prod Valorisée Boites'!G122</f>
        <v>536897.00399999996</v>
      </c>
      <c r="G22" s="551">
        <f>+'03 Prod Accessoires'!K71</f>
        <v>100183</v>
      </c>
      <c r="H22" s="554">
        <f>+'03 Prod Accessoires'!Q71</f>
        <v>656386.30539999995</v>
      </c>
      <c r="I22" s="554">
        <f>+'02 Prod Valorisée Boites'!J122</f>
        <v>1163620.8</v>
      </c>
      <c r="J22" s="566">
        <f>+'04 Ventes'!I115</f>
        <v>0</v>
      </c>
      <c r="K22" s="712"/>
      <c r="L22" s="712"/>
      <c r="O22" s="704"/>
    </row>
    <row r="23" spans="1:15" ht="60.6" customHeight="1" thickBot="1" x14ac:dyDescent="0.3">
      <c r="A23" s="744" t="s">
        <v>102</v>
      </c>
      <c r="B23" s="303" t="s">
        <v>222</v>
      </c>
      <c r="C23" s="560"/>
      <c r="D23" s="569"/>
      <c r="E23" s="570" t="str">
        <f t="shared" si="0"/>
        <v>-</v>
      </c>
      <c r="F23" s="571"/>
      <c r="G23" s="557"/>
      <c r="H23" s="560"/>
      <c r="I23" s="560"/>
      <c r="J23" s="568"/>
    </row>
    <row r="24" spans="1:15" s="294" customFormat="1" ht="60.6" customHeight="1" thickBot="1" x14ac:dyDescent="0.3">
      <c r="A24" s="318" t="s">
        <v>102</v>
      </c>
      <c r="B24" s="433" t="s">
        <v>225</v>
      </c>
      <c r="C24" s="562">
        <f>SUM(C22:C23)</f>
        <v>0</v>
      </c>
      <c r="D24" s="563">
        <f t="shared" ref="D24" si="6">SUM(D22:D23)</f>
        <v>18660</v>
      </c>
      <c r="E24" s="564" t="str">
        <f t="shared" si="0"/>
        <v>-</v>
      </c>
      <c r="F24" s="565">
        <f t="shared" ref="F24:J24" si="7">SUM(F22:F23)</f>
        <v>536897.00399999996</v>
      </c>
      <c r="G24" s="563">
        <f t="shared" si="7"/>
        <v>100183</v>
      </c>
      <c r="H24" s="565">
        <f t="shared" si="7"/>
        <v>656386.30539999995</v>
      </c>
      <c r="I24" s="565">
        <f t="shared" si="7"/>
        <v>1163620.8</v>
      </c>
      <c r="J24" s="758">
        <f t="shared" si="7"/>
        <v>0</v>
      </c>
    </row>
    <row r="25" spans="1:15" ht="57.6" customHeight="1" thickBot="1" x14ac:dyDescent="0.3">
      <c r="A25" s="630"/>
      <c r="B25" s="548" t="s">
        <v>174</v>
      </c>
      <c r="C25" s="549">
        <f>+C18+C21+C24</f>
        <v>0</v>
      </c>
      <c r="D25" s="575">
        <f t="shared" ref="D25" si="8">+D18+D21+D24</f>
        <v>236660</v>
      </c>
      <c r="E25" s="576" t="str">
        <f>IFERROR(D25/C25,"-")</f>
        <v>-</v>
      </c>
      <c r="F25" s="575">
        <f>+F18+F21+F24</f>
        <v>3597172.3439999996</v>
      </c>
      <c r="G25" s="575">
        <f t="shared" ref="G25:H25" si="9">+G18+G21+G24</f>
        <v>351733</v>
      </c>
      <c r="H25" s="575">
        <f t="shared" si="9"/>
        <v>1652006.2154000001</v>
      </c>
      <c r="I25" s="575">
        <f>+I18+I21+I24</f>
        <v>4909353.84</v>
      </c>
      <c r="J25" s="631">
        <f t="shared" ref="J25" si="10">+J18+J21+J24</f>
        <v>1015740</v>
      </c>
    </row>
    <row r="26" spans="1:15" ht="41.45" customHeight="1" x14ac:dyDescent="0.25">
      <c r="A26" s="978" t="s">
        <v>1</v>
      </c>
      <c r="B26" s="984" t="s">
        <v>396</v>
      </c>
      <c r="C26" s="984" t="s">
        <v>226</v>
      </c>
      <c r="D26" s="1072" t="s">
        <v>485</v>
      </c>
      <c r="E26" s="1073"/>
      <c r="F26" s="1073"/>
      <c r="G26" s="1073"/>
      <c r="H26" s="1074"/>
      <c r="I26" s="1075" t="s">
        <v>417</v>
      </c>
      <c r="J26" s="1075" t="s">
        <v>418</v>
      </c>
      <c r="K26" s="229" t="s">
        <v>420</v>
      </c>
    </row>
    <row r="27" spans="1:15" ht="41.45" customHeight="1" x14ac:dyDescent="0.25">
      <c r="A27" s="1054"/>
      <c r="B27" s="1071"/>
      <c r="C27" s="1071"/>
      <c r="D27" s="1078" t="s">
        <v>229</v>
      </c>
      <c r="E27" s="1079"/>
      <c r="F27" s="1080"/>
      <c r="G27" s="1078" t="s">
        <v>227</v>
      </c>
      <c r="H27" s="1080"/>
      <c r="I27" s="1076"/>
      <c r="J27" s="1076"/>
    </row>
    <row r="28" spans="1:15" ht="25.9" customHeight="1" x14ac:dyDescent="0.25">
      <c r="A28" s="979"/>
      <c r="B28" s="985"/>
      <c r="C28" s="985"/>
      <c r="D28" s="1081" t="s">
        <v>415</v>
      </c>
      <c r="E28" s="1083" t="s">
        <v>9</v>
      </c>
      <c r="F28" s="1085" t="s">
        <v>416</v>
      </c>
      <c r="G28" s="1087" t="s">
        <v>228</v>
      </c>
      <c r="H28" s="1089" t="s">
        <v>416</v>
      </c>
      <c r="I28" s="1076"/>
      <c r="J28" s="1076"/>
    </row>
    <row r="29" spans="1:15" ht="25.9" customHeight="1" thickBot="1" x14ac:dyDescent="0.3">
      <c r="A29" s="980"/>
      <c r="B29" s="986"/>
      <c r="C29" s="986"/>
      <c r="D29" s="1082"/>
      <c r="E29" s="1084"/>
      <c r="F29" s="1086"/>
      <c r="G29" s="1088"/>
      <c r="H29" s="1090"/>
      <c r="I29" s="1077"/>
      <c r="J29" s="1077"/>
    </row>
    <row r="30" spans="1:15" ht="60.6" customHeight="1" x14ac:dyDescent="0.25">
      <c r="A30" s="268" t="s">
        <v>103</v>
      </c>
      <c r="B30" s="572" t="s">
        <v>220</v>
      </c>
      <c r="C30" s="550">
        <f>+'01 Prod Physique Boites'!E155</f>
        <v>0</v>
      </c>
      <c r="D30" s="551">
        <f>+'01 Prod Physique Boites'!K155</f>
        <v>313122</v>
      </c>
      <c r="E30" s="552" t="str">
        <f>IFERROR(D30/C30,"-")</f>
        <v>-</v>
      </c>
      <c r="F30" s="553">
        <f>+'02 Prod Valorisée Boites'!G158</f>
        <v>3839070.9408</v>
      </c>
      <c r="G30" s="551">
        <f>+'03 Prod Accessoires'!K82</f>
        <v>304550</v>
      </c>
      <c r="H30" s="554">
        <f>+'03 Prod Accessoires'!Q82</f>
        <v>1516787.0100000002</v>
      </c>
      <c r="I30" s="554">
        <f>+'02 Prod Valorisée Boites'!J158</f>
        <v>4681065.5999999996</v>
      </c>
      <c r="J30" s="555">
        <f>+'04 Ventes'!I139</f>
        <v>345902.4</v>
      </c>
      <c r="K30" s="712"/>
      <c r="L30" s="712"/>
      <c r="O30" s="704"/>
    </row>
    <row r="31" spans="1:15" ht="60.6" customHeight="1" x14ac:dyDescent="0.25">
      <c r="A31" s="769" t="s">
        <v>103</v>
      </c>
      <c r="B31" s="573" t="s">
        <v>221</v>
      </c>
      <c r="C31" s="556">
        <f>+'01 Prod Physique Boites'!E171</f>
        <v>0</v>
      </c>
      <c r="D31" s="557">
        <f>+'01 Prod Physique Boites'!K171</f>
        <v>0</v>
      </c>
      <c r="E31" s="558" t="str">
        <f t="shared" ref="E31:E39" si="11">IFERROR(D31/C31,"-")</f>
        <v>-</v>
      </c>
      <c r="F31" s="559">
        <f>+'02 Prod Valorisée Boites'!G174</f>
        <v>0</v>
      </c>
      <c r="G31" s="557">
        <f>+'03 Prod Accessoires'!K90</f>
        <v>0</v>
      </c>
      <c r="H31" s="560">
        <f>+'03 Prod Accessoires'!Q90</f>
        <v>0</v>
      </c>
      <c r="I31" s="560">
        <f>+'02 Prod Valorisée Boites'!J174</f>
        <v>0</v>
      </c>
      <c r="J31" s="561">
        <f>+'04 Ventes'!I154</f>
        <v>1015740</v>
      </c>
      <c r="K31" s="712"/>
      <c r="L31" s="712"/>
      <c r="O31" s="704"/>
    </row>
    <row r="32" spans="1:15" ht="60.6" customHeight="1" thickBot="1" x14ac:dyDescent="0.3">
      <c r="A32" s="274" t="s">
        <v>103</v>
      </c>
      <c r="B32" s="275" t="s">
        <v>222</v>
      </c>
      <c r="C32" s="556"/>
      <c r="D32" s="557"/>
      <c r="E32" s="558" t="str">
        <f t="shared" si="11"/>
        <v>-</v>
      </c>
      <c r="F32" s="559"/>
      <c r="G32" s="557"/>
      <c r="H32" s="560"/>
      <c r="I32" s="560"/>
      <c r="J32" s="561">
        <f>+'04 Ventes'!I162</f>
        <v>0</v>
      </c>
    </row>
    <row r="33" spans="1:15" s="294" customFormat="1" ht="60.6" customHeight="1" thickBot="1" x14ac:dyDescent="0.3">
      <c r="A33" s="318" t="s">
        <v>103</v>
      </c>
      <c r="B33" s="433" t="s">
        <v>223</v>
      </c>
      <c r="C33" s="562">
        <f>SUM(C30:C32)</f>
        <v>0</v>
      </c>
      <c r="D33" s="563">
        <f t="shared" ref="D33" si="12">SUM(D30:D32)</f>
        <v>313122</v>
      </c>
      <c r="E33" s="564" t="str">
        <f t="shared" si="11"/>
        <v>-</v>
      </c>
      <c r="F33" s="565">
        <f>SUM(F30:F32)</f>
        <v>3839070.9408</v>
      </c>
      <c r="G33" s="563">
        <f t="shared" ref="G33:H33" si="13">SUM(G30:G32)</f>
        <v>304550</v>
      </c>
      <c r="H33" s="565">
        <f t="shared" si="13"/>
        <v>1516787.0100000002</v>
      </c>
      <c r="I33" s="565">
        <f>SUM(I30:I32)</f>
        <v>4681065.5999999996</v>
      </c>
      <c r="J33" s="758">
        <f t="shared" ref="J33" si="14">SUM(J30:J32)</f>
        <v>1361642.4</v>
      </c>
    </row>
    <row r="34" spans="1:15" ht="60.6" customHeight="1" x14ac:dyDescent="0.25">
      <c r="A34" s="268" t="s">
        <v>101</v>
      </c>
      <c r="B34" s="572" t="s">
        <v>220</v>
      </c>
      <c r="C34" s="550">
        <f>+'01 Prod Physique Boites'!E207</f>
        <v>0</v>
      </c>
      <c r="D34" s="551">
        <f>+'01 Prod Physique Boites'!K207</f>
        <v>269289</v>
      </c>
      <c r="E34" s="552" t="str">
        <f t="shared" si="11"/>
        <v>-</v>
      </c>
      <c r="F34" s="553">
        <f>+'02 Prod Valorisée Boites'!G210</f>
        <v>4458660.1487999996</v>
      </c>
      <c r="G34" s="551">
        <f>+'03 Prod Accessoires'!K100</f>
        <v>200000</v>
      </c>
      <c r="H34" s="554">
        <f>+'03 Prod Accessoires'!Q100</f>
        <v>442820.00000000006</v>
      </c>
      <c r="I34" s="550">
        <f>+'02 Prod Valorisée Boites'!J210</f>
        <v>5533079.7600000007</v>
      </c>
      <c r="J34" s="566">
        <f>+'04 Ventes'!I197</f>
        <v>0</v>
      </c>
      <c r="L34" s="712"/>
      <c r="O34" s="704"/>
    </row>
    <row r="35" spans="1:15" ht="60.6" customHeight="1" thickBot="1" x14ac:dyDescent="0.3">
      <c r="A35" s="769" t="s">
        <v>101</v>
      </c>
      <c r="B35" s="295" t="s">
        <v>222</v>
      </c>
      <c r="C35" s="567"/>
      <c r="D35" s="557"/>
      <c r="E35" s="558" t="str">
        <f t="shared" si="11"/>
        <v>-</v>
      </c>
      <c r="F35" s="559"/>
      <c r="G35" s="557"/>
      <c r="H35" s="560"/>
      <c r="I35" s="560"/>
      <c r="J35" s="568"/>
    </row>
    <row r="36" spans="1:15" s="294" customFormat="1" ht="60.6" customHeight="1" thickBot="1" x14ac:dyDescent="0.3">
      <c r="A36" s="318" t="s">
        <v>101</v>
      </c>
      <c r="B36" s="433" t="s">
        <v>224</v>
      </c>
      <c r="C36" s="562">
        <f>SUM(C34:C35)</f>
        <v>0</v>
      </c>
      <c r="D36" s="563">
        <f t="shared" ref="D36" si="15">SUM(D34:D35)</f>
        <v>269289</v>
      </c>
      <c r="E36" s="564" t="str">
        <f t="shared" si="11"/>
        <v>-</v>
      </c>
      <c r="F36" s="565">
        <f t="shared" ref="F36:J36" si="16">SUM(F34:F35)</f>
        <v>4458660.1487999996</v>
      </c>
      <c r="G36" s="563">
        <f t="shared" si="16"/>
        <v>200000</v>
      </c>
      <c r="H36" s="565">
        <f t="shared" si="16"/>
        <v>442820.00000000006</v>
      </c>
      <c r="I36" s="565">
        <f t="shared" si="16"/>
        <v>5533079.7600000007</v>
      </c>
      <c r="J36" s="758">
        <f t="shared" si="16"/>
        <v>0</v>
      </c>
    </row>
    <row r="37" spans="1:15" ht="60.6" customHeight="1" x14ac:dyDescent="0.25">
      <c r="A37" s="268" t="s">
        <v>102</v>
      </c>
      <c r="B37" s="574" t="s">
        <v>221</v>
      </c>
      <c r="C37" s="554">
        <f>+'01 Prod Physique Boites'!E234</f>
        <v>0</v>
      </c>
      <c r="D37" s="551">
        <f>+'01 Prod Physique Boites'!K234</f>
        <v>45601</v>
      </c>
      <c r="E37" s="552" t="str">
        <f t="shared" si="11"/>
        <v>-</v>
      </c>
      <c r="F37" s="553">
        <f>+'02 Prod Valorisée Boites'!G236</f>
        <v>1800059.0939999998</v>
      </c>
      <c r="G37" s="551">
        <f>+'03 Prod Accessoires'!K134</f>
        <v>234603</v>
      </c>
      <c r="H37" s="554">
        <f>+'03 Prod Accessoires'!Q134</f>
        <v>1836838.1853999998</v>
      </c>
      <c r="I37" s="554">
        <f>+'02 Prod Valorisée Boites'!J236</f>
        <v>3521202.8</v>
      </c>
      <c r="J37" s="566">
        <f>+'04 Ventes'!I223</f>
        <v>0</v>
      </c>
      <c r="K37" s="712"/>
      <c r="L37" s="712"/>
      <c r="O37" s="704"/>
    </row>
    <row r="38" spans="1:15" ht="60.6" customHeight="1" thickBot="1" x14ac:dyDescent="0.3">
      <c r="A38" s="769" t="s">
        <v>102</v>
      </c>
      <c r="B38" s="303" t="s">
        <v>222</v>
      </c>
      <c r="C38" s="560"/>
      <c r="D38" s="569"/>
      <c r="E38" s="570" t="str">
        <f t="shared" si="11"/>
        <v>-</v>
      </c>
      <c r="F38" s="571"/>
      <c r="G38" s="557"/>
      <c r="H38" s="560"/>
      <c r="I38" s="560"/>
      <c r="J38" s="568"/>
    </row>
    <row r="39" spans="1:15" s="294" customFormat="1" ht="60.6" customHeight="1" thickBot="1" x14ac:dyDescent="0.3">
      <c r="A39" s="318" t="s">
        <v>102</v>
      </c>
      <c r="B39" s="433" t="s">
        <v>225</v>
      </c>
      <c r="C39" s="562">
        <f>SUM(C37:C38)</f>
        <v>0</v>
      </c>
      <c r="D39" s="563">
        <f t="shared" ref="D39" si="17">SUM(D37:D38)</f>
        <v>45601</v>
      </c>
      <c r="E39" s="564" t="str">
        <f t="shared" si="11"/>
        <v>-</v>
      </c>
      <c r="F39" s="565">
        <f t="shared" ref="F39:J39" si="18">SUM(F37:F38)</f>
        <v>1800059.0939999998</v>
      </c>
      <c r="G39" s="563">
        <f t="shared" si="18"/>
        <v>234603</v>
      </c>
      <c r="H39" s="565">
        <f t="shared" si="18"/>
        <v>1836838.1853999998</v>
      </c>
      <c r="I39" s="565">
        <f t="shared" si="18"/>
        <v>3521202.8</v>
      </c>
      <c r="J39" s="758">
        <f t="shared" si="18"/>
        <v>0</v>
      </c>
    </row>
    <row r="40" spans="1:15" ht="57.6" customHeight="1" thickBot="1" x14ac:dyDescent="0.3">
      <c r="A40" s="630"/>
      <c r="B40" s="548" t="s">
        <v>174</v>
      </c>
      <c r="C40" s="549">
        <f>+C33+C36+C39</f>
        <v>0</v>
      </c>
      <c r="D40" s="575">
        <f t="shared" ref="D40" si="19">+D33+D36+D39</f>
        <v>628012</v>
      </c>
      <c r="E40" s="576" t="str">
        <f>IFERROR(D40/C40,"-")</f>
        <v>-</v>
      </c>
      <c r="F40" s="575">
        <f>+F33+F36+F39</f>
        <v>10097790.183599999</v>
      </c>
      <c r="G40" s="575">
        <f t="shared" ref="G40:H40" si="20">+G33+G36+G39</f>
        <v>739153</v>
      </c>
      <c r="H40" s="575">
        <f t="shared" si="20"/>
        <v>3796445.1954000001</v>
      </c>
      <c r="I40" s="575">
        <f>+I33+I36+I39</f>
        <v>13735348.16</v>
      </c>
      <c r="J40" s="631">
        <f t="shared" ref="J40" si="21">+J33+J36+J39</f>
        <v>1361642.4</v>
      </c>
    </row>
    <row r="41" spans="1:15" ht="41.45" customHeight="1" x14ac:dyDescent="0.25">
      <c r="A41" s="978" t="s">
        <v>1</v>
      </c>
      <c r="B41" s="984" t="s">
        <v>396</v>
      </c>
      <c r="C41" s="984" t="s">
        <v>226</v>
      </c>
      <c r="D41" s="1072" t="s">
        <v>490</v>
      </c>
      <c r="E41" s="1073"/>
      <c r="F41" s="1073"/>
      <c r="G41" s="1073"/>
      <c r="H41" s="1074"/>
      <c r="I41" s="1075" t="s">
        <v>417</v>
      </c>
      <c r="J41" s="1075" t="s">
        <v>418</v>
      </c>
      <c r="K41" s="229" t="s">
        <v>420</v>
      </c>
    </row>
    <row r="42" spans="1:15" ht="41.45" customHeight="1" x14ac:dyDescent="0.25">
      <c r="A42" s="1054"/>
      <c r="B42" s="1071"/>
      <c r="C42" s="1071"/>
      <c r="D42" s="1078" t="s">
        <v>229</v>
      </c>
      <c r="E42" s="1079"/>
      <c r="F42" s="1080"/>
      <c r="G42" s="1078" t="s">
        <v>227</v>
      </c>
      <c r="H42" s="1080"/>
      <c r="I42" s="1076"/>
      <c r="J42" s="1076"/>
    </row>
    <row r="43" spans="1:15" ht="25.9" customHeight="1" x14ac:dyDescent="0.25">
      <c r="A43" s="979"/>
      <c r="B43" s="985"/>
      <c r="C43" s="985"/>
      <c r="D43" s="1081" t="s">
        <v>415</v>
      </c>
      <c r="E43" s="1083" t="s">
        <v>9</v>
      </c>
      <c r="F43" s="1085" t="s">
        <v>416</v>
      </c>
      <c r="G43" s="1087" t="s">
        <v>228</v>
      </c>
      <c r="H43" s="1089" t="s">
        <v>416</v>
      </c>
      <c r="I43" s="1076"/>
      <c r="J43" s="1076"/>
    </row>
    <row r="44" spans="1:15" ht="25.9" customHeight="1" thickBot="1" x14ac:dyDescent="0.3">
      <c r="A44" s="980"/>
      <c r="B44" s="986"/>
      <c r="C44" s="986"/>
      <c r="D44" s="1082"/>
      <c r="E44" s="1084"/>
      <c r="F44" s="1086"/>
      <c r="G44" s="1088"/>
      <c r="H44" s="1090"/>
      <c r="I44" s="1077"/>
      <c r="J44" s="1077"/>
    </row>
    <row r="45" spans="1:15" ht="60.6" customHeight="1" x14ac:dyDescent="0.25">
      <c r="A45" s="268" t="s">
        <v>103</v>
      </c>
      <c r="B45" s="572" t="s">
        <v>220</v>
      </c>
      <c r="C45" s="550">
        <f>+'01 Prod Physique Boites'!E268</f>
        <v>0</v>
      </c>
      <c r="D45" s="551">
        <f>+'01 Prod Physique Boites'!K268</f>
        <v>539616</v>
      </c>
      <c r="E45" s="552" t="str">
        <f>IFERROR(D45/C45,"-")</f>
        <v>-</v>
      </c>
      <c r="F45" s="553">
        <f>+'02 Prod Valorisée Boites'!G272</f>
        <v>6904049.0696</v>
      </c>
      <c r="G45" s="551">
        <f>+'03 Prod Accessoires'!K145</f>
        <v>406050</v>
      </c>
      <c r="H45" s="554">
        <f>+'03 Prod Accessoires'!Q145</f>
        <v>2268781.56</v>
      </c>
      <c r="I45" s="554">
        <f>+'02 Prod Valorisée Boites'!J272</f>
        <v>8534743.1999999993</v>
      </c>
      <c r="J45" s="555">
        <f>+'04 Ventes'!I247</f>
        <v>4156372.8000000003</v>
      </c>
      <c r="K45" s="712"/>
      <c r="L45" s="712"/>
      <c r="O45" s="704"/>
    </row>
    <row r="46" spans="1:15" ht="60.6" customHeight="1" x14ac:dyDescent="0.25">
      <c r="A46" s="777" t="s">
        <v>103</v>
      </c>
      <c r="B46" s="573" t="s">
        <v>221</v>
      </c>
      <c r="C46" s="556">
        <f>+'01 Prod Physique Boites'!E284</f>
        <v>0</v>
      </c>
      <c r="D46" s="557">
        <f>+'01 Prod Physique Boites'!K284</f>
        <v>0</v>
      </c>
      <c r="E46" s="558" t="str">
        <f t="shared" ref="E46:E54" si="22">IFERROR(D46/C46,"-")</f>
        <v>-</v>
      </c>
      <c r="F46" s="559">
        <f>+'02 Prod Valorisée Boites'!G288</f>
        <v>0</v>
      </c>
      <c r="G46" s="557">
        <f>+'03 Prod Accessoires'!K153</f>
        <v>78000</v>
      </c>
      <c r="H46" s="560">
        <f>+'03 Prod Accessoires'!Q153</f>
        <v>293475</v>
      </c>
      <c r="I46" s="560">
        <f>+'02 Prod Valorisée Boites'!J288</f>
        <v>0</v>
      </c>
      <c r="J46" s="561">
        <f>+'04 Ventes'!I262</f>
        <v>1015740</v>
      </c>
      <c r="K46" s="712"/>
      <c r="L46" s="712"/>
      <c r="O46" s="704"/>
    </row>
    <row r="47" spans="1:15" ht="60.6" customHeight="1" thickBot="1" x14ac:dyDescent="0.3">
      <c r="A47" s="274" t="s">
        <v>103</v>
      </c>
      <c r="B47" s="275" t="s">
        <v>222</v>
      </c>
      <c r="C47" s="556"/>
      <c r="D47" s="557"/>
      <c r="E47" s="558" t="str">
        <f t="shared" si="22"/>
        <v>-</v>
      </c>
      <c r="F47" s="559"/>
      <c r="G47" s="557"/>
      <c r="H47" s="560"/>
      <c r="I47" s="560"/>
      <c r="J47" s="561">
        <f>+'04 Ventes'!I270</f>
        <v>0</v>
      </c>
    </row>
    <row r="48" spans="1:15" s="294" customFormat="1" ht="60.6" customHeight="1" thickBot="1" x14ac:dyDescent="0.3">
      <c r="A48" s="318" t="s">
        <v>103</v>
      </c>
      <c r="B48" s="433" t="s">
        <v>223</v>
      </c>
      <c r="C48" s="562">
        <f>SUM(C45:C47)</f>
        <v>0</v>
      </c>
      <c r="D48" s="563">
        <f t="shared" ref="D48" si="23">SUM(D45:D47)</f>
        <v>539616</v>
      </c>
      <c r="E48" s="564" t="str">
        <f t="shared" si="22"/>
        <v>-</v>
      </c>
      <c r="F48" s="565">
        <f>SUM(F45:F47)</f>
        <v>6904049.0696</v>
      </c>
      <c r="G48" s="563">
        <f t="shared" ref="G48:H48" si="24">SUM(G45:G47)</f>
        <v>484050</v>
      </c>
      <c r="H48" s="565">
        <f t="shared" si="24"/>
        <v>2562256.56</v>
      </c>
      <c r="I48" s="565">
        <f>SUM(I45:I47)</f>
        <v>8534743.1999999993</v>
      </c>
      <c r="J48" s="758">
        <f t="shared" ref="J48" si="25">SUM(J45:J47)</f>
        <v>5172112.8000000007</v>
      </c>
    </row>
    <row r="49" spans="1:15" ht="60.6" customHeight="1" x14ac:dyDescent="0.25">
      <c r="A49" s="268" t="s">
        <v>101</v>
      </c>
      <c r="B49" s="572" t="s">
        <v>220</v>
      </c>
      <c r="C49" s="550">
        <f>+'01 Prod Physique Boites'!E320</f>
        <v>0</v>
      </c>
      <c r="D49" s="551">
        <f>+'01 Prod Physique Boites'!K320</f>
        <v>378682</v>
      </c>
      <c r="E49" s="552" t="str">
        <f t="shared" si="22"/>
        <v>-</v>
      </c>
      <c r="F49" s="553">
        <f>+'02 Prod Valorisée Boites'!G324</f>
        <v>6290166.3552000001</v>
      </c>
      <c r="G49" s="551">
        <f>+'03 Prod Accessoires'!K163</f>
        <v>293000</v>
      </c>
      <c r="H49" s="554">
        <f>+'03 Prod Accessoires'!Q163</f>
        <v>648731.30000000005</v>
      </c>
      <c r="I49" s="550">
        <f>+'02 Prod Valorisée Boites'!J324</f>
        <v>7895534.4000000004</v>
      </c>
      <c r="J49" s="566">
        <f>+'04 Ventes'!I305</f>
        <v>0</v>
      </c>
      <c r="L49" s="712"/>
      <c r="O49" s="704"/>
    </row>
    <row r="50" spans="1:15" ht="60.6" customHeight="1" thickBot="1" x14ac:dyDescent="0.3">
      <c r="A50" s="777" t="s">
        <v>101</v>
      </c>
      <c r="B50" s="295" t="s">
        <v>222</v>
      </c>
      <c r="C50" s="567"/>
      <c r="D50" s="557"/>
      <c r="E50" s="558" t="str">
        <f t="shared" si="22"/>
        <v>-</v>
      </c>
      <c r="F50" s="559"/>
      <c r="G50" s="557"/>
      <c r="H50" s="560"/>
      <c r="I50" s="560"/>
      <c r="J50" s="568"/>
    </row>
    <row r="51" spans="1:15" s="294" customFormat="1" ht="60.6" customHeight="1" thickBot="1" x14ac:dyDescent="0.3">
      <c r="A51" s="318" t="s">
        <v>101</v>
      </c>
      <c r="B51" s="433" t="s">
        <v>224</v>
      </c>
      <c r="C51" s="562">
        <f>SUM(C49:C50)</f>
        <v>0</v>
      </c>
      <c r="D51" s="563">
        <f t="shared" ref="D51" si="26">SUM(D49:D50)</f>
        <v>378682</v>
      </c>
      <c r="E51" s="564" t="str">
        <f t="shared" si="22"/>
        <v>-</v>
      </c>
      <c r="F51" s="565">
        <f t="shared" ref="F51:J51" si="27">SUM(F49:F50)</f>
        <v>6290166.3552000001</v>
      </c>
      <c r="G51" s="563">
        <f t="shared" si="27"/>
        <v>293000</v>
      </c>
      <c r="H51" s="565">
        <f t="shared" si="27"/>
        <v>648731.30000000005</v>
      </c>
      <c r="I51" s="565">
        <f t="shared" si="27"/>
        <v>7895534.4000000004</v>
      </c>
      <c r="J51" s="758">
        <f t="shared" si="27"/>
        <v>0</v>
      </c>
    </row>
    <row r="52" spans="1:15" ht="60.6" customHeight="1" x14ac:dyDescent="0.25">
      <c r="A52" s="268" t="s">
        <v>102</v>
      </c>
      <c r="B52" s="574" t="s">
        <v>221</v>
      </c>
      <c r="C52" s="554">
        <f>+'01 Prod Physique Boites'!E347</f>
        <v>0</v>
      </c>
      <c r="D52" s="551">
        <f>+'01 Prod Physique Boites'!K347</f>
        <v>75700</v>
      </c>
      <c r="E52" s="552" t="str">
        <f t="shared" si="22"/>
        <v>-</v>
      </c>
      <c r="F52" s="553">
        <f>+'02 Prod Valorisée Boites'!G350</f>
        <v>3474337.0710000005</v>
      </c>
      <c r="G52" s="551">
        <f>+'03 Prod Accessoires'!K197</f>
        <v>338623</v>
      </c>
      <c r="H52" s="554">
        <f>+'03 Prod Accessoires'!Q197</f>
        <v>2502453.4853999997</v>
      </c>
      <c r="I52" s="554">
        <f>+'02 Prod Valorisée Boites'!J350</f>
        <v>6498925.5</v>
      </c>
      <c r="J52" s="566">
        <f>+'04 Ventes'!I331</f>
        <v>720115.19999999995</v>
      </c>
      <c r="K52" s="712"/>
      <c r="L52" s="712"/>
      <c r="O52" s="704"/>
    </row>
    <row r="53" spans="1:15" ht="60.6" customHeight="1" thickBot="1" x14ac:dyDescent="0.3">
      <c r="A53" s="777" t="s">
        <v>102</v>
      </c>
      <c r="B53" s="303" t="s">
        <v>222</v>
      </c>
      <c r="C53" s="560"/>
      <c r="D53" s="569"/>
      <c r="E53" s="570" t="str">
        <f t="shared" si="22"/>
        <v>-</v>
      </c>
      <c r="F53" s="571"/>
      <c r="G53" s="557"/>
      <c r="H53" s="560"/>
      <c r="I53" s="560"/>
      <c r="J53" s="568"/>
    </row>
    <row r="54" spans="1:15" s="294" customFormat="1" ht="60.6" customHeight="1" thickBot="1" x14ac:dyDescent="0.3">
      <c r="A54" s="318" t="s">
        <v>102</v>
      </c>
      <c r="B54" s="433" t="s">
        <v>225</v>
      </c>
      <c r="C54" s="562">
        <f>SUM(C52:C53)</f>
        <v>0</v>
      </c>
      <c r="D54" s="563">
        <f t="shared" ref="D54" si="28">SUM(D52:D53)</f>
        <v>75700</v>
      </c>
      <c r="E54" s="564" t="str">
        <f t="shared" si="22"/>
        <v>-</v>
      </c>
      <c r="F54" s="565">
        <f t="shared" ref="F54:J54" si="29">SUM(F52:F53)</f>
        <v>3474337.0710000005</v>
      </c>
      <c r="G54" s="563">
        <f t="shared" si="29"/>
        <v>338623</v>
      </c>
      <c r="H54" s="565">
        <f t="shared" si="29"/>
        <v>2502453.4853999997</v>
      </c>
      <c r="I54" s="565">
        <f t="shared" si="29"/>
        <v>6498925.5</v>
      </c>
      <c r="J54" s="758">
        <f t="shared" si="29"/>
        <v>720115.19999999995</v>
      </c>
    </row>
    <row r="55" spans="1:15" ht="57.6" customHeight="1" thickBot="1" x14ac:dyDescent="0.3">
      <c r="A55" s="630"/>
      <c r="B55" s="548" t="s">
        <v>174</v>
      </c>
      <c r="C55" s="549">
        <f>+C48+C51+C54</f>
        <v>0</v>
      </c>
      <c r="D55" s="575">
        <f t="shared" ref="D55" si="30">+D48+D51+D54</f>
        <v>993998</v>
      </c>
      <c r="E55" s="576" t="str">
        <f>IFERROR(D55/C55,"-")</f>
        <v>-</v>
      </c>
      <c r="F55" s="575">
        <f>+F48+F51+F54</f>
        <v>16668552.495800002</v>
      </c>
      <c r="G55" s="575">
        <f t="shared" ref="G55:H55" si="31">+G48+G51+G54</f>
        <v>1115673</v>
      </c>
      <c r="H55" s="575">
        <f t="shared" si="31"/>
        <v>5713441.3454</v>
      </c>
      <c r="I55" s="575">
        <f>+I48+I51+I54</f>
        <v>22929203.100000001</v>
      </c>
      <c r="J55" s="631">
        <f t="shared" ref="J55" si="32">+J48+J51+J54</f>
        <v>5892228.0000000009</v>
      </c>
    </row>
    <row r="56" spans="1:15" ht="41.45" customHeight="1" x14ac:dyDescent="0.25">
      <c r="A56" s="978" t="s">
        <v>1</v>
      </c>
      <c r="B56" s="984" t="s">
        <v>396</v>
      </c>
      <c r="C56" s="984" t="s">
        <v>226</v>
      </c>
      <c r="D56" s="1072" t="s">
        <v>503</v>
      </c>
      <c r="E56" s="1073"/>
      <c r="F56" s="1073"/>
      <c r="G56" s="1073"/>
      <c r="H56" s="1074"/>
      <c r="I56" s="1075" t="s">
        <v>417</v>
      </c>
      <c r="J56" s="1075" t="s">
        <v>418</v>
      </c>
      <c r="K56" s="229" t="s">
        <v>420</v>
      </c>
    </row>
    <row r="57" spans="1:15" ht="41.45" customHeight="1" x14ac:dyDescent="0.25">
      <c r="A57" s="1054"/>
      <c r="B57" s="1071"/>
      <c r="C57" s="1071"/>
      <c r="D57" s="1078" t="s">
        <v>229</v>
      </c>
      <c r="E57" s="1079"/>
      <c r="F57" s="1080"/>
      <c r="G57" s="1078" t="s">
        <v>227</v>
      </c>
      <c r="H57" s="1080"/>
      <c r="I57" s="1076"/>
      <c r="J57" s="1076"/>
    </row>
    <row r="58" spans="1:15" ht="25.9" customHeight="1" x14ac:dyDescent="0.25">
      <c r="A58" s="979"/>
      <c r="B58" s="985"/>
      <c r="C58" s="985"/>
      <c r="D58" s="1081" t="s">
        <v>415</v>
      </c>
      <c r="E58" s="1083" t="s">
        <v>9</v>
      </c>
      <c r="F58" s="1085" t="s">
        <v>416</v>
      </c>
      <c r="G58" s="1087" t="s">
        <v>228</v>
      </c>
      <c r="H58" s="1089" t="s">
        <v>416</v>
      </c>
      <c r="I58" s="1076"/>
      <c r="J58" s="1076"/>
    </row>
    <row r="59" spans="1:15" ht="25.9" customHeight="1" thickBot="1" x14ac:dyDescent="0.3">
      <c r="A59" s="980"/>
      <c r="B59" s="986"/>
      <c r="C59" s="986"/>
      <c r="D59" s="1082"/>
      <c r="E59" s="1084"/>
      <c r="F59" s="1086"/>
      <c r="G59" s="1088"/>
      <c r="H59" s="1090"/>
      <c r="I59" s="1077"/>
      <c r="J59" s="1077"/>
    </row>
    <row r="60" spans="1:15" ht="60.6" customHeight="1" x14ac:dyDescent="0.25">
      <c r="A60" s="268" t="s">
        <v>103</v>
      </c>
      <c r="B60" s="572" t="s">
        <v>220</v>
      </c>
      <c r="C60" s="550">
        <f>+'01 Prod Physique Boites'!E381</f>
        <v>3770000</v>
      </c>
      <c r="D60" s="551">
        <f>+'01 Prod Physique Boites'!K381</f>
        <v>837850</v>
      </c>
      <c r="E60" s="552">
        <f>IFERROR(D60/C60,"-")</f>
        <v>0.22224137931034482</v>
      </c>
      <c r="F60" s="553">
        <f>+'02 Prod Valorisée Boites'!G386</f>
        <v>10633811.4396</v>
      </c>
      <c r="G60" s="551">
        <f>+'03 Prod Accessoires'!K208</f>
        <v>621050</v>
      </c>
      <c r="H60" s="554">
        <f>+'03 Prod Accessoires'!Q208</f>
        <v>3232243.86</v>
      </c>
      <c r="I60" s="554">
        <f>+'02 Prod Valorisée Boites'!J386</f>
        <v>13628967.600000001</v>
      </c>
      <c r="J60" s="555">
        <f>+'04 Ventes'!I354</f>
        <v>4502275.2</v>
      </c>
      <c r="K60" s="712"/>
      <c r="L60" s="712"/>
      <c r="O60" s="704"/>
    </row>
    <row r="61" spans="1:15" ht="60.6" customHeight="1" x14ac:dyDescent="0.25">
      <c r="A61" s="785" t="s">
        <v>103</v>
      </c>
      <c r="B61" s="573" t="s">
        <v>221</v>
      </c>
      <c r="C61" s="556">
        <f>+'01 Prod Physique Boites'!E397</f>
        <v>10000</v>
      </c>
      <c r="D61" s="557">
        <f>+'01 Prod Physique Boites'!K397</f>
        <v>0</v>
      </c>
      <c r="E61" s="558">
        <f t="shared" ref="E61:E69" si="33">IFERROR(D61/C61,"-")</f>
        <v>0</v>
      </c>
      <c r="F61" s="559">
        <f>+'02 Prod Valorisée Boites'!G402</f>
        <v>0</v>
      </c>
      <c r="G61" s="557">
        <f>+'03 Prod Accessoires'!K216</f>
        <v>96000</v>
      </c>
      <c r="H61" s="560">
        <f>+'03 Prod Accessoires'!Q216</f>
        <v>510006</v>
      </c>
      <c r="I61" s="560">
        <f>+'02 Prod Valorisée Boites'!J402</f>
        <v>0</v>
      </c>
      <c r="J61" s="561">
        <f>+'04 Ventes'!I361</f>
        <v>1015740</v>
      </c>
      <c r="K61" s="712"/>
      <c r="L61" s="712"/>
      <c r="O61" s="704"/>
    </row>
    <row r="62" spans="1:15" ht="60.6" customHeight="1" thickBot="1" x14ac:dyDescent="0.3">
      <c r="A62" s="274" t="s">
        <v>103</v>
      </c>
      <c r="B62" s="275" t="s">
        <v>222</v>
      </c>
      <c r="C62" s="556"/>
      <c r="D62" s="557"/>
      <c r="E62" s="558" t="str">
        <f t="shared" si="33"/>
        <v>-</v>
      </c>
      <c r="F62" s="559"/>
      <c r="G62" s="557"/>
      <c r="H62" s="560"/>
      <c r="I62" s="560"/>
      <c r="J62" s="561">
        <f>+'04 Ventes'!I366</f>
        <v>2500</v>
      </c>
    </row>
    <row r="63" spans="1:15" s="294" customFormat="1" ht="60.6" customHeight="1" thickBot="1" x14ac:dyDescent="0.3">
      <c r="A63" s="318" t="s">
        <v>103</v>
      </c>
      <c r="B63" s="433" t="s">
        <v>223</v>
      </c>
      <c r="C63" s="562">
        <f>SUM(C60:C62)</f>
        <v>3780000</v>
      </c>
      <c r="D63" s="563">
        <f t="shared" ref="D63" si="34">SUM(D60:D62)</f>
        <v>837850</v>
      </c>
      <c r="E63" s="564">
        <f t="shared" si="33"/>
        <v>0.22165343915343916</v>
      </c>
      <c r="F63" s="565">
        <f>SUM(F60:F62)</f>
        <v>10633811.4396</v>
      </c>
      <c r="G63" s="563">
        <f t="shared" ref="G63:H63" si="35">SUM(G60:G62)</f>
        <v>717050</v>
      </c>
      <c r="H63" s="565">
        <f t="shared" si="35"/>
        <v>3742249.86</v>
      </c>
      <c r="I63" s="565">
        <f>SUM(I60:I62)</f>
        <v>13628967.600000001</v>
      </c>
      <c r="J63" s="758">
        <f t="shared" ref="J63" si="36">SUM(J60:J62)</f>
        <v>5520515.2000000002</v>
      </c>
    </row>
    <row r="64" spans="1:15" ht="60.6" customHeight="1" x14ac:dyDescent="0.25">
      <c r="A64" s="268" t="s">
        <v>101</v>
      </c>
      <c r="B64" s="572" t="s">
        <v>220</v>
      </c>
      <c r="C64" s="550">
        <f>+'01 Prod Physique Boites'!E433</f>
        <v>2215664</v>
      </c>
      <c r="D64" s="551">
        <f>+'01 Prod Physique Boites'!K433</f>
        <v>499619</v>
      </c>
      <c r="E64" s="552">
        <f t="shared" si="33"/>
        <v>0.22549402797536089</v>
      </c>
      <c r="F64" s="553">
        <f>+'02 Prod Valorisée Boites'!G438</f>
        <v>8452497.6432000007</v>
      </c>
      <c r="G64" s="551">
        <f>+'03 Prod Accessoires'!K226</f>
        <v>311250</v>
      </c>
      <c r="H64" s="554">
        <f>+'03 Prod Accessoires'!Q226</f>
        <v>689138.625</v>
      </c>
      <c r="I64" s="550">
        <f>+'02 Prod Valorisée Boites'!J438</f>
        <v>11144212.560000001</v>
      </c>
      <c r="J64" s="566">
        <f>+'04 Ventes'!I398</f>
        <v>0</v>
      </c>
      <c r="L64" s="712"/>
      <c r="O64" s="704"/>
    </row>
    <row r="65" spans="1:15" ht="60.6" customHeight="1" thickBot="1" x14ac:dyDescent="0.3">
      <c r="A65" s="785" t="s">
        <v>101</v>
      </c>
      <c r="B65" s="295" t="s">
        <v>222</v>
      </c>
      <c r="C65" s="567"/>
      <c r="D65" s="557"/>
      <c r="E65" s="558" t="str">
        <f t="shared" si="33"/>
        <v>-</v>
      </c>
      <c r="F65" s="559"/>
      <c r="G65" s="557"/>
      <c r="H65" s="560"/>
      <c r="I65" s="560"/>
      <c r="J65" s="568"/>
    </row>
    <row r="66" spans="1:15" s="294" customFormat="1" ht="60.6" customHeight="1" thickBot="1" x14ac:dyDescent="0.3">
      <c r="A66" s="318" t="s">
        <v>101</v>
      </c>
      <c r="B66" s="433" t="s">
        <v>224</v>
      </c>
      <c r="C66" s="562">
        <f>SUM(C64:C65)</f>
        <v>2215664</v>
      </c>
      <c r="D66" s="563">
        <f t="shared" ref="D66" si="37">SUM(D64:D65)</f>
        <v>499619</v>
      </c>
      <c r="E66" s="564">
        <f t="shared" si="33"/>
        <v>0.22549402797536089</v>
      </c>
      <c r="F66" s="565">
        <f t="shared" ref="F66:J66" si="38">SUM(F64:F65)</f>
        <v>8452497.6432000007</v>
      </c>
      <c r="G66" s="563">
        <f t="shared" si="38"/>
        <v>311250</v>
      </c>
      <c r="H66" s="565">
        <f t="shared" si="38"/>
        <v>689138.625</v>
      </c>
      <c r="I66" s="565">
        <f t="shared" si="38"/>
        <v>11144212.560000001</v>
      </c>
      <c r="J66" s="758">
        <f t="shared" si="38"/>
        <v>0</v>
      </c>
    </row>
    <row r="67" spans="1:15" ht="60.6" customHeight="1" x14ac:dyDescent="0.25">
      <c r="A67" s="268" t="s">
        <v>102</v>
      </c>
      <c r="B67" s="574" t="s">
        <v>221</v>
      </c>
      <c r="C67" s="554">
        <f>+'01 Prod Physique Boites'!E460</f>
        <v>545076</v>
      </c>
      <c r="D67" s="551">
        <f>+'01 Prod Physique Boites'!K460</f>
        <v>103997</v>
      </c>
      <c r="E67" s="552">
        <f t="shared" si="33"/>
        <v>0.19079357740938879</v>
      </c>
      <c r="F67" s="553">
        <f>+'02 Prod Valorisée Boites'!G464</f>
        <v>4783981.6182000004</v>
      </c>
      <c r="G67" s="551">
        <f>+'03 Prod Accessoires'!K260</f>
        <v>470343</v>
      </c>
      <c r="H67" s="554">
        <f>+'03 Prod Accessoires'!Q260</f>
        <v>3423304.0353999999</v>
      </c>
      <c r="I67" s="554">
        <f>+'02 Prod Valorisée Boites'!J464</f>
        <v>8955112.1400000006</v>
      </c>
      <c r="J67" s="566">
        <f>+'04 Ventes'!I424</f>
        <v>720115.19999999995</v>
      </c>
      <c r="K67" s="712"/>
      <c r="L67" s="712"/>
      <c r="O67" s="704"/>
    </row>
    <row r="68" spans="1:15" ht="60.6" customHeight="1" thickBot="1" x14ac:dyDescent="0.3">
      <c r="A68" s="785" t="s">
        <v>102</v>
      </c>
      <c r="B68" s="303" t="s">
        <v>222</v>
      </c>
      <c r="C68" s="560"/>
      <c r="D68" s="569"/>
      <c r="E68" s="570" t="str">
        <f t="shared" si="33"/>
        <v>-</v>
      </c>
      <c r="F68" s="571"/>
      <c r="G68" s="557"/>
      <c r="H68" s="560"/>
      <c r="I68" s="560"/>
      <c r="J68" s="568"/>
    </row>
    <row r="69" spans="1:15" s="294" customFormat="1" ht="60.6" customHeight="1" thickBot="1" x14ac:dyDescent="0.3">
      <c r="A69" s="318" t="s">
        <v>102</v>
      </c>
      <c r="B69" s="433" t="s">
        <v>225</v>
      </c>
      <c r="C69" s="562">
        <f>SUM(C67:C68)</f>
        <v>545076</v>
      </c>
      <c r="D69" s="563">
        <f t="shared" ref="D69" si="39">SUM(D67:D68)</f>
        <v>103997</v>
      </c>
      <c r="E69" s="564">
        <f t="shared" si="33"/>
        <v>0.19079357740938879</v>
      </c>
      <c r="F69" s="565">
        <f t="shared" ref="F69:J69" si="40">SUM(F67:F68)</f>
        <v>4783981.6182000004</v>
      </c>
      <c r="G69" s="563">
        <f t="shared" si="40"/>
        <v>470343</v>
      </c>
      <c r="H69" s="565">
        <f t="shared" si="40"/>
        <v>3423304.0353999999</v>
      </c>
      <c r="I69" s="565">
        <f t="shared" si="40"/>
        <v>8955112.1400000006</v>
      </c>
      <c r="J69" s="758">
        <f t="shared" si="40"/>
        <v>720115.19999999995</v>
      </c>
    </row>
    <row r="70" spans="1:15" ht="57.6" customHeight="1" thickBot="1" x14ac:dyDescent="0.3">
      <c r="A70" s="630"/>
      <c r="B70" s="548" t="s">
        <v>174</v>
      </c>
      <c r="C70" s="549">
        <f>+C63+C66+C69</f>
        <v>6540740</v>
      </c>
      <c r="D70" s="575">
        <f t="shared" ref="D70" si="41">+D63+D66+D69</f>
        <v>1441466</v>
      </c>
      <c r="E70" s="576">
        <f>IFERROR(D70/C70,"-")</f>
        <v>0.22038270899011428</v>
      </c>
      <c r="F70" s="575">
        <f>+F63+F66+F69</f>
        <v>23870290.701000001</v>
      </c>
      <c r="G70" s="575">
        <f t="shared" ref="G70:H70" si="42">+G63+G66+G69</f>
        <v>1498643</v>
      </c>
      <c r="H70" s="575">
        <f t="shared" si="42"/>
        <v>7854692.5203999989</v>
      </c>
      <c r="I70" s="575">
        <f>+I63+I66+I69</f>
        <v>33728292.300000004</v>
      </c>
      <c r="J70" s="631">
        <f t="shared" ref="J70" si="43">+J63+J66+J69</f>
        <v>6240630.4000000004</v>
      </c>
    </row>
    <row r="71" spans="1:15" ht="41.45" customHeight="1" x14ac:dyDescent="0.25">
      <c r="A71" s="978" t="s">
        <v>1</v>
      </c>
      <c r="B71" s="984" t="s">
        <v>396</v>
      </c>
      <c r="C71" s="984" t="s">
        <v>226</v>
      </c>
      <c r="D71" s="1072" t="s">
        <v>507</v>
      </c>
      <c r="E71" s="1073"/>
      <c r="F71" s="1073"/>
      <c r="G71" s="1073"/>
      <c r="H71" s="1074"/>
      <c r="I71" s="1075" t="s">
        <v>417</v>
      </c>
      <c r="J71" s="1075" t="s">
        <v>418</v>
      </c>
      <c r="K71" s="229" t="s">
        <v>420</v>
      </c>
    </row>
    <row r="72" spans="1:15" ht="41.45" customHeight="1" x14ac:dyDescent="0.25">
      <c r="A72" s="1054"/>
      <c r="B72" s="1071"/>
      <c r="C72" s="1071"/>
      <c r="D72" s="1078" t="s">
        <v>229</v>
      </c>
      <c r="E72" s="1079"/>
      <c r="F72" s="1080"/>
      <c r="G72" s="1078" t="s">
        <v>227</v>
      </c>
      <c r="H72" s="1080"/>
      <c r="I72" s="1076"/>
      <c r="J72" s="1076"/>
    </row>
    <row r="73" spans="1:15" ht="25.9" customHeight="1" x14ac:dyDescent="0.25">
      <c r="A73" s="979"/>
      <c r="B73" s="985"/>
      <c r="C73" s="985"/>
      <c r="D73" s="1081" t="s">
        <v>415</v>
      </c>
      <c r="E73" s="1083" t="s">
        <v>9</v>
      </c>
      <c r="F73" s="1085" t="s">
        <v>416</v>
      </c>
      <c r="G73" s="1087" t="s">
        <v>228</v>
      </c>
      <c r="H73" s="1089" t="s">
        <v>416</v>
      </c>
      <c r="I73" s="1076"/>
      <c r="J73" s="1076"/>
    </row>
    <row r="74" spans="1:15" ht="25.9" customHeight="1" thickBot="1" x14ac:dyDescent="0.3">
      <c r="A74" s="980"/>
      <c r="B74" s="986"/>
      <c r="C74" s="986"/>
      <c r="D74" s="1082"/>
      <c r="E74" s="1084"/>
      <c r="F74" s="1086"/>
      <c r="G74" s="1088"/>
      <c r="H74" s="1090"/>
      <c r="I74" s="1077"/>
      <c r="J74" s="1077"/>
    </row>
    <row r="75" spans="1:15" ht="60.6" customHeight="1" x14ac:dyDescent="0.25">
      <c r="A75" s="268" t="s">
        <v>103</v>
      </c>
      <c r="B75" s="572" t="s">
        <v>220</v>
      </c>
      <c r="C75" s="550">
        <f>+'01 Prod Physique Boites'!E494</f>
        <v>3770000</v>
      </c>
      <c r="D75" s="551">
        <f>+'01 Prod Physique Boites'!K494</f>
        <v>936140</v>
      </c>
      <c r="E75" s="552">
        <f>IFERROR(D75/C75,"-")</f>
        <v>0.24831299734748011</v>
      </c>
      <c r="F75" s="553">
        <f>+'02 Prod Valorisée Boites'!G500</f>
        <v>11897459.2476</v>
      </c>
      <c r="G75" s="551">
        <f>+'03 Prod Accessoires'!K271</f>
        <v>722550</v>
      </c>
      <c r="H75" s="554">
        <f>+'03 Prod Accessoires'!Q271</f>
        <v>3984238.4100000006</v>
      </c>
      <c r="I75" s="554">
        <f>+'02 Prod Valorisée Boites'!J500</f>
        <v>15636327.600000001</v>
      </c>
      <c r="J75" s="555">
        <f>+'04 Ventes'!I447</f>
        <v>7943990.4000000004</v>
      </c>
      <c r="K75" s="712"/>
      <c r="L75" s="712"/>
      <c r="O75" s="704"/>
    </row>
    <row r="76" spans="1:15" ht="60.6" customHeight="1" x14ac:dyDescent="0.25">
      <c r="A76" s="794" t="s">
        <v>103</v>
      </c>
      <c r="B76" s="573" t="s">
        <v>221</v>
      </c>
      <c r="C76" s="556">
        <f>+'01 Prod Physique Boites'!E510</f>
        <v>10000</v>
      </c>
      <c r="D76" s="557">
        <f>+'01 Prod Physique Boites'!K510</f>
        <v>0</v>
      </c>
      <c r="E76" s="558">
        <f t="shared" ref="E76:E84" si="44">IFERROR(D76/C76,"-")</f>
        <v>0</v>
      </c>
      <c r="F76" s="559">
        <f>+'02 Prod Valorisée Boites'!G516</f>
        <v>0</v>
      </c>
      <c r="G76" s="557">
        <f>+'03 Prod Accessoires'!K279</f>
        <v>105000</v>
      </c>
      <c r="H76" s="560">
        <f>+'03 Prod Accessoires'!Q279</f>
        <v>618271.5</v>
      </c>
      <c r="I76" s="560">
        <f>+'02 Prod Valorisée Boites'!J516</f>
        <v>0</v>
      </c>
      <c r="J76" s="561">
        <f>+'04 Ventes'!I454</f>
        <v>1015740</v>
      </c>
      <c r="K76" s="712"/>
      <c r="L76" s="712"/>
      <c r="O76" s="704"/>
    </row>
    <row r="77" spans="1:15" ht="60.6" customHeight="1" thickBot="1" x14ac:dyDescent="0.3">
      <c r="A77" s="274" t="s">
        <v>103</v>
      </c>
      <c r="B77" s="275" t="s">
        <v>222</v>
      </c>
      <c r="C77" s="556"/>
      <c r="D77" s="557"/>
      <c r="E77" s="558" t="str">
        <f t="shared" si="44"/>
        <v>-</v>
      </c>
      <c r="F77" s="559"/>
      <c r="G77" s="557"/>
      <c r="H77" s="560"/>
      <c r="I77" s="560"/>
      <c r="J77" s="561">
        <f>+'04 Ventes'!I459</f>
        <v>7500</v>
      </c>
    </row>
    <row r="78" spans="1:15" s="294" customFormat="1" ht="60.6" customHeight="1" thickBot="1" x14ac:dyDescent="0.3">
      <c r="A78" s="318" t="s">
        <v>103</v>
      </c>
      <c r="B78" s="433" t="s">
        <v>223</v>
      </c>
      <c r="C78" s="562">
        <f>SUM(C75:C77)</f>
        <v>3780000</v>
      </c>
      <c r="D78" s="563">
        <f t="shared" ref="D78" si="45">SUM(D75:D77)</f>
        <v>936140</v>
      </c>
      <c r="E78" s="564">
        <f t="shared" si="44"/>
        <v>0.24765608465608466</v>
      </c>
      <c r="F78" s="565">
        <f>SUM(F75:F77)</f>
        <v>11897459.2476</v>
      </c>
      <c r="G78" s="563">
        <f t="shared" ref="G78:H78" si="46">SUM(G75:G77)</f>
        <v>827550</v>
      </c>
      <c r="H78" s="565">
        <f t="shared" si="46"/>
        <v>4602509.91</v>
      </c>
      <c r="I78" s="565">
        <f>SUM(I75:I77)</f>
        <v>15636327.600000001</v>
      </c>
      <c r="J78" s="758">
        <f t="shared" ref="J78" si="47">SUM(J75:J77)</f>
        <v>8967230.4000000004</v>
      </c>
    </row>
    <row r="79" spans="1:15" ht="60.6" customHeight="1" x14ac:dyDescent="0.25">
      <c r="A79" s="268" t="s">
        <v>101</v>
      </c>
      <c r="B79" s="572" t="s">
        <v>220</v>
      </c>
      <c r="C79" s="550">
        <f>+'01 Prod Physique Boites'!E546</f>
        <v>2215664</v>
      </c>
      <c r="D79" s="551">
        <f>+'01 Prod Physique Boites'!K546</f>
        <v>705639</v>
      </c>
      <c r="E79" s="552">
        <f t="shared" si="44"/>
        <v>0.31847744062276589</v>
      </c>
      <c r="F79" s="553">
        <f>+'02 Prod Valorisée Boites'!G552</f>
        <v>12063482.589600001</v>
      </c>
      <c r="G79" s="551">
        <f>+'03 Prod Accessoires'!K288</f>
        <v>311250</v>
      </c>
      <c r="H79" s="554">
        <f>+'03 Prod Accessoires'!Q288</f>
        <v>689138.625</v>
      </c>
      <c r="I79" s="550">
        <f>+'02 Prod Valorisée Boites'!J552</f>
        <v>16547370.840000002</v>
      </c>
      <c r="J79" s="566">
        <f>+'04 Ventes'!I491</f>
        <v>0</v>
      </c>
      <c r="L79" s="712"/>
      <c r="O79" s="704"/>
    </row>
    <row r="80" spans="1:15" ht="60.6" customHeight="1" thickBot="1" x14ac:dyDescent="0.3">
      <c r="A80" s="794" t="s">
        <v>101</v>
      </c>
      <c r="B80" s="295" t="s">
        <v>222</v>
      </c>
      <c r="C80" s="567"/>
      <c r="D80" s="557"/>
      <c r="E80" s="558" t="str">
        <f t="shared" si="44"/>
        <v>-</v>
      </c>
      <c r="F80" s="559"/>
      <c r="G80" s="557"/>
      <c r="H80" s="560"/>
      <c r="I80" s="560"/>
      <c r="J80" s="568"/>
    </row>
    <row r="81" spans="1:15" s="294" customFormat="1" ht="60.6" customHeight="1" thickBot="1" x14ac:dyDescent="0.3">
      <c r="A81" s="318" t="s">
        <v>101</v>
      </c>
      <c r="B81" s="433" t="s">
        <v>224</v>
      </c>
      <c r="C81" s="562">
        <f>SUM(C79:C80)</f>
        <v>2215664</v>
      </c>
      <c r="D81" s="563">
        <f t="shared" ref="D81" si="48">SUM(D79:D80)</f>
        <v>705639</v>
      </c>
      <c r="E81" s="564">
        <f t="shared" si="44"/>
        <v>0.31847744062276589</v>
      </c>
      <c r="F81" s="565">
        <f t="shared" ref="F81:J81" si="49">SUM(F79:F80)</f>
        <v>12063482.589600001</v>
      </c>
      <c r="G81" s="563">
        <f t="shared" si="49"/>
        <v>311250</v>
      </c>
      <c r="H81" s="565">
        <f t="shared" si="49"/>
        <v>689138.625</v>
      </c>
      <c r="I81" s="565">
        <f t="shared" si="49"/>
        <v>16547370.840000002</v>
      </c>
      <c r="J81" s="758">
        <f t="shared" si="49"/>
        <v>0</v>
      </c>
    </row>
    <row r="82" spans="1:15" ht="60.6" customHeight="1" x14ac:dyDescent="0.25">
      <c r="A82" s="268" t="s">
        <v>102</v>
      </c>
      <c r="B82" s="574" t="s">
        <v>221</v>
      </c>
      <c r="C82" s="554">
        <f>+'01 Prod Physique Boites'!E573</f>
        <v>545076</v>
      </c>
      <c r="D82" s="551">
        <f>+'01 Prod Physique Boites'!K573</f>
        <v>133934</v>
      </c>
      <c r="E82" s="552">
        <f t="shared" si="44"/>
        <v>0.24571619370509801</v>
      </c>
      <c r="F82" s="553">
        <f>+'02 Prod Valorisée Boites'!G578</f>
        <v>7217067.9582000002</v>
      </c>
      <c r="G82" s="551">
        <f>+'03 Prod Accessoires'!K322</f>
        <v>614163</v>
      </c>
      <c r="H82" s="554">
        <f>+'03 Prod Accessoires'!Q323</f>
        <v>4330294.0353999995</v>
      </c>
      <c r="I82" s="554">
        <f>+'02 Prod Valorisée Boites'!J578</f>
        <v>13282088.140000001</v>
      </c>
      <c r="J82" s="566">
        <f>+'04 Ventes'!I517</f>
        <v>2842599.2</v>
      </c>
      <c r="K82" s="712"/>
      <c r="L82" s="712"/>
      <c r="O82" s="704"/>
    </row>
    <row r="83" spans="1:15" ht="60.6" customHeight="1" thickBot="1" x14ac:dyDescent="0.3">
      <c r="A83" s="794" t="s">
        <v>102</v>
      </c>
      <c r="B83" s="303" t="s">
        <v>222</v>
      </c>
      <c r="C83" s="560"/>
      <c r="D83" s="569"/>
      <c r="E83" s="570" t="str">
        <f t="shared" si="44"/>
        <v>-</v>
      </c>
      <c r="F83" s="571"/>
      <c r="G83" s="557"/>
      <c r="H83" s="560"/>
      <c r="I83" s="560"/>
      <c r="J83" s="568"/>
    </row>
    <row r="84" spans="1:15" s="294" customFormat="1" ht="60.6" customHeight="1" thickBot="1" x14ac:dyDescent="0.3">
      <c r="A84" s="318" t="s">
        <v>102</v>
      </c>
      <c r="B84" s="433" t="s">
        <v>225</v>
      </c>
      <c r="C84" s="562">
        <f>SUM(C82:C83)</f>
        <v>545076</v>
      </c>
      <c r="D84" s="563">
        <f t="shared" ref="D84" si="50">SUM(D82:D83)</f>
        <v>133934</v>
      </c>
      <c r="E84" s="564">
        <f t="shared" si="44"/>
        <v>0.24571619370509801</v>
      </c>
      <c r="F84" s="565">
        <f t="shared" ref="F84:J84" si="51">SUM(F82:F83)</f>
        <v>7217067.9582000002</v>
      </c>
      <c r="G84" s="563">
        <f t="shared" si="51"/>
        <v>614163</v>
      </c>
      <c r="H84" s="565">
        <f t="shared" si="51"/>
        <v>4330294.0353999995</v>
      </c>
      <c r="I84" s="565">
        <f t="shared" si="51"/>
        <v>13282088.140000001</v>
      </c>
      <c r="J84" s="758">
        <f t="shared" si="51"/>
        <v>2842599.2</v>
      </c>
    </row>
    <row r="85" spans="1:15" ht="57.6" customHeight="1" thickBot="1" x14ac:dyDescent="0.3">
      <c r="A85" s="630"/>
      <c r="B85" s="548" t="s">
        <v>174</v>
      </c>
      <c r="C85" s="549">
        <f>+C78+C81+C84</f>
        <v>6540740</v>
      </c>
      <c r="D85" s="575">
        <f t="shared" ref="D85" si="52">+D78+D81+D84</f>
        <v>1775713</v>
      </c>
      <c r="E85" s="576">
        <f>IFERROR(D85/C85,"-")</f>
        <v>0.27148503074575658</v>
      </c>
      <c r="F85" s="575">
        <f>+F78+F81+F84</f>
        <v>31178009.795400001</v>
      </c>
      <c r="G85" s="575">
        <f t="shared" ref="G85:H85" si="53">+G78+G81+G84</f>
        <v>1752963</v>
      </c>
      <c r="H85" s="575">
        <f t="shared" si="53"/>
        <v>9621942.5703999996</v>
      </c>
      <c r="I85" s="575">
        <f>+I78+I81+I84</f>
        <v>45465786.580000006</v>
      </c>
      <c r="J85" s="631">
        <f t="shared" ref="J85" si="54">+J78+J81+J84</f>
        <v>11809829.600000001</v>
      </c>
    </row>
    <row r="86" spans="1:15" ht="41.45" customHeight="1" x14ac:dyDescent="0.25">
      <c r="A86" s="978" t="s">
        <v>1</v>
      </c>
      <c r="B86" s="984" t="s">
        <v>396</v>
      </c>
      <c r="C86" s="984" t="s">
        <v>226</v>
      </c>
      <c r="D86" s="1072" t="s">
        <v>517</v>
      </c>
      <c r="E86" s="1073"/>
      <c r="F86" s="1073"/>
      <c r="G86" s="1073"/>
      <c r="H86" s="1074"/>
      <c r="I86" s="1075" t="s">
        <v>417</v>
      </c>
      <c r="J86" s="1075" t="s">
        <v>418</v>
      </c>
      <c r="K86" s="229" t="s">
        <v>420</v>
      </c>
    </row>
    <row r="87" spans="1:15" ht="41.45" customHeight="1" x14ac:dyDescent="0.25">
      <c r="A87" s="1054"/>
      <c r="B87" s="1071"/>
      <c r="C87" s="1071"/>
      <c r="D87" s="1078" t="s">
        <v>229</v>
      </c>
      <c r="E87" s="1079"/>
      <c r="F87" s="1080"/>
      <c r="G87" s="1078" t="s">
        <v>227</v>
      </c>
      <c r="H87" s="1080"/>
      <c r="I87" s="1076"/>
      <c r="J87" s="1076"/>
    </row>
    <row r="88" spans="1:15" ht="25.9" customHeight="1" x14ac:dyDescent="0.25">
      <c r="A88" s="979"/>
      <c r="B88" s="985"/>
      <c r="C88" s="985"/>
      <c r="D88" s="1081" t="s">
        <v>415</v>
      </c>
      <c r="E88" s="1083" t="s">
        <v>9</v>
      </c>
      <c r="F88" s="1085" t="s">
        <v>416</v>
      </c>
      <c r="G88" s="1087" t="s">
        <v>228</v>
      </c>
      <c r="H88" s="1089" t="s">
        <v>416</v>
      </c>
      <c r="I88" s="1076"/>
      <c r="J88" s="1076"/>
    </row>
    <row r="89" spans="1:15" ht="25.9" customHeight="1" thickBot="1" x14ac:dyDescent="0.3">
      <c r="A89" s="980"/>
      <c r="B89" s="986"/>
      <c r="C89" s="986"/>
      <c r="D89" s="1082"/>
      <c r="E89" s="1084"/>
      <c r="F89" s="1086"/>
      <c r="G89" s="1088"/>
      <c r="H89" s="1090"/>
      <c r="I89" s="1077"/>
      <c r="J89" s="1077"/>
    </row>
    <row r="90" spans="1:15" ht="60.6" customHeight="1" x14ac:dyDescent="0.25">
      <c r="A90" s="268" t="s">
        <v>103</v>
      </c>
      <c r="B90" s="572" t="s">
        <v>220</v>
      </c>
      <c r="C90" s="550">
        <f>+'01 Prod Physique Boites'!E609</f>
        <v>3770000</v>
      </c>
      <c r="D90" s="551">
        <f>+'01 Prod Physique Boites'!K609</f>
        <v>1237505</v>
      </c>
      <c r="E90" s="552">
        <f>IFERROR(D90/C90,"-")</f>
        <v>0.32825066312997347</v>
      </c>
      <c r="F90" s="553">
        <f>+'02 Prod Valorisée Boites'!G615</f>
        <v>15788522.532399997</v>
      </c>
      <c r="G90" s="551">
        <f>+'03 Prod Accessoires'!K334</f>
        <v>873050</v>
      </c>
      <c r="H90" s="554">
        <f>+'03 Prod Accessoires'!Q334</f>
        <v>4916440.26</v>
      </c>
      <c r="I90" s="554">
        <f>+'02 Prod Valorisée Boites'!J615</f>
        <v>20555317.199999999</v>
      </c>
      <c r="J90" s="555">
        <f>+'04 Ventes'!I540</f>
        <v>8210947.2000000011</v>
      </c>
      <c r="K90" s="712"/>
      <c r="L90" s="712"/>
      <c r="O90" s="704"/>
    </row>
    <row r="91" spans="1:15" ht="60.6" customHeight="1" x14ac:dyDescent="0.25">
      <c r="A91" s="802" t="s">
        <v>103</v>
      </c>
      <c r="B91" s="573" t="s">
        <v>221</v>
      </c>
      <c r="C91" s="556">
        <f>+'01 Prod Physique Boites'!E625</f>
        <v>10000</v>
      </c>
      <c r="D91" s="557">
        <f>+'01 Prod Physique Boites'!K625</f>
        <v>0</v>
      </c>
      <c r="E91" s="558">
        <f t="shared" ref="E91:E99" si="55">IFERROR(D91/C91,"-")</f>
        <v>0</v>
      </c>
      <c r="F91" s="559">
        <f>+'02 Prod Valorisée Boites'!G631</f>
        <v>0</v>
      </c>
      <c r="G91" s="557">
        <f>+'03 Prod Accessoires'!K342</f>
        <v>111400</v>
      </c>
      <c r="H91" s="560">
        <f>+'03 Prod Accessoires'!Q342</f>
        <v>695260.3</v>
      </c>
      <c r="I91" s="560">
        <f>+'02 Prod Valorisée Boites'!J631</f>
        <v>0</v>
      </c>
      <c r="J91" s="561">
        <f>+'04 Ventes'!I547</f>
        <v>1015740</v>
      </c>
      <c r="K91" s="712"/>
      <c r="L91" s="712"/>
      <c r="O91" s="704"/>
    </row>
    <row r="92" spans="1:15" ht="60.6" customHeight="1" thickBot="1" x14ac:dyDescent="0.3">
      <c r="A92" s="274" t="s">
        <v>103</v>
      </c>
      <c r="B92" s="275" t="s">
        <v>222</v>
      </c>
      <c r="C92" s="556"/>
      <c r="D92" s="557"/>
      <c r="E92" s="558" t="str">
        <f t="shared" si="55"/>
        <v>-</v>
      </c>
      <c r="F92" s="559"/>
      <c r="G92" s="557"/>
      <c r="H92" s="560"/>
      <c r="I92" s="560"/>
      <c r="J92" s="561">
        <f>+'04 Ventes'!I552</f>
        <v>7500</v>
      </c>
    </row>
    <row r="93" spans="1:15" s="294" customFormat="1" ht="60.6" customHeight="1" thickBot="1" x14ac:dyDescent="0.3">
      <c r="A93" s="318" t="s">
        <v>103</v>
      </c>
      <c r="B93" s="433" t="s">
        <v>223</v>
      </c>
      <c r="C93" s="562">
        <f>SUM(C90:C92)</f>
        <v>3780000</v>
      </c>
      <c r="D93" s="563">
        <f t="shared" ref="D93" si="56">SUM(D90:D92)</f>
        <v>1237505</v>
      </c>
      <c r="E93" s="564">
        <f t="shared" si="55"/>
        <v>0.32738227513227514</v>
      </c>
      <c r="F93" s="565">
        <f>SUM(F90:F92)</f>
        <v>15788522.532399997</v>
      </c>
      <c r="G93" s="563">
        <f t="shared" ref="G93:H93" si="57">SUM(G90:G92)</f>
        <v>984450</v>
      </c>
      <c r="H93" s="565">
        <f t="shared" si="57"/>
        <v>5611700.5599999996</v>
      </c>
      <c r="I93" s="565">
        <f>SUM(I90:I92)</f>
        <v>20555317.199999999</v>
      </c>
      <c r="J93" s="758">
        <f t="shared" ref="J93" si="58">SUM(J90:J92)</f>
        <v>9234187.2000000011</v>
      </c>
    </row>
    <row r="94" spans="1:15" ht="60.6" customHeight="1" x14ac:dyDescent="0.25">
      <c r="A94" s="268" t="s">
        <v>101</v>
      </c>
      <c r="B94" s="572" t="s">
        <v>220</v>
      </c>
      <c r="C94" s="550">
        <f>+'01 Prod Physique Boites'!E661</f>
        <v>2215664</v>
      </c>
      <c r="D94" s="551">
        <f>+'01 Prod Physique Boites'!K661</f>
        <v>778847</v>
      </c>
      <c r="E94" s="552">
        <f t="shared" si="55"/>
        <v>0.35151855154933237</v>
      </c>
      <c r="F94" s="553">
        <f>+'02 Prod Valorisée Boites'!G667</f>
        <v>13300899.159600001</v>
      </c>
      <c r="G94" s="551">
        <f>+'03 Prod Accessoires'!K351</f>
        <v>311250</v>
      </c>
      <c r="H94" s="554">
        <f>+'03 Prod Accessoires'!Q351</f>
        <v>689138.625</v>
      </c>
      <c r="I94" s="550">
        <f>+'02 Prod Valorisée Boites'!J667</f>
        <v>18347296.500000004</v>
      </c>
      <c r="J94" s="566">
        <f>+'04 Ventes'!I584</f>
        <v>0</v>
      </c>
      <c r="L94" s="712"/>
      <c r="O94" s="704"/>
    </row>
    <row r="95" spans="1:15" ht="60.6" customHeight="1" thickBot="1" x14ac:dyDescent="0.3">
      <c r="A95" s="802" t="s">
        <v>101</v>
      </c>
      <c r="B95" s="295" t="s">
        <v>222</v>
      </c>
      <c r="C95" s="567"/>
      <c r="D95" s="557"/>
      <c r="E95" s="558" t="str">
        <f t="shared" si="55"/>
        <v>-</v>
      </c>
      <c r="F95" s="559"/>
      <c r="G95" s="557"/>
      <c r="H95" s="560"/>
      <c r="I95" s="560"/>
      <c r="J95" s="568"/>
    </row>
    <row r="96" spans="1:15" s="294" customFormat="1" ht="60.6" customHeight="1" thickBot="1" x14ac:dyDescent="0.3">
      <c r="A96" s="318" t="s">
        <v>101</v>
      </c>
      <c r="B96" s="433" t="s">
        <v>224</v>
      </c>
      <c r="C96" s="562">
        <f>SUM(C94:C95)</f>
        <v>2215664</v>
      </c>
      <c r="D96" s="563">
        <f t="shared" ref="D96" si="59">SUM(D94:D95)</f>
        <v>778847</v>
      </c>
      <c r="E96" s="564">
        <f t="shared" si="55"/>
        <v>0.35151855154933237</v>
      </c>
      <c r="F96" s="565">
        <f t="shared" ref="F96:J96" si="60">SUM(F94:F95)</f>
        <v>13300899.159600001</v>
      </c>
      <c r="G96" s="563">
        <f t="shared" si="60"/>
        <v>311250</v>
      </c>
      <c r="H96" s="565">
        <f t="shared" si="60"/>
        <v>689138.625</v>
      </c>
      <c r="I96" s="565">
        <f t="shared" si="60"/>
        <v>18347296.500000004</v>
      </c>
      <c r="J96" s="758">
        <f t="shared" si="60"/>
        <v>0</v>
      </c>
    </row>
    <row r="97" spans="1:15" ht="60.6" customHeight="1" x14ac:dyDescent="0.25">
      <c r="A97" s="268" t="s">
        <v>102</v>
      </c>
      <c r="B97" s="574" t="s">
        <v>221</v>
      </c>
      <c r="C97" s="554">
        <f>+'01 Prod Physique Boites'!E688</f>
        <v>545076</v>
      </c>
      <c r="D97" s="551">
        <f>+'01 Prod Physique Boites'!K688</f>
        <v>162429</v>
      </c>
      <c r="E97" s="552">
        <f t="shared" si="55"/>
        <v>0.2979933073553046</v>
      </c>
      <c r="F97" s="553">
        <f>+'02 Prod Valorisée Boites'!G693</f>
        <v>8787221.3381999992</v>
      </c>
      <c r="G97" s="551">
        <f>+'03 Prod Accessoires'!K386</f>
        <v>708433</v>
      </c>
      <c r="H97" s="554">
        <f>+'03 Prod Accessoires'!Q386</f>
        <v>5058344.7753999997</v>
      </c>
      <c r="I97" s="554">
        <f>+'02 Prod Valorisée Boites'!J693</f>
        <v>16177126.140000001</v>
      </c>
      <c r="J97" s="566">
        <f>+'04 Ventes'!I611</f>
        <v>4961220.2</v>
      </c>
      <c r="K97" s="712"/>
      <c r="L97" s="712"/>
      <c r="O97" s="704"/>
    </row>
    <row r="98" spans="1:15" ht="60.6" customHeight="1" thickBot="1" x14ac:dyDescent="0.3">
      <c r="A98" s="802" t="s">
        <v>102</v>
      </c>
      <c r="B98" s="303" t="s">
        <v>222</v>
      </c>
      <c r="C98" s="560"/>
      <c r="D98" s="569"/>
      <c r="E98" s="570" t="str">
        <f t="shared" si="55"/>
        <v>-</v>
      </c>
      <c r="F98" s="571"/>
      <c r="G98" s="557"/>
      <c r="H98" s="560"/>
      <c r="I98" s="560"/>
      <c r="J98" s="568"/>
    </row>
    <row r="99" spans="1:15" s="294" customFormat="1" ht="60.6" customHeight="1" thickBot="1" x14ac:dyDescent="0.3">
      <c r="A99" s="318" t="s">
        <v>102</v>
      </c>
      <c r="B99" s="433" t="s">
        <v>225</v>
      </c>
      <c r="C99" s="562">
        <f>SUM(C97:C98)</f>
        <v>545076</v>
      </c>
      <c r="D99" s="563">
        <f t="shared" ref="D99" si="61">SUM(D97:D98)</f>
        <v>162429</v>
      </c>
      <c r="E99" s="564">
        <f t="shared" si="55"/>
        <v>0.2979933073553046</v>
      </c>
      <c r="F99" s="565">
        <f t="shared" ref="F99:J99" si="62">SUM(F97:F98)</f>
        <v>8787221.3381999992</v>
      </c>
      <c r="G99" s="563">
        <f t="shared" si="62"/>
        <v>708433</v>
      </c>
      <c r="H99" s="565">
        <f t="shared" si="62"/>
        <v>5058344.7753999997</v>
      </c>
      <c r="I99" s="565">
        <f t="shared" si="62"/>
        <v>16177126.140000001</v>
      </c>
      <c r="J99" s="758">
        <f t="shared" si="62"/>
        <v>4961220.2</v>
      </c>
    </row>
    <row r="100" spans="1:15" ht="57.6" customHeight="1" thickBot="1" x14ac:dyDescent="0.3">
      <c r="A100" s="630"/>
      <c r="B100" s="548" t="s">
        <v>174</v>
      </c>
      <c r="C100" s="549">
        <f>+C93+C96+C99</f>
        <v>6540740</v>
      </c>
      <c r="D100" s="575">
        <f t="shared" ref="D100" si="63">+D93+D96+D99</f>
        <v>2178781</v>
      </c>
      <c r="E100" s="576">
        <f>IFERROR(D100/C100,"-")</f>
        <v>0.33310925063524921</v>
      </c>
      <c r="F100" s="575">
        <f>+F93+F96+F99</f>
        <v>37876643.030199997</v>
      </c>
      <c r="G100" s="575">
        <f t="shared" ref="G100:H100" si="64">+G93+G96+G99</f>
        <v>2004133</v>
      </c>
      <c r="H100" s="575">
        <f t="shared" si="64"/>
        <v>11359183.9604</v>
      </c>
      <c r="I100" s="575">
        <f>+I93+I96+I99</f>
        <v>55079739.840000004</v>
      </c>
      <c r="J100" s="631">
        <f t="shared" ref="J100" si="65">+J93+J96+J99</f>
        <v>14195407.400000002</v>
      </c>
    </row>
    <row r="101" spans="1:15" ht="41.45" customHeight="1" x14ac:dyDescent="0.25">
      <c r="A101" s="978" t="s">
        <v>1</v>
      </c>
      <c r="B101" s="984" t="s">
        <v>396</v>
      </c>
      <c r="C101" s="984" t="s">
        <v>226</v>
      </c>
      <c r="D101" s="1072" t="s">
        <v>518</v>
      </c>
      <c r="E101" s="1073"/>
      <c r="F101" s="1073"/>
      <c r="G101" s="1073"/>
      <c r="H101" s="1074"/>
      <c r="I101" s="1075" t="s">
        <v>417</v>
      </c>
      <c r="J101" s="1075" t="s">
        <v>418</v>
      </c>
      <c r="K101" s="229" t="s">
        <v>420</v>
      </c>
    </row>
    <row r="102" spans="1:15" ht="41.45" customHeight="1" x14ac:dyDescent="0.25">
      <c r="A102" s="1054"/>
      <c r="B102" s="1071"/>
      <c r="C102" s="1071"/>
      <c r="D102" s="1078" t="s">
        <v>229</v>
      </c>
      <c r="E102" s="1079"/>
      <c r="F102" s="1080"/>
      <c r="G102" s="1078" t="s">
        <v>227</v>
      </c>
      <c r="H102" s="1080"/>
      <c r="I102" s="1076"/>
      <c r="J102" s="1076"/>
    </row>
    <row r="103" spans="1:15" ht="25.9" customHeight="1" x14ac:dyDescent="0.25">
      <c r="A103" s="979"/>
      <c r="B103" s="985"/>
      <c r="C103" s="985"/>
      <c r="D103" s="1081" t="s">
        <v>415</v>
      </c>
      <c r="E103" s="1083" t="s">
        <v>9</v>
      </c>
      <c r="F103" s="1085" t="s">
        <v>416</v>
      </c>
      <c r="G103" s="1087" t="s">
        <v>228</v>
      </c>
      <c r="H103" s="1089" t="s">
        <v>416</v>
      </c>
      <c r="I103" s="1076"/>
      <c r="J103" s="1076"/>
    </row>
    <row r="104" spans="1:15" ht="25.9" customHeight="1" thickBot="1" x14ac:dyDescent="0.3">
      <c r="A104" s="980"/>
      <c r="B104" s="986"/>
      <c r="C104" s="986"/>
      <c r="D104" s="1082"/>
      <c r="E104" s="1084"/>
      <c r="F104" s="1086"/>
      <c r="G104" s="1088"/>
      <c r="H104" s="1090"/>
      <c r="I104" s="1077"/>
      <c r="J104" s="1077"/>
    </row>
    <row r="105" spans="1:15" ht="60.6" customHeight="1" x14ac:dyDescent="0.25">
      <c r="A105" s="268" t="s">
        <v>103</v>
      </c>
      <c r="B105" s="572" t="s">
        <v>220</v>
      </c>
      <c r="C105" s="550">
        <f>+'01 Prod Physique Boites'!E724</f>
        <v>3770000</v>
      </c>
      <c r="D105" s="551">
        <f>+'01 Prod Physique Boites'!K724</f>
        <v>1408128</v>
      </c>
      <c r="E105" s="552">
        <f>IFERROR(D105/C105,"-")</f>
        <v>0.37350875331564987</v>
      </c>
      <c r="F105" s="553">
        <f>+'02 Prod Valorisée Boites'!G730</f>
        <v>18078654.957199998</v>
      </c>
      <c r="G105" s="551">
        <f>+'03 Prod Accessoires'!K397</f>
        <v>1112800</v>
      </c>
      <c r="H105" s="554">
        <f>+'03 Prod Accessoires'!Q397</f>
        <v>5628051.4350000005</v>
      </c>
      <c r="I105" s="554">
        <f>+'02 Prod Valorisée Boites'!J730</f>
        <v>19525587.600000001</v>
      </c>
      <c r="J105" s="555">
        <f>+'04 Ventes'!I634</f>
        <v>8210947.2000000011</v>
      </c>
      <c r="K105" s="712"/>
      <c r="L105" s="712"/>
      <c r="O105" s="704"/>
    </row>
    <row r="106" spans="1:15" ht="60.6" customHeight="1" x14ac:dyDescent="0.25">
      <c r="A106" s="812" t="s">
        <v>103</v>
      </c>
      <c r="B106" s="573" t="s">
        <v>221</v>
      </c>
      <c r="C106" s="556">
        <f>+'01 Prod Physique Boites'!E740</f>
        <v>10000</v>
      </c>
      <c r="D106" s="557">
        <f>+'01 Prod Physique Boites'!K740</f>
        <v>0</v>
      </c>
      <c r="E106" s="558">
        <f t="shared" ref="E106:E114" si="66">IFERROR(D106/C106,"-")</f>
        <v>0</v>
      </c>
      <c r="F106" s="559">
        <f>+'02 Prod Valorisée Boites'!G746</f>
        <v>0</v>
      </c>
      <c r="G106" s="557">
        <f>+'03 Prod Accessoires'!K405</f>
        <v>111400</v>
      </c>
      <c r="H106" s="560">
        <f>+'03 Prod Accessoires'!Q405</f>
        <v>695260.3</v>
      </c>
      <c r="I106" s="560">
        <f>+'02 Prod Valorisée Boites'!J746</f>
        <v>0</v>
      </c>
      <c r="J106" s="561">
        <f>+'04 Ventes'!I641</f>
        <v>1015740</v>
      </c>
      <c r="K106" s="712"/>
      <c r="L106" s="712"/>
      <c r="O106" s="704"/>
    </row>
    <row r="107" spans="1:15" ht="60.6" customHeight="1" thickBot="1" x14ac:dyDescent="0.3">
      <c r="A107" s="274" t="s">
        <v>103</v>
      </c>
      <c r="B107" s="275" t="s">
        <v>222</v>
      </c>
      <c r="C107" s="556"/>
      <c r="D107" s="557"/>
      <c r="E107" s="558" t="str">
        <f t="shared" si="66"/>
        <v>-</v>
      </c>
      <c r="F107" s="559"/>
      <c r="G107" s="557"/>
      <c r="H107" s="560"/>
      <c r="I107" s="560"/>
      <c r="J107" s="561">
        <f>+'04 Ventes'!I646</f>
        <v>7500</v>
      </c>
    </row>
    <row r="108" spans="1:15" s="294" customFormat="1" ht="60.6" customHeight="1" thickBot="1" x14ac:dyDescent="0.3">
      <c r="A108" s="318" t="s">
        <v>103</v>
      </c>
      <c r="B108" s="433" t="s">
        <v>223</v>
      </c>
      <c r="C108" s="562">
        <f>SUM(C105:C107)</f>
        <v>3780000</v>
      </c>
      <c r="D108" s="563">
        <f t="shared" ref="D108" si="67">SUM(D105:D107)</f>
        <v>1408128</v>
      </c>
      <c r="E108" s="564">
        <f t="shared" si="66"/>
        <v>0.37252063492063492</v>
      </c>
      <c r="F108" s="565">
        <f>SUM(F105:F107)</f>
        <v>18078654.957199998</v>
      </c>
      <c r="G108" s="563">
        <f t="shared" ref="G108:H108" si="68">SUM(G105:G107)</f>
        <v>1224200</v>
      </c>
      <c r="H108" s="565">
        <f t="shared" si="68"/>
        <v>6323311.7350000003</v>
      </c>
      <c r="I108" s="565">
        <f>SUM(I105:I107)</f>
        <v>19525587.600000001</v>
      </c>
      <c r="J108" s="758">
        <f t="shared" ref="J108" si="69">SUM(J105:J107)</f>
        <v>9234187.2000000011</v>
      </c>
    </row>
    <row r="109" spans="1:15" ht="60.6" customHeight="1" x14ac:dyDescent="0.25">
      <c r="A109" s="268" t="s">
        <v>101</v>
      </c>
      <c r="B109" s="572" t="s">
        <v>220</v>
      </c>
      <c r="C109" s="550">
        <f>+'01 Prod Physique Boites'!E776</f>
        <v>2215664</v>
      </c>
      <c r="D109" s="551">
        <f>+'01 Prod Physique Boites'!K776</f>
        <v>856847</v>
      </c>
      <c r="E109" s="552">
        <f t="shared" si="66"/>
        <v>0.38672244528051186</v>
      </c>
      <c r="F109" s="553">
        <f>+'02 Prod Valorisée Boites'!G782</f>
        <v>14520004.199999999</v>
      </c>
      <c r="G109" s="551">
        <f>+'03 Prod Accessoires'!K415</f>
        <v>341000</v>
      </c>
      <c r="H109" s="554">
        <f>+'03 Prod Accessoires'!Q415</f>
        <v>755008.10000000009</v>
      </c>
      <c r="I109" s="550">
        <f>+'02 Prod Valorisée Boites'!J782</f>
        <v>20222923.500000004</v>
      </c>
      <c r="J109" s="566">
        <f>+'04 Ventes'!I678</f>
        <v>0</v>
      </c>
      <c r="L109" s="712"/>
      <c r="O109" s="704"/>
    </row>
    <row r="110" spans="1:15" ht="60.6" customHeight="1" thickBot="1" x14ac:dyDescent="0.3">
      <c r="A110" s="812" t="s">
        <v>101</v>
      </c>
      <c r="B110" s="295" t="s">
        <v>222</v>
      </c>
      <c r="C110" s="567"/>
      <c r="D110" s="557"/>
      <c r="E110" s="558" t="str">
        <f t="shared" si="66"/>
        <v>-</v>
      </c>
      <c r="F110" s="559"/>
      <c r="G110" s="557"/>
      <c r="H110" s="560"/>
      <c r="I110" s="560"/>
      <c r="J110" s="568"/>
    </row>
    <row r="111" spans="1:15" s="294" customFormat="1" ht="60.6" customHeight="1" thickBot="1" x14ac:dyDescent="0.3">
      <c r="A111" s="318" t="s">
        <v>101</v>
      </c>
      <c r="B111" s="433" t="s">
        <v>224</v>
      </c>
      <c r="C111" s="562">
        <f>SUM(C109:C110)</f>
        <v>2215664</v>
      </c>
      <c r="D111" s="563">
        <f t="shared" ref="D111" si="70">SUM(D109:D110)</f>
        <v>856847</v>
      </c>
      <c r="E111" s="564">
        <f t="shared" si="66"/>
        <v>0.38672244528051186</v>
      </c>
      <c r="F111" s="565">
        <f t="shared" ref="F111:J111" si="71">SUM(F109:F110)</f>
        <v>14520004.199999999</v>
      </c>
      <c r="G111" s="563">
        <f t="shared" si="71"/>
        <v>341000</v>
      </c>
      <c r="H111" s="565">
        <f t="shared" si="71"/>
        <v>755008.10000000009</v>
      </c>
      <c r="I111" s="565">
        <f t="shared" si="71"/>
        <v>20222923.500000004</v>
      </c>
      <c r="J111" s="758">
        <f t="shared" si="71"/>
        <v>0</v>
      </c>
    </row>
    <row r="112" spans="1:15" ht="60.6" customHeight="1" x14ac:dyDescent="0.25">
      <c r="A112" s="268" t="s">
        <v>102</v>
      </c>
      <c r="B112" s="574" t="s">
        <v>221</v>
      </c>
      <c r="C112" s="554">
        <f>+'01 Prod Physique Boites'!E803</f>
        <v>545076</v>
      </c>
      <c r="D112" s="551">
        <f>+'01 Prod Physique Boites'!K803</f>
        <v>205185</v>
      </c>
      <c r="E112" s="552">
        <f t="shared" si="66"/>
        <v>0.3764337450190432</v>
      </c>
      <c r="F112" s="553">
        <f>+'02 Prod Valorisée Boites'!G808</f>
        <v>11080385.749799998</v>
      </c>
      <c r="G112" s="551">
        <f>+'03 Prod Accessoires'!K449</f>
        <v>844893</v>
      </c>
      <c r="H112" s="554">
        <f>+'03 Prod Accessoires'!Q449</f>
        <v>6242758.4453999996</v>
      </c>
      <c r="I112" s="554">
        <f>+'02 Prod Valorisée Boites'!J808</f>
        <v>20387702.059999999</v>
      </c>
      <c r="J112" s="566">
        <f>+'04 Ventes'!I705</f>
        <v>7666234.2000000002</v>
      </c>
      <c r="K112" s="712"/>
      <c r="L112" s="712"/>
      <c r="O112" s="704"/>
    </row>
    <row r="113" spans="1:15" ht="60.6" customHeight="1" thickBot="1" x14ac:dyDescent="0.3">
      <c r="A113" s="812" t="s">
        <v>102</v>
      </c>
      <c r="B113" s="303" t="s">
        <v>222</v>
      </c>
      <c r="C113" s="560"/>
      <c r="D113" s="569"/>
      <c r="E113" s="570" t="str">
        <f t="shared" si="66"/>
        <v>-</v>
      </c>
      <c r="F113" s="571"/>
      <c r="G113" s="557"/>
      <c r="H113" s="560"/>
      <c r="I113" s="560"/>
      <c r="J113" s="568"/>
    </row>
    <row r="114" spans="1:15" s="294" customFormat="1" ht="60.6" customHeight="1" thickBot="1" x14ac:dyDescent="0.3">
      <c r="A114" s="318" t="s">
        <v>102</v>
      </c>
      <c r="B114" s="433" t="s">
        <v>225</v>
      </c>
      <c r="C114" s="562">
        <f>SUM(C112:C113)</f>
        <v>545076</v>
      </c>
      <c r="D114" s="563">
        <f t="shared" ref="D114" si="72">SUM(D112:D113)</f>
        <v>205185</v>
      </c>
      <c r="E114" s="564">
        <f t="shared" si="66"/>
        <v>0.3764337450190432</v>
      </c>
      <c r="F114" s="565">
        <f t="shared" ref="F114:J114" si="73">SUM(F112:F113)</f>
        <v>11080385.749799998</v>
      </c>
      <c r="G114" s="563">
        <f t="shared" si="73"/>
        <v>844893</v>
      </c>
      <c r="H114" s="565">
        <f t="shared" si="73"/>
        <v>6242758.4453999996</v>
      </c>
      <c r="I114" s="565">
        <f t="shared" si="73"/>
        <v>20387702.059999999</v>
      </c>
      <c r="J114" s="758">
        <f t="shared" si="73"/>
        <v>7666234.2000000002</v>
      </c>
    </row>
    <row r="115" spans="1:15" ht="57.6" customHeight="1" thickBot="1" x14ac:dyDescent="0.3">
      <c r="A115" s="630"/>
      <c r="B115" s="548" t="s">
        <v>174</v>
      </c>
      <c r="C115" s="549">
        <f>+C108+C111+C114</f>
        <v>6540740</v>
      </c>
      <c r="D115" s="575">
        <f t="shared" ref="D115" si="74">+D108+D111+D114</f>
        <v>2470160</v>
      </c>
      <c r="E115" s="576">
        <f>IFERROR(D115/C115,"-")</f>
        <v>0.37765757391365501</v>
      </c>
      <c r="F115" s="575">
        <f>+F108+F111+F114</f>
        <v>43679044.906999998</v>
      </c>
      <c r="G115" s="575">
        <f t="shared" ref="G115:H115" si="75">+G108+G111+G114</f>
        <v>2410093</v>
      </c>
      <c r="H115" s="575">
        <f t="shared" si="75"/>
        <v>13321078.280400001</v>
      </c>
      <c r="I115" s="575">
        <f>+I108+I111+I114</f>
        <v>60136213.160000011</v>
      </c>
      <c r="J115" s="631">
        <f t="shared" ref="J115" si="76">+J108+J111+J114</f>
        <v>16900421.400000002</v>
      </c>
    </row>
    <row r="116" spans="1:15" ht="41.45" customHeight="1" x14ac:dyDescent="0.25">
      <c r="A116" s="978" t="s">
        <v>1</v>
      </c>
      <c r="B116" s="984" t="s">
        <v>396</v>
      </c>
      <c r="C116" s="984" t="s">
        <v>226</v>
      </c>
      <c r="D116" s="1072" t="s">
        <v>523</v>
      </c>
      <c r="E116" s="1073"/>
      <c r="F116" s="1073"/>
      <c r="G116" s="1073"/>
      <c r="H116" s="1074"/>
      <c r="I116" s="1075" t="s">
        <v>417</v>
      </c>
      <c r="J116" s="1075" t="s">
        <v>418</v>
      </c>
      <c r="K116" s="229" t="s">
        <v>420</v>
      </c>
    </row>
    <row r="117" spans="1:15" ht="41.45" customHeight="1" x14ac:dyDescent="0.25">
      <c r="A117" s="1054"/>
      <c r="B117" s="1071"/>
      <c r="C117" s="1071"/>
      <c r="D117" s="1078" t="s">
        <v>229</v>
      </c>
      <c r="E117" s="1079"/>
      <c r="F117" s="1080"/>
      <c r="G117" s="1078" t="s">
        <v>227</v>
      </c>
      <c r="H117" s="1080"/>
      <c r="I117" s="1076"/>
      <c r="J117" s="1076"/>
    </row>
    <row r="118" spans="1:15" ht="25.9" customHeight="1" x14ac:dyDescent="0.25">
      <c r="A118" s="979"/>
      <c r="B118" s="985"/>
      <c r="C118" s="985"/>
      <c r="D118" s="1081" t="s">
        <v>415</v>
      </c>
      <c r="E118" s="1083" t="s">
        <v>9</v>
      </c>
      <c r="F118" s="1085" t="s">
        <v>416</v>
      </c>
      <c r="G118" s="1087" t="s">
        <v>228</v>
      </c>
      <c r="H118" s="1089" t="s">
        <v>416</v>
      </c>
      <c r="I118" s="1076"/>
      <c r="J118" s="1076"/>
    </row>
    <row r="119" spans="1:15" ht="25.9" customHeight="1" thickBot="1" x14ac:dyDescent="0.3">
      <c r="A119" s="980"/>
      <c r="B119" s="986"/>
      <c r="C119" s="986"/>
      <c r="D119" s="1082"/>
      <c r="E119" s="1084"/>
      <c r="F119" s="1086"/>
      <c r="G119" s="1088"/>
      <c r="H119" s="1090"/>
      <c r="I119" s="1077"/>
      <c r="J119" s="1077"/>
    </row>
    <row r="120" spans="1:15" ht="60.6" customHeight="1" x14ac:dyDescent="0.25">
      <c r="A120" s="268" t="s">
        <v>103</v>
      </c>
      <c r="B120" s="572" t="s">
        <v>220</v>
      </c>
      <c r="C120" s="550">
        <f>+'01 Prod Physique Boites'!E839</f>
        <v>3770000</v>
      </c>
      <c r="D120" s="551">
        <f>+'01 Prod Physique Boites'!K839</f>
        <v>1643130</v>
      </c>
      <c r="E120" s="552">
        <f>IFERROR(D120/C120,"-")</f>
        <v>0.43584350132625993</v>
      </c>
      <c r="F120" s="553">
        <f>+'02 Prod Valorisée Boites'!G845</f>
        <v>21022985.157200001</v>
      </c>
      <c r="G120" s="551">
        <f>+'03 Prod Accessoires'!K460</f>
        <v>1271800</v>
      </c>
      <c r="H120" s="554">
        <f>+'03 Prod Accessoires'!Q460</f>
        <v>6591513.7350000003</v>
      </c>
      <c r="I120" s="554">
        <f>+'02 Prod Valorisée Boites'!J845</f>
        <v>21218740.879999999</v>
      </c>
      <c r="J120" s="555">
        <f>+'04 Ventes'!I728</f>
        <v>8730782.4000000004</v>
      </c>
      <c r="K120" s="712"/>
      <c r="L120" s="712"/>
      <c r="O120" s="704"/>
    </row>
    <row r="121" spans="1:15" ht="60.6" customHeight="1" x14ac:dyDescent="0.25">
      <c r="A121" s="823" t="s">
        <v>103</v>
      </c>
      <c r="B121" s="573" t="s">
        <v>221</v>
      </c>
      <c r="C121" s="556">
        <f>+'01 Prod Physique Boites'!E855</f>
        <v>10000</v>
      </c>
      <c r="D121" s="557">
        <f>+'01 Prod Physique Boites'!K855</f>
        <v>0</v>
      </c>
      <c r="E121" s="558">
        <f t="shared" ref="E121:E129" si="77">IFERROR(D121/C121,"-")</f>
        <v>0</v>
      </c>
      <c r="F121" s="559">
        <f>+'02 Prod Valorisée Boites'!G861</f>
        <v>0</v>
      </c>
      <c r="G121" s="557">
        <f>+'03 Prod Accessoires'!K468</f>
        <v>111400</v>
      </c>
      <c r="H121" s="560">
        <f>+'03 Prod Accessoires'!Q468</f>
        <v>695260.3</v>
      </c>
      <c r="I121" s="560">
        <f>+'02 Prod Valorisée Boites'!J861</f>
        <v>0</v>
      </c>
      <c r="J121" s="561">
        <f>+'04 Ventes'!I735</f>
        <v>1015740</v>
      </c>
      <c r="K121" s="712"/>
      <c r="L121" s="712"/>
      <c r="O121" s="704"/>
    </row>
    <row r="122" spans="1:15" ht="60.6" customHeight="1" thickBot="1" x14ac:dyDescent="0.3">
      <c r="A122" s="274" t="s">
        <v>103</v>
      </c>
      <c r="B122" s="275" t="s">
        <v>222</v>
      </c>
      <c r="C122" s="556"/>
      <c r="D122" s="557"/>
      <c r="E122" s="558" t="str">
        <f t="shared" si="77"/>
        <v>-</v>
      </c>
      <c r="F122" s="559"/>
      <c r="G122" s="557"/>
      <c r="H122" s="560"/>
      <c r="I122" s="560"/>
      <c r="J122" s="561">
        <f>+'04 Ventes'!I740</f>
        <v>7500</v>
      </c>
    </row>
    <row r="123" spans="1:15" s="294" customFormat="1" ht="60.6" customHeight="1" thickBot="1" x14ac:dyDescent="0.3">
      <c r="A123" s="318" t="s">
        <v>103</v>
      </c>
      <c r="B123" s="433" t="s">
        <v>223</v>
      </c>
      <c r="C123" s="562">
        <f>SUM(C120:C122)</f>
        <v>3780000</v>
      </c>
      <c r="D123" s="563">
        <f t="shared" ref="D123" si="78">SUM(D120:D122)</f>
        <v>1643130</v>
      </c>
      <c r="E123" s="564">
        <f t="shared" si="77"/>
        <v>0.43469047619047618</v>
      </c>
      <c r="F123" s="565">
        <f>SUM(F120:F122)</f>
        <v>21022985.157200001</v>
      </c>
      <c r="G123" s="563">
        <f t="shared" ref="G123:H123" si="79">SUM(G120:G122)</f>
        <v>1383200</v>
      </c>
      <c r="H123" s="565">
        <f t="shared" si="79"/>
        <v>7286774.0350000001</v>
      </c>
      <c r="I123" s="565">
        <f>SUM(I120:I122)</f>
        <v>21218740.879999999</v>
      </c>
      <c r="J123" s="758">
        <f t="shared" ref="J123" si="80">SUM(J120:J122)</f>
        <v>9754022.4000000004</v>
      </c>
    </row>
    <row r="124" spans="1:15" ht="60.6" customHeight="1" x14ac:dyDescent="0.25">
      <c r="A124" s="268" t="s">
        <v>101</v>
      </c>
      <c r="B124" s="572" t="s">
        <v>220</v>
      </c>
      <c r="C124" s="550">
        <f>+'01 Prod Physique Boites'!E890</f>
        <v>2215664</v>
      </c>
      <c r="D124" s="551">
        <f>+'01 Prod Physique Boites'!K891</f>
        <v>906724</v>
      </c>
      <c r="E124" s="552">
        <f t="shared" si="77"/>
        <v>0.40923352999371748</v>
      </c>
      <c r="F124" s="553">
        <f>+'02 Prod Valorisée Boites'!G896</f>
        <v>15242887.951200001</v>
      </c>
      <c r="G124" s="551">
        <f>+'03 Prod Accessoires'!K478</f>
        <v>341000</v>
      </c>
      <c r="H124" s="554">
        <f>+'03 Prod Accessoires'!Q477</f>
        <v>755008.10000000009</v>
      </c>
      <c r="I124" s="550">
        <f>+'02 Prod Valorisée Boites'!J896</f>
        <v>21412703.520000003</v>
      </c>
      <c r="J124" s="566">
        <f>+'04 Ventes'!I772</f>
        <v>0</v>
      </c>
      <c r="L124" s="712"/>
      <c r="O124" s="704"/>
    </row>
    <row r="125" spans="1:15" ht="60.6" customHeight="1" thickBot="1" x14ac:dyDescent="0.3">
      <c r="A125" s="823" t="s">
        <v>101</v>
      </c>
      <c r="B125" s="295" t="s">
        <v>222</v>
      </c>
      <c r="C125" s="567"/>
      <c r="D125" s="557"/>
      <c r="E125" s="558" t="str">
        <f t="shared" si="77"/>
        <v>-</v>
      </c>
      <c r="F125" s="559"/>
      <c r="G125" s="557"/>
      <c r="H125" s="560"/>
      <c r="I125" s="560"/>
      <c r="J125" s="568"/>
    </row>
    <row r="126" spans="1:15" s="294" customFormat="1" ht="60.6" customHeight="1" thickBot="1" x14ac:dyDescent="0.3">
      <c r="A126" s="318" t="s">
        <v>101</v>
      </c>
      <c r="B126" s="433" t="s">
        <v>224</v>
      </c>
      <c r="C126" s="562">
        <f>SUM(C124:C125)</f>
        <v>2215664</v>
      </c>
      <c r="D126" s="563">
        <f t="shared" ref="D126" si="81">SUM(D124:D125)</f>
        <v>906724</v>
      </c>
      <c r="E126" s="564">
        <f t="shared" si="77"/>
        <v>0.40923352999371748</v>
      </c>
      <c r="F126" s="565">
        <f t="shared" ref="F126:J126" si="82">SUM(F124:F125)</f>
        <v>15242887.951200001</v>
      </c>
      <c r="G126" s="563">
        <f t="shared" si="82"/>
        <v>341000</v>
      </c>
      <c r="H126" s="565">
        <f t="shared" si="82"/>
        <v>755008.10000000009</v>
      </c>
      <c r="I126" s="565">
        <f t="shared" si="82"/>
        <v>21412703.520000003</v>
      </c>
      <c r="J126" s="758">
        <f t="shared" si="82"/>
        <v>0</v>
      </c>
    </row>
    <row r="127" spans="1:15" ht="60.6" customHeight="1" x14ac:dyDescent="0.25">
      <c r="A127" s="268" t="s">
        <v>102</v>
      </c>
      <c r="B127" s="574" t="s">
        <v>221</v>
      </c>
      <c r="C127" s="554">
        <f>+'01 Prod Physique Boites'!E918</f>
        <v>545076</v>
      </c>
      <c r="D127" s="551">
        <f>+'01 Prod Physique Boites'!K918</f>
        <v>249786</v>
      </c>
      <c r="E127" s="552">
        <f t="shared" si="77"/>
        <v>0.458259031768047</v>
      </c>
      <c r="F127" s="553">
        <f>+'02 Prod Valorisée Boites'!G923</f>
        <v>13387054.5702</v>
      </c>
      <c r="G127" s="551">
        <f>+'03 Prod Accessoires'!K512</f>
        <v>1107233</v>
      </c>
      <c r="H127" s="554">
        <f>+'03 Prod Accessoires'!Q512</f>
        <v>7892545.0164000001</v>
      </c>
      <c r="I127" s="554">
        <f>+'02 Prod Valorisée Boites'!J923</f>
        <v>24618550.539999999</v>
      </c>
      <c r="J127" s="566">
        <f>+'04 Ventes'!I799</f>
        <v>11002744.199999999</v>
      </c>
      <c r="K127" s="712"/>
      <c r="L127" s="712"/>
      <c r="O127" s="704"/>
    </row>
    <row r="128" spans="1:15" ht="60.6" customHeight="1" thickBot="1" x14ac:dyDescent="0.3">
      <c r="A128" s="823" t="s">
        <v>102</v>
      </c>
      <c r="B128" s="303" t="s">
        <v>222</v>
      </c>
      <c r="C128" s="560"/>
      <c r="D128" s="569"/>
      <c r="E128" s="570" t="str">
        <f t="shared" si="77"/>
        <v>-</v>
      </c>
      <c r="F128" s="571"/>
      <c r="G128" s="557"/>
      <c r="H128" s="560"/>
      <c r="I128" s="560"/>
      <c r="J128" s="568"/>
    </row>
    <row r="129" spans="1:15" s="294" customFormat="1" ht="60.6" customHeight="1" thickBot="1" x14ac:dyDescent="0.3">
      <c r="A129" s="318" t="s">
        <v>102</v>
      </c>
      <c r="B129" s="433" t="s">
        <v>225</v>
      </c>
      <c r="C129" s="562">
        <f>SUM(C127:C128)</f>
        <v>545076</v>
      </c>
      <c r="D129" s="563">
        <f t="shared" ref="D129" si="83">SUM(D127:D128)</f>
        <v>249786</v>
      </c>
      <c r="E129" s="564">
        <f t="shared" si="77"/>
        <v>0.458259031768047</v>
      </c>
      <c r="F129" s="565">
        <f t="shared" ref="F129:J129" si="84">SUM(F127:F128)</f>
        <v>13387054.5702</v>
      </c>
      <c r="G129" s="563">
        <f t="shared" si="84"/>
        <v>1107233</v>
      </c>
      <c r="H129" s="565">
        <f t="shared" si="84"/>
        <v>7892545.0164000001</v>
      </c>
      <c r="I129" s="565">
        <f t="shared" si="84"/>
        <v>24618550.539999999</v>
      </c>
      <c r="J129" s="758">
        <f t="shared" si="84"/>
        <v>11002744.199999999</v>
      </c>
    </row>
    <row r="130" spans="1:15" ht="57.6" customHeight="1" thickBot="1" x14ac:dyDescent="0.3">
      <c r="A130" s="630"/>
      <c r="B130" s="548" t="s">
        <v>174</v>
      </c>
      <c r="C130" s="549">
        <f>+C123+C126+C129</f>
        <v>6540740</v>
      </c>
      <c r="D130" s="575">
        <f t="shared" ref="D130" si="85">+D123+D126+D129</f>
        <v>2799640</v>
      </c>
      <c r="E130" s="576">
        <f>IFERROR(D130/C130,"-")</f>
        <v>0.42803107905221732</v>
      </c>
      <c r="F130" s="575">
        <f>+F123+F126+F129</f>
        <v>49652927.678599998</v>
      </c>
      <c r="G130" s="575">
        <f t="shared" ref="G130:H130" si="86">+G123+G126+G129</f>
        <v>2831433</v>
      </c>
      <c r="H130" s="575">
        <f t="shared" si="86"/>
        <v>15934327.1514</v>
      </c>
      <c r="I130" s="575">
        <f>+I123+I126+I129</f>
        <v>67249994.939999998</v>
      </c>
      <c r="J130" s="631">
        <f t="shared" ref="J130" si="87">+J123+J126+J129</f>
        <v>20756766.600000001</v>
      </c>
    </row>
    <row r="131" spans="1:15" ht="41.45" customHeight="1" x14ac:dyDescent="0.25">
      <c r="A131" s="978" t="s">
        <v>1</v>
      </c>
      <c r="B131" s="984" t="s">
        <v>396</v>
      </c>
      <c r="C131" s="984" t="s">
        <v>226</v>
      </c>
      <c r="D131" s="1072" t="s">
        <v>534</v>
      </c>
      <c r="E131" s="1073"/>
      <c r="F131" s="1073"/>
      <c r="G131" s="1073"/>
      <c r="H131" s="1074"/>
      <c r="I131" s="1075" t="s">
        <v>417</v>
      </c>
      <c r="J131" s="1075" t="s">
        <v>418</v>
      </c>
      <c r="K131" s="229" t="s">
        <v>420</v>
      </c>
    </row>
    <row r="132" spans="1:15" ht="41.45" customHeight="1" x14ac:dyDescent="0.25">
      <c r="A132" s="1054"/>
      <c r="B132" s="1071"/>
      <c r="C132" s="1071"/>
      <c r="D132" s="1078" t="s">
        <v>229</v>
      </c>
      <c r="E132" s="1079"/>
      <c r="F132" s="1080"/>
      <c r="G132" s="1078" t="s">
        <v>227</v>
      </c>
      <c r="H132" s="1080"/>
      <c r="I132" s="1076"/>
      <c r="J132" s="1076"/>
    </row>
    <row r="133" spans="1:15" ht="25.9" customHeight="1" x14ac:dyDescent="0.25">
      <c r="A133" s="979"/>
      <c r="B133" s="985"/>
      <c r="C133" s="985"/>
      <c r="D133" s="1081" t="s">
        <v>415</v>
      </c>
      <c r="E133" s="1083" t="s">
        <v>9</v>
      </c>
      <c r="F133" s="1085" t="s">
        <v>416</v>
      </c>
      <c r="G133" s="1087" t="s">
        <v>228</v>
      </c>
      <c r="H133" s="1089" t="s">
        <v>416</v>
      </c>
      <c r="I133" s="1076"/>
      <c r="J133" s="1076"/>
    </row>
    <row r="134" spans="1:15" ht="25.9" customHeight="1" thickBot="1" x14ac:dyDescent="0.3">
      <c r="A134" s="980"/>
      <c r="B134" s="986"/>
      <c r="C134" s="986"/>
      <c r="D134" s="1082"/>
      <c r="E134" s="1084"/>
      <c r="F134" s="1086"/>
      <c r="G134" s="1088"/>
      <c r="H134" s="1090"/>
      <c r="I134" s="1077"/>
      <c r="J134" s="1077"/>
    </row>
    <row r="135" spans="1:15" ht="60.6" customHeight="1" x14ac:dyDescent="0.25">
      <c r="A135" s="268" t="s">
        <v>103</v>
      </c>
      <c r="B135" s="572" t="s">
        <v>220</v>
      </c>
      <c r="C135" s="550">
        <f>+'01 Prod Physique Boites'!E955</f>
        <v>3770000</v>
      </c>
      <c r="D135" s="551">
        <f>+'01 Prod Physique Boites'!K955</f>
        <v>1746280</v>
      </c>
      <c r="E135" s="552">
        <f>IFERROR(D135/C135,"-")</f>
        <v>0.46320424403183025</v>
      </c>
      <c r="F135" s="553">
        <f>+'02 Prod Valorisée Boites'!G961</f>
        <v>22335921.635599997</v>
      </c>
      <c r="G135" s="551">
        <f>+'03 Prod Accessoires'!K523</f>
        <v>1315800</v>
      </c>
      <c r="H135" s="554">
        <f>+'03 Prod Accessoires'!Q523</f>
        <v>7132040.5350000001</v>
      </c>
      <c r="I135" s="554">
        <f>+'02 Prod Valorisée Boites'!J961</f>
        <v>22975180.879999999</v>
      </c>
      <c r="J135" s="555">
        <f>+'04 Ventes'!I822</f>
        <v>9427759.6799999997</v>
      </c>
      <c r="K135" s="712"/>
      <c r="L135" s="712"/>
      <c r="O135" s="704"/>
    </row>
    <row r="136" spans="1:15" ht="60.6" customHeight="1" x14ac:dyDescent="0.25">
      <c r="A136" s="868" t="s">
        <v>103</v>
      </c>
      <c r="B136" s="573" t="s">
        <v>221</v>
      </c>
      <c r="C136" s="556">
        <f>+'01 Prod Physique Boites'!E971</f>
        <v>10000</v>
      </c>
      <c r="D136" s="557">
        <f>+'01 Prod Physique Boites'!K971</f>
        <v>0</v>
      </c>
      <c r="E136" s="558">
        <f t="shared" ref="E136:E144" si="88">IFERROR(D136/C136,"-")</f>
        <v>0</v>
      </c>
      <c r="F136" s="559">
        <f>+'02 Prod Valorisée Boites'!G977</f>
        <v>0</v>
      </c>
      <c r="G136" s="557">
        <f>+'03 Prod Accessoires'!K531</f>
        <v>177400</v>
      </c>
      <c r="H136" s="560">
        <f>+'03 Prod Accessoires'!Q531</f>
        <v>844381.3</v>
      </c>
      <c r="I136" s="560">
        <f>+'02 Prod Valorisée Boites'!J977</f>
        <v>0</v>
      </c>
      <c r="J136" s="561">
        <f>+'04 Ventes'!I829</f>
        <v>1451520</v>
      </c>
      <c r="K136" s="712"/>
      <c r="L136" s="712"/>
      <c r="O136" s="704"/>
    </row>
    <row r="137" spans="1:15" ht="60.6" customHeight="1" thickBot="1" x14ac:dyDescent="0.3">
      <c r="A137" s="274" t="s">
        <v>103</v>
      </c>
      <c r="B137" s="275" t="s">
        <v>222</v>
      </c>
      <c r="C137" s="556"/>
      <c r="D137" s="557"/>
      <c r="E137" s="558" t="str">
        <f t="shared" si="88"/>
        <v>-</v>
      </c>
      <c r="F137" s="559"/>
      <c r="G137" s="557"/>
      <c r="H137" s="560"/>
      <c r="I137" s="560"/>
      <c r="J137" s="561">
        <f>+'04 Ventes'!I834</f>
        <v>7500</v>
      </c>
    </row>
    <row r="138" spans="1:15" s="294" customFormat="1" ht="60.6" customHeight="1" thickBot="1" x14ac:dyDescent="0.3">
      <c r="A138" s="318" t="s">
        <v>103</v>
      </c>
      <c r="B138" s="433" t="s">
        <v>223</v>
      </c>
      <c r="C138" s="562">
        <f>SUM(C135:C137)</f>
        <v>3780000</v>
      </c>
      <c r="D138" s="563">
        <f t="shared" ref="D138" si="89">SUM(D135:D137)</f>
        <v>1746280</v>
      </c>
      <c r="E138" s="564">
        <f t="shared" si="88"/>
        <v>0.46197883597883599</v>
      </c>
      <c r="F138" s="565">
        <f>SUM(F135:F137)</f>
        <v>22335921.635599997</v>
      </c>
      <c r="G138" s="563">
        <f t="shared" ref="G138:H138" si="90">SUM(G135:G137)</f>
        <v>1493200</v>
      </c>
      <c r="H138" s="565">
        <f t="shared" si="90"/>
        <v>7976421.835</v>
      </c>
      <c r="I138" s="565">
        <f>SUM(I135:I137)</f>
        <v>22975180.879999999</v>
      </c>
      <c r="J138" s="758">
        <f t="shared" ref="J138" si="91">SUM(J135:J137)</f>
        <v>10886779.68</v>
      </c>
    </row>
    <row r="139" spans="1:15" ht="60.6" customHeight="1" x14ac:dyDescent="0.25">
      <c r="A139" s="268" t="s">
        <v>101</v>
      </c>
      <c r="B139" s="572" t="s">
        <v>220</v>
      </c>
      <c r="C139" s="550">
        <f>+'01 Prod Physique Boites'!E1007</f>
        <v>2215664</v>
      </c>
      <c r="D139" s="551">
        <f>+'01 Prod Physique Boites'!K1007</f>
        <v>1071311</v>
      </c>
      <c r="E139" s="552">
        <f t="shared" si="88"/>
        <v>0.48351690509030248</v>
      </c>
      <c r="F139" s="553">
        <f>+'02 Prod Valorisée Boites'!G1013</f>
        <v>17971321.773599997</v>
      </c>
      <c r="G139" s="551">
        <f>+'03 Prod Accessoires'!K541</f>
        <v>357250</v>
      </c>
      <c r="H139" s="554">
        <f>+'03 Prod Accessoires'!Q541</f>
        <v>822791.72500000009</v>
      </c>
      <c r="I139" s="550">
        <f>+'02 Prod Valorisée Boites'!J1013</f>
        <v>25490153.520000007</v>
      </c>
      <c r="J139" s="566">
        <f>+'04 Ventes'!I866</f>
        <v>0</v>
      </c>
      <c r="L139" s="712"/>
      <c r="O139" s="704"/>
    </row>
    <row r="140" spans="1:15" ht="60.6" customHeight="1" thickBot="1" x14ac:dyDescent="0.3">
      <c r="A140" s="868" t="s">
        <v>101</v>
      </c>
      <c r="B140" s="295" t="s">
        <v>222</v>
      </c>
      <c r="C140" s="567"/>
      <c r="D140" s="557"/>
      <c r="E140" s="558" t="str">
        <f t="shared" si="88"/>
        <v>-</v>
      </c>
      <c r="F140" s="559"/>
      <c r="G140" s="557"/>
      <c r="H140" s="560"/>
      <c r="I140" s="560"/>
      <c r="J140" s="568"/>
    </row>
    <row r="141" spans="1:15" s="294" customFormat="1" ht="60.6" customHeight="1" thickBot="1" x14ac:dyDescent="0.3">
      <c r="A141" s="318" t="s">
        <v>101</v>
      </c>
      <c r="B141" s="433" t="s">
        <v>224</v>
      </c>
      <c r="C141" s="562">
        <f>SUM(C139:C140)</f>
        <v>2215664</v>
      </c>
      <c r="D141" s="563">
        <f t="shared" ref="D141" si="92">SUM(D139:D140)</f>
        <v>1071311</v>
      </c>
      <c r="E141" s="564">
        <f t="shared" si="88"/>
        <v>0.48351690509030248</v>
      </c>
      <c r="F141" s="565">
        <f t="shared" ref="F141:J141" si="93">SUM(F139:F140)</f>
        <v>17971321.773599997</v>
      </c>
      <c r="G141" s="563">
        <f t="shared" si="93"/>
        <v>357250</v>
      </c>
      <c r="H141" s="565">
        <f t="shared" si="93"/>
        <v>822791.72500000009</v>
      </c>
      <c r="I141" s="565">
        <f t="shared" si="93"/>
        <v>25490153.520000007</v>
      </c>
      <c r="J141" s="758">
        <f t="shared" si="93"/>
        <v>0</v>
      </c>
    </row>
    <row r="142" spans="1:15" ht="60.6" customHeight="1" x14ac:dyDescent="0.25">
      <c r="A142" s="268" t="s">
        <v>102</v>
      </c>
      <c r="B142" s="574" t="s">
        <v>221</v>
      </c>
      <c r="C142" s="554">
        <f>+'01 Prod Physique Boites'!E1034</f>
        <v>545076</v>
      </c>
      <c r="D142" s="551">
        <f>+'01 Prod Physique Boites'!K1034</f>
        <v>298479</v>
      </c>
      <c r="E142" s="552">
        <f t="shared" si="88"/>
        <v>0.5475915285207934</v>
      </c>
      <c r="F142" s="553">
        <f>+'02 Prod Valorisée Boites'!G1039</f>
        <v>15753444.026099999</v>
      </c>
      <c r="G142" s="551">
        <f>+'03 Prod Accessoires'!K575</f>
        <v>1231098</v>
      </c>
      <c r="H142" s="554">
        <f>+'03 Prod Accessoires'!Q575</f>
        <v>8781319.2729000002</v>
      </c>
      <c r="I142" s="554">
        <f>+'02 Prod Valorisée Boites'!J1039</f>
        <v>29001689.279999997</v>
      </c>
      <c r="J142" s="566">
        <f>+'04 Ventes'!I893</f>
        <v>11864310.6</v>
      </c>
      <c r="K142" s="712"/>
      <c r="L142" s="712"/>
      <c r="O142" s="704"/>
    </row>
    <row r="143" spans="1:15" ht="60.6" customHeight="1" thickBot="1" x14ac:dyDescent="0.3">
      <c r="A143" s="868" t="s">
        <v>102</v>
      </c>
      <c r="B143" s="303" t="s">
        <v>222</v>
      </c>
      <c r="C143" s="560"/>
      <c r="D143" s="569"/>
      <c r="E143" s="570" t="str">
        <f t="shared" si="88"/>
        <v>-</v>
      </c>
      <c r="F143" s="571"/>
      <c r="G143" s="557"/>
      <c r="H143" s="560"/>
      <c r="I143" s="560"/>
      <c r="J143" s="568"/>
    </row>
    <row r="144" spans="1:15" s="294" customFormat="1" ht="60.6" customHeight="1" thickBot="1" x14ac:dyDescent="0.3">
      <c r="A144" s="318" t="s">
        <v>102</v>
      </c>
      <c r="B144" s="433" t="s">
        <v>225</v>
      </c>
      <c r="C144" s="562">
        <f>SUM(C142:C143)</f>
        <v>545076</v>
      </c>
      <c r="D144" s="563">
        <f t="shared" ref="D144" si="94">SUM(D142:D143)</f>
        <v>298479</v>
      </c>
      <c r="E144" s="564">
        <f t="shared" si="88"/>
        <v>0.5475915285207934</v>
      </c>
      <c r="F144" s="565">
        <f t="shared" ref="F144:J144" si="95">SUM(F142:F143)</f>
        <v>15753444.026099999</v>
      </c>
      <c r="G144" s="563">
        <f t="shared" si="95"/>
        <v>1231098</v>
      </c>
      <c r="H144" s="565">
        <f t="shared" si="95"/>
        <v>8781319.2729000002</v>
      </c>
      <c r="I144" s="565">
        <f t="shared" si="95"/>
        <v>29001689.279999997</v>
      </c>
      <c r="J144" s="758">
        <f t="shared" si="95"/>
        <v>11864310.6</v>
      </c>
    </row>
    <row r="145" spans="1:15" ht="57.6" customHeight="1" thickBot="1" x14ac:dyDescent="0.3">
      <c r="A145" s="630"/>
      <c r="B145" s="548" t="s">
        <v>174</v>
      </c>
      <c r="C145" s="549">
        <f>+C138+C141+C144</f>
        <v>6540740</v>
      </c>
      <c r="D145" s="575">
        <f t="shared" ref="D145" si="96">+D138+D141+D144</f>
        <v>3116070</v>
      </c>
      <c r="E145" s="576">
        <f>IFERROR(D145/C145,"-")</f>
        <v>0.47640939710185698</v>
      </c>
      <c r="F145" s="575">
        <f>+F138+F141+F144</f>
        <v>56060687.435299993</v>
      </c>
      <c r="G145" s="575">
        <f t="shared" ref="G145:H145" si="97">+G138+G141+G144</f>
        <v>3081548</v>
      </c>
      <c r="H145" s="575">
        <f t="shared" si="97"/>
        <v>17580532.832900003</v>
      </c>
      <c r="I145" s="575">
        <f>+I138+I141+I144</f>
        <v>77467023.680000007</v>
      </c>
      <c r="J145" s="631">
        <f t="shared" ref="J145" si="98">+J138+J141+J144</f>
        <v>22751090.280000001</v>
      </c>
    </row>
    <row r="146" spans="1:15" ht="41.45" customHeight="1" x14ac:dyDescent="0.25">
      <c r="A146" s="978" t="s">
        <v>1</v>
      </c>
      <c r="B146" s="984" t="s">
        <v>396</v>
      </c>
      <c r="C146" s="984" t="s">
        <v>226</v>
      </c>
      <c r="D146" s="1072" t="s">
        <v>544</v>
      </c>
      <c r="E146" s="1073"/>
      <c r="F146" s="1073"/>
      <c r="G146" s="1073"/>
      <c r="H146" s="1074"/>
      <c r="I146" s="1075" t="s">
        <v>417</v>
      </c>
      <c r="J146" s="1075" t="s">
        <v>418</v>
      </c>
      <c r="K146" s="229" t="s">
        <v>420</v>
      </c>
    </row>
    <row r="147" spans="1:15" ht="41.45" customHeight="1" x14ac:dyDescent="0.25">
      <c r="A147" s="1054"/>
      <c r="B147" s="1071"/>
      <c r="C147" s="1071"/>
      <c r="D147" s="1078" t="s">
        <v>229</v>
      </c>
      <c r="E147" s="1079"/>
      <c r="F147" s="1080"/>
      <c r="G147" s="1078" t="s">
        <v>227</v>
      </c>
      <c r="H147" s="1080"/>
      <c r="I147" s="1076"/>
      <c r="J147" s="1076"/>
    </row>
    <row r="148" spans="1:15" ht="25.9" customHeight="1" x14ac:dyDescent="0.25">
      <c r="A148" s="979"/>
      <c r="B148" s="985"/>
      <c r="C148" s="985"/>
      <c r="D148" s="1081" t="s">
        <v>415</v>
      </c>
      <c r="E148" s="1083" t="s">
        <v>9</v>
      </c>
      <c r="F148" s="1085" t="s">
        <v>416</v>
      </c>
      <c r="G148" s="1087" t="s">
        <v>228</v>
      </c>
      <c r="H148" s="1089" t="s">
        <v>416</v>
      </c>
      <c r="I148" s="1076"/>
      <c r="J148" s="1076"/>
    </row>
    <row r="149" spans="1:15" ht="25.9" customHeight="1" thickBot="1" x14ac:dyDescent="0.3">
      <c r="A149" s="980"/>
      <c r="B149" s="986"/>
      <c r="C149" s="986"/>
      <c r="D149" s="1082"/>
      <c r="E149" s="1084"/>
      <c r="F149" s="1086"/>
      <c r="G149" s="1088"/>
      <c r="H149" s="1090"/>
      <c r="I149" s="1077"/>
      <c r="J149" s="1077"/>
    </row>
    <row r="150" spans="1:15" ht="60.6" customHeight="1" x14ac:dyDescent="0.25">
      <c r="A150" s="268" t="s">
        <v>103</v>
      </c>
      <c r="B150" s="572" t="s">
        <v>220</v>
      </c>
      <c r="C150" s="550">
        <f>+'01 Prod Physique Boites'!E1072</f>
        <v>3770000</v>
      </c>
      <c r="D150" s="551">
        <f>+'01 Prod Physique Boites'!K1072</f>
        <v>1955881</v>
      </c>
      <c r="E150" s="552">
        <f>IFERROR(D150/C150,"-")</f>
        <v>0.5188013262599469</v>
      </c>
      <c r="F150" s="553">
        <f>+'02 Prod Valorisée Boites'!G1078</f>
        <v>25124938.7392</v>
      </c>
      <c r="G150" s="551">
        <f>+'03 Prod Accessoires'!K586</f>
        <v>1439050</v>
      </c>
      <c r="H150" s="550">
        <f>+'03 Prod Accessoires'!Q586</f>
        <v>7964025.0600000005</v>
      </c>
      <c r="I150" s="550">
        <f>+'02 Prod Valorisée Boites'!J1078</f>
        <v>25835975.599999998</v>
      </c>
      <c r="J150" s="555">
        <f>+'04 Ventes'!I916</f>
        <v>9427759.6799999997</v>
      </c>
      <c r="K150" s="712"/>
      <c r="L150" s="712"/>
      <c r="O150" s="704"/>
    </row>
    <row r="151" spans="1:15" ht="60.6" customHeight="1" x14ac:dyDescent="0.25">
      <c r="A151" s="892" t="s">
        <v>103</v>
      </c>
      <c r="B151" s="573" t="s">
        <v>221</v>
      </c>
      <c r="C151" s="556">
        <f>+'01 Prod Physique Boites'!E1088</f>
        <v>195500</v>
      </c>
      <c r="D151" s="557">
        <f>+'01 Prod Physique Boites'!K1088</f>
        <v>39700</v>
      </c>
      <c r="E151" s="558">
        <f t="shared" ref="E151:E159" si="99">IFERROR(D151/C151,"-")</f>
        <v>0.20306905370843989</v>
      </c>
      <c r="F151" s="559">
        <f>+'02 Prod Valorisée Boites'!G1094</f>
        <v>880644.6</v>
      </c>
      <c r="G151" s="557">
        <f>+'03 Prod Accessoires'!K594</f>
        <v>195400</v>
      </c>
      <c r="H151" s="556">
        <f>+'03 Prod Accessoires'!Q594</f>
        <v>1060912.3</v>
      </c>
      <c r="I151" s="560">
        <f>+'02 Prod Valorisée Boites'!J1094</f>
        <v>1069200</v>
      </c>
      <c r="J151" s="561">
        <f>+'04 Ventes'!I923</f>
        <v>1782753.76</v>
      </c>
      <c r="K151" s="712"/>
      <c r="L151" s="712"/>
      <c r="O151" s="704"/>
    </row>
    <row r="152" spans="1:15" ht="60.6" customHeight="1" thickBot="1" x14ac:dyDescent="0.3">
      <c r="A152" s="274" t="s">
        <v>103</v>
      </c>
      <c r="B152" s="275" t="s">
        <v>222</v>
      </c>
      <c r="C152" s="556"/>
      <c r="D152" s="557"/>
      <c r="E152" s="558" t="str">
        <f t="shared" si="99"/>
        <v>-</v>
      </c>
      <c r="F152" s="559"/>
      <c r="G152" s="557"/>
      <c r="H152" s="560"/>
      <c r="I152" s="560"/>
      <c r="J152" s="561">
        <f>+'04 Ventes'!I928</f>
        <v>12500</v>
      </c>
    </row>
    <row r="153" spans="1:15" s="294" customFormat="1" ht="60.6" customHeight="1" thickBot="1" x14ac:dyDescent="0.3">
      <c r="A153" s="318" t="s">
        <v>103</v>
      </c>
      <c r="B153" s="433" t="s">
        <v>223</v>
      </c>
      <c r="C153" s="562">
        <f>SUM(C150:C152)</f>
        <v>3965500</v>
      </c>
      <c r="D153" s="563">
        <f t="shared" ref="D153" si="100">SUM(D150:D152)</f>
        <v>1995581</v>
      </c>
      <c r="E153" s="564">
        <f t="shared" si="99"/>
        <v>0.50323565754633715</v>
      </c>
      <c r="F153" s="565">
        <f>SUM(F150:F152)</f>
        <v>26005583.339200001</v>
      </c>
      <c r="G153" s="563">
        <f t="shared" ref="G153:H153" si="101">SUM(G150:G152)</f>
        <v>1634450</v>
      </c>
      <c r="H153" s="565">
        <f t="shared" si="101"/>
        <v>9024937.3600000013</v>
      </c>
      <c r="I153" s="565">
        <f>SUM(I150:I152)</f>
        <v>26905175.599999998</v>
      </c>
      <c r="J153" s="758">
        <f t="shared" ref="J153" si="102">SUM(J150:J152)</f>
        <v>11223013.439999999</v>
      </c>
    </row>
    <row r="154" spans="1:15" ht="60.6" customHeight="1" x14ac:dyDescent="0.25">
      <c r="A154" s="268" t="s">
        <v>101</v>
      </c>
      <c r="B154" s="572" t="s">
        <v>220</v>
      </c>
      <c r="C154" s="550">
        <f>+'01 Prod Physique Boites'!E1124</f>
        <v>2215664</v>
      </c>
      <c r="D154" s="551">
        <f>+'01 Prod Physique Boites'!K1124</f>
        <v>1288914</v>
      </c>
      <c r="E154" s="552">
        <f t="shared" si="99"/>
        <v>0.58172809595678765</v>
      </c>
      <c r="F154" s="553">
        <f>+'02 Prod Valorisée Boites'!G1130</f>
        <v>21564868.759199999</v>
      </c>
      <c r="G154" s="551">
        <f>+'03 Prod Accessoires'!K603</f>
        <v>457250</v>
      </c>
      <c r="H154" s="554">
        <f>+'03 Prod Accessoires'!Q604</f>
        <v>1044201.7250000001</v>
      </c>
      <c r="I154" s="550">
        <f>+'02 Prod Valorisée Boites'!J1130</f>
        <v>30860453.520000007</v>
      </c>
      <c r="J154" s="566">
        <f>+'04 Ventes'!I960</f>
        <v>0</v>
      </c>
      <c r="L154" s="712"/>
      <c r="O154" s="704"/>
    </row>
    <row r="155" spans="1:15" ht="60.6" customHeight="1" thickBot="1" x14ac:dyDescent="0.3">
      <c r="A155" s="892" t="s">
        <v>101</v>
      </c>
      <c r="B155" s="295" t="s">
        <v>222</v>
      </c>
      <c r="C155" s="567"/>
      <c r="D155" s="557"/>
      <c r="E155" s="558" t="str">
        <f t="shared" si="99"/>
        <v>-</v>
      </c>
      <c r="F155" s="559"/>
      <c r="G155" s="557"/>
      <c r="H155" s="560"/>
      <c r="I155" s="560"/>
      <c r="J155" s="568"/>
    </row>
    <row r="156" spans="1:15" s="294" customFormat="1" ht="60.6" customHeight="1" thickBot="1" x14ac:dyDescent="0.3">
      <c r="A156" s="318" t="s">
        <v>101</v>
      </c>
      <c r="B156" s="433" t="s">
        <v>224</v>
      </c>
      <c r="C156" s="562">
        <f>SUM(C154:C155)</f>
        <v>2215664</v>
      </c>
      <c r="D156" s="563">
        <f t="shared" ref="D156" si="103">SUM(D154:D155)</f>
        <v>1288914</v>
      </c>
      <c r="E156" s="564">
        <f t="shared" si="99"/>
        <v>0.58172809595678765</v>
      </c>
      <c r="F156" s="565">
        <f t="shared" ref="F156:J156" si="104">SUM(F154:F155)</f>
        <v>21564868.759199999</v>
      </c>
      <c r="G156" s="563">
        <f t="shared" si="104"/>
        <v>457250</v>
      </c>
      <c r="H156" s="565">
        <f t="shared" si="104"/>
        <v>1044201.7250000001</v>
      </c>
      <c r="I156" s="565">
        <f t="shared" si="104"/>
        <v>30860453.520000007</v>
      </c>
      <c r="J156" s="758">
        <f t="shared" si="104"/>
        <v>0</v>
      </c>
    </row>
    <row r="157" spans="1:15" ht="60.6" customHeight="1" x14ac:dyDescent="0.25">
      <c r="A157" s="268" t="s">
        <v>102</v>
      </c>
      <c r="B157" s="574" t="s">
        <v>221</v>
      </c>
      <c r="C157" s="554">
        <f>+'01 Prod Physique Boites'!E1151</f>
        <v>1292400</v>
      </c>
      <c r="D157" s="551">
        <f>+'01 Prod Physique Boites'!K1151</f>
        <v>348384</v>
      </c>
      <c r="E157" s="552">
        <f t="shared" si="99"/>
        <v>0.26956360259981432</v>
      </c>
      <c r="F157" s="553">
        <f>+'02 Prod Valorisée Boites'!G1156</f>
        <v>17980420.1241</v>
      </c>
      <c r="G157" s="551">
        <f>+'03 Prod Accessoires'!K638</f>
        <v>1383468</v>
      </c>
      <c r="H157" s="554">
        <f>+'03 Prod Accessoires'!Q638</f>
        <v>9911853.4128999989</v>
      </c>
      <c r="I157" s="554">
        <f>+'02 Prod Valorisée Boites'!J1156</f>
        <v>33163101.879999999</v>
      </c>
      <c r="J157" s="566">
        <f>+'04 Ventes'!I987</f>
        <v>14568801.66</v>
      </c>
      <c r="K157" s="712"/>
      <c r="L157" s="712"/>
      <c r="O157" s="704"/>
    </row>
    <row r="158" spans="1:15" ht="60.6" customHeight="1" thickBot="1" x14ac:dyDescent="0.3">
      <c r="A158" s="892" t="s">
        <v>102</v>
      </c>
      <c r="B158" s="303" t="s">
        <v>222</v>
      </c>
      <c r="C158" s="560"/>
      <c r="D158" s="569"/>
      <c r="E158" s="570" t="str">
        <f t="shared" si="99"/>
        <v>-</v>
      </c>
      <c r="F158" s="571"/>
      <c r="G158" s="557"/>
      <c r="H158" s="560"/>
      <c r="I158" s="560"/>
      <c r="J158" s="568"/>
    </row>
    <row r="159" spans="1:15" s="294" customFormat="1" ht="60.6" customHeight="1" thickBot="1" x14ac:dyDescent="0.3">
      <c r="A159" s="318" t="s">
        <v>102</v>
      </c>
      <c r="B159" s="433" t="s">
        <v>225</v>
      </c>
      <c r="C159" s="562">
        <f>SUM(C157:C158)</f>
        <v>1292400</v>
      </c>
      <c r="D159" s="563">
        <f t="shared" ref="D159" si="105">SUM(D157:D158)</f>
        <v>348384</v>
      </c>
      <c r="E159" s="564">
        <f t="shared" si="99"/>
        <v>0.26956360259981432</v>
      </c>
      <c r="F159" s="565">
        <f t="shared" ref="F159:J159" si="106">SUM(F157:F158)</f>
        <v>17980420.1241</v>
      </c>
      <c r="G159" s="563">
        <f t="shared" si="106"/>
        <v>1383468</v>
      </c>
      <c r="H159" s="565">
        <f t="shared" si="106"/>
        <v>9911853.4128999989</v>
      </c>
      <c r="I159" s="565">
        <f t="shared" si="106"/>
        <v>33163101.879999999</v>
      </c>
      <c r="J159" s="758">
        <f t="shared" si="106"/>
        <v>14568801.66</v>
      </c>
    </row>
    <row r="160" spans="1:15" ht="57.6" customHeight="1" thickBot="1" x14ac:dyDescent="0.3">
      <c r="A160" s="630"/>
      <c r="B160" s="548" t="s">
        <v>174</v>
      </c>
      <c r="C160" s="549">
        <f>+C153+C156+C159</f>
        <v>7473564</v>
      </c>
      <c r="D160" s="575">
        <f t="shared" ref="D160" si="107">+D153+D156+D159</f>
        <v>3632879</v>
      </c>
      <c r="E160" s="576">
        <f>IFERROR(D160/C160,"-")</f>
        <v>0.48609726229681044</v>
      </c>
      <c r="F160" s="575">
        <f>+F153+F156+F159</f>
        <v>65550872.222499996</v>
      </c>
      <c r="G160" s="575">
        <f t="shared" ref="G160:H160" si="108">+G153+G156+G159</f>
        <v>3475168</v>
      </c>
      <c r="H160" s="575">
        <f t="shared" si="108"/>
        <v>19980992.497900002</v>
      </c>
      <c r="I160" s="575">
        <f>+I153+I156+I159</f>
        <v>90928731</v>
      </c>
      <c r="J160" s="631">
        <f t="shared" ref="J160" si="109">+J153+J156+J159</f>
        <v>25791815.100000001</v>
      </c>
    </row>
    <row r="161" spans="1:15" ht="41.45" customHeight="1" x14ac:dyDescent="0.25">
      <c r="A161" s="978" t="s">
        <v>1</v>
      </c>
      <c r="B161" s="984" t="s">
        <v>396</v>
      </c>
      <c r="C161" s="984" t="s">
        <v>226</v>
      </c>
      <c r="D161" s="1072" t="s">
        <v>554</v>
      </c>
      <c r="E161" s="1073"/>
      <c r="F161" s="1073"/>
      <c r="G161" s="1073"/>
      <c r="H161" s="1074"/>
      <c r="I161" s="1075" t="s">
        <v>417</v>
      </c>
      <c r="J161" s="1075" t="s">
        <v>418</v>
      </c>
      <c r="K161" s="229" t="s">
        <v>420</v>
      </c>
    </row>
    <row r="162" spans="1:15" ht="41.45" customHeight="1" x14ac:dyDescent="0.25">
      <c r="A162" s="1054"/>
      <c r="B162" s="1071"/>
      <c r="C162" s="1071"/>
      <c r="D162" s="1078" t="s">
        <v>229</v>
      </c>
      <c r="E162" s="1079"/>
      <c r="F162" s="1080"/>
      <c r="G162" s="1078" t="s">
        <v>227</v>
      </c>
      <c r="H162" s="1080"/>
      <c r="I162" s="1076"/>
      <c r="J162" s="1076"/>
    </row>
    <row r="163" spans="1:15" ht="25.9" customHeight="1" x14ac:dyDescent="0.25">
      <c r="A163" s="979"/>
      <c r="B163" s="985"/>
      <c r="C163" s="985"/>
      <c r="D163" s="1081" t="s">
        <v>415</v>
      </c>
      <c r="E163" s="1083" t="s">
        <v>9</v>
      </c>
      <c r="F163" s="1085" t="s">
        <v>416</v>
      </c>
      <c r="G163" s="1087" t="s">
        <v>228</v>
      </c>
      <c r="H163" s="1089" t="s">
        <v>416</v>
      </c>
      <c r="I163" s="1076"/>
      <c r="J163" s="1076"/>
    </row>
    <row r="164" spans="1:15" ht="25.9" customHeight="1" thickBot="1" x14ac:dyDescent="0.3">
      <c r="A164" s="980"/>
      <c r="B164" s="986"/>
      <c r="C164" s="986"/>
      <c r="D164" s="1082"/>
      <c r="E164" s="1084"/>
      <c r="F164" s="1086"/>
      <c r="G164" s="1088"/>
      <c r="H164" s="1090"/>
      <c r="I164" s="1077"/>
      <c r="J164" s="1077"/>
    </row>
    <row r="165" spans="1:15" ht="60.6" customHeight="1" x14ac:dyDescent="0.25">
      <c r="A165" s="268" t="s">
        <v>103</v>
      </c>
      <c r="B165" s="572" t="s">
        <v>220</v>
      </c>
      <c r="C165" s="550">
        <f>+'01 Prod Physique Boites'!E1189</f>
        <v>3770000</v>
      </c>
      <c r="D165" s="551">
        <f>+'01 Prod Physique Boites'!K1189</f>
        <v>2183552</v>
      </c>
      <c r="E165" s="552">
        <f>IFERROR(D165/C165,"-")</f>
        <v>0.57919151193633955</v>
      </c>
      <c r="F165" s="553">
        <f>+'02 Prod Valorisée Boites'!G1195</f>
        <v>28320450.8616</v>
      </c>
      <c r="G165" s="551">
        <f>+'03 Prod Accessoires'!K649</f>
        <v>1483050</v>
      </c>
      <c r="H165" s="550">
        <f>+'03 Prod Accessoires'!Q649</f>
        <v>8504551.8600000013</v>
      </c>
      <c r="I165" s="550">
        <f>+'02 Prod Valorisée Boites'!J1195</f>
        <v>28748238.799999997</v>
      </c>
      <c r="J165" s="555">
        <f>+'04 Ventes'!I1010</f>
        <v>9688802.8800000008</v>
      </c>
      <c r="K165" s="712"/>
      <c r="L165" s="712"/>
      <c r="O165" s="704"/>
    </row>
    <row r="166" spans="1:15" ht="60.6" customHeight="1" x14ac:dyDescent="0.25">
      <c r="A166" s="909" t="s">
        <v>103</v>
      </c>
      <c r="B166" s="573" t="s">
        <v>221</v>
      </c>
      <c r="C166" s="556">
        <f>+'01 Prod Physique Boites'!E1205</f>
        <v>195500</v>
      </c>
      <c r="D166" s="557">
        <f>+'01 Prod Physique Boites'!K1205</f>
        <v>85340</v>
      </c>
      <c r="E166" s="558">
        <f t="shared" ref="E166:E174" si="110">IFERROR(D166/C166,"-")</f>
        <v>0.43652173913043479</v>
      </c>
      <c r="F166" s="559">
        <f>+'02 Prod Valorisée Boites'!G1211</f>
        <v>1893385.89</v>
      </c>
      <c r="G166" s="557">
        <f>+'03 Prod Accessoires'!K657</f>
        <v>213400</v>
      </c>
      <c r="H166" s="556">
        <f>+'03 Prod Accessoires'!Q657</f>
        <v>1277443.3</v>
      </c>
      <c r="I166" s="560">
        <f>+'02 Prod Valorisée Boites'!J1211</f>
        <v>2298780</v>
      </c>
      <c r="J166" s="561">
        <f>+'04 Ventes'!I1017</f>
        <v>2798493.76</v>
      </c>
      <c r="K166" s="712"/>
      <c r="L166" s="712"/>
      <c r="O166" s="704"/>
    </row>
    <row r="167" spans="1:15" ht="60.6" customHeight="1" thickBot="1" x14ac:dyDescent="0.3">
      <c r="A167" s="274" t="s">
        <v>103</v>
      </c>
      <c r="B167" s="275" t="s">
        <v>222</v>
      </c>
      <c r="C167" s="556"/>
      <c r="D167" s="557"/>
      <c r="E167" s="558" t="str">
        <f t="shared" si="110"/>
        <v>-</v>
      </c>
      <c r="F167" s="559"/>
      <c r="G167" s="557"/>
      <c r="H167" s="560"/>
      <c r="I167" s="560"/>
      <c r="J167" s="561">
        <f>+'04 Ventes'!I1022</f>
        <v>12500</v>
      </c>
    </row>
    <row r="168" spans="1:15" s="294" customFormat="1" ht="60.6" customHeight="1" thickBot="1" x14ac:dyDescent="0.3">
      <c r="A168" s="318" t="s">
        <v>103</v>
      </c>
      <c r="B168" s="433" t="s">
        <v>223</v>
      </c>
      <c r="C168" s="562">
        <f>SUM(C165:C167)</f>
        <v>3965500</v>
      </c>
      <c r="D168" s="563">
        <f t="shared" ref="D168" si="111">SUM(D165:D167)</f>
        <v>2268892</v>
      </c>
      <c r="E168" s="564">
        <f t="shared" si="110"/>
        <v>0.57215786155591986</v>
      </c>
      <c r="F168" s="565">
        <f>SUM(F165:F167)</f>
        <v>30213836.751600001</v>
      </c>
      <c r="G168" s="563">
        <f t="shared" ref="G168:H168" si="112">SUM(G165:G167)</f>
        <v>1696450</v>
      </c>
      <c r="H168" s="565">
        <f t="shared" si="112"/>
        <v>9781995.160000002</v>
      </c>
      <c r="I168" s="565">
        <f>SUM(I165:I167)</f>
        <v>31047018.799999997</v>
      </c>
      <c r="J168" s="758">
        <f t="shared" ref="J168" si="113">SUM(J165:J167)</f>
        <v>12499796.640000001</v>
      </c>
    </row>
    <row r="169" spans="1:15" ht="60.6" customHeight="1" x14ac:dyDescent="0.25">
      <c r="A169" s="268" t="s">
        <v>101</v>
      </c>
      <c r="B169" s="572" t="s">
        <v>220</v>
      </c>
      <c r="C169" s="550">
        <f>+'01 Prod Physique Boites'!E1241</f>
        <v>2215664</v>
      </c>
      <c r="D169" s="551">
        <f>+'01 Prod Physique Boites'!K1241</f>
        <v>1445089</v>
      </c>
      <c r="E169" s="552">
        <f t="shared" si="110"/>
        <v>0.65221486651405625</v>
      </c>
      <c r="F169" s="553">
        <f>+'02 Prod Valorisée Boites'!G1247</f>
        <v>24596668.792799998</v>
      </c>
      <c r="G169" s="551">
        <f>+'03 Prod Accessoires'!K667</f>
        <v>554250</v>
      </c>
      <c r="H169" s="554">
        <f>+'03 Prod Accessoires'!Q667</f>
        <v>1258969.425</v>
      </c>
      <c r="I169" s="550">
        <f>+'02 Prod Valorisée Boites'!J1247</f>
        <v>35361265.680000007</v>
      </c>
      <c r="J169" s="566">
        <f>+'04 Ventes'!I1054</f>
        <v>0</v>
      </c>
      <c r="L169" s="712"/>
      <c r="O169" s="704"/>
    </row>
    <row r="170" spans="1:15" ht="60.6" customHeight="1" thickBot="1" x14ac:dyDescent="0.3">
      <c r="A170" s="909" t="s">
        <v>101</v>
      </c>
      <c r="B170" s="295" t="s">
        <v>222</v>
      </c>
      <c r="C170" s="567"/>
      <c r="D170" s="557"/>
      <c r="E170" s="558" t="str">
        <f t="shared" si="110"/>
        <v>-</v>
      </c>
      <c r="F170" s="559"/>
      <c r="G170" s="557"/>
      <c r="H170" s="560"/>
      <c r="I170" s="560"/>
      <c r="J170" s="568"/>
    </row>
    <row r="171" spans="1:15" s="294" customFormat="1" ht="60.6" customHeight="1" thickBot="1" x14ac:dyDescent="0.3">
      <c r="A171" s="318" t="s">
        <v>101</v>
      </c>
      <c r="B171" s="433" t="s">
        <v>224</v>
      </c>
      <c r="C171" s="562">
        <f>SUM(C169:C170)</f>
        <v>2215664</v>
      </c>
      <c r="D171" s="563">
        <f t="shared" ref="D171" si="114">SUM(D169:D170)</f>
        <v>1445089</v>
      </c>
      <c r="E171" s="564">
        <f t="shared" si="110"/>
        <v>0.65221486651405625</v>
      </c>
      <c r="F171" s="565">
        <f t="shared" ref="F171:J171" si="115">SUM(F169:F170)</f>
        <v>24596668.792799998</v>
      </c>
      <c r="G171" s="563">
        <f t="shared" si="115"/>
        <v>554250</v>
      </c>
      <c r="H171" s="565">
        <f t="shared" si="115"/>
        <v>1258969.425</v>
      </c>
      <c r="I171" s="565">
        <f t="shared" si="115"/>
        <v>35361265.680000007</v>
      </c>
      <c r="J171" s="758">
        <f t="shared" si="115"/>
        <v>0</v>
      </c>
    </row>
    <row r="172" spans="1:15" ht="60.6" customHeight="1" x14ac:dyDescent="0.25">
      <c r="A172" s="268" t="s">
        <v>102</v>
      </c>
      <c r="B172" s="574" t="s">
        <v>221</v>
      </c>
      <c r="C172" s="554">
        <f>+'01 Prod Physique Boites'!E1268</f>
        <v>1292400</v>
      </c>
      <c r="D172" s="551">
        <f>+'01 Prod Physique Boites'!K1268</f>
        <v>396543</v>
      </c>
      <c r="E172" s="552">
        <f t="shared" si="110"/>
        <v>0.30682683379758591</v>
      </c>
      <c r="F172" s="553">
        <f>+'02 Prod Valorisée Boites'!G1273</f>
        <v>19762993.9113</v>
      </c>
      <c r="G172" s="551">
        <f>+'03 Prod Accessoires'!K701</f>
        <v>1540518</v>
      </c>
      <c r="H172" s="554">
        <f>+'03 Prod Accessoires'!Q701</f>
        <v>11448673.2579</v>
      </c>
      <c r="I172" s="554">
        <f>+'02 Prod Valorisée Boites'!J1273</f>
        <v>36581934.519999996</v>
      </c>
      <c r="J172" s="566">
        <f>+'04 Ventes'!I1081</f>
        <v>17243806.300000001</v>
      </c>
      <c r="K172" s="712"/>
      <c r="L172" s="712"/>
      <c r="O172" s="704"/>
    </row>
    <row r="173" spans="1:15" ht="60.6" customHeight="1" thickBot="1" x14ac:dyDescent="0.3">
      <c r="A173" s="909" t="s">
        <v>102</v>
      </c>
      <c r="B173" s="303" t="s">
        <v>222</v>
      </c>
      <c r="C173" s="560"/>
      <c r="D173" s="569"/>
      <c r="E173" s="570" t="str">
        <f t="shared" si="110"/>
        <v>-</v>
      </c>
      <c r="F173" s="571"/>
      <c r="G173" s="557"/>
      <c r="H173" s="560"/>
      <c r="I173" s="560"/>
      <c r="J173" s="568"/>
    </row>
    <row r="174" spans="1:15" s="294" customFormat="1" ht="60.6" customHeight="1" thickBot="1" x14ac:dyDescent="0.3">
      <c r="A174" s="318" t="s">
        <v>102</v>
      </c>
      <c r="B174" s="433" t="s">
        <v>225</v>
      </c>
      <c r="C174" s="562">
        <f>SUM(C172:C173)</f>
        <v>1292400</v>
      </c>
      <c r="D174" s="563">
        <f t="shared" ref="D174" si="116">SUM(D172:D173)</f>
        <v>396543</v>
      </c>
      <c r="E174" s="564">
        <f t="shared" si="110"/>
        <v>0.30682683379758591</v>
      </c>
      <c r="F174" s="565">
        <f t="shared" ref="F174:J174" si="117">SUM(F172:F173)</f>
        <v>19762993.9113</v>
      </c>
      <c r="G174" s="563">
        <f t="shared" si="117"/>
        <v>1540518</v>
      </c>
      <c r="H174" s="565">
        <f t="shared" si="117"/>
        <v>11448673.2579</v>
      </c>
      <c r="I174" s="565">
        <f t="shared" si="117"/>
        <v>36581934.519999996</v>
      </c>
      <c r="J174" s="758">
        <f t="shared" si="117"/>
        <v>17243806.300000001</v>
      </c>
    </row>
    <row r="175" spans="1:15" ht="57.6" customHeight="1" thickBot="1" x14ac:dyDescent="0.3">
      <c r="A175" s="630"/>
      <c r="B175" s="548" t="s">
        <v>174</v>
      </c>
      <c r="C175" s="549">
        <f>+C168+C171+C174</f>
        <v>7473564</v>
      </c>
      <c r="D175" s="575">
        <f t="shared" ref="D175" si="118">+D168+D171+D174</f>
        <v>4110524</v>
      </c>
      <c r="E175" s="576">
        <f>IFERROR(D175/C175,"-")</f>
        <v>0.55000853675702788</v>
      </c>
      <c r="F175" s="575">
        <f>+F168+F171+F174</f>
        <v>74573499.455699995</v>
      </c>
      <c r="G175" s="575">
        <f t="shared" ref="G175:H175" si="119">+G168+G171+G174</f>
        <v>3791218</v>
      </c>
      <c r="H175" s="575">
        <f t="shared" si="119"/>
        <v>22489637.842900001</v>
      </c>
      <c r="I175" s="575">
        <f>+I168+I171+I174</f>
        <v>102990219</v>
      </c>
      <c r="J175" s="631">
        <f t="shared" ref="J175" si="120">+J168+J171+J174</f>
        <v>29743602.940000001</v>
      </c>
    </row>
    <row r="176" spans="1:15" ht="36.75" customHeight="1" x14ac:dyDescent="0.25">
      <c r="A176" s="978" t="s">
        <v>1</v>
      </c>
      <c r="B176" s="984" t="s">
        <v>396</v>
      </c>
      <c r="C176" s="984" t="s">
        <v>226</v>
      </c>
      <c r="D176" s="1072" t="s">
        <v>558</v>
      </c>
      <c r="E176" s="1073"/>
      <c r="F176" s="1073"/>
      <c r="G176" s="1073"/>
      <c r="H176" s="1074"/>
      <c r="I176" s="1075" t="s">
        <v>417</v>
      </c>
      <c r="J176" s="1075" t="s">
        <v>418</v>
      </c>
    </row>
    <row r="177" spans="1:10" ht="35.25" customHeight="1" x14ac:dyDescent="0.25">
      <c r="A177" s="1054"/>
      <c r="B177" s="1071"/>
      <c r="C177" s="1071"/>
      <c r="D177" s="1078" t="s">
        <v>229</v>
      </c>
      <c r="E177" s="1079"/>
      <c r="F177" s="1080"/>
      <c r="G177" s="1078" t="s">
        <v>227</v>
      </c>
      <c r="H177" s="1080"/>
      <c r="I177" s="1076"/>
      <c r="J177" s="1076"/>
    </row>
    <row r="178" spans="1:10" ht="30" customHeight="1" x14ac:dyDescent="0.25">
      <c r="A178" s="979"/>
      <c r="B178" s="985"/>
      <c r="C178" s="985"/>
      <c r="D178" s="1081" t="s">
        <v>415</v>
      </c>
      <c r="E178" s="1083" t="s">
        <v>9</v>
      </c>
      <c r="F178" s="1085" t="s">
        <v>416</v>
      </c>
      <c r="G178" s="1087" t="s">
        <v>228</v>
      </c>
      <c r="H178" s="1089" t="s">
        <v>416</v>
      </c>
      <c r="I178" s="1076"/>
      <c r="J178" s="1076"/>
    </row>
    <row r="179" spans="1:10" ht="50.25" customHeight="1" thickBot="1" x14ac:dyDescent="0.3">
      <c r="A179" s="980"/>
      <c r="B179" s="986"/>
      <c r="C179" s="986"/>
      <c r="D179" s="1082"/>
      <c r="E179" s="1084"/>
      <c r="F179" s="1086"/>
      <c r="G179" s="1088"/>
      <c r="H179" s="1090"/>
      <c r="I179" s="1077"/>
      <c r="J179" s="1077"/>
    </row>
    <row r="180" spans="1:10" ht="71.25" customHeight="1" x14ac:dyDescent="0.25">
      <c r="A180" s="268" t="s">
        <v>103</v>
      </c>
      <c r="B180" s="572" t="s">
        <v>220</v>
      </c>
      <c r="C180" s="550">
        <v>3770000</v>
      </c>
      <c r="D180" s="551">
        <f>'01 Prod Physique Boites'!K1306</f>
        <v>2386702</v>
      </c>
      <c r="E180" s="552">
        <f>IFERROR(D180/C180,"-")</f>
        <v>0.63307745358090184</v>
      </c>
      <c r="F180" s="553">
        <f>'02 Prod Valorisée Boites'!G1312</f>
        <v>31341097.083999999</v>
      </c>
      <c r="G180" s="551">
        <f>'03 Prod Accessoires'!K712</f>
        <v>1571770</v>
      </c>
      <c r="H180" s="550">
        <f>'03 Prod Accessoires'!Q712</f>
        <v>8875287.6600000001</v>
      </c>
      <c r="I180" s="550">
        <f>'02 Prod Valorisée Boites'!J1312</f>
        <v>32931568.399999999</v>
      </c>
      <c r="J180" s="555">
        <f>'04 Ventes'!I1104</f>
        <v>11519723.359999999</v>
      </c>
    </row>
    <row r="181" spans="1:10" ht="65.25" customHeight="1" x14ac:dyDescent="0.25">
      <c r="A181" s="926" t="s">
        <v>103</v>
      </c>
      <c r="B181" s="573" t="s">
        <v>221</v>
      </c>
      <c r="C181" s="556">
        <v>195500</v>
      </c>
      <c r="D181" s="557">
        <f>'01 Prod Physique Boites'!K1322</f>
        <v>119090</v>
      </c>
      <c r="E181" s="558">
        <f t="shared" ref="E181:E189" si="121">IFERROR(D181/C181,"-")</f>
        <v>0.60915601023017907</v>
      </c>
      <c r="F181" s="559">
        <f>'02 Prod Valorisée Boites'!G1328</f>
        <v>2641933.7999999998</v>
      </c>
      <c r="G181" s="557">
        <f>'03 Prod Accessoires'!K720</f>
        <v>222400</v>
      </c>
      <c r="H181" s="556">
        <f>'03 Prod Accessoires'!Q720</f>
        <v>1385708.8</v>
      </c>
      <c r="I181" s="560">
        <f>'02 Prod Valorisée Boites'!J1328</f>
        <v>3207600</v>
      </c>
      <c r="J181" s="561">
        <f>'04 Ventes'!I1111</f>
        <v>2798493.76</v>
      </c>
    </row>
    <row r="182" spans="1:10" ht="31.5" thickBot="1" x14ac:dyDescent="0.3">
      <c r="A182" s="274" t="s">
        <v>103</v>
      </c>
      <c r="B182" s="275" t="s">
        <v>222</v>
      </c>
      <c r="C182" s="556"/>
      <c r="D182" s="557"/>
      <c r="E182" s="558" t="str">
        <f t="shared" si="121"/>
        <v>-</v>
      </c>
      <c r="F182" s="559"/>
      <c r="G182" s="557"/>
      <c r="H182" s="560"/>
      <c r="I182" s="560"/>
      <c r="J182" s="561">
        <f>'04 Ventes'!I1116</f>
        <v>12500</v>
      </c>
    </row>
    <row r="183" spans="1:10" ht="30" thickBot="1" x14ac:dyDescent="0.3">
      <c r="A183" s="318" t="s">
        <v>103</v>
      </c>
      <c r="B183" s="433" t="s">
        <v>223</v>
      </c>
      <c r="C183" s="562">
        <f>SUM(C180:C182)</f>
        <v>3965500</v>
      </c>
      <c r="D183" s="563">
        <f t="shared" ref="D183" si="122">SUM(D180:D182)</f>
        <v>2505792</v>
      </c>
      <c r="E183" s="564">
        <f t="shared" si="121"/>
        <v>0.6318981212961795</v>
      </c>
      <c r="F183" s="565">
        <f>SUM(F180:F182)</f>
        <v>33983030.883999996</v>
      </c>
      <c r="G183" s="563">
        <f t="shared" ref="G183:H183" si="123">SUM(G180:G182)</f>
        <v>1794170</v>
      </c>
      <c r="H183" s="565">
        <f t="shared" si="123"/>
        <v>10260996.460000001</v>
      </c>
      <c r="I183" s="565">
        <f>SUM(I180:I182)</f>
        <v>36139168.399999999</v>
      </c>
      <c r="J183" s="758">
        <f t="shared" ref="J183" si="124">SUM(J180:J182)</f>
        <v>14330717.119999999</v>
      </c>
    </row>
    <row r="184" spans="1:10" ht="65.25" customHeight="1" x14ac:dyDescent="0.25">
      <c r="A184" s="268" t="s">
        <v>101</v>
      </c>
      <c r="B184" s="572" t="s">
        <v>220</v>
      </c>
      <c r="C184" s="550">
        <v>2215664</v>
      </c>
      <c r="D184" s="551">
        <f>'01 Prod Physique Boites'!K1358</f>
        <v>1504770</v>
      </c>
      <c r="E184" s="552">
        <f t="shared" si="121"/>
        <v>0.67915080987008858</v>
      </c>
      <c r="F184" s="553">
        <f>'02 Prod Valorisée Boites'!G1363</f>
        <v>25829659.720800001</v>
      </c>
      <c r="G184" s="551">
        <f>'03 Prod Accessoires'!K730</f>
        <v>654250</v>
      </c>
      <c r="H184" s="554">
        <f>'03 Prod Accessoires'!Q730</f>
        <v>1480379.425</v>
      </c>
      <c r="I184" s="550">
        <f>'02 Prod Valorisée Boites'!J1364</f>
        <v>37405779.839999996</v>
      </c>
      <c r="J184" s="566">
        <f>'04 Ventes'!I1148</f>
        <v>0</v>
      </c>
    </row>
    <row r="185" spans="1:10" ht="60" customHeight="1" thickBot="1" x14ac:dyDescent="0.3">
      <c r="A185" s="926" t="s">
        <v>101</v>
      </c>
      <c r="B185" s="295" t="s">
        <v>222</v>
      </c>
      <c r="C185" s="567"/>
      <c r="D185" s="557"/>
      <c r="E185" s="558" t="str">
        <f t="shared" si="121"/>
        <v>-</v>
      </c>
      <c r="F185" s="559"/>
      <c r="G185" s="557"/>
      <c r="H185" s="560"/>
      <c r="I185" s="560"/>
      <c r="J185" s="568"/>
    </row>
    <row r="186" spans="1:10" ht="30" thickBot="1" x14ac:dyDescent="0.3">
      <c r="A186" s="318" t="s">
        <v>101</v>
      </c>
      <c r="B186" s="433" t="s">
        <v>224</v>
      </c>
      <c r="C186" s="562">
        <f>SUM(C184:C185)</f>
        <v>2215664</v>
      </c>
      <c r="D186" s="563">
        <f t="shared" ref="D186" si="125">SUM(D184:D185)</f>
        <v>1504770</v>
      </c>
      <c r="E186" s="564">
        <f t="shared" si="121"/>
        <v>0.67915080987008858</v>
      </c>
      <c r="F186" s="565">
        <f t="shared" ref="F186:J186" si="126">SUM(F184:F185)</f>
        <v>25829659.720800001</v>
      </c>
      <c r="G186" s="563">
        <f t="shared" si="126"/>
        <v>654250</v>
      </c>
      <c r="H186" s="565">
        <f t="shared" si="126"/>
        <v>1480379.425</v>
      </c>
      <c r="I186" s="565">
        <f t="shared" si="126"/>
        <v>37405779.839999996</v>
      </c>
      <c r="J186" s="758">
        <f t="shared" si="126"/>
        <v>0</v>
      </c>
    </row>
    <row r="187" spans="1:10" ht="55.5" customHeight="1" x14ac:dyDescent="0.25">
      <c r="A187" s="268" t="s">
        <v>102</v>
      </c>
      <c r="B187" s="574" t="s">
        <v>221</v>
      </c>
      <c r="C187" s="554">
        <v>1292400</v>
      </c>
      <c r="D187" s="551">
        <f>'01 Prod Physique Boites'!K1385</f>
        <v>437270</v>
      </c>
      <c r="E187" s="552">
        <f t="shared" si="121"/>
        <v>0.33833952336737855</v>
      </c>
      <c r="F187" s="553">
        <f>'02 Prod Valorisée Boites'!G1390</f>
        <v>21264861.495300002</v>
      </c>
      <c r="G187" s="551">
        <f>'03 Prod Accessoires'!K764</f>
        <v>1637388</v>
      </c>
      <c r="H187" s="554">
        <f>'03 Prod Accessoires'!Q764</f>
        <v>12205030.849900002</v>
      </c>
      <c r="I187" s="554">
        <f>'02 Prod Valorisée Boites'!J1390</f>
        <v>39462395.319999993</v>
      </c>
      <c r="J187" s="566">
        <f>'04 Ventes'!I1175</f>
        <v>23314432.539999999</v>
      </c>
    </row>
    <row r="188" spans="1:10" ht="52.5" customHeight="1" thickBot="1" x14ac:dyDescent="0.3">
      <c r="A188" s="926" t="s">
        <v>102</v>
      </c>
      <c r="B188" s="303" t="s">
        <v>222</v>
      </c>
      <c r="C188" s="560"/>
      <c r="D188" s="569"/>
      <c r="E188" s="570" t="str">
        <f t="shared" si="121"/>
        <v>-</v>
      </c>
      <c r="F188" s="571"/>
      <c r="G188" s="557"/>
      <c r="H188" s="560"/>
      <c r="I188" s="560"/>
      <c r="J188" s="568"/>
    </row>
    <row r="189" spans="1:10" ht="56.25" customHeight="1" thickBot="1" x14ac:dyDescent="0.3">
      <c r="A189" s="318" t="s">
        <v>102</v>
      </c>
      <c r="B189" s="433" t="s">
        <v>225</v>
      </c>
      <c r="C189" s="562">
        <f>SUM(C187:C188)</f>
        <v>1292400</v>
      </c>
      <c r="D189" s="563">
        <f t="shared" ref="D189" si="127">SUM(D187:D188)</f>
        <v>437270</v>
      </c>
      <c r="E189" s="564">
        <f t="shared" si="121"/>
        <v>0.33833952336737855</v>
      </c>
      <c r="F189" s="565">
        <f t="shared" ref="F189:J189" si="128">SUM(F187:F188)</f>
        <v>21264861.495300002</v>
      </c>
      <c r="G189" s="563">
        <f t="shared" si="128"/>
        <v>1637388</v>
      </c>
      <c r="H189" s="565">
        <f t="shared" si="128"/>
        <v>12205030.849900002</v>
      </c>
      <c r="I189" s="565">
        <f t="shared" si="128"/>
        <v>39462395.319999993</v>
      </c>
      <c r="J189" s="758">
        <f t="shared" si="128"/>
        <v>23314432.539999999</v>
      </c>
    </row>
    <row r="190" spans="1:10" ht="33" thickBot="1" x14ac:dyDescent="0.3">
      <c r="A190" s="630"/>
      <c r="B190" s="548" t="s">
        <v>174</v>
      </c>
      <c r="C190" s="549">
        <f>+C183+C186+C189</f>
        <v>7473564</v>
      </c>
      <c r="D190" s="575">
        <f t="shared" ref="D190" si="129">+D183+D186+D189</f>
        <v>4447832</v>
      </c>
      <c r="E190" s="576">
        <f>IFERROR(D190/C190,"-")</f>
        <v>0.59514202327028976</v>
      </c>
      <c r="F190" s="575">
        <f>+F183+F186+F189</f>
        <v>81077552.100100011</v>
      </c>
      <c r="G190" s="575">
        <f t="shared" ref="G190:H190" si="130">+G183+G186+G189</f>
        <v>4085808</v>
      </c>
      <c r="H190" s="575">
        <f t="shared" si="130"/>
        <v>23946406.734900005</v>
      </c>
      <c r="I190" s="575">
        <f>+I183+I186+I189</f>
        <v>113007343.55999999</v>
      </c>
      <c r="J190" s="631">
        <f t="shared" ref="J190" si="131">+J183+J186+J189</f>
        <v>37645149.659999996</v>
      </c>
    </row>
    <row r="191" spans="1:10" ht="19.5" customHeight="1" x14ac:dyDescent="0.25"/>
  </sheetData>
  <mergeCells count="157">
    <mergeCell ref="A146:A149"/>
    <mergeCell ref="B146:B149"/>
    <mergeCell ref="C146:C149"/>
    <mergeCell ref="D146:H146"/>
    <mergeCell ref="I146:I149"/>
    <mergeCell ref="J146:J149"/>
    <mergeCell ref="D147:F147"/>
    <mergeCell ref="G147:H147"/>
    <mergeCell ref="D148:D149"/>
    <mergeCell ref="E148:E149"/>
    <mergeCell ref="F148:F149"/>
    <mergeCell ref="G148:G149"/>
    <mergeCell ref="H148:H149"/>
    <mergeCell ref="A41:A44"/>
    <mergeCell ref="B41:B44"/>
    <mergeCell ref="C41:C44"/>
    <mergeCell ref="D41:H41"/>
    <mergeCell ref="I41:I44"/>
    <mergeCell ref="J41:J44"/>
    <mergeCell ref="D42:F42"/>
    <mergeCell ref="G42:H42"/>
    <mergeCell ref="D43:D44"/>
    <mergeCell ref="E43:E44"/>
    <mergeCell ref="F43:F44"/>
    <mergeCell ref="G43:G44"/>
    <mergeCell ref="H43:H44"/>
    <mergeCell ref="A26:A29"/>
    <mergeCell ref="B26:B29"/>
    <mergeCell ref="C26:C29"/>
    <mergeCell ref="D26:H26"/>
    <mergeCell ref="I26:I29"/>
    <mergeCell ref="J26:J29"/>
    <mergeCell ref="D27:F27"/>
    <mergeCell ref="G27:H27"/>
    <mergeCell ref="D28:D29"/>
    <mergeCell ref="E28:E29"/>
    <mergeCell ref="F28:F29"/>
    <mergeCell ref="G28:G29"/>
    <mergeCell ref="H28:H29"/>
    <mergeCell ref="A9:J9"/>
    <mergeCell ref="A11:A14"/>
    <mergeCell ref="B11:B14"/>
    <mergeCell ref="C11:C14"/>
    <mergeCell ref="D11:H11"/>
    <mergeCell ref="I11:I14"/>
    <mergeCell ref="J11:J14"/>
    <mergeCell ref="D12:F12"/>
    <mergeCell ref="G12:H12"/>
    <mergeCell ref="D13:D14"/>
    <mergeCell ref="E13:E14"/>
    <mergeCell ref="F13:F14"/>
    <mergeCell ref="G13:G14"/>
    <mergeCell ref="H13:H14"/>
    <mergeCell ref="J56:J59"/>
    <mergeCell ref="D57:F57"/>
    <mergeCell ref="G57:H57"/>
    <mergeCell ref="D58:D59"/>
    <mergeCell ref="E58:E59"/>
    <mergeCell ref="F58:F59"/>
    <mergeCell ref="G58:G59"/>
    <mergeCell ref="H58:H59"/>
    <mergeCell ref="A56:A59"/>
    <mergeCell ref="B56:B59"/>
    <mergeCell ref="C56:C59"/>
    <mergeCell ref="D56:H56"/>
    <mergeCell ref="I56:I59"/>
    <mergeCell ref="J71:J74"/>
    <mergeCell ref="D72:F72"/>
    <mergeCell ref="G72:H72"/>
    <mergeCell ref="D73:D74"/>
    <mergeCell ref="E73:E74"/>
    <mergeCell ref="F73:F74"/>
    <mergeCell ref="G73:G74"/>
    <mergeCell ref="H73:H74"/>
    <mergeCell ref="A71:A74"/>
    <mergeCell ref="B71:B74"/>
    <mergeCell ref="C71:C74"/>
    <mergeCell ref="D71:H71"/>
    <mergeCell ref="I71:I74"/>
    <mergeCell ref="J86:J89"/>
    <mergeCell ref="D87:F87"/>
    <mergeCell ref="G87:H87"/>
    <mergeCell ref="D88:D89"/>
    <mergeCell ref="E88:E89"/>
    <mergeCell ref="F88:F89"/>
    <mergeCell ref="G88:G89"/>
    <mergeCell ref="H88:H89"/>
    <mergeCell ref="A86:A89"/>
    <mergeCell ref="B86:B89"/>
    <mergeCell ref="C86:C89"/>
    <mergeCell ref="D86:H86"/>
    <mergeCell ref="I86:I89"/>
    <mergeCell ref="J101:J104"/>
    <mergeCell ref="D102:F102"/>
    <mergeCell ref="G102:H102"/>
    <mergeCell ref="D103:D104"/>
    <mergeCell ref="E103:E104"/>
    <mergeCell ref="F103:F104"/>
    <mergeCell ref="G103:G104"/>
    <mergeCell ref="H103:H104"/>
    <mergeCell ref="A101:A104"/>
    <mergeCell ref="B101:B104"/>
    <mergeCell ref="C101:C104"/>
    <mergeCell ref="D101:H101"/>
    <mergeCell ref="I101:I104"/>
    <mergeCell ref="J116:J119"/>
    <mergeCell ref="D117:F117"/>
    <mergeCell ref="G117:H117"/>
    <mergeCell ref="D118:D119"/>
    <mergeCell ref="E118:E119"/>
    <mergeCell ref="F118:F119"/>
    <mergeCell ref="G118:G119"/>
    <mergeCell ref="H118:H119"/>
    <mergeCell ref="A116:A119"/>
    <mergeCell ref="B116:B119"/>
    <mergeCell ref="C116:C119"/>
    <mergeCell ref="D116:H116"/>
    <mergeCell ref="I116:I119"/>
    <mergeCell ref="A131:A134"/>
    <mergeCell ref="B131:B134"/>
    <mergeCell ref="C131:C134"/>
    <mergeCell ref="D131:H131"/>
    <mergeCell ref="I131:I134"/>
    <mergeCell ref="J131:J134"/>
    <mergeCell ref="D132:F132"/>
    <mergeCell ref="G132:H132"/>
    <mergeCell ref="D133:D134"/>
    <mergeCell ref="E133:E134"/>
    <mergeCell ref="F133:F134"/>
    <mergeCell ref="G133:G134"/>
    <mergeCell ref="H133:H134"/>
    <mergeCell ref="A161:A164"/>
    <mergeCell ref="B161:B164"/>
    <mergeCell ref="C161:C164"/>
    <mergeCell ref="D161:H161"/>
    <mergeCell ref="I161:I164"/>
    <mergeCell ref="J161:J164"/>
    <mergeCell ref="D162:F162"/>
    <mergeCell ref="G162:H162"/>
    <mergeCell ref="D163:D164"/>
    <mergeCell ref="E163:E164"/>
    <mergeCell ref="F163:F164"/>
    <mergeCell ref="G163:G164"/>
    <mergeCell ref="H163:H164"/>
    <mergeCell ref="A176:A179"/>
    <mergeCell ref="B176:B179"/>
    <mergeCell ref="C176:C179"/>
    <mergeCell ref="D176:H176"/>
    <mergeCell ref="I176:I179"/>
    <mergeCell ref="J176:J179"/>
    <mergeCell ref="D177:F177"/>
    <mergeCell ref="G177:H177"/>
    <mergeCell ref="D178:D179"/>
    <mergeCell ref="E178:E179"/>
    <mergeCell ref="F178:F179"/>
    <mergeCell ref="G178:G179"/>
    <mergeCell ref="H178:H179"/>
  </mergeCells>
  <pageMargins left="0.19685039370078741" right="0.19685039370078741" top="0.19685039370078741" bottom="0.19685039370078741" header="0.19685039370078741" footer="0.19685039370078741"/>
  <pageSetup paperSize="9" scale="10" orientation="landscape" verticalDpi="300" r:id="rId1"/>
  <rowBreaks count="11" manualBreakCount="11">
    <brk id="25" max="9" man="1"/>
    <brk id="40" max="9" man="1"/>
    <brk id="55" max="9" man="1"/>
    <brk id="70" max="9" man="1"/>
    <brk id="85" max="9" man="1"/>
    <brk id="100" max="9" man="1"/>
    <brk id="115" max="9" man="1"/>
    <brk id="130" max="9" man="1"/>
    <brk id="145" max="9" man="1"/>
    <brk id="160" max="9" man="1"/>
    <brk id="175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7:T279"/>
  <sheetViews>
    <sheetView view="pageBreakPreview" topLeftCell="A10" zoomScale="48" zoomScaleNormal="70" zoomScaleSheetLayoutView="48" workbookViewId="0">
      <selection activeCell="J21" sqref="J21"/>
    </sheetView>
  </sheetViews>
  <sheetFormatPr baseColWidth="10" defaultColWidth="9.140625" defaultRowHeight="16.5" x14ac:dyDescent="0.25"/>
  <cols>
    <col min="1" max="1" width="10.140625" style="229" customWidth="1"/>
    <col min="2" max="2" width="32.42578125" style="221" customWidth="1"/>
    <col min="3" max="3" width="32.28515625" style="222" customWidth="1"/>
    <col min="4" max="4" width="33.140625" style="222" customWidth="1"/>
    <col min="5" max="5" width="32.28515625" style="223" customWidth="1"/>
    <col min="6" max="7" width="24.7109375" style="222" customWidth="1"/>
    <col min="8" max="8" width="24.7109375" style="224" customWidth="1"/>
    <col min="9" max="9" width="24.7109375" style="223" customWidth="1"/>
    <col min="10" max="10" width="21.140625" style="222" customWidth="1"/>
    <col min="11" max="12" width="15.7109375" style="222" customWidth="1"/>
    <col min="13" max="13" width="17.140625" style="262" customWidth="1"/>
    <col min="14" max="15" width="15.7109375" style="222" customWidth="1"/>
    <col min="16" max="16" width="20.7109375" style="262" customWidth="1"/>
    <col min="17" max="18" width="15.7109375" style="222" customWidth="1"/>
    <col min="19" max="19" width="16.140625" style="224" customWidth="1"/>
    <col min="20" max="20" width="23.28515625" style="224" bestFit="1" customWidth="1"/>
    <col min="21" max="16384" width="9.140625" style="229"/>
  </cols>
  <sheetData>
    <row r="7" spans="1:20" ht="67.150000000000006" customHeight="1" x14ac:dyDescent="0.25">
      <c r="A7" s="220" t="s">
        <v>0</v>
      </c>
      <c r="K7" s="225"/>
      <c r="L7" s="225"/>
      <c r="M7" s="226"/>
      <c r="N7" s="227"/>
      <c r="O7" s="227"/>
      <c r="P7" s="227"/>
      <c r="Q7" s="227"/>
      <c r="R7" s="225"/>
      <c r="S7" s="228"/>
    </row>
    <row r="9" spans="1:20" ht="81" customHeight="1" x14ac:dyDescent="0.25">
      <c r="A9" s="1007" t="s">
        <v>482</v>
      </c>
      <c r="B9" s="1008"/>
      <c r="C9" s="1008"/>
      <c r="D9" s="1008"/>
      <c r="E9" s="1008"/>
      <c r="F9" s="1008"/>
      <c r="G9" s="1008"/>
      <c r="H9" s="1008"/>
      <c r="I9" s="1008"/>
      <c r="J9" s="1008"/>
      <c r="K9" s="1008"/>
      <c r="L9" s="1008"/>
      <c r="M9" s="1008"/>
      <c r="N9" s="1008"/>
      <c r="O9" s="1008"/>
      <c r="P9" s="1008"/>
      <c r="Q9" s="1008"/>
      <c r="R9" s="1008"/>
      <c r="S9" s="1008"/>
      <c r="T9" s="1008"/>
    </row>
    <row r="10" spans="1:20" ht="24.6" customHeight="1" x14ac:dyDescent="0.25">
      <c r="A10" s="230"/>
      <c r="B10" s="231"/>
      <c r="C10" s="232"/>
      <c r="D10" s="232"/>
      <c r="E10" s="232"/>
      <c r="F10" s="232"/>
      <c r="G10" s="233"/>
      <c r="H10" s="234"/>
      <c r="I10" s="232"/>
      <c r="J10" s="232"/>
      <c r="K10" s="232"/>
      <c r="L10" s="232"/>
      <c r="M10" s="234"/>
      <c r="N10" s="232"/>
      <c r="O10" s="232"/>
      <c r="P10" s="234"/>
      <c r="Q10" s="232"/>
      <c r="R10" s="232"/>
      <c r="S10" s="234"/>
      <c r="T10" s="234"/>
    </row>
    <row r="11" spans="1:20" ht="24.6" customHeight="1" thickBot="1" x14ac:dyDescent="0.3">
      <c r="A11" s="230"/>
      <c r="B11" s="231"/>
      <c r="C11" s="232"/>
      <c r="D11" s="232"/>
      <c r="E11" s="232"/>
      <c r="F11" s="232"/>
      <c r="G11" s="233"/>
      <c r="H11" s="234"/>
      <c r="I11" s="232"/>
      <c r="J11" s="232"/>
      <c r="K11" s="232"/>
      <c r="L11" s="232"/>
      <c r="M11" s="234"/>
      <c r="N11" s="232"/>
      <c r="O11" s="232"/>
      <c r="P11" s="234"/>
      <c r="Q11" s="232"/>
      <c r="R11" s="232"/>
      <c r="S11" s="234"/>
      <c r="T11" s="234"/>
    </row>
    <row r="12" spans="1:20" ht="28.5" customHeight="1" x14ac:dyDescent="0.25">
      <c r="A12" s="1033" t="s">
        <v>1</v>
      </c>
      <c r="B12" s="1033" t="s">
        <v>2</v>
      </c>
      <c r="C12" s="987" t="s">
        <v>207</v>
      </c>
      <c r="D12" s="988"/>
      <c r="E12" s="989"/>
      <c r="F12" s="987" t="s">
        <v>560</v>
      </c>
      <c r="G12" s="988"/>
      <c r="H12" s="988"/>
      <c r="I12" s="989"/>
      <c r="J12" s="1033" t="s">
        <v>204</v>
      </c>
      <c r="K12" s="987" t="s">
        <v>192</v>
      </c>
      <c r="L12" s="988"/>
      <c r="M12" s="989"/>
      <c r="N12" s="987" t="s">
        <v>193</v>
      </c>
      <c r="O12" s="988"/>
      <c r="P12" s="989"/>
      <c r="Q12" s="987" t="s">
        <v>194</v>
      </c>
      <c r="R12" s="988"/>
      <c r="S12" s="989"/>
      <c r="T12" s="1091" t="s">
        <v>191</v>
      </c>
    </row>
    <row r="13" spans="1:20" ht="91.5" customHeight="1" thickBot="1" x14ac:dyDescent="0.3">
      <c r="A13" s="1035"/>
      <c r="B13" s="1035"/>
      <c r="C13" s="235" t="s">
        <v>208</v>
      </c>
      <c r="D13" s="236" t="s">
        <v>205</v>
      </c>
      <c r="E13" s="237" t="s">
        <v>206</v>
      </c>
      <c r="F13" s="238" t="s">
        <v>326</v>
      </c>
      <c r="G13" s="236" t="s">
        <v>201</v>
      </c>
      <c r="H13" s="239" t="s">
        <v>202</v>
      </c>
      <c r="I13" s="240" t="s">
        <v>203</v>
      </c>
      <c r="J13" s="1035"/>
      <c r="K13" s="235" t="s">
        <v>195</v>
      </c>
      <c r="L13" s="239" t="s">
        <v>196</v>
      </c>
      <c r="M13" s="241" t="s">
        <v>209</v>
      </c>
      <c r="N13" s="242" t="s">
        <v>197</v>
      </c>
      <c r="O13" s="239" t="s">
        <v>198</v>
      </c>
      <c r="P13" s="241" t="s">
        <v>210</v>
      </c>
      <c r="Q13" s="235" t="s">
        <v>199</v>
      </c>
      <c r="R13" s="239" t="s">
        <v>200</v>
      </c>
      <c r="S13" s="243" t="s">
        <v>211</v>
      </c>
      <c r="T13" s="1092"/>
    </row>
    <row r="14" spans="1:20" ht="24.6" customHeight="1" x14ac:dyDescent="0.25">
      <c r="A14" s="244" t="s">
        <v>103</v>
      </c>
      <c r="B14" s="245" t="s">
        <v>16</v>
      </c>
      <c r="C14" s="463">
        <f>+D14+E14</f>
        <v>30</v>
      </c>
      <c r="D14" s="246">
        <v>30</v>
      </c>
      <c r="E14" s="247"/>
      <c r="F14" s="600">
        <v>15000</v>
      </c>
      <c r="G14" s="464">
        <f>+H14+I14</f>
        <v>7539</v>
      </c>
      <c r="H14" s="604">
        <v>7360</v>
      </c>
      <c r="I14" s="935">
        <v>179</v>
      </c>
      <c r="J14" s="934">
        <v>480</v>
      </c>
      <c r="K14" s="463">
        <f>+L14-E14</f>
        <v>450</v>
      </c>
      <c r="L14" s="464">
        <f>+J14-D14</f>
        <v>450</v>
      </c>
      <c r="M14" s="465">
        <f>IFERROR(K14/L14,"-")</f>
        <v>1</v>
      </c>
      <c r="N14" s="466">
        <f>+O14-C14</f>
        <v>420</v>
      </c>
      <c r="O14" s="464">
        <f>+K14</f>
        <v>450</v>
      </c>
      <c r="P14" s="467">
        <f>IFERROR(N14/O14,"-")</f>
        <v>0.93333333333333335</v>
      </c>
      <c r="Q14" s="464">
        <f>IFERROR(N14-(J14-(J14*H14/G14)),"-")</f>
        <v>408.60326303223241</v>
      </c>
      <c r="R14" s="464">
        <f>+N14</f>
        <v>420</v>
      </c>
      <c r="S14" s="468">
        <f>IFERROR(Q14/R14,"-")</f>
        <v>0.97286491198150571</v>
      </c>
      <c r="T14" s="469">
        <f>IFERROR(M14*P14*S14,"-")</f>
        <v>0.90800725118273873</v>
      </c>
    </row>
    <row r="15" spans="1:20" ht="24.6" customHeight="1" x14ac:dyDescent="0.25">
      <c r="A15" s="248" t="s">
        <v>103</v>
      </c>
      <c r="B15" s="249" t="s">
        <v>215</v>
      </c>
      <c r="C15" s="470">
        <f t="shared" ref="C15:C29" si="0">+D15+E15</f>
        <v>165</v>
      </c>
      <c r="D15" s="250">
        <v>30</v>
      </c>
      <c r="E15" s="251">
        <f>120+15</f>
        <v>135</v>
      </c>
      <c r="F15" s="601">
        <v>100000</v>
      </c>
      <c r="G15" s="472">
        <f t="shared" ref="G15:G20" si="1">+H15+I15</f>
        <v>61524</v>
      </c>
      <c r="H15" s="254">
        <v>61200</v>
      </c>
      <c r="I15" s="936">
        <v>324</v>
      </c>
      <c r="J15" s="928">
        <v>480</v>
      </c>
      <c r="K15" s="470">
        <f t="shared" ref="K15:K18" si="2">+L15-E15</f>
        <v>315</v>
      </c>
      <c r="L15" s="472">
        <f t="shared" ref="L15:L29" si="3">+J15-D15</f>
        <v>450</v>
      </c>
      <c r="M15" s="473">
        <f t="shared" ref="M15:M18" si="4">IFERROR(K15/L15,"-")</f>
        <v>0.7</v>
      </c>
      <c r="N15" s="474">
        <f>+O15-C15</f>
        <v>150</v>
      </c>
      <c r="O15" s="472">
        <f t="shared" ref="O15:O29" si="5">+K15</f>
        <v>315</v>
      </c>
      <c r="P15" s="475">
        <f>IFERROR(N15/O15,"-")</f>
        <v>0.47619047619047616</v>
      </c>
      <c r="Q15" s="472">
        <f t="shared" ref="Q15:Q29" si="6">IFERROR(N15-(J15-(J15*H15/G15)),"-")</f>
        <v>147.47220596840259</v>
      </c>
      <c r="R15" s="472">
        <f t="shared" ref="R15:R29" si="7">+N15</f>
        <v>150</v>
      </c>
      <c r="S15" s="476">
        <f t="shared" ref="S15:S29" si="8">IFERROR(Q15/R15,"-")</f>
        <v>0.98314803978935061</v>
      </c>
      <c r="T15" s="477">
        <f t="shared" ref="T15:T29" si="9">IFERROR(M15*P15*S15,"-")</f>
        <v>0.32771601326311683</v>
      </c>
    </row>
    <row r="16" spans="1:20" ht="24.6" customHeight="1" x14ac:dyDescent="0.25">
      <c r="A16" s="248" t="s">
        <v>103</v>
      </c>
      <c r="B16" s="249" t="s">
        <v>214</v>
      </c>
      <c r="C16" s="470">
        <f t="shared" si="0"/>
        <v>0</v>
      </c>
      <c r="D16" s="250"/>
      <c r="E16" s="251"/>
      <c r="F16" s="601">
        <v>80000</v>
      </c>
      <c r="G16" s="472">
        <f t="shared" si="1"/>
        <v>0</v>
      </c>
      <c r="H16" s="254"/>
      <c r="I16" s="936"/>
      <c r="J16" s="928"/>
      <c r="K16" s="470">
        <f t="shared" si="2"/>
        <v>0</v>
      </c>
      <c r="L16" s="472">
        <f t="shared" si="3"/>
        <v>0</v>
      </c>
      <c r="M16" s="473" t="str">
        <f t="shared" si="4"/>
        <v>-</v>
      </c>
      <c r="N16" s="474">
        <f t="shared" ref="N16:N29" si="10">+O16-C16</f>
        <v>0</v>
      </c>
      <c r="O16" s="472">
        <f t="shared" si="5"/>
        <v>0</v>
      </c>
      <c r="P16" s="475" t="str">
        <f t="shared" ref="P16:P29" si="11">IFERROR(N16/O16,"-")</f>
        <v>-</v>
      </c>
      <c r="Q16" s="472" t="str">
        <f t="shared" si="6"/>
        <v>-</v>
      </c>
      <c r="R16" s="472">
        <f t="shared" si="7"/>
        <v>0</v>
      </c>
      <c r="S16" s="476" t="str">
        <f t="shared" si="8"/>
        <v>-</v>
      </c>
      <c r="T16" s="477" t="str">
        <f t="shared" si="9"/>
        <v>-</v>
      </c>
    </row>
    <row r="17" spans="1:20" ht="24.6" customHeight="1" x14ac:dyDescent="0.25">
      <c r="A17" s="252" t="s">
        <v>103</v>
      </c>
      <c r="B17" s="249" t="s">
        <v>217</v>
      </c>
      <c r="C17" s="470">
        <f t="shared" si="0"/>
        <v>60</v>
      </c>
      <c r="D17" s="250">
        <v>60</v>
      </c>
      <c r="E17" s="251">
        <v>0</v>
      </c>
      <c r="F17" s="601">
        <v>220000</v>
      </c>
      <c r="G17" s="472">
        <f t="shared" si="1"/>
        <v>134087</v>
      </c>
      <c r="H17" s="254">
        <v>133056</v>
      </c>
      <c r="I17" s="936">
        <v>1031</v>
      </c>
      <c r="J17" s="928">
        <v>960</v>
      </c>
      <c r="K17" s="470">
        <f t="shared" si="2"/>
        <v>900</v>
      </c>
      <c r="L17" s="472">
        <f t="shared" si="3"/>
        <v>900</v>
      </c>
      <c r="M17" s="473">
        <f t="shared" si="4"/>
        <v>1</v>
      </c>
      <c r="N17" s="474">
        <f t="shared" si="10"/>
        <v>840</v>
      </c>
      <c r="O17" s="472">
        <f t="shared" si="5"/>
        <v>900</v>
      </c>
      <c r="P17" s="475">
        <f t="shared" si="11"/>
        <v>0.93333333333333335</v>
      </c>
      <c r="Q17" s="472">
        <f t="shared" si="6"/>
        <v>832.61852379425295</v>
      </c>
      <c r="R17" s="472">
        <f t="shared" si="7"/>
        <v>840</v>
      </c>
      <c r="S17" s="476">
        <f t="shared" si="8"/>
        <v>0.99121252832649165</v>
      </c>
      <c r="T17" s="477">
        <f t="shared" si="9"/>
        <v>0.92513169310472554</v>
      </c>
    </row>
    <row r="18" spans="1:20" ht="24.6" customHeight="1" x14ac:dyDescent="0.25">
      <c r="A18" s="248" t="s">
        <v>103</v>
      </c>
      <c r="B18" s="249" t="s">
        <v>216</v>
      </c>
      <c r="C18" s="470">
        <f t="shared" si="0"/>
        <v>0</v>
      </c>
      <c r="D18" s="250"/>
      <c r="E18" s="251"/>
      <c r="F18" s="601">
        <v>50000</v>
      </c>
      <c r="G18" s="472">
        <f t="shared" si="1"/>
        <v>0</v>
      </c>
      <c r="H18" s="254"/>
      <c r="I18" s="936"/>
      <c r="J18" s="928"/>
      <c r="K18" s="470">
        <f t="shared" si="2"/>
        <v>0</v>
      </c>
      <c r="L18" s="472">
        <f t="shared" si="3"/>
        <v>0</v>
      </c>
      <c r="M18" s="473" t="str">
        <f t="shared" si="4"/>
        <v>-</v>
      </c>
      <c r="N18" s="474">
        <f t="shared" si="10"/>
        <v>0</v>
      </c>
      <c r="O18" s="472">
        <f t="shared" si="5"/>
        <v>0</v>
      </c>
      <c r="P18" s="475" t="str">
        <f t="shared" si="11"/>
        <v>-</v>
      </c>
      <c r="Q18" s="472" t="str">
        <f t="shared" si="6"/>
        <v>-</v>
      </c>
      <c r="R18" s="472">
        <f t="shared" si="7"/>
        <v>0</v>
      </c>
      <c r="S18" s="476" t="str">
        <f t="shared" si="8"/>
        <v>-</v>
      </c>
      <c r="T18" s="477" t="str">
        <f t="shared" si="9"/>
        <v>-</v>
      </c>
    </row>
    <row r="19" spans="1:20" ht="24.6" customHeight="1" x14ac:dyDescent="0.25">
      <c r="A19" s="248">
        <v>5</v>
      </c>
      <c r="B19" s="249" t="s">
        <v>22</v>
      </c>
      <c r="C19" s="470">
        <f t="shared" si="0"/>
        <v>165</v>
      </c>
      <c r="D19" s="250">
        <v>30</v>
      </c>
      <c r="E19" s="251">
        <f>30+60+15+30</f>
        <v>135</v>
      </c>
      <c r="F19" s="601">
        <v>80000</v>
      </c>
      <c r="G19" s="472">
        <f t="shared" si="1"/>
        <v>33750</v>
      </c>
      <c r="H19" s="471">
        <v>33660</v>
      </c>
      <c r="I19" s="937">
        <v>90</v>
      </c>
      <c r="J19" s="928">
        <v>480</v>
      </c>
      <c r="K19" s="470">
        <f>+L19-E19</f>
        <v>315</v>
      </c>
      <c r="L19" s="472">
        <f t="shared" si="3"/>
        <v>450</v>
      </c>
      <c r="M19" s="473">
        <f>IFERROR(K19/L19,"-")</f>
        <v>0.7</v>
      </c>
      <c r="N19" s="474">
        <f t="shared" si="10"/>
        <v>150</v>
      </c>
      <c r="O19" s="472">
        <f t="shared" si="5"/>
        <v>315</v>
      </c>
      <c r="P19" s="475">
        <f t="shared" si="11"/>
        <v>0.47619047619047616</v>
      </c>
      <c r="Q19" s="472">
        <f t="shared" si="6"/>
        <v>148.72000000000003</v>
      </c>
      <c r="R19" s="472">
        <f t="shared" si="7"/>
        <v>150</v>
      </c>
      <c r="S19" s="476">
        <f t="shared" si="8"/>
        <v>0.99146666666666683</v>
      </c>
      <c r="T19" s="477">
        <f t="shared" si="9"/>
        <v>0.33048888888888894</v>
      </c>
    </row>
    <row r="20" spans="1:20" ht="24.6" customHeight="1" x14ac:dyDescent="0.25">
      <c r="A20" s="248" t="s">
        <v>103</v>
      </c>
      <c r="B20" s="249" t="s">
        <v>23</v>
      </c>
      <c r="C20" s="470">
        <f t="shared" si="0"/>
        <v>480</v>
      </c>
      <c r="D20" s="250">
        <v>30</v>
      </c>
      <c r="E20" s="251">
        <v>450</v>
      </c>
      <c r="F20" s="601">
        <v>14000</v>
      </c>
      <c r="G20" s="472">
        <f t="shared" si="1"/>
        <v>0</v>
      </c>
      <c r="H20" s="254"/>
      <c r="I20" s="936"/>
      <c r="J20" s="928">
        <v>480</v>
      </c>
      <c r="K20" s="470">
        <f t="shared" ref="K20:K29" si="12">+L20-E20</f>
        <v>0</v>
      </c>
      <c r="L20" s="472">
        <f t="shared" si="3"/>
        <v>450</v>
      </c>
      <c r="M20" s="473">
        <f t="shared" ref="M20:M29" si="13">IFERROR(K20/L20,"-")</f>
        <v>0</v>
      </c>
      <c r="N20" s="474">
        <f t="shared" si="10"/>
        <v>-480</v>
      </c>
      <c r="O20" s="472">
        <f t="shared" si="5"/>
        <v>0</v>
      </c>
      <c r="P20" s="475" t="str">
        <f t="shared" si="11"/>
        <v>-</v>
      </c>
      <c r="Q20" s="472" t="str">
        <f t="shared" si="6"/>
        <v>-</v>
      </c>
      <c r="R20" s="472">
        <f t="shared" si="7"/>
        <v>-480</v>
      </c>
      <c r="S20" s="476" t="str">
        <f t="shared" si="8"/>
        <v>-</v>
      </c>
      <c r="T20" s="477" t="str">
        <f t="shared" si="9"/>
        <v>-</v>
      </c>
    </row>
    <row r="21" spans="1:20" ht="24.6" customHeight="1" x14ac:dyDescent="0.25">
      <c r="A21" s="248" t="s">
        <v>103</v>
      </c>
      <c r="B21" s="253" t="s">
        <v>212</v>
      </c>
      <c r="C21" s="478">
        <f t="shared" si="0"/>
        <v>0</v>
      </c>
      <c r="D21" s="250">
        <v>0</v>
      </c>
      <c r="E21" s="251">
        <v>0</v>
      </c>
      <c r="F21" s="601">
        <v>4500</v>
      </c>
      <c r="G21" s="472">
        <f>+H21+I21</f>
        <v>0</v>
      </c>
      <c r="H21" s="254">
        <v>0</v>
      </c>
      <c r="I21" s="251">
        <v>0</v>
      </c>
      <c r="J21" s="928">
        <v>0</v>
      </c>
      <c r="K21" s="478">
        <f t="shared" si="12"/>
        <v>0</v>
      </c>
      <c r="L21" s="250">
        <f t="shared" si="3"/>
        <v>0</v>
      </c>
      <c r="M21" s="479" t="str">
        <f t="shared" si="13"/>
        <v>-</v>
      </c>
      <c r="N21" s="480">
        <f t="shared" si="10"/>
        <v>0</v>
      </c>
      <c r="O21" s="250">
        <f t="shared" si="5"/>
        <v>0</v>
      </c>
      <c r="P21" s="481" t="str">
        <f t="shared" si="11"/>
        <v>-</v>
      </c>
      <c r="Q21" s="250" t="str">
        <f t="shared" si="6"/>
        <v>-</v>
      </c>
      <c r="R21" s="250">
        <f t="shared" si="7"/>
        <v>0</v>
      </c>
      <c r="S21" s="482" t="str">
        <f t="shared" si="8"/>
        <v>-</v>
      </c>
      <c r="T21" s="483" t="str">
        <f t="shared" si="9"/>
        <v>-</v>
      </c>
    </row>
    <row r="22" spans="1:20" ht="24.6" customHeight="1" thickBot="1" x14ac:dyDescent="0.3">
      <c r="A22" s="255" t="s">
        <v>103</v>
      </c>
      <c r="B22" s="256" t="s">
        <v>213</v>
      </c>
      <c r="C22" s="484">
        <f t="shared" si="0"/>
        <v>0</v>
      </c>
      <c r="D22" s="257">
        <v>0</v>
      </c>
      <c r="E22" s="258"/>
      <c r="F22" s="605">
        <v>5000</v>
      </c>
      <c r="G22" s="494">
        <f t="shared" ref="G22:G29" si="14">+H22+I22</f>
        <v>0</v>
      </c>
      <c r="H22" s="259">
        <v>0</v>
      </c>
      <c r="I22" s="258">
        <v>0</v>
      </c>
      <c r="J22" s="929">
        <v>0</v>
      </c>
      <c r="K22" s="484">
        <f t="shared" si="12"/>
        <v>0</v>
      </c>
      <c r="L22" s="257">
        <f t="shared" si="3"/>
        <v>0</v>
      </c>
      <c r="M22" s="485" t="str">
        <f t="shared" si="13"/>
        <v>-</v>
      </c>
      <c r="N22" s="486">
        <f t="shared" si="10"/>
        <v>0</v>
      </c>
      <c r="O22" s="257">
        <f t="shared" si="5"/>
        <v>0</v>
      </c>
      <c r="P22" s="487" t="str">
        <f t="shared" si="11"/>
        <v>-</v>
      </c>
      <c r="Q22" s="257" t="str">
        <f t="shared" si="6"/>
        <v>-</v>
      </c>
      <c r="R22" s="257">
        <f t="shared" si="7"/>
        <v>0</v>
      </c>
      <c r="S22" s="488" t="str">
        <f t="shared" si="8"/>
        <v>-</v>
      </c>
      <c r="T22" s="489" t="str">
        <f t="shared" si="9"/>
        <v>-</v>
      </c>
    </row>
    <row r="23" spans="1:20" ht="24.6" customHeight="1" x14ac:dyDescent="0.25">
      <c r="A23" s="252" t="s">
        <v>101</v>
      </c>
      <c r="B23" s="260" t="s">
        <v>29</v>
      </c>
      <c r="C23" s="470">
        <f t="shared" si="0"/>
        <v>430</v>
      </c>
      <c r="D23" s="250">
        <v>60</v>
      </c>
      <c r="E23" s="251">
        <v>370</v>
      </c>
      <c r="F23" s="930">
        <v>160000</v>
      </c>
      <c r="G23" s="932">
        <f t="shared" si="14"/>
        <v>8420</v>
      </c>
      <c r="H23" s="930">
        <v>7956</v>
      </c>
      <c r="I23" s="931">
        <v>464</v>
      </c>
      <c r="J23" s="933">
        <v>660</v>
      </c>
      <c r="K23" s="470">
        <f t="shared" si="12"/>
        <v>230</v>
      </c>
      <c r="L23" s="472">
        <f t="shared" si="3"/>
        <v>600</v>
      </c>
      <c r="M23" s="473">
        <f t="shared" si="13"/>
        <v>0.38333333333333336</v>
      </c>
      <c r="N23" s="474">
        <f t="shared" si="10"/>
        <v>-200</v>
      </c>
      <c r="O23" s="472">
        <f t="shared" si="5"/>
        <v>230</v>
      </c>
      <c r="P23" s="475">
        <f t="shared" si="11"/>
        <v>-0.86956521739130432</v>
      </c>
      <c r="Q23" s="472">
        <f t="shared" si="6"/>
        <v>-236.37054631828983</v>
      </c>
      <c r="R23" s="472">
        <f t="shared" si="7"/>
        <v>-200</v>
      </c>
      <c r="S23" s="490">
        <f t="shared" si="8"/>
        <v>1.1818527315914491</v>
      </c>
      <c r="T23" s="491">
        <f t="shared" si="9"/>
        <v>-0.39395091053048309</v>
      </c>
    </row>
    <row r="24" spans="1:20" ht="24.6" customHeight="1" x14ac:dyDescent="0.25">
      <c r="A24" s="248" t="s">
        <v>101</v>
      </c>
      <c r="B24" s="260" t="s">
        <v>31</v>
      </c>
      <c r="C24" s="470">
        <f t="shared" si="0"/>
        <v>450</v>
      </c>
      <c r="D24" s="707">
        <v>30</v>
      </c>
      <c r="E24" s="251">
        <v>420</v>
      </c>
      <c r="F24" s="471">
        <v>50000</v>
      </c>
      <c r="G24" s="472">
        <f t="shared" si="14"/>
        <v>51163</v>
      </c>
      <c r="H24" s="471">
        <v>50446</v>
      </c>
      <c r="I24" s="611">
        <v>717</v>
      </c>
      <c r="J24" s="610">
        <v>900</v>
      </c>
      <c r="K24" s="470">
        <f t="shared" si="12"/>
        <v>450</v>
      </c>
      <c r="L24" s="472">
        <f t="shared" si="3"/>
        <v>870</v>
      </c>
      <c r="M24" s="473">
        <f t="shared" si="13"/>
        <v>0.51724137931034486</v>
      </c>
      <c r="N24" s="474">
        <f t="shared" si="10"/>
        <v>0</v>
      </c>
      <c r="O24" s="472">
        <f t="shared" si="5"/>
        <v>450</v>
      </c>
      <c r="P24" s="475">
        <f t="shared" si="11"/>
        <v>0</v>
      </c>
      <c r="Q24" s="472">
        <f t="shared" si="6"/>
        <v>-12.612630221058225</v>
      </c>
      <c r="R24" s="472">
        <f t="shared" si="7"/>
        <v>0</v>
      </c>
      <c r="S24" s="490" t="str">
        <f t="shared" si="8"/>
        <v>-</v>
      </c>
      <c r="T24" s="491" t="str">
        <f t="shared" si="9"/>
        <v>-</v>
      </c>
    </row>
    <row r="25" spans="1:20" ht="24.6" customHeight="1" thickBot="1" x14ac:dyDescent="0.3">
      <c r="A25" s="255" t="s">
        <v>101</v>
      </c>
      <c r="B25" s="261" t="s">
        <v>32</v>
      </c>
      <c r="C25" s="492">
        <f t="shared" si="0"/>
        <v>0</v>
      </c>
      <c r="D25" s="257"/>
      <c r="E25" s="258"/>
      <c r="F25" s="493">
        <v>110000</v>
      </c>
      <c r="G25" s="494">
        <f t="shared" si="14"/>
        <v>0</v>
      </c>
      <c r="H25" s="493"/>
      <c r="I25" s="612"/>
      <c r="J25" s="613"/>
      <c r="K25" s="492">
        <f t="shared" si="12"/>
        <v>0</v>
      </c>
      <c r="L25" s="494">
        <f t="shared" si="3"/>
        <v>0</v>
      </c>
      <c r="M25" s="495" t="str">
        <f t="shared" si="13"/>
        <v>-</v>
      </c>
      <c r="N25" s="496">
        <f t="shared" si="10"/>
        <v>0</v>
      </c>
      <c r="O25" s="494">
        <f t="shared" si="5"/>
        <v>0</v>
      </c>
      <c r="P25" s="497" t="str">
        <f t="shared" si="11"/>
        <v>-</v>
      </c>
      <c r="Q25" s="494" t="str">
        <f t="shared" si="6"/>
        <v>-</v>
      </c>
      <c r="R25" s="494">
        <f t="shared" si="7"/>
        <v>0</v>
      </c>
      <c r="S25" s="498" t="str">
        <f t="shared" si="8"/>
        <v>-</v>
      </c>
      <c r="T25" s="499" t="str">
        <f t="shared" si="9"/>
        <v>-</v>
      </c>
    </row>
    <row r="26" spans="1:20" ht="24.6" customHeight="1" x14ac:dyDescent="0.25">
      <c r="A26" s="248" t="s">
        <v>102</v>
      </c>
      <c r="B26" s="249" t="s">
        <v>219</v>
      </c>
      <c r="C26" s="470">
        <f t="shared" si="0"/>
        <v>0</v>
      </c>
      <c r="D26" s="250"/>
      <c r="E26" s="251"/>
      <c r="F26" s="471">
        <v>6500</v>
      </c>
      <c r="G26" s="472">
        <f t="shared" si="14"/>
        <v>0</v>
      </c>
      <c r="H26" s="471"/>
      <c r="I26" s="611"/>
      <c r="J26" s="610"/>
      <c r="K26" s="470">
        <f t="shared" si="12"/>
        <v>0</v>
      </c>
      <c r="L26" s="472">
        <f t="shared" si="3"/>
        <v>0</v>
      </c>
      <c r="M26" s="473" t="str">
        <f t="shared" si="13"/>
        <v>-</v>
      </c>
      <c r="N26" s="474">
        <f t="shared" si="10"/>
        <v>0</v>
      </c>
      <c r="O26" s="472">
        <f t="shared" si="5"/>
        <v>0</v>
      </c>
      <c r="P26" s="475" t="str">
        <f t="shared" si="11"/>
        <v>-</v>
      </c>
      <c r="Q26" s="472" t="str">
        <f t="shared" si="6"/>
        <v>-</v>
      </c>
      <c r="R26" s="472">
        <f t="shared" si="7"/>
        <v>0</v>
      </c>
      <c r="S26" s="490" t="str">
        <f t="shared" si="8"/>
        <v>-</v>
      </c>
      <c r="T26" s="491" t="str">
        <f t="shared" si="9"/>
        <v>-</v>
      </c>
    </row>
    <row r="27" spans="1:20" ht="24.6" customHeight="1" x14ac:dyDescent="0.25">
      <c r="A27" s="252" t="s">
        <v>102</v>
      </c>
      <c r="B27" s="249" t="s">
        <v>38</v>
      </c>
      <c r="C27" s="470">
        <f t="shared" si="0"/>
        <v>0</v>
      </c>
      <c r="D27" s="250"/>
      <c r="E27" s="251"/>
      <c r="F27" s="471">
        <v>2800</v>
      </c>
      <c r="G27" s="472">
        <f t="shared" si="14"/>
        <v>0</v>
      </c>
      <c r="H27" s="471"/>
      <c r="I27" s="611"/>
      <c r="J27" s="610"/>
      <c r="K27" s="470">
        <f t="shared" si="12"/>
        <v>0</v>
      </c>
      <c r="L27" s="472">
        <f t="shared" si="3"/>
        <v>0</v>
      </c>
      <c r="M27" s="473" t="str">
        <f t="shared" si="13"/>
        <v>-</v>
      </c>
      <c r="N27" s="474">
        <f t="shared" si="10"/>
        <v>0</v>
      </c>
      <c r="O27" s="472">
        <f t="shared" si="5"/>
        <v>0</v>
      </c>
      <c r="P27" s="475" t="str">
        <f t="shared" si="11"/>
        <v>-</v>
      </c>
      <c r="Q27" s="472" t="str">
        <f t="shared" si="6"/>
        <v>-</v>
      </c>
      <c r="R27" s="472">
        <f t="shared" si="7"/>
        <v>0</v>
      </c>
      <c r="S27" s="490" t="str">
        <f t="shared" si="8"/>
        <v>-</v>
      </c>
      <c r="T27" s="491" t="str">
        <f t="shared" si="9"/>
        <v>-</v>
      </c>
    </row>
    <row r="28" spans="1:20" ht="24.6" customHeight="1" x14ac:dyDescent="0.25">
      <c r="A28" s="248" t="s">
        <v>102</v>
      </c>
      <c r="B28" s="249" t="s">
        <v>39</v>
      </c>
      <c r="C28" s="470">
        <f t="shared" si="0"/>
        <v>30</v>
      </c>
      <c r="D28" s="250">
        <v>30</v>
      </c>
      <c r="E28" s="251"/>
      <c r="F28" s="471">
        <v>25000</v>
      </c>
      <c r="G28" s="472">
        <f t="shared" si="14"/>
        <v>40727</v>
      </c>
      <c r="H28" s="471">
        <v>40320</v>
      </c>
      <c r="I28" s="611">
        <v>407</v>
      </c>
      <c r="J28" s="610">
        <v>480</v>
      </c>
      <c r="K28" s="470">
        <f t="shared" si="12"/>
        <v>450</v>
      </c>
      <c r="L28" s="472">
        <f t="shared" si="3"/>
        <v>450</v>
      </c>
      <c r="M28" s="473">
        <f t="shared" si="13"/>
        <v>1</v>
      </c>
      <c r="N28" s="474">
        <f t="shared" si="10"/>
        <v>420</v>
      </c>
      <c r="O28" s="472">
        <f t="shared" si="5"/>
        <v>450</v>
      </c>
      <c r="P28" s="475">
        <f t="shared" si="11"/>
        <v>0.93333333333333335</v>
      </c>
      <c r="Q28" s="472">
        <f t="shared" si="6"/>
        <v>415.20318216416626</v>
      </c>
      <c r="R28" s="472">
        <f t="shared" si="7"/>
        <v>420</v>
      </c>
      <c r="S28" s="490">
        <f t="shared" si="8"/>
        <v>0.98857900515277686</v>
      </c>
      <c r="T28" s="491">
        <f t="shared" si="9"/>
        <v>0.92267373814259179</v>
      </c>
    </row>
    <row r="29" spans="1:20" ht="45" customHeight="1" thickBot="1" x14ac:dyDescent="0.3">
      <c r="A29" s="615" t="s">
        <v>102</v>
      </c>
      <c r="B29" s="261" t="s">
        <v>218</v>
      </c>
      <c r="C29" s="616">
        <f t="shared" si="0"/>
        <v>0</v>
      </c>
      <c r="D29" s="617"/>
      <c r="E29" s="618"/>
      <c r="F29" s="619">
        <v>25000</v>
      </c>
      <c r="G29" s="620">
        <f t="shared" si="14"/>
        <v>0</v>
      </c>
      <c r="H29" s="619"/>
      <c r="I29" s="621"/>
      <c r="J29" s="614"/>
      <c r="K29" s="616">
        <f t="shared" si="12"/>
        <v>0</v>
      </c>
      <c r="L29" s="620">
        <f t="shared" si="3"/>
        <v>0</v>
      </c>
      <c r="M29" s="622" t="str">
        <f t="shared" si="13"/>
        <v>-</v>
      </c>
      <c r="N29" s="623">
        <f t="shared" si="10"/>
        <v>0</v>
      </c>
      <c r="O29" s="620">
        <f t="shared" si="5"/>
        <v>0</v>
      </c>
      <c r="P29" s="624" t="str">
        <f t="shared" si="11"/>
        <v>-</v>
      </c>
      <c r="Q29" s="620" t="str">
        <f t="shared" si="6"/>
        <v>-</v>
      </c>
      <c r="R29" s="620">
        <f t="shared" si="7"/>
        <v>0</v>
      </c>
      <c r="S29" s="625" t="str">
        <f t="shared" si="8"/>
        <v>-</v>
      </c>
      <c r="T29" s="626" t="str">
        <f t="shared" si="9"/>
        <v>-</v>
      </c>
    </row>
    <row r="30" spans="1:20" ht="24.6" customHeight="1" x14ac:dyDescent="0.25">
      <c r="A30" s="230"/>
      <c r="B30" s="231"/>
      <c r="C30" s="232"/>
      <c r="D30" s="232"/>
      <c r="E30" s="232"/>
      <c r="F30" s="232"/>
      <c r="G30" s="233"/>
      <c r="H30" s="234"/>
      <c r="I30" s="232"/>
      <c r="J30" s="232"/>
      <c r="K30" s="232"/>
      <c r="L30" s="232"/>
      <c r="M30" s="234"/>
      <c r="N30" s="232"/>
      <c r="O30" s="232"/>
      <c r="P30" s="234"/>
      <c r="Q30" s="232"/>
      <c r="R30" s="232"/>
      <c r="S30" s="234"/>
      <c r="T30" s="234"/>
    </row>
    <row r="31" spans="1:20" ht="24.6" customHeight="1" x14ac:dyDescent="0.25">
      <c r="A31" s="230"/>
      <c r="B31" s="231"/>
      <c r="C31" s="232"/>
      <c r="D31" s="232"/>
      <c r="E31" s="232"/>
      <c r="F31" s="232"/>
      <c r="G31" s="233"/>
      <c r="H31" s="234"/>
      <c r="I31" s="232"/>
      <c r="J31" s="232"/>
      <c r="K31" s="232"/>
      <c r="L31" s="232"/>
      <c r="M31" s="234"/>
      <c r="N31" s="232"/>
      <c r="O31" s="232"/>
      <c r="P31" s="234"/>
      <c r="Q31" s="232"/>
      <c r="R31" s="232"/>
      <c r="S31" s="234"/>
      <c r="T31" s="234"/>
    </row>
    <row r="32" spans="1:20" ht="24.6" customHeight="1" x14ac:dyDescent="0.25">
      <c r="A32" s="230"/>
      <c r="B32" s="231"/>
      <c r="C32" s="232"/>
      <c r="D32" s="232"/>
      <c r="E32" s="232"/>
      <c r="F32" s="232"/>
      <c r="G32" s="233"/>
      <c r="H32" s="234"/>
      <c r="I32" s="232"/>
      <c r="J32" s="232"/>
      <c r="K32" s="232"/>
      <c r="L32" s="232"/>
      <c r="M32" s="234"/>
      <c r="N32" s="232"/>
      <c r="O32" s="232"/>
      <c r="P32" s="234"/>
      <c r="Q32" s="232"/>
      <c r="R32" s="232"/>
      <c r="S32" s="234"/>
      <c r="T32" s="234"/>
    </row>
    <row r="33" spans="1:20" ht="24.6" customHeight="1" x14ac:dyDescent="0.25">
      <c r="A33" s="230"/>
      <c r="B33" s="231"/>
      <c r="C33" s="232"/>
      <c r="D33" s="232"/>
      <c r="E33" s="232"/>
      <c r="F33" s="232"/>
      <c r="G33" s="233"/>
      <c r="H33" s="234"/>
      <c r="I33" s="232"/>
      <c r="J33" s="232"/>
      <c r="K33" s="232"/>
      <c r="L33" s="232"/>
      <c r="M33" s="234"/>
      <c r="N33" s="232"/>
      <c r="O33" s="232"/>
      <c r="P33" s="234"/>
      <c r="Q33" s="232"/>
      <c r="R33" s="232"/>
      <c r="S33" s="234"/>
      <c r="T33" s="234"/>
    </row>
    <row r="34" spans="1:20" ht="24.6" customHeight="1" thickBot="1" x14ac:dyDescent="0.3">
      <c r="A34" s="230"/>
      <c r="B34" s="231"/>
      <c r="C34" s="232"/>
      <c r="D34" s="232"/>
      <c r="E34" s="232"/>
      <c r="F34" s="232"/>
      <c r="G34" s="233"/>
      <c r="H34" s="234"/>
      <c r="I34" s="232"/>
      <c r="J34" s="232"/>
      <c r="K34" s="232"/>
      <c r="L34" s="232"/>
      <c r="M34" s="234"/>
      <c r="N34" s="232"/>
      <c r="O34" s="232"/>
      <c r="P34" s="234"/>
      <c r="Q34" s="232"/>
      <c r="R34" s="232"/>
      <c r="S34" s="234"/>
      <c r="T34" s="234"/>
    </row>
    <row r="35" spans="1:20" ht="22.5" customHeight="1" x14ac:dyDescent="0.25">
      <c r="A35" s="1033" t="s">
        <v>1</v>
      </c>
      <c r="B35" s="1033" t="s">
        <v>2</v>
      </c>
      <c r="C35" s="987" t="s">
        <v>207</v>
      </c>
      <c r="D35" s="988"/>
      <c r="E35" s="989"/>
      <c r="F35" s="987" t="s">
        <v>555</v>
      </c>
      <c r="G35" s="988"/>
      <c r="H35" s="988"/>
      <c r="I35" s="989"/>
      <c r="J35" s="1033" t="s">
        <v>204</v>
      </c>
      <c r="K35" s="987" t="s">
        <v>192</v>
      </c>
      <c r="L35" s="988"/>
      <c r="M35" s="989"/>
      <c r="N35" s="987" t="s">
        <v>193</v>
      </c>
      <c r="O35" s="988"/>
      <c r="P35" s="989"/>
      <c r="Q35" s="987" t="s">
        <v>194</v>
      </c>
      <c r="R35" s="988"/>
      <c r="S35" s="989"/>
      <c r="T35" s="1091" t="s">
        <v>191</v>
      </c>
    </row>
    <row r="36" spans="1:20" ht="90.75" thickBot="1" x14ac:dyDescent="0.3">
      <c r="A36" s="1035"/>
      <c r="B36" s="1035"/>
      <c r="C36" s="235" t="s">
        <v>208</v>
      </c>
      <c r="D36" s="236" t="s">
        <v>205</v>
      </c>
      <c r="E36" s="237" t="s">
        <v>206</v>
      </c>
      <c r="F36" s="238" t="s">
        <v>326</v>
      </c>
      <c r="G36" s="236" t="s">
        <v>201</v>
      </c>
      <c r="H36" s="239" t="s">
        <v>202</v>
      </c>
      <c r="I36" s="240" t="s">
        <v>203</v>
      </c>
      <c r="J36" s="1035"/>
      <c r="K36" s="235" t="s">
        <v>195</v>
      </c>
      <c r="L36" s="239" t="s">
        <v>196</v>
      </c>
      <c r="M36" s="241" t="s">
        <v>209</v>
      </c>
      <c r="N36" s="242" t="s">
        <v>197</v>
      </c>
      <c r="O36" s="239" t="s">
        <v>198</v>
      </c>
      <c r="P36" s="241" t="s">
        <v>210</v>
      </c>
      <c r="Q36" s="235" t="s">
        <v>199</v>
      </c>
      <c r="R36" s="239" t="s">
        <v>200</v>
      </c>
      <c r="S36" s="243" t="s">
        <v>211</v>
      </c>
      <c r="T36" s="1092"/>
    </row>
    <row r="37" spans="1:20" ht="25.5" customHeight="1" x14ac:dyDescent="0.25">
      <c r="A37" s="244" t="s">
        <v>103</v>
      </c>
      <c r="B37" s="245" t="s">
        <v>16</v>
      </c>
      <c r="C37" s="463">
        <f>+D37+E37</f>
        <v>0</v>
      </c>
      <c r="D37" s="246"/>
      <c r="E37" s="247"/>
      <c r="F37" s="600">
        <v>15000</v>
      </c>
      <c r="G37" s="464">
        <f>+H37+I37</f>
        <v>0</v>
      </c>
      <c r="H37" s="604"/>
      <c r="I37" s="606"/>
      <c r="J37" s="609"/>
      <c r="K37" s="463">
        <f>+L37-E37</f>
        <v>0</v>
      </c>
      <c r="L37" s="464">
        <f>+J37-D37</f>
        <v>0</v>
      </c>
      <c r="M37" s="465" t="str">
        <f>IFERROR(K37/L37,"-")</f>
        <v>-</v>
      </c>
      <c r="N37" s="466">
        <f>+O37-C37</f>
        <v>0</v>
      </c>
      <c r="O37" s="464">
        <f>+K37</f>
        <v>0</v>
      </c>
      <c r="P37" s="467" t="str">
        <f>IFERROR(N37/O37,"-")</f>
        <v>-</v>
      </c>
      <c r="Q37" s="464" t="str">
        <f>IFERROR(N37-(J37-(J37*H37/G37)),"-")</f>
        <v>-</v>
      </c>
      <c r="R37" s="464">
        <f>+N37</f>
        <v>0</v>
      </c>
      <c r="S37" s="468" t="str">
        <f>IFERROR(Q37/R37,"-")</f>
        <v>-</v>
      </c>
      <c r="T37" s="469" t="str">
        <f>IFERROR(M37*P37*S37,"-")</f>
        <v>-</v>
      </c>
    </row>
    <row r="38" spans="1:20" ht="25.5" customHeight="1" x14ac:dyDescent="0.25">
      <c r="A38" s="248" t="s">
        <v>103</v>
      </c>
      <c r="B38" s="249" t="s">
        <v>215</v>
      </c>
      <c r="C38" s="470">
        <f t="shared" ref="C38:C52" si="15">+D38+E38</f>
        <v>30</v>
      </c>
      <c r="D38" s="250">
        <v>30</v>
      </c>
      <c r="E38" s="251"/>
      <c r="F38" s="601">
        <v>100000</v>
      </c>
      <c r="G38" s="472">
        <f t="shared" ref="G38:G43" si="16">+H38+I38</f>
        <v>106394</v>
      </c>
      <c r="H38" s="254">
        <v>104040</v>
      </c>
      <c r="I38" s="607">
        <v>2354</v>
      </c>
      <c r="J38" s="610">
        <v>480</v>
      </c>
      <c r="K38" s="470">
        <f t="shared" ref="K38:K41" si="17">+L38-E38</f>
        <v>450</v>
      </c>
      <c r="L38" s="472">
        <f t="shared" ref="L38:L52" si="18">+J38-D38</f>
        <v>450</v>
      </c>
      <c r="M38" s="473">
        <f t="shared" ref="M38:M41" si="19">IFERROR(K38/L38,"-")</f>
        <v>1</v>
      </c>
      <c r="N38" s="474">
        <f>+O38-C38</f>
        <v>420</v>
      </c>
      <c r="O38" s="472">
        <f t="shared" ref="O38:O52" si="20">+K38</f>
        <v>450</v>
      </c>
      <c r="P38" s="475">
        <f>IFERROR(N38/O38,"-")</f>
        <v>0.93333333333333335</v>
      </c>
      <c r="Q38" s="472">
        <f t="shared" ref="Q38:Q52" si="21">IFERROR(N38-(J38-(J38*H38/G38)),"-")</f>
        <v>409.37985224730716</v>
      </c>
      <c r="R38" s="472">
        <f t="shared" ref="R38:R52" si="22">+N38</f>
        <v>420</v>
      </c>
      <c r="S38" s="476">
        <f t="shared" ref="S38:S52" si="23">IFERROR(Q38/R38,"-")</f>
        <v>0.97471393392215988</v>
      </c>
      <c r="T38" s="477">
        <f t="shared" ref="T38:T52" si="24">IFERROR(M38*P38*S38,"-")</f>
        <v>0.90973300499401588</v>
      </c>
    </row>
    <row r="39" spans="1:20" ht="24" x14ac:dyDescent="0.25">
      <c r="A39" s="248" t="s">
        <v>103</v>
      </c>
      <c r="B39" s="249" t="s">
        <v>214</v>
      </c>
      <c r="C39" s="470">
        <f t="shared" si="15"/>
        <v>0</v>
      </c>
      <c r="D39" s="250"/>
      <c r="E39" s="251"/>
      <c r="F39" s="601">
        <v>80000</v>
      </c>
      <c r="G39" s="472">
        <f t="shared" si="16"/>
        <v>0</v>
      </c>
      <c r="H39" s="254"/>
      <c r="I39" s="607"/>
      <c r="J39" s="610"/>
      <c r="K39" s="470">
        <f t="shared" si="17"/>
        <v>0</v>
      </c>
      <c r="L39" s="472">
        <f t="shared" si="18"/>
        <v>0</v>
      </c>
      <c r="M39" s="473" t="str">
        <f t="shared" si="19"/>
        <v>-</v>
      </c>
      <c r="N39" s="474">
        <f t="shared" ref="N39:N52" si="25">+O39-C39</f>
        <v>0</v>
      </c>
      <c r="O39" s="472">
        <f t="shared" si="20"/>
        <v>0</v>
      </c>
      <c r="P39" s="475" t="str">
        <f t="shared" ref="P39:P52" si="26">IFERROR(N39/O39,"-")</f>
        <v>-</v>
      </c>
      <c r="Q39" s="472" t="str">
        <f t="shared" si="21"/>
        <v>-</v>
      </c>
      <c r="R39" s="472">
        <f t="shared" si="22"/>
        <v>0</v>
      </c>
      <c r="S39" s="476" t="str">
        <f t="shared" si="23"/>
        <v>-</v>
      </c>
      <c r="T39" s="477" t="str">
        <f t="shared" si="24"/>
        <v>-</v>
      </c>
    </row>
    <row r="40" spans="1:20" ht="24" x14ac:dyDescent="0.25">
      <c r="A40" s="252" t="s">
        <v>103</v>
      </c>
      <c r="B40" s="249" t="s">
        <v>217</v>
      </c>
      <c r="C40" s="470">
        <f t="shared" si="15"/>
        <v>60</v>
      </c>
      <c r="D40" s="250">
        <v>60</v>
      </c>
      <c r="E40" s="251"/>
      <c r="F40" s="601">
        <v>220000</v>
      </c>
      <c r="G40" s="472">
        <f t="shared" si="16"/>
        <v>115587</v>
      </c>
      <c r="H40" s="254">
        <v>114976</v>
      </c>
      <c r="I40" s="607">
        <v>611</v>
      </c>
      <c r="J40" s="610">
        <v>960</v>
      </c>
      <c r="K40" s="470">
        <f t="shared" si="17"/>
        <v>900</v>
      </c>
      <c r="L40" s="472">
        <f t="shared" si="18"/>
        <v>900</v>
      </c>
      <c r="M40" s="473">
        <f t="shared" si="19"/>
        <v>1</v>
      </c>
      <c r="N40" s="474">
        <f t="shared" si="25"/>
        <v>840</v>
      </c>
      <c r="O40" s="472">
        <f t="shared" si="20"/>
        <v>900</v>
      </c>
      <c r="P40" s="475">
        <f t="shared" si="26"/>
        <v>0.93333333333333335</v>
      </c>
      <c r="Q40" s="472">
        <f t="shared" si="21"/>
        <v>834.92538088193305</v>
      </c>
      <c r="R40" s="472">
        <f t="shared" si="22"/>
        <v>840</v>
      </c>
      <c r="S40" s="476">
        <f t="shared" si="23"/>
        <v>0.99395878676420601</v>
      </c>
      <c r="T40" s="477">
        <f t="shared" si="24"/>
        <v>0.92769486764659226</v>
      </c>
    </row>
    <row r="41" spans="1:20" ht="24" x14ac:dyDescent="0.25">
      <c r="A41" s="248" t="s">
        <v>103</v>
      </c>
      <c r="B41" s="249" t="s">
        <v>216</v>
      </c>
      <c r="C41" s="470">
        <f t="shared" si="15"/>
        <v>0</v>
      </c>
      <c r="D41" s="250"/>
      <c r="E41" s="251"/>
      <c r="F41" s="601">
        <v>50000</v>
      </c>
      <c r="G41" s="472">
        <f t="shared" si="16"/>
        <v>0</v>
      </c>
      <c r="H41" s="254"/>
      <c r="I41" s="607"/>
      <c r="J41" s="610"/>
      <c r="K41" s="470">
        <f t="shared" si="17"/>
        <v>0</v>
      </c>
      <c r="L41" s="472">
        <f t="shared" si="18"/>
        <v>0</v>
      </c>
      <c r="M41" s="473" t="str">
        <f t="shared" si="19"/>
        <v>-</v>
      </c>
      <c r="N41" s="474">
        <f t="shared" si="25"/>
        <v>0</v>
      </c>
      <c r="O41" s="472">
        <f t="shared" si="20"/>
        <v>0</v>
      </c>
      <c r="P41" s="475" t="str">
        <f t="shared" si="26"/>
        <v>-</v>
      </c>
      <c r="Q41" s="472" t="str">
        <f t="shared" si="21"/>
        <v>-</v>
      </c>
      <c r="R41" s="472">
        <f t="shared" si="22"/>
        <v>0</v>
      </c>
      <c r="S41" s="476" t="str">
        <f t="shared" si="23"/>
        <v>-</v>
      </c>
      <c r="T41" s="477" t="str">
        <f t="shared" si="24"/>
        <v>-</v>
      </c>
    </row>
    <row r="42" spans="1:20" ht="24" x14ac:dyDescent="0.25">
      <c r="A42" s="248">
        <v>5</v>
      </c>
      <c r="B42" s="249" t="s">
        <v>22</v>
      </c>
      <c r="C42" s="470">
        <f t="shared" si="15"/>
        <v>130</v>
      </c>
      <c r="D42" s="250">
        <v>30</v>
      </c>
      <c r="E42" s="251">
        <v>100</v>
      </c>
      <c r="F42" s="601">
        <v>80000</v>
      </c>
      <c r="G42" s="472">
        <f t="shared" si="16"/>
        <v>45640</v>
      </c>
      <c r="H42" s="471">
        <v>45540</v>
      </c>
      <c r="I42" s="611">
        <v>100</v>
      </c>
      <c r="J42" s="610">
        <v>480</v>
      </c>
      <c r="K42" s="470">
        <f>+L42-E42</f>
        <v>350</v>
      </c>
      <c r="L42" s="472">
        <f t="shared" si="18"/>
        <v>450</v>
      </c>
      <c r="M42" s="473">
        <f>IFERROR(K42/L42,"-")</f>
        <v>0.77777777777777779</v>
      </c>
      <c r="N42" s="474">
        <f t="shared" si="25"/>
        <v>220</v>
      </c>
      <c r="O42" s="472">
        <f t="shared" si="20"/>
        <v>350</v>
      </c>
      <c r="P42" s="475">
        <f t="shared" si="26"/>
        <v>0.62857142857142856</v>
      </c>
      <c r="Q42" s="472">
        <f t="shared" si="21"/>
        <v>218.94829097283088</v>
      </c>
      <c r="R42" s="472">
        <f t="shared" si="22"/>
        <v>220</v>
      </c>
      <c r="S42" s="476">
        <f t="shared" si="23"/>
        <v>0.9952195044219585</v>
      </c>
      <c r="T42" s="477">
        <f t="shared" si="24"/>
        <v>0.48655175771740194</v>
      </c>
    </row>
    <row r="43" spans="1:20" ht="24" x14ac:dyDescent="0.25">
      <c r="A43" s="248" t="s">
        <v>103</v>
      </c>
      <c r="B43" s="249" t="s">
        <v>23</v>
      </c>
      <c r="C43" s="470">
        <f t="shared" si="15"/>
        <v>0</v>
      </c>
      <c r="D43" s="250"/>
      <c r="E43" s="251"/>
      <c r="F43" s="601">
        <v>14000</v>
      </c>
      <c r="G43" s="472">
        <f t="shared" si="16"/>
        <v>0</v>
      </c>
      <c r="H43" s="254"/>
      <c r="I43" s="607"/>
      <c r="J43" s="610"/>
      <c r="K43" s="470">
        <f t="shared" ref="K43:K52" si="27">+L43-E43</f>
        <v>0</v>
      </c>
      <c r="L43" s="472">
        <f t="shared" si="18"/>
        <v>0</v>
      </c>
      <c r="M43" s="473" t="str">
        <f t="shared" ref="M43:M52" si="28">IFERROR(K43/L43,"-")</f>
        <v>-</v>
      </c>
      <c r="N43" s="474">
        <f t="shared" si="25"/>
        <v>0</v>
      </c>
      <c r="O43" s="472">
        <f t="shared" si="20"/>
        <v>0</v>
      </c>
      <c r="P43" s="475" t="str">
        <f t="shared" si="26"/>
        <v>-</v>
      </c>
      <c r="Q43" s="472" t="str">
        <f t="shared" si="21"/>
        <v>-</v>
      </c>
      <c r="R43" s="472">
        <f t="shared" si="22"/>
        <v>0</v>
      </c>
      <c r="S43" s="476" t="str">
        <f t="shared" si="23"/>
        <v>-</v>
      </c>
      <c r="T43" s="477" t="str">
        <f t="shared" si="24"/>
        <v>-</v>
      </c>
    </row>
    <row r="44" spans="1:20" ht="24.75" thickBot="1" x14ac:dyDescent="0.3">
      <c r="A44" s="248" t="s">
        <v>103</v>
      </c>
      <c r="B44" s="253" t="s">
        <v>212</v>
      </c>
      <c r="C44" s="478">
        <f t="shared" si="15"/>
        <v>760</v>
      </c>
      <c r="D44" s="250">
        <f>60+60+160</f>
        <v>280</v>
      </c>
      <c r="E44" s="251">
        <v>480</v>
      </c>
      <c r="F44" s="601">
        <v>4500</v>
      </c>
      <c r="G44" s="472">
        <f>+H44+I44</f>
        <v>14015</v>
      </c>
      <c r="H44" s="259">
        <v>13906</v>
      </c>
      <c r="I44" s="608">
        <v>109</v>
      </c>
      <c r="J44" s="610">
        <v>960</v>
      </c>
      <c r="K44" s="478">
        <f t="shared" si="27"/>
        <v>200</v>
      </c>
      <c r="L44" s="250">
        <f t="shared" si="18"/>
        <v>680</v>
      </c>
      <c r="M44" s="479">
        <f t="shared" si="28"/>
        <v>0.29411764705882354</v>
      </c>
      <c r="N44" s="480">
        <f t="shared" si="25"/>
        <v>-560</v>
      </c>
      <c r="O44" s="250">
        <f t="shared" si="20"/>
        <v>200</v>
      </c>
      <c r="P44" s="481">
        <f t="shared" si="26"/>
        <v>-2.8</v>
      </c>
      <c r="Q44" s="250">
        <f t="shared" si="21"/>
        <v>-567.46628612201209</v>
      </c>
      <c r="R44" s="250">
        <f t="shared" si="22"/>
        <v>-560</v>
      </c>
      <c r="S44" s="482">
        <f t="shared" si="23"/>
        <v>1.0133326537893073</v>
      </c>
      <c r="T44" s="483">
        <f t="shared" si="24"/>
        <v>-0.83450924429707651</v>
      </c>
    </row>
    <row r="45" spans="1:20" ht="24.75" thickBot="1" x14ac:dyDescent="0.3">
      <c r="A45" s="255" t="s">
        <v>103</v>
      </c>
      <c r="B45" s="256" t="s">
        <v>213</v>
      </c>
      <c r="C45" s="484">
        <f t="shared" si="15"/>
        <v>90</v>
      </c>
      <c r="D45" s="257">
        <f>30+60</f>
        <v>90</v>
      </c>
      <c r="E45" s="258"/>
      <c r="F45" s="605">
        <v>5000</v>
      </c>
      <c r="G45" s="494">
        <f t="shared" ref="G45:G52" si="29">+H45+I45</f>
        <v>9774</v>
      </c>
      <c r="H45" s="259">
        <v>9747</v>
      </c>
      <c r="I45" s="608">
        <v>27</v>
      </c>
      <c r="J45" s="613">
        <v>480</v>
      </c>
      <c r="K45" s="484">
        <f t="shared" si="27"/>
        <v>390</v>
      </c>
      <c r="L45" s="257">
        <f t="shared" si="18"/>
        <v>390</v>
      </c>
      <c r="M45" s="485">
        <f t="shared" si="28"/>
        <v>1</v>
      </c>
      <c r="N45" s="486">
        <f t="shared" si="25"/>
        <v>300</v>
      </c>
      <c r="O45" s="257">
        <f t="shared" si="20"/>
        <v>390</v>
      </c>
      <c r="P45" s="487">
        <f t="shared" si="26"/>
        <v>0.76923076923076927</v>
      </c>
      <c r="Q45" s="257">
        <f t="shared" si="21"/>
        <v>298.67403314917129</v>
      </c>
      <c r="R45" s="257">
        <f t="shared" si="22"/>
        <v>300</v>
      </c>
      <c r="S45" s="488">
        <f t="shared" si="23"/>
        <v>0.9955801104972376</v>
      </c>
      <c r="T45" s="489">
        <f t="shared" si="24"/>
        <v>0.76583085422864439</v>
      </c>
    </row>
    <row r="46" spans="1:20" ht="24" x14ac:dyDescent="0.25">
      <c r="A46" s="252" t="s">
        <v>101</v>
      </c>
      <c r="B46" s="260" t="s">
        <v>29</v>
      </c>
      <c r="C46" s="470">
        <f t="shared" si="15"/>
        <v>100</v>
      </c>
      <c r="D46" s="250">
        <v>30</v>
      </c>
      <c r="E46" s="251">
        <v>70</v>
      </c>
      <c r="F46" s="471">
        <v>160000</v>
      </c>
      <c r="G46" s="472">
        <f t="shared" si="29"/>
        <v>104564</v>
      </c>
      <c r="H46" s="471">
        <v>103428</v>
      </c>
      <c r="I46" s="611">
        <v>1136</v>
      </c>
      <c r="J46" s="703">
        <v>960</v>
      </c>
      <c r="K46" s="470">
        <f t="shared" si="27"/>
        <v>860</v>
      </c>
      <c r="L46" s="472">
        <f t="shared" si="18"/>
        <v>930</v>
      </c>
      <c r="M46" s="473">
        <f t="shared" si="28"/>
        <v>0.92473118279569888</v>
      </c>
      <c r="N46" s="474">
        <f t="shared" si="25"/>
        <v>760</v>
      </c>
      <c r="O46" s="472">
        <f t="shared" si="20"/>
        <v>860</v>
      </c>
      <c r="P46" s="475">
        <f t="shared" si="26"/>
        <v>0.88372093023255816</v>
      </c>
      <c r="Q46" s="472">
        <f t="shared" si="21"/>
        <v>749.57040664090891</v>
      </c>
      <c r="R46" s="472">
        <f t="shared" si="22"/>
        <v>760</v>
      </c>
      <c r="S46" s="490">
        <f t="shared" si="23"/>
        <v>0.98627685084330119</v>
      </c>
      <c r="T46" s="491">
        <f t="shared" si="24"/>
        <v>0.80598968456011699</v>
      </c>
    </row>
    <row r="47" spans="1:20" ht="22.5" customHeight="1" x14ac:dyDescent="0.25">
      <c r="A47" s="248" t="s">
        <v>101</v>
      </c>
      <c r="B47" s="260" t="s">
        <v>31</v>
      </c>
      <c r="C47" s="470">
        <f t="shared" si="15"/>
        <v>155</v>
      </c>
      <c r="D47" s="707">
        <v>60</v>
      </c>
      <c r="E47" s="251">
        <v>95</v>
      </c>
      <c r="F47" s="471">
        <v>50000</v>
      </c>
      <c r="G47" s="472">
        <f t="shared" si="29"/>
        <v>51611</v>
      </c>
      <c r="H47" s="471">
        <v>50544</v>
      </c>
      <c r="I47" s="611">
        <v>1067</v>
      </c>
      <c r="J47" s="610">
        <v>480</v>
      </c>
      <c r="K47" s="470">
        <f t="shared" si="27"/>
        <v>325</v>
      </c>
      <c r="L47" s="472">
        <f t="shared" si="18"/>
        <v>420</v>
      </c>
      <c r="M47" s="473">
        <f t="shared" si="28"/>
        <v>0.77380952380952384</v>
      </c>
      <c r="N47" s="474">
        <f t="shared" si="25"/>
        <v>170</v>
      </c>
      <c r="O47" s="472">
        <f t="shared" si="20"/>
        <v>325</v>
      </c>
      <c r="P47" s="475">
        <f t="shared" si="26"/>
        <v>0.52307692307692311</v>
      </c>
      <c r="Q47" s="472">
        <f t="shared" si="21"/>
        <v>160.07653407219391</v>
      </c>
      <c r="R47" s="472">
        <f t="shared" si="22"/>
        <v>170</v>
      </c>
      <c r="S47" s="490">
        <f t="shared" si="23"/>
        <v>0.94162667101290531</v>
      </c>
      <c r="T47" s="491">
        <f t="shared" si="24"/>
        <v>0.38113460493379508</v>
      </c>
    </row>
    <row r="48" spans="1:20" ht="24.75" thickBot="1" x14ac:dyDescent="0.3">
      <c r="A48" s="255" t="s">
        <v>101</v>
      </c>
      <c r="B48" s="261" t="s">
        <v>32</v>
      </c>
      <c r="C48" s="492">
        <f t="shared" si="15"/>
        <v>0</v>
      </c>
      <c r="D48" s="257"/>
      <c r="E48" s="258"/>
      <c r="F48" s="493">
        <v>110000</v>
      </c>
      <c r="G48" s="494">
        <f t="shared" si="29"/>
        <v>0</v>
      </c>
      <c r="H48" s="493"/>
      <c r="I48" s="612"/>
      <c r="J48" s="613"/>
      <c r="K48" s="492">
        <f t="shared" si="27"/>
        <v>0</v>
      </c>
      <c r="L48" s="494">
        <f t="shared" si="18"/>
        <v>0</v>
      </c>
      <c r="M48" s="495" t="str">
        <f t="shared" si="28"/>
        <v>-</v>
      </c>
      <c r="N48" s="496">
        <f t="shared" si="25"/>
        <v>0</v>
      </c>
      <c r="O48" s="494">
        <f t="shared" si="20"/>
        <v>0</v>
      </c>
      <c r="P48" s="497" t="str">
        <f t="shared" si="26"/>
        <v>-</v>
      </c>
      <c r="Q48" s="494" t="str">
        <f t="shared" si="21"/>
        <v>-</v>
      </c>
      <c r="R48" s="494">
        <f t="shared" si="22"/>
        <v>0</v>
      </c>
      <c r="S48" s="498" t="str">
        <f t="shared" si="23"/>
        <v>-</v>
      </c>
      <c r="T48" s="499" t="str">
        <f t="shared" si="24"/>
        <v>-</v>
      </c>
    </row>
    <row r="49" spans="1:20" ht="24" x14ac:dyDescent="0.25">
      <c r="A49" s="248" t="s">
        <v>102</v>
      </c>
      <c r="B49" s="249" t="s">
        <v>219</v>
      </c>
      <c r="C49" s="470">
        <f t="shared" si="15"/>
        <v>0</v>
      </c>
      <c r="D49" s="250"/>
      <c r="E49" s="251"/>
      <c r="F49" s="471">
        <v>6500</v>
      </c>
      <c r="G49" s="472">
        <f t="shared" si="29"/>
        <v>0</v>
      </c>
      <c r="H49" s="471"/>
      <c r="I49" s="611"/>
      <c r="J49" s="610"/>
      <c r="K49" s="470">
        <f t="shared" si="27"/>
        <v>0</v>
      </c>
      <c r="L49" s="472">
        <f t="shared" si="18"/>
        <v>0</v>
      </c>
      <c r="M49" s="473" t="str">
        <f t="shared" si="28"/>
        <v>-</v>
      </c>
      <c r="N49" s="474">
        <f t="shared" si="25"/>
        <v>0</v>
      </c>
      <c r="O49" s="472">
        <f t="shared" si="20"/>
        <v>0</v>
      </c>
      <c r="P49" s="475" t="str">
        <f t="shared" si="26"/>
        <v>-</v>
      </c>
      <c r="Q49" s="472" t="str">
        <f t="shared" si="21"/>
        <v>-</v>
      </c>
      <c r="R49" s="472">
        <f t="shared" si="22"/>
        <v>0</v>
      </c>
      <c r="S49" s="490" t="str">
        <f t="shared" si="23"/>
        <v>-</v>
      </c>
      <c r="T49" s="491" t="str">
        <f t="shared" si="24"/>
        <v>-</v>
      </c>
    </row>
    <row r="50" spans="1:20" ht="24" x14ac:dyDescent="0.25">
      <c r="A50" s="252" t="s">
        <v>102</v>
      </c>
      <c r="B50" s="249" t="s">
        <v>38</v>
      </c>
      <c r="C50" s="470">
        <f t="shared" si="15"/>
        <v>0</v>
      </c>
      <c r="D50" s="250"/>
      <c r="E50" s="251"/>
      <c r="F50" s="471">
        <v>2800</v>
      </c>
      <c r="G50" s="472">
        <f t="shared" si="29"/>
        <v>0</v>
      </c>
      <c r="H50" s="471"/>
      <c r="I50" s="611"/>
      <c r="J50" s="610"/>
      <c r="K50" s="470">
        <f t="shared" si="27"/>
        <v>0</v>
      </c>
      <c r="L50" s="472">
        <f t="shared" si="18"/>
        <v>0</v>
      </c>
      <c r="M50" s="473" t="str">
        <f t="shared" si="28"/>
        <v>-</v>
      </c>
      <c r="N50" s="474">
        <f t="shared" si="25"/>
        <v>0</v>
      </c>
      <c r="O50" s="472">
        <f t="shared" si="20"/>
        <v>0</v>
      </c>
      <c r="P50" s="475" t="str">
        <f t="shared" si="26"/>
        <v>-</v>
      </c>
      <c r="Q50" s="472" t="str">
        <f t="shared" si="21"/>
        <v>-</v>
      </c>
      <c r="R50" s="472">
        <f t="shared" si="22"/>
        <v>0</v>
      </c>
      <c r="S50" s="490" t="str">
        <f t="shared" si="23"/>
        <v>-</v>
      </c>
      <c r="T50" s="491" t="str">
        <f t="shared" si="24"/>
        <v>-</v>
      </c>
    </row>
    <row r="51" spans="1:20" ht="24" x14ac:dyDescent="0.25">
      <c r="A51" s="248" t="s">
        <v>102</v>
      </c>
      <c r="B51" s="249" t="s">
        <v>39</v>
      </c>
      <c r="C51" s="470">
        <f t="shared" si="15"/>
        <v>30</v>
      </c>
      <c r="D51" s="250">
        <v>30</v>
      </c>
      <c r="E51" s="251"/>
      <c r="F51" s="471">
        <v>25000</v>
      </c>
      <c r="G51" s="472">
        <f t="shared" si="29"/>
        <v>48159</v>
      </c>
      <c r="H51" s="471">
        <v>47856</v>
      </c>
      <c r="I51" s="611">
        <v>303</v>
      </c>
      <c r="J51" s="610">
        <v>480</v>
      </c>
      <c r="K51" s="470">
        <f t="shared" si="27"/>
        <v>450</v>
      </c>
      <c r="L51" s="472">
        <f t="shared" si="18"/>
        <v>450</v>
      </c>
      <c r="M51" s="473">
        <f t="shared" si="28"/>
        <v>1</v>
      </c>
      <c r="N51" s="474">
        <f t="shared" si="25"/>
        <v>420</v>
      </c>
      <c r="O51" s="472">
        <f t="shared" si="20"/>
        <v>450</v>
      </c>
      <c r="P51" s="475">
        <f t="shared" si="26"/>
        <v>0.93333333333333335</v>
      </c>
      <c r="Q51" s="472">
        <f t="shared" si="21"/>
        <v>416.98000373761914</v>
      </c>
      <c r="R51" s="472">
        <f t="shared" si="22"/>
        <v>420</v>
      </c>
      <c r="S51" s="490">
        <f t="shared" si="23"/>
        <v>0.99280953270861705</v>
      </c>
      <c r="T51" s="491">
        <f t="shared" si="24"/>
        <v>0.9266222305280426</v>
      </c>
    </row>
    <row r="52" spans="1:20" ht="45.75" thickBot="1" x14ac:dyDescent="0.3">
      <c r="A52" s="615" t="s">
        <v>102</v>
      </c>
      <c r="B52" s="261" t="s">
        <v>218</v>
      </c>
      <c r="C52" s="616">
        <f t="shared" si="15"/>
        <v>0</v>
      </c>
      <c r="D52" s="617"/>
      <c r="E52" s="618"/>
      <c r="F52" s="619">
        <v>25000</v>
      </c>
      <c r="G52" s="620">
        <f t="shared" si="29"/>
        <v>0</v>
      </c>
      <c r="H52" s="619"/>
      <c r="I52" s="621"/>
      <c r="J52" s="614"/>
      <c r="K52" s="616">
        <f t="shared" si="27"/>
        <v>0</v>
      </c>
      <c r="L52" s="620">
        <f t="shared" si="18"/>
        <v>0</v>
      </c>
      <c r="M52" s="622" t="str">
        <f t="shared" si="28"/>
        <v>-</v>
      </c>
      <c r="N52" s="623">
        <f t="shared" si="25"/>
        <v>0</v>
      </c>
      <c r="O52" s="620">
        <f t="shared" si="20"/>
        <v>0</v>
      </c>
      <c r="P52" s="624" t="str">
        <f t="shared" si="26"/>
        <v>-</v>
      </c>
      <c r="Q52" s="620" t="str">
        <f t="shared" si="21"/>
        <v>-</v>
      </c>
      <c r="R52" s="620">
        <f t="shared" si="22"/>
        <v>0</v>
      </c>
      <c r="S52" s="625" t="str">
        <f t="shared" si="23"/>
        <v>-</v>
      </c>
      <c r="T52" s="626" t="str">
        <f t="shared" si="24"/>
        <v>-</v>
      </c>
    </row>
    <row r="53" spans="1:20" ht="24.6" customHeight="1" x14ac:dyDescent="0.25">
      <c r="A53" s="230"/>
      <c r="B53" s="231"/>
      <c r="C53" s="232"/>
      <c r="D53" s="232"/>
      <c r="E53" s="232"/>
      <c r="F53" s="232"/>
      <c r="G53" s="233"/>
      <c r="H53" s="234"/>
      <c r="I53" s="232"/>
      <c r="J53" s="232"/>
      <c r="K53" s="232"/>
      <c r="L53" s="232"/>
      <c r="M53" s="234"/>
      <c r="N53" s="232"/>
      <c r="O53" s="232"/>
      <c r="P53" s="234"/>
      <c r="Q53" s="232"/>
      <c r="R53" s="232"/>
      <c r="S53" s="234"/>
      <c r="T53" s="234"/>
    </row>
    <row r="54" spans="1:20" ht="24.6" customHeight="1" x14ac:dyDescent="0.25">
      <c r="A54" s="230"/>
      <c r="B54" s="231"/>
      <c r="C54" s="232"/>
      <c r="D54" s="232"/>
      <c r="E54" s="232"/>
      <c r="F54" s="232"/>
      <c r="G54" s="233"/>
      <c r="H54" s="234"/>
      <c r="I54" s="232"/>
      <c r="J54" s="232"/>
      <c r="K54" s="232"/>
      <c r="L54" s="232"/>
      <c r="M54" s="234"/>
      <c r="N54" s="232"/>
      <c r="O54" s="232"/>
      <c r="P54" s="234"/>
      <c r="Q54" s="232"/>
      <c r="R54" s="232"/>
      <c r="S54" s="234"/>
      <c r="T54" s="234"/>
    </row>
    <row r="55" spans="1:20" ht="24.6" customHeight="1" x14ac:dyDescent="0.25">
      <c r="A55" s="230"/>
      <c r="B55" s="231"/>
      <c r="C55" s="232"/>
      <c r="D55" s="232"/>
      <c r="E55" s="232"/>
      <c r="F55" s="232"/>
      <c r="G55" s="233"/>
      <c r="H55" s="234"/>
      <c r="I55" s="232"/>
      <c r="J55" s="232"/>
      <c r="K55" s="232"/>
      <c r="L55" s="232"/>
      <c r="M55" s="234"/>
      <c r="N55" s="232"/>
      <c r="O55" s="232"/>
      <c r="P55" s="234"/>
      <c r="Q55" s="232"/>
      <c r="R55" s="232"/>
      <c r="S55" s="234"/>
      <c r="T55" s="234"/>
    </row>
    <row r="56" spans="1:20" ht="24.6" customHeight="1" x14ac:dyDescent="0.25">
      <c r="A56" s="230"/>
      <c r="B56" s="231"/>
      <c r="C56" s="232"/>
      <c r="D56" s="232"/>
      <c r="E56" s="232"/>
      <c r="F56" s="232"/>
      <c r="G56" s="233"/>
      <c r="H56" s="234"/>
      <c r="I56" s="232"/>
      <c r="J56" s="232"/>
      <c r="K56" s="232"/>
      <c r="L56" s="232"/>
      <c r="M56" s="234"/>
      <c r="N56" s="232"/>
      <c r="O56" s="232"/>
      <c r="P56" s="234"/>
      <c r="Q56" s="232"/>
      <c r="R56" s="232"/>
      <c r="S56" s="234"/>
      <c r="T56" s="234"/>
    </row>
    <row r="57" spans="1:20" ht="24.6" customHeight="1" x14ac:dyDescent="0.25">
      <c r="A57" s="230"/>
      <c r="B57" s="231"/>
      <c r="C57" s="232"/>
      <c r="D57" s="232"/>
      <c r="E57" s="232"/>
      <c r="F57" s="232"/>
      <c r="G57" s="233"/>
      <c r="H57" s="234"/>
      <c r="I57" s="232"/>
      <c r="J57" s="232"/>
      <c r="K57" s="232"/>
      <c r="L57" s="232"/>
      <c r="M57" s="234"/>
      <c r="N57" s="232"/>
      <c r="O57" s="232"/>
      <c r="P57" s="234"/>
      <c r="Q57" s="232"/>
      <c r="R57" s="232"/>
      <c r="S57" s="234"/>
      <c r="T57" s="234"/>
    </row>
    <row r="58" spans="1:20" ht="24.6" customHeight="1" thickBot="1" x14ac:dyDescent="0.3">
      <c r="A58" s="230"/>
      <c r="B58" s="231"/>
      <c r="C58" s="232"/>
      <c r="D58" s="232"/>
      <c r="E58" s="232"/>
      <c r="F58" s="232"/>
      <c r="G58" s="233"/>
      <c r="H58" s="234"/>
      <c r="I58" s="232"/>
      <c r="J58" s="232"/>
      <c r="K58" s="232"/>
      <c r="L58" s="232"/>
      <c r="M58" s="234"/>
      <c r="N58" s="232"/>
      <c r="O58" s="232"/>
      <c r="P58" s="234"/>
      <c r="Q58" s="232"/>
      <c r="R58" s="232"/>
      <c r="S58" s="234"/>
      <c r="T58" s="234"/>
    </row>
    <row r="59" spans="1:20" ht="22.5" customHeight="1" x14ac:dyDescent="0.25">
      <c r="A59" s="1033" t="s">
        <v>1</v>
      </c>
      <c r="B59" s="1033" t="s">
        <v>2</v>
      </c>
      <c r="C59" s="987" t="s">
        <v>207</v>
      </c>
      <c r="D59" s="988"/>
      <c r="E59" s="989"/>
      <c r="F59" s="987" t="s">
        <v>545</v>
      </c>
      <c r="G59" s="988"/>
      <c r="H59" s="988"/>
      <c r="I59" s="989"/>
      <c r="J59" s="1033" t="s">
        <v>204</v>
      </c>
      <c r="K59" s="987" t="s">
        <v>192</v>
      </c>
      <c r="L59" s="988"/>
      <c r="M59" s="989"/>
      <c r="N59" s="987" t="s">
        <v>193</v>
      </c>
      <c r="O59" s="988"/>
      <c r="P59" s="989"/>
      <c r="Q59" s="987" t="s">
        <v>194</v>
      </c>
      <c r="R59" s="988"/>
      <c r="S59" s="989"/>
      <c r="T59" s="1091" t="s">
        <v>191</v>
      </c>
    </row>
    <row r="60" spans="1:20" ht="90.75" thickBot="1" x14ac:dyDescent="0.3">
      <c r="A60" s="1035"/>
      <c r="B60" s="1035"/>
      <c r="C60" s="235" t="s">
        <v>208</v>
      </c>
      <c r="D60" s="236" t="s">
        <v>205</v>
      </c>
      <c r="E60" s="237" t="s">
        <v>206</v>
      </c>
      <c r="F60" s="238" t="s">
        <v>326</v>
      </c>
      <c r="G60" s="236" t="s">
        <v>201</v>
      </c>
      <c r="H60" s="239" t="s">
        <v>202</v>
      </c>
      <c r="I60" s="240" t="s">
        <v>203</v>
      </c>
      <c r="J60" s="1035"/>
      <c r="K60" s="235" t="s">
        <v>195</v>
      </c>
      <c r="L60" s="239" t="s">
        <v>196</v>
      </c>
      <c r="M60" s="241" t="s">
        <v>209</v>
      </c>
      <c r="N60" s="242" t="s">
        <v>197</v>
      </c>
      <c r="O60" s="239" t="s">
        <v>198</v>
      </c>
      <c r="P60" s="241" t="s">
        <v>210</v>
      </c>
      <c r="Q60" s="235" t="s">
        <v>199</v>
      </c>
      <c r="R60" s="239" t="s">
        <v>200</v>
      </c>
      <c r="S60" s="243" t="s">
        <v>211</v>
      </c>
      <c r="T60" s="1092"/>
    </row>
    <row r="61" spans="1:20" ht="25.5" customHeight="1" x14ac:dyDescent="0.25">
      <c r="A61" s="244" t="s">
        <v>103</v>
      </c>
      <c r="B61" s="245" t="s">
        <v>16</v>
      </c>
      <c r="C61" s="463">
        <f>+D61+E61</f>
        <v>0</v>
      </c>
      <c r="D61" s="246"/>
      <c r="E61" s="247"/>
      <c r="F61" s="600">
        <v>15000</v>
      </c>
      <c r="G61" s="464">
        <f>+H61+I61</f>
        <v>0</v>
      </c>
      <c r="H61" s="604"/>
      <c r="I61" s="606"/>
      <c r="J61" s="609"/>
      <c r="K61" s="463">
        <f>+L61-E61</f>
        <v>0</v>
      </c>
      <c r="L61" s="464">
        <f>+J61-D61</f>
        <v>0</v>
      </c>
      <c r="M61" s="465" t="str">
        <f>IFERROR(K61/L61,"-")</f>
        <v>-</v>
      </c>
      <c r="N61" s="466">
        <f>+O61-C61</f>
        <v>0</v>
      </c>
      <c r="O61" s="464">
        <f>+K61</f>
        <v>0</v>
      </c>
      <c r="P61" s="467" t="str">
        <f>IFERROR(N61/O61,"-")</f>
        <v>-</v>
      </c>
      <c r="Q61" s="464" t="str">
        <f>IFERROR(N61-(J61-(J61*H61/G61)),"-")</f>
        <v>-</v>
      </c>
      <c r="R61" s="464">
        <f>+N61</f>
        <v>0</v>
      </c>
      <c r="S61" s="468" t="str">
        <f>IFERROR(Q61/R61,"-")</f>
        <v>-</v>
      </c>
      <c r="T61" s="469" t="str">
        <f>IFERROR(M61*P61*S61,"-")</f>
        <v>-</v>
      </c>
    </row>
    <row r="62" spans="1:20" ht="25.5" customHeight="1" x14ac:dyDescent="0.25">
      <c r="A62" s="248" t="s">
        <v>103</v>
      </c>
      <c r="B62" s="249" t="s">
        <v>215</v>
      </c>
      <c r="C62" s="470">
        <f t="shared" ref="C62:C76" si="30">+D62+E62</f>
        <v>90</v>
      </c>
      <c r="D62" s="250">
        <v>30</v>
      </c>
      <c r="E62" s="251">
        <v>60</v>
      </c>
      <c r="F62" s="601">
        <v>100000</v>
      </c>
      <c r="G62" s="472">
        <f t="shared" ref="G62:G67" si="31">+H62+I62</f>
        <v>110782</v>
      </c>
      <c r="H62" s="254">
        <v>110160</v>
      </c>
      <c r="I62" s="607">
        <v>622</v>
      </c>
      <c r="J62" s="610">
        <v>600</v>
      </c>
      <c r="K62" s="470">
        <f t="shared" ref="K62:K65" si="32">+L62-E62</f>
        <v>510</v>
      </c>
      <c r="L62" s="472">
        <f t="shared" ref="L62:L76" si="33">+J62-D62</f>
        <v>570</v>
      </c>
      <c r="M62" s="473">
        <f t="shared" ref="M62:M65" si="34">IFERROR(K62/L62,"-")</f>
        <v>0.89473684210526316</v>
      </c>
      <c r="N62" s="474">
        <f>+O62-C62</f>
        <v>420</v>
      </c>
      <c r="O62" s="472">
        <f t="shared" ref="O62:O76" si="35">+K62</f>
        <v>510</v>
      </c>
      <c r="P62" s="475">
        <f>IFERROR(N62/O62,"-")</f>
        <v>0.82352941176470584</v>
      </c>
      <c r="Q62" s="472">
        <f t="shared" ref="Q62:Q76" si="36">IFERROR(N62-(J62-(J62*H62/G62)),"-")</f>
        <v>416.63122167861206</v>
      </c>
      <c r="R62" s="472">
        <f t="shared" ref="R62:R76" si="37">+N62</f>
        <v>420</v>
      </c>
      <c r="S62" s="476">
        <f t="shared" ref="S62:S76" si="38">IFERROR(Q62/R62,"-")</f>
        <v>0.99197909923479066</v>
      </c>
      <c r="T62" s="477">
        <f t="shared" ref="T62:T76" si="39">IFERROR(M62*P62*S62,"-")</f>
        <v>0.73093196785721415</v>
      </c>
    </row>
    <row r="63" spans="1:20" ht="24" x14ac:dyDescent="0.25">
      <c r="A63" s="248" t="s">
        <v>103</v>
      </c>
      <c r="B63" s="249" t="s">
        <v>214</v>
      </c>
      <c r="C63" s="470">
        <f t="shared" si="30"/>
        <v>0</v>
      </c>
      <c r="D63" s="250"/>
      <c r="E63" s="251"/>
      <c r="F63" s="601">
        <v>80000</v>
      </c>
      <c r="G63" s="472">
        <f t="shared" si="31"/>
        <v>0</v>
      </c>
      <c r="H63" s="254"/>
      <c r="I63" s="607"/>
      <c r="J63" s="610"/>
      <c r="K63" s="470">
        <f t="shared" si="32"/>
        <v>0</v>
      </c>
      <c r="L63" s="472">
        <f t="shared" si="33"/>
        <v>0</v>
      </c>
      <c r="M63" s="473" t="str">
        <f t="shared" si="34"/>
        <v>-</v>
      </c>
      <c r="N63" s="474">
        <f t="shared" ref="N63:N76" si="40">+O63-C63</f>
        <v>0</v>
      </c>
      <c r="O63" s="472">
        <f t="shared" si="35"/>
        <v>0</v>
      </c>
      <c r="P63" s="475" t="str">
        <f t="shared" ref="P63:P76" si="41">IFERROR(N63/O63,"-")</f>
        <v>-</v>
      </c>
      <c r="Q63" s="472" t="str">
        <f t="shared" si="36"/>
        <v>-</v>
      </c>
      <c r="R63" s="472">
        <f t="shared" si="37"/>
        <v>0</v>
      </c>
      <c r="S63" s="476" t="str">
        <f t="shared" si="38"/>
        <v>-</v>
      </c>
      <c r="T63" s="477" t="str">
        <f t="shared" si="39"/>
        <v>-</v>
      </c>
    </row>
    <row r="64" spans="1:20" ht="24" x14ac:dyDescent="0.25">
      <c r="A64" s="252" t="s">
        <v>103</v>
      </c>
      <c r="B64" s="249" t="s">
        <v>217</v>
      </c>
      <c r="C64" s="470">
        <f t="shared" si="30"/>
        <v>300</v>
      </c>
      <c r="D64" s="250">
        <v>60</v>
      </c>
      <c r="E64" s="251">
        <v>240</v>
      </c>
      <c r="F64" s="601">
        <v>220000</v>
      </c>
      <c r="G64" s="472">
        <f t="shared" si="31"/>
        <v>68019</v>
      </c>
      <c r="H64" s="254">
        <v>67584</v>
      </c>
      <c r="I64" s="607">
        <v>435</v>
      </c>
      <c r="J64" s="610">
        <v>960</v>
      </c>
      <c r="K64" s="470">
        <f t="shared" si="32"/>
        <v>660</v>
      </c>
      <c r="L64" s="472">
        <f t="shared" si="33"/>
        <v>900</v>
      </c>
      <c r="M64" s="473">
        <f t="shared" si="34"/>
        <v>0.73333333333333328</v>
      </c>
      <c r="N64" s="474">
        <f t="shared" si="40"/>
        <v>360</v>
      </c>
      <c r="O64" s="472">
        <f t="shared" si="35"/>
        <v>660</v>
      </c>
      <c r="P64" s="475">
        <f t="shared" si="41"/>
        <v>0.54545454545454541</v>
      </c>
      <c r="Q64" s="472">
        <f t="shared" si="36"/>
        <v>353.86053896705334</v>
      </c>
      <c r="R64" s="472">
        <f t="shared" si="37"/>
        <v>360</v>
      </c>
      <c r="S64" s="476">
        <f t="shared" si="38"/>
        <v>0.98294594157514814</v>
      </c>
      <c r="T64" s="477">
        <f t="shared" si="39"/>
        <v>0.39317837663005922</v>
      </c>
    </row>
    <row r="65" spans="1:20" ht="24" x14ac:dyDescent="0.25">
      <c r="A65" s="248" t="s">
        <v>103</v>
      </c>
      <c r="B65" s="249" t="s">
        <v>216</v>
      </c>
      <c r="C65" s="470">
        <f t="shared" si="30"/>
        <v>0</v>
      </c>
      <c r="D65" s="250"/>
      <c r="E65" s="251"/>
      <c r="F65" s="601">
        <v>50000</v>
      </c>
      <c r="G65" s="472">
        <f t="shared" si="31"/>
        <v>0</v>
      </c>
      <c r="H65" s="254"/>
      <c r="I65" s="607"/>
      <c r="J65" s="610"/>
      <c r="K65" s="470">
        <f t="shared" si="32"/>
        <v>0</v>
      </c>
      <c r="L65" s="472">
        <f t="shared" si="33"/>
        <v>0</v>
      </c>
      <c r="M65" s="473" t="str">
        <f t="shared" si="34"/>
        <v>-</v>
      </c>
      <c r="N65" s="474">
        <f t="shared" si="40"/>
        <v>0</v>
      </c>
      <c r="O65" s="472">
        <f t="shared" si="35"/>
        <v>0</v>
      </c>
      <c r="P65" s="475" t="str">
        <f t="shared" si="41"/>
        <v>-</v>
      </c>
      <c r="Q65" s="472" t="str">
        <f t="shared" si="36"/>
        <v>-</v>
      </c>
      <c r="R65" s="472">
        <f t="shared" si="37"/>
        <v>0</v>
      </c>
      <c r="S65" s="476" t="str">
        <f t="shared" si="38"/>
        <v>-</v>
      </c>
      <c r="T65" s="477" t="str">
        <f t="shared" si="39"/>
        <v>-</v>
      </c>
    </row>
    <row r="66" spans="1:20" ht="24" x14ac:dyDescent="0.25">
      <c r="A66" s="248">
        <v>5</v>
      </c>
      <c r="B66" s="249" t="s">
        <v>22</v>
      </c>
      <c r="C66" s="470">
        <f t="shared" si="30"/>
        <v>0</v>
      </c>
      <c r="D66" s="250"/>
      <c r="E66" s="251"/>
      <c r="F66" s="601">
        <v>80000</v>
      </c>
      <c r="G66" s="472">
        <f t="shared" si="31"/>
        <v>0</v>
      </c>
      <c r="H66" s="471"/>
      <c r="I66" s="611"/>
      <c r="J66" s="610"/>
      <c r="K66" s="470">
        <f>+L66-E66</f>
        <v>0</v>
      </c>
      <c r="L66" s="472">
        <f t="shared" si="33"/>
        <v>0</v>
      </c>
      <c r="M66" s="473" t="str">
        <f>IFERROR(K66/L66,"-")</f>
        <v>-</v>
      </c>
      <c r="N66" s="474">
        <f t="shared" si="40"/>
        <v>0</v>
      </c>
      <c r="O66" s="472">
        <f t="shared" si="35"/>
        <v>0</v>
      </c>
      <c r="P66" s="475" t="str">
        <f t="shared" si="41"/>
        <v>-</v>
      </c>
      <c r="Q66" s="472" t="str">
        <f t="shared" si="36"/>
        <v>-</v>
      </c>
      <c r="R66" s="472">
        <f t="shared" si="37"/>
        <v>0</v>
      </c>
      <c r="S66" s="476" t="str">
        <f t="shared" si="38"/>
        <v>-</v>
      </c>
      <c r="T66" s="477" t="str">
        <f t="shared" si="39"/>
        <v>-</v>
      </c>
    </row>
    <row r="67" spans="1:20" ht="24" x14ac:dyDescent="0.25">
      <c r="A67" s="248" t="s">
        <v>103</v>
      </c>
      <c r="B67" s="249" t="s">
        <v>23</v>
      </c>
      <c r="C67" s="470">
        <f t="shared" si="30"/>
        <v>0</v>
      </c>
      <c r="D67" s="250"/>
      <c r="E67" s="251"/>
      <c r="F67" s="601">
        <v>14000</v>
      </c>
      <c r="G67" s="472">
        <f t="shared" si="31"/>
        <v>0</v>
      </c>
      <c r="H67" s="254"/>
      <c r="I67" s="607"/>
      <c r="J67" s="610"/>
      <c r="K67" s="470">
        <f t="shared" ref="K67:K76" si="42">+L67-E67</f>
        <v>0</v>
      </c>
      <c r="L67" s="472">
        <f t="shared" si="33"/>
        <v>0</v>
      </c>
      <c r="M67" s="473" t="str">
        <f t="shared" ref="M67:M76" si="43">IFERROR(K67/L67,"-")</f>
        <v>-</v>
      </c>
      <c r="N67" s="474">
        <f t="shared" si="40"/>
        <v>0</v>
      </c>
      <c r="O67" s="472">
        <f t="shared" si="35"/>
        <v>0</v>
      </c>
      <c r="P67" s="475" t="str">
        <f t="shared" si="41"/>
        <v>-</v>
      </c>
      <c r="Q67" s="472" t="str">
        <f t="shared" si="36"/>
        <v>-</v>
      </c>
      <c r="R67" s="472">
        <f t="shared" si="37"/>
        <v>0</v>
      </c>
      <c r="S67" s="476" t="str">
        <f t="shared" si="38"/>
        <v>-</v>
      </c>
      <c r="T67" s="477" t="str">
        <f t="shared" si="39"/>
        <v>-</v>
      </c>
    </row>
    <row r="68" spans="1:20" ht="24.75" thickBot="1" x14ac:dyDescent="0.3">
      <c r="A68" s="248" t="s">
        <v>103</v>
      </c>
      <c r="B68" s="253" t="s">
        <v>212</v>
      </c>
      <c r="C68" s="478">
        <f t="shared" si="30"/>
        <v>425</v>
      </c>
      <c r="D68" s="250">
        <v>60</v>
      </c>
      <c r="E68" s="251">
        <v>365</v>
      </c>
      <c r="F68" s="601">
        <v>4500</v>
      </c>
      <c r="G68" s="472">
        <f>+H68+I68</f>
        <v>9091</v>
      </c>
      <c r="H68" s="259">
        <v>8899</v>
      </c>
      <c r="I68" s="608">
        <v>192</v>
      </c>
      <c r="J68" s="610">
        <v>960</v>
      </c>
      <c r="K68" s="478">
        <f t="shared" si="42"/>
        <v>535</v>
      </c>
      <c r="L68" s="250">
        <f t="shared" si="33"/>
        <v>900</v>
      </c>
      <c r="M68" s="479">
        <f t="shared" si="43"/>
        <v>0.59444444444444444</v>
      </c>
      <c r="N68" s="480">
        <f t="shared" si="40"/>
        <v>110</v>
      </c>
      <c r="O68" s="250">
        <f t="shared" si="35"/>
        <v>535</v>
      </c>
      <c r="P68" s="481">
        <f t="shared" si="41"/>
        <v>0.20560747663551401</v>
      </c>
      <c r="Q68" s="250">
        <f t="shared" si="36"/>
        <v>89.725002749972532</v>
      </c>
      <c r="R68" s="250">
        <f t="shared" si="37"/>
        <v>110</v>
      </c>
      <c r="S68" s="482">
        <f t="shared" si="38"/>
        <v>0.81568184318156844</v>
      </c>
      <c r="T68" s="483">
        <f t="shared" si="39"/>
        <v>9.9694447499969474E-2</v>
      </c>
    </row>
    <row r="69" spans="1:20" ht="24.75" thickBot="1" x14ac:dyDescent="0.3">
      <c r="A69" s="255" t="s">
        <v>103</v>
      </c>
      <c r="B69" s="256" t="s">
        <v>213</v>
      </c>
      <c r="C69" s="484">
        <f t="shared" si="30"/>
        <v>180</v>
      </c>
      <c r="D69" s="257">
        <v>30</v>
      </c>
      <c r="E69" s="258">
        <v>150</v>
      </c>
      <c r="F69" s="605">
        <v>5000</v>
      </c>
      <c r="G69" s="494">
        <f t="shared" ref="G69:G76" si="44">+H69+I69</f>
        <v>12834</v>
      </c>
      <c r="H69" s="259">
        <v>12810</v>
      </c>
      <c r="I69" s="608">
        <v>24</v>
      </c>
      <c r="J69" s="613">
        <v>480</v>
      </c>
      <c r="K69" s="484">
        <f t="shared" si="42"/>
        <v>300</v>
      </c>
      <c r="L69" s="257">
        <f t="shared" si="33"/>
        <v>450</v>
      </c>
      <c r="M69" s="485">
        <f t="shared" si="43"/>
        <v>0.66666666666666663</v>
      </c>
      <c r="N69" s="486">
        <f t="shared" si="40"/>
        <v>120</v>
      </c>
      <c r="O69" s="257">
        <f t="shared" si="35"/>
        <v>300</v>
      </c>
      <c r="P69" s="487">
        <f t="shared" si="41"/>
        <v>0.4</v>
      </c>
      <c r="Q69" s="257">
        <f t="shared" si="36"/>
        <v>119.10238429172512</v>
      </c>
      <c r="R69" s="257">
        <f t="shared" si="37"/>
        <v>120</v>
      </c>
      <c r="S69" s="488">
        <f t="shared" si="38"/>
        <v>0.99251986909770928</v>
      </c>
      <c r="T69" s="489">
        <f t="shared" si="39"/>
        <v>0.26467196509272245</v>
      </c>
    </row>
    <row r="70" spans="1:20" ht="24" x14ac:dyDescent="0.25">
      <c r="A70" s="252" t="s">
        <v>101</v>
      </c>
      <c r="B70" s="260" t="s">
        <v>29</v>
      </c>
      <c r="C70" s="470">
        <f t="shared" si="30"/>
        <v>205</v>
      </c>
      <c r="D70" s="250">
        <v>90</v>
      </c>
      <c r="E70" s="251">
        <v>115</v>
      </c>
      <c r="F70" s="471">
        <v>160000</v>
      </c>
      <c r="G70" s="472">
        <f t="shared" si="44"/>
        <v>217603</v>
      </c>
      <c r="H70" s="471">
        <v>214812</v>
      </c>
      <c r="I70" s="611">
        <v>2791</v>
      </c>
      <c r="J70" s="703">
        <v>1380</v>
      </c>
      <c r="K70" s="470">
        <f t="shared" si="42"/>
        <v>1175</v>
      </c>
      <c r="L70" s="472">
        <f t="shared" si="33"/>
        <v>1290</v>
      </c>
      <c r="M70" s="473">
        <f t="shared" si="43"/>
        <v>0.91085271317829453</v>
      </c>
      <c r="N70" s="474">
        <f t="shared" si="40"/>
        <v>970</v>
      </c>
      <c r="O70" s="472">
        <f t="shared" si="35"/>
        <v>1175</v>
      </c>
      <c r="P70" s="475">
        <f t="shared" si="41"/>
        <v>0.82553191489361699</v>
      </c>
      <c r="Q70" s="472">
        <f t="shared" si="36"/>
        <v>952.29996829087827</v>
      </c>
      <c r="R70" s="472">
        <f t="shared" si="37"/>
        <v>970</v>
      </c>
      <c r="S70" s="490">
        <f t="shared" si="38"/>
        <v>0.98175254462977146</v>
      </c>
      <c r="T70" s="491">
        <f t="shared" si="39"/>
        <v>0.7382170296828513</v>
      </c>
    </row>
    <row r="71" spans="1:20" ht="22.5" customHeight="1" x14ac:dyDescent="0.25">
      <c r="A71" s="248" t="s">
        <v>101</v>
      </c>
      <c r="B71" s="260" t="s">
        <v>31</v>
      </c>
      <c r="C71" s="470">
        <f t="shared" si="30"/>
        <v>0</v>
      </c>
      <c r="D71" s="707"/>
      <c r="E71" s="251"/>
      <c r="F71" s="471">
        <v>50000</v>
      </c>
      <c r="G71" s="472">
        <f t="shared" si="44"/>
        <v>0</v>
      </c>
      <c r="H71" s="471"/>
      <c r="I71" s="611"/>
      <c r="J71" s="610"/>
      <c r="K71" s="470">
        <f t="shared" si="42"/>
        <v>0</v>
      </c>
      <c r="L71" s="472">
        <f t="shared" si="33"/>
        <v>0</v>
      </c>
      <c r="M71" s="473" t="str">
        <f t="shared" si="43"/>
        <v>-</v>
      </c>
      <c r="N71" s="474">
        <f t="shared" si="40"/>
        <v>0</v>
      </c>
      <c r="O71" s="472">
        <f t="shared" si="35"/>
        <v>0</v>
      </c>
      <c r="P71" s="475" t="str">
        <f t="shared" si="41"/>
        <v>-</v>
      </c>
      <c r="Q71" s="472" t="str">
        <f t="shared" si="36"/>
        <v>-</v>
      </c>
      <c r="R71" s="472">
        <f t="shared" si="37"/>
        <v>0</v>
      </c>
      <c r="S71" s="490" t="str">
        <f t="shared" si="38"/>
        <v>-</v>
      </c>
      <c r="T71" s="491" t="str">
        <f t="shared" si="39"/>
        <v>-</v>
      </c>
    </row>
    <row r="72" spans="1:20" ht="24.75" thickBot="1" x14ac:dyDescent="0.3">
      <c r="A72" s="255" t="s">
        <v>101</v>
      </c>
      <c r="B72" s="261" t="s">
        <v>32</v>
      </c>
      <c r="C72" s="492">
        <f t="shared" si="30"/>
        <v>0</v>
      </c>
      <c r="D72" s="257"/>
      <c r="E72" s="258"/>
      <c r="F72" s="493">
        <v>110000</v>
      </c>
      <c r="G72" s="494">
        <f t="shared" si="44"/>
        <v>0</v>
      </c>
      <c r="H72" s="493"/>
      <c r="I72" s="612"/>
      <c r="J72" s="613"/>
      <c r="K72" s="492">
        <f t="shared" si="42"/>
        <v>0</v>
      </c>
      <c r="L72" s="494">
        <f t="shared" si="33"/>
        <v>0</v>
      </c>
      <c r="M72" s="495" t="str">
        <f t="shared" si="43"/>
        <v>-</v>
      </c>
      <c r="N72" s="496">
        <f t="shared" si="40"/>
        <v>0</v>
      </c>
      <c r="O72" s="494">
        <f t="shared" si="35"/>
        <v>0</v>
      </c>
      <c r="P72" s="497" t="str">
        <f t="shared" si="41"/>
        <v>-</v>
      </c>
      <c r="Q72" s="494" t="str">
        <f t="shared" si="36"/>
        <v>-</v>
      </c>
      <c r="R72" s="494">
        <f t="shared" si="37"/>
        <v>0</v>
      </c>
      <c r="S72" s="498" t="str">
        <f t="shared" si="38"/>
        <v>-</v>
      </c>
      <c r="T72" s="499" t="str">
        <f t="shared" si="39"/>
        <v>-</v>
      </c>
    </row>
    <row r="73" spans="1:20" ht="24" x14ac:dyDescent="0.25">
      <c r="A73" s="248" t="s">
        <v>102</v>
      </c>
      <c r="B73" s="249" t="s">
        <v>219</v>
      </c>
      <c r="C73" s="470">
        <f t="shared" si="30"/>
        <v>0</v>
      </c>
      <c r="D73" s="250"/>
      <c r="E73" s="251"/>
      <c r="F73" s="471">
        <v>6500</v>
      </c>
      <c r="G73" s="472">
        <f t="shared" si="44"/>
        <v>0</v>
      </c>
      <c r="H73" s="471"/>
      <c r="I73" s="611"/>
      <c r="J73" s="610"/>
      <c r="K73" s="470">
        <f t="shared" si="42"/>
        <v>0</v>
      </c>
      <c r="L73" s="472">
        <f t="shared" si="33"/>
        <v>0</v>
      </c>
      <c r="M73" s="473" t="str">
        <f t="shared" si="43"/>
        <v>-</v>
      </c>
      <c r="N73" s="474">
        <f t="shared" si="40"/>
        <v>0</v>
      </c>
      <c r="O73" s="472">
        <f t="shared" si="35"/>
        <v>0</v>
      </c>
      <c r="P73" s="475" t="str">
        <f t="shared" si="41"/>
        <v>-</v>
      </c>
      <c r="Q73" s="472" t="str">
        <f t="shared" si="36"/>
        <v>-</v>
      </c>
      <c r="R73" s="472">
        <f t="shared" si="37"/>
        <v>0</v>
      </c>
      <c r="S73" s="490" t="str">
        <f t="shared" si="38"/>
        <v>-</v>
      </c>
      <c r="T73" s="491" t="str">
        <f t="shared" si="39"/>
        <v>-</v>
      </c>
    </row>
    <row r="74" spans="1:20" ht="24" x14ac:dyDescent="0.25">
      <c r="A74" s="252" t="s">
        <v>102</v>
      </c>
      <c r="B74" s="249" t="s">
        <v>38</v>
      </c>
      <c r="C74" s="470">
        <f t="shared" si="30"/>
        <v>30</v>
      </c>
      <c r="D74" s="250">
        <v>30</v>
      </c>
      <c r="E74" s="251"/>
      <c r="F74" s="471">
        <v>2800</v>
      </c>
      <c r="G74" s="472">
        <f t="shared" si="44"/>
        <v>2500</v>
      </c>
      <c r="H74" s="471">
        <v>2500</v>
      </c>
      <c r="I74" s="611"/>
      <c r="J74" s="610">
        <v>480</v>
      </c>
      <c r="K74" s="470">
        <f t="shared" si="42"/>
        <v>450</v>
      </c>
      <c r="L74" s="472">
        <f t="shared" si="33"/>
        <v>450</v>
      </c>
      <c r="M74" s="473">
        <f t="shared" si="43"/>
        <v>1</v>
      </c>
      <c r="N74" s="474">
        <f t="shared" si="40"/>
        <v>420</v>
      </c>
      <c r="O74" s="472">
        <f t="shared" si="35"/>
        <v>450</v>
      </c>
      <c r="P74" s="475">
        <f t="shared" si="41"/>
        <v>0.93333333333333335</v>
      </c>
      <c r="Q74" s="472">
        <f t="shared" si="36"/>
        <v>420</v>
      </c>
      <c r="R74" s="472">
        <f t="shared" si="37"/>
        <v>420</v>
      </c>
      <c r="S74" s="490">
        <f t="shared" si="38"/>
        <v>1</v>
      </c>
      <c r="T74" s="491">
        <f t="shared" si="39"/>
        <v>0.93333333333333335</v>
      </c>
    </row>
    <row r="75" spans="1:20" ht="24" x14ac:dyDescent="0.25">
      <c r="A75" s="248" t="s">
        <v>102</v>
      </c>
      <c r="B75" s="249" t="s">
        <v>39</v>
      </c>
      <c r="C75" s="470">
        <f t="shared" si="30"/>
        <v>30</v>
      </c>
      <c r="D75" s="250">
        <v>30</v>
      </c>
      <c r="E75" s="251"/>
      <c r="F75" s="471">
        <v>25000</v>
      </c>
      <c r="G75" s="472">
        <f t="shared" si="44"/>
        <v>47405</v>
      </c>
      <c r="H75" s="471">
        <v>47040</v>
      </c>
      <c r="I75" s="611">
        <v>365</v>
      </c>
      <c r="J75" s="610">
        <v>480</v>
      </c>
      <c r="K75" s="470">
        <f t="shared" si="42"/>
        <v>450</v>
      </c>
      <c r="L75" s="472">
        <f t="shared" si="33"/>
        <v>450</v>
      </c>
      <c r="M75" s="473">
        <f t="shared" si="43"/>
        <v>1</v>
      </c>
      <c r="N75" s="474">
        <f t="shared" si="40"/>
        <v>420</v>
      </c>
      <c r="O75" s="472">
        <f t="shared" si="35"/>
        <v>450</v>
      </c>
      <c r="P75" s="475">
        <f t="shared" si="41"/>
        <v>0.93333333333333335</v>
      </c>
      <c r="Q75" s="472">
        <f t="shared" si="36"/>
        <v>416.30418732201247</v>
      </c>
      <c r="R75" s="472">
        <f t="shared" si="37"/>
        <v>420</v>
      </c>
      <c r="S75" s="490">
        <f t="shared" si="38"/>
        <v>0.99120044600479162</v>
      </c>
      <c r="T75" s="491">
        <f t="shared" si="39"/>
        <v>0.92512041627113883</v>
      </c>
    </row>
    <row r="76" spans="1:20" ht="45.75" thickBot="1" x14ac:dyDescent="0.3">
      <c r="A76" s="615" t="s">
        <v>102</v>
      </c>
      <c r="B76" s="261" t="s">
        <v>218</v>
      </c>
      <c r="C76" s="616">
        <f t="shared" si="30"/>
        <v>30</v>
      </c>
      <c r="D76" s="617">
        <v>30</v>
      </c>
      <c r="E76" s="618"/>
      <c r="F76" s="619">
        <v>25000</v>
      </c>
      <c r="G76" s="620">
        <f t="shared" si="44"/>
        <v>0</v>
      </c>
      <c r="H76" s="619"/>
      <c r="I76" s="621"/>
      <c r="J76" s="614">
        <v>480</v>
      </c>
      <c r="K76" s="616">
        <f t="shared" si="42"/>
        <v>450</v>
      </c>
      <c r="L76" s="620">
        <f t="shared" si="33"/>
        <v>450</v>
      </c>
      <c r="M76" s="622">
        <f t="shared" si="43"/>
        <v>1</v>
      </c>
      <c r="N76" s="623">
        <f t="shared" si="40"/>
        <v>420</v>
      </c>
      <c r="O76" s="620">
        <f t="shared" si="35"/>
        <v>450</v>
      </c>
      <c r="P76" s="624">
        <f t="shared" si="41"/>
        <v>0.93333333333333335</v>
      </c>
      <c r="Q76" s="620" t="str">
        <f t="shared" si="36"/>
        <v>-</v>
      </c>
      <c r="R76" s="620">
        <f t="shared" si="37"/>
        <v>420</v>
      </c>
      <c r="S76" s="625" t="str">
        <f t="shared" si="38"/>
        <v>-</v>
      </c>
      <c r="T76" s="626" t="str">
        <f t="shared" si="39"/>
        <v>-</v>
      </c>
    </row>
    <row r="77" spans="1:20" ht="24.6" customHeight="1" x14ac:dyDescent="0.25">
      <c r="A77" s="230"/>
      <c r="B77" s="231"/>
      <c r="C77" s="232"/>
      <c r="D77" s="232"/>
      <c r="E77" s="232"/>
      <c r="F77" s="232"/>
      <c r="G77" s="233"/>
      <c r="H77" s="234"/>
      <c r="I77" s="232"/>
      <c r="J77" s="232"/>
      <c r="K77" s="232"/>
      <c r="L77" s="232"/>
      <c r="M77" s="234"/>
      <c r="N77" s="232"/>
      <c r="O77" s="232"/>
      <c r="P77" s="234"/>
      <c r="Q77" s="232"/>
      <c r="R77" s="232"/>
      <c r="S77" s="234"/>
      <c r="T77" s="234"/>
    </row>
    <row r="78" spans="1:20" ht="24.6" customHeight="1" x14ac:dyDescent="0.25">
      <c r="A78" s="230"/>
      <c r="B78" s="231"/>
      <c r="C78" s="232"/>
      <c r="D78" s="232"/>
      <c r="E78" s="232"/>
      <c r="F78" s="232"/>
      <c r="G78" s="233"/>
      <c r="H78" s="234"/>
      <c r="I78" s="232"/>
      <c r="J78" s="232"/>
      <c r="K78" s="232"/>
      <c r="L78" s="232"/>
      <c r="M78" s="234"/>
      <c r="N78" s="232"/>
      <c r="O78" s="232"/>
      <c r="P78" s="234"/>
      <c r="Q78" s="232"/>
      <c r="R78" s="232"/>
      <c r="S78" s="234"/>
      <c r="T78" s="234"/>
    </row>
    <row r="79" spans="1:20" ht="24.6" customHeight="1" x14ac:dyDescent="0.25">
      <c r="A79" s="230"/>
      <c r="B79" s="231"/>
      <c r="C79" s="232"/>
      <c r="D79" s="232"/>
      <c r="E79" s="232"/>
      <c r="F79" s="232"/>
      <c r="G79" s="233"/>
      <c r="H79" s="234"/>
      <c r="I79" s="232"/>
      <c r="J79" s="232"/>
      <c r="K79" s="232"/>
      <c r="L79" s="232"/>
      <c r="M79" s="234"/>
      <c r="N79" s="232"/>
      <c r="O79" s="232"/>
      <c r="P79" s="234"/>
      <c r="Q79" s="232"/>
      <c r="R79" s="232"/>
      <c r="S79" s="234"/>
      <c r="T79" s="234"/>
    </row>
    <row r="80" spans="1:20" ht="24.6" customHeight="1" x14ac:dyDescent="0.25">
      <c r="A80" s="230"/>
      <c r="B80" s="231"/>
      <c r="C80" s="232"/>
      <c r="D80" s="232"/>
      <c r="E80" s="232"/>
      <c r="F80" s="232"/>
      <c r="G80" s="233"/>
      <c r="H80" s="234"/>
      <c r="I80" s="232"/>
      <c r="J80" s="232"/>
      <c r="K80" s="232"/>
      <c r="L80" s="232"/>
      <c r="M80" s="234"/>
      <c r="N80" s="232"/>
      <c r="O80" s="232"/>
      <c r="P80" s="234"/>
      <c r="Q80" s="232"/>
      <c r="R80" s="232"/>
      <c r="S80" s="234"/>
      <c r="T80" s="234"/>
    </row>
    <row r="81" spans="1:20" ht="24.6" customHeight="1" x14ac:dyDescent="0.25">
      <c r="A81" s="230"/>
      <c r="B81" s="231"/>
      <c r="C81" s="232"/>
      <c r="D81" s="232"/>
      <c r="E81" s="232"/>
      <c r="F81" s="232"/>
      <c r="G81" s="233"/>
      <c r="H81" s="234"/>
      <c r="I81" s="232"/>
      <c r="J81" s="232"/>
      <c r="K81" s="232"/>
      <c r="L81" s="232"/>
      <c r="M81" s="234"/>
      <c r="N81" s="232"/>
      <c r="O81" s="232"/>
      <c r="P81" s="234"/>
      <c r="Q81" s="232"/>
      <c r="R81" s="232"/>
      <c r="S81" s="234"/>
      <c r="T81" s="234"/>
    </row>
    <row r="82" spans="1:20" ht="24.6" customHeight="1" thickBot="1" x14ac:dyDescent="0.3">
      <c r="A82" s="230"/>
      <c r="B82" s="231"/>
      <c r="C82" s="232"/>
      <c r="D82" s="232"/>
      <c r="E82" s="232"/>
      <c r="F82" s="232"/>
      <c r="G82" s="233"/>
      <c r="H82" s="234"/>
      <c r="I82" s="232"/>
      <c r="J82" s="232"/>
      <c r="K82" s="232"/>
      <c r="L82" s="232"/>
      <c r="M82" s="234"/>
      <c r="N82" s="232"/>
      <c r="O82" s="232"/>
      <c r="P82" s="234"/>
      <c r="Q82" s="232"/>
      <c r="R82" s="232"/>
      <c r="S82" s="234"/>
      <c r="T82" s="234"/>
    </row>
    <row r="83" spans="1:20" ht="22.5" customHeight="1" x14ac:dyDescent="0.25">
      <c r="A83" s="1033" t="s">
        <v>1</v>
      </c>
      <c r="B83" s="1033" t="s">
        <v>2</v>
      </c>
      <c r="C83" s="987" t="s">
        <v>207</v>
      </c>
      <c r="D83" s="988"/>
      <c r="E83" s="989"/>
      <c r="F83" s="987" t="s">
        <v>535</v>
      </c>
      <c r="G83" s="988"/>
      <c r="H83" s="988"/>
      <c r="I83" s="989"/>
      <c r="J83" s="1033" t="s">
        <v>204</v>
      </c>
      <c r="K83" s="987" t="s">
        <v>192</v>
      </c>
      <c r="L83" s="988"/>
      <c r="M83" s="989"/>
      <c r="N83" s="987" t="s">
        <v>193</v>
      </c>
      <c r="O83" s="988"/>
      <c r="P83" s="989"/>
      <c r="Q83" s="987" t="s">
        <v>194</v>
      </c>
      <c r="R83" s="988"/>
      <c r="S83" s="989"/>
      <c r="T83" s="1091" t="s">
        <v>191</v>
      </c>
    </row>
    <row r="84" spans="1:20" ht="90.75" thickBot="1" x14ac:dyDescent="0.3">
      <c r="A84" s="1035"/>
      <c r="B84" s="1035"/>
      <c r="C84" s="235" t="s">
        <v>208</v>
      </c>
      <c r="D84" s="236" t="s">
        <v>205</v>
      </c>
      <c r="E84" s="237" t="s">
        <v>206</v>
      </c>
      <c r="F84" s="238" t="s">
        <v>326</v>
      </c>
      <c r="G84" s="236" t="s">
        <v>201</v>
      </c>
      <c r="H84" s="239" t="s">
        <v>202</v>
      </c>
      <c r="I84" s="240" t="s">
        <v>203</v>
      </c>
      <c r="J84" s="1035"/>
      <c r="K84" s="235" t="s">
        <v>195</v>
      </c>
      <c r="L84" s="239" t="s">
        <v>196</v>
      </c>
      <c r="M84" s="241" t="s">
        <v>209</v>
      </c>
      <c r="N84" s="242" t="s">
        <v>197</v>
      </c>
      <c r="O84" s="239" t="s">
        <v>198</v>
      </c>
      <c r="P84" s="241" t="s">
        <v>210</v>
      </c>
      <c r="Q84" s="235" t="s">
        <v>199</v>
      </c>
      <c r="R84" s="239" t="s">
        <v>200</v>
      </c>
      <c r="S84" s="243" t="s">
        <v>211</v>
      </c>
      <c r="T84" s="1092"/>
    </row>
    <row r="85" spans="1:20" ht="25.5" customHeight="1" x14ac:dyDescent="0.25">
      <c r="A85" s="244" t="s">
        <v>103</v>
      </c>
      <c r="B85" s="245" t="s">
        <v>16</v>
      </c>
      <c r="C85" s="463">
        <f>+D85+E85</f>
        <v>0</v>
      </c>
      <c r="D85" s="246"/>
      <c r="E85" s="247"/>
      <c r="F85" s="600">
        <v>15000</v>
      </c>
      <c r="G85" s="464">
        <f>+H85+I85</f>
        <v>0</v>
      </c>
      <c r="H85" s="604"/>
      <c r="I85" s="606"/>
      <c r="J85" s="609"/>
      <c r="K85" s="463">
        <f>+L85-E85</f>
        <v>0</v>
      </c>
      <c r="L85" s="464">
        <f>+J85-D85</f>
        <v>0</v>
      </c>
      <c r="M85" s="465" t="str">
        <f>IFERROR(K85/L85,"-")</f>
        <v>-</v>
      </c>
      <c r="N85" s="466">
        <f>+O85-C85</f>
        <v>0</v>
      </c>
      <c r="O85" s="464">
        <f>+K85</f>
        <v>0</v>
      </c>
      <c r="P85" s="467" t="str">
        <f>IFERROR(N85/O85,"-")</f>
        <v>-</v>
      </c>
      <c r="Q85" s="464" t="str">
        <f>IFERROR(N85-(J85-(J85*H85/G85)),"-")</f>
        <v>-</v>
      </c>
      <c r="R85" s="464">
        <f>+N85</f>
        <v>0</v>
      </c>
      <c r="S85" s="468" t="str">
        <f>IFERROR(Q85/R85,"-")</f>
        <v>-</v>
      </c>
      <c r="T85" s="469" t="str">
        <f>IFERROR(M85*P85*S85,"-")</f>
        <v>-</v>
      </c>
    </row>
    <row r="86" spans="1:20" ht="25.5" customHeight="1" x14ac:dyDescent="0.25">
      <c r="A86" s="248" t="s">
        <v>103</v>
      </c>
      <c r="B86" s="249" t="s">
        <v>215</v>
      </c>
      <c r="C86" s="470">
        <f t="shared" ref="C86:C100" si="45">+D86+E86</f>
        <v>180</v>
      </c>
      <c r="D86" s="250">
        <v>30</v>
      </c>
      <c r="E86" s="251">
        <v>150</v>
      </c>
      <c r="F86" s="601">
        <v>100000</v>
      </c>
      <c r="G86" s="472">
        <f t="shared" ref="G86:G91" si="46">+H86+I86</f>
        <v>85884</v>
      </c>
      <c r="H86" s="254">
        <v>85680</v>
      </c>
      <c r="I86" s="607">
        <v>204</v>
      </c>
      <c r="J86" s="610">
        <v>480</v>
      </c>
      <c r="K86" s="470">
        <f t="shared" ref="K86:K89" si="47">+L86-E86</f>
        <v>300</v>
      </c>
      <c r="L86" s="472">
        <f t="shared" ref="L86:L100" si="48">+J86-D86</f>
        <v>450</v>
      </c>
      <c r="M86" s="473">
        <f t="shared" ref="M86:M89" si="49">IFERROR(K86/L86,"-")</f>
        <v>0.66666666666666663</v>
      </c>
      <c r="N86" s="474">
        <f>+O86-C86</f>
        <v>120</v>
      </c>
      <c r="O86" s="472">
        <f t="shared" ref="O86:O100" si="50">+K86</f>
        <v>300</v>
      </c>
      <c r="P86" s="475">
        <f>IFERROR(N86/O86,"-")</f>
        <v>0.4</v>
      </c>
      <c r="Q86" s="472">
        <f t="shared" ref="Q86:Q100" si="51">IFERROR(N86-(J86-(J86*H86/G86)),"-")</f>
        <v>118.85985748218525</v>
      </c>
      <c r="R86" s="472">
        <f t="shared" ref="R86:R100" si="52">+N86</f>
        <v>120</v>
      </c>
      <c r="S86" s="476">
        <f t="shared" ref="S86:S100" si="53">IFERROR(Q86/R86,"-")</f>
        <v>0.99049881235154369</v>
      </c>
      <c r="T86" s="477">
        <f t="shared" ref="T86:T100" si="54">IFERROR(M86*P86*S86,"-")</f>
        <v>0.26413301662707833</v>
      </c>
    </row>
    <row r="87" spans="1:20" ht="24" x14ac:dyDescent="0.25">
      <c r="A87" s="248" t="s">
        <v>103</v>
      </c>
      <c r="B87" s="249" t="s">
        <v>214</v>
      </c>
      <c r="C87" s="470">
        <f t="shared" si="45"/>
        <v>0</v>
      </c>
      <c r="D87" s="250"/>
      <c r="E87" s="251"/>
      <c r="F87" s="601">
        <v>80000</v>
      </c>
      <c r="G87" s="472">
        <f t="shared" si="46"/>
        <v>0</v>
      </c>
      <c r="H87" s="254"/>
      <c r="I87" s="607"/>
      <c r="J87" s="610"/>
      <c r="K87" s="470">
        <f t="shared" si="47"/>
        <v>0</v>
      </c>
      <c r="L87" s="472">
        <f t="shared" si="48"/>
        <v>0</v>
      </c>
      <c r="M87" s="473" t="str">
        <f t="shared" si="49"/>
        <v>-</v>
      </c>
      <c r="N87" s="474">
        <f t="shared" ref="N87:N100" si="55">+O87-C87</f>
        <v>0</v>
      </c>
      <c r="O87" s="472">
        <f t="shared" si="50"/>
        <v>0</v>
      </c>
      <c r="P87" s="475" t="str">
        <f t="shared" ref="P87:P100" si="56">IFERROR(N87/O87,"-")</f>
        <v>-</v>
      </c>
      <c r="Q87" s="472" t="str">
        <f t="shared" si="51"/>
        <v>-</v>
      </c>
      <c r="R87" s="472">
        <f t="shared" si="52"/>
        <v>0</v>
      </c>
      <c r="S87" s="476" t="str">
        <f t="shared" si="53"/>
        <v>-</v>
      </c>
      <c r="T87" s="477" t="str">
        <f t="shared" si="54"/>
        <v>-</v>
      </c>
    </row>
    <row r="88" spans="1:20" ht="24" x14ac:dyDescent="0.25">
      <c r="A88" s="252" t="s">
        <v>103</v>
      </c>
      <c r="B88" s="249" t="s">
        <v>217</v>
      </c>
      <c r="C88" s="470">
        <f t="shared" si="45"/>
        <v>300</v>
      </c>
      <c r="D88" s="250">
        <v>60</v>
      </c>
      <c r="E88" s="251">
        <v>240</v>
      </c>
      <c r="F88" s="601">
        <v>220000</v>
      </c>
      <c r="G88" s="472">
        <f t="shared" si="46"/>
        <v>17266</v>
      </c>
      <c r="H88" s="254">
        <v>16896</v>
      </c>
      <c r="I88" s="607">
        <v>370</v>
      </c>
      <c r="J88" s="610">
        <v>960</v>
      </c>
      <c r="K88" s="470">
        <f t="shared" si="47"/>
        <v>660</v>
      </c>
      <c r="L88" s="472">
        <f t="shared" si="48"/>
        <v>900</v>
      </c>
      <c r="M88" s="473">
        <f t="shared" si="49"/>
        <v>0.73333333333333328</v>
      </c>
      <c r="N88" s="474">
        <f t="shared" si="55"/>
        <v>360</v>
      </c>
      <c r="O88" s="472">
        <f t="shared" si="50"/>
        <v>660</v>
      </c>
      <c r="P88" s="475">
        <f t="shared" si="56"/>
        <v>0.54545454545454541</v>
      </c>
      <c r="Q88" s="472">
        <f t="shared" si="51"/>
        <v>339.42777713425232</v>
      </c>
      <c r="R88" s="472">
        <f t="shared" si="52"/>
        <v>360</v>
      </c>
      <c r="S88" s="476">
        <f t="shared" si="53"/>
        <v>0.94285493648403418</v>
      </c>
      <c r="T88" s="477">
        <f t="shared" si="54"/>
        <v>0.37714197459361365</v>
      </c>
    </row>
    <row r="89" spans="1:20" ht="24" x14ac:dyDescent="0.25">
      <c r="A89" s="248" t="s">
        <v>103</v>
      </c>
      <c r="B89" s="249" t="s">
        <v>216</v>
      </c>
      <c r="C89" s="470">
        <f t="shared" si="45"/>
        <v>0</v>
      </c>
      <c r="D89" s="250"/>
      <c r="E89" s="251"/>
      <c r="F89" s="601">
        <v>50000</v>
      </c>
      <c r="G89" s="472">
        <f t="shared" si="46"/>
        <v>0</v>
      </c>
      <c r="H89" s="254"/>
      <c r="I89" s="607"/>
      <c r="J89" s="610"/>
      <c r="K89" s="470">
        <f t="shared" si="47"/>
        <v>0</v>
      </c>
      <c r="L89" s="472">
        <f t="shared" si="48"/>
        <v>0</v>
      </c>
      <c r="M89" s="473" t="str">
        <f t="shared" si="49"/>
        <v>-</v>
      </c>
      <c r="N89" s="474">
        <f t="shared" si="55"/>
        <v>0</v>
      </c>
      <c r="O89" s="472">
        <f t="shared" si="50"/>
        <v>0</v>
      </c>
      <c r="P89" s="475" t="str">
        <f t="shared" si="56"/>
        <v>-</v>
      </c>
      <c r="Q89" s="472" t="str">
        <f t="shared" si="51"/>
        <v>-</v>
      </c>
      <c r="R89" s="472">
        <f t="shared" si="52"/>
        <v>0</v>
      </c>
      <c r="S89" s="476" t="str">
        <f t="shared" si="53"/>
        <v>-</v>
      </c>
      <c r="T89" s="477" t="str">
        <f t="shared" si="54"/>
        <v>-</v>
      </c>
    </row>
    <row r="90" spans="1:20" ht="24" x14ac:dyDescent="0.25">
      <c r="A90" s="248">
        <v>5</v>
      </c>
      <c r="B90" s="249" t="s">
        <v>22</v>
      </c>
      <c r="C90" s="470">
        <f t="shared" si="45"/>
        <v>0</v>
      </c>
      <c r="D90" s="250"/>
      <c r="E90" s="251"/>
      <c r="F90" s="601">
        <v>80000</v>
      </c>
      <c r="G90" s="472">
        <f t="shared" si="46"/>
        <v>0</v>
      </c>
      <c r="H90" s="471"/>
      <c r="I90" s="611"/>
      <c r="J90" s="610"/>
      <c r="K90" s="470">
        <f>+L90-E90</f>
        <v>0</v>
      </c>
      <c r="L90" s="472">
        <f t="shared" si="48"/>
        <v>0</v>
      </c>
      <c r="M90" s="473" t="str">
        <f>IFERROR(K90/L90,"-")</f>
        <v>-</v>
      </c>
      <c r="N90" s="474">
        <f t="shared" si="55"/>
        <v>0</v>
      </c>
      <c r="O90" s="472">
        <f t="shared" si="50"/>
        <v>0</v>
      </c>
      <c r="P90" s="475" t="str">
        <f t="shared" si="56"/>
        <v>-</v>
      </c>
      <c r="Q90" s="472" t="str">
        <f t="shared" si="51"/>
        <v>-</v>
      </c>
      <c r="R90" s="472">
        <f t="shared" si="52"/>
        <v>0</v>
      </c>
      <c r="S90" s="476" t="str">
        <f t="shared" si="53"/>
        <v>-</v>
      </c>
      <c r="T90" s="477" t="str">
        <f t="shared" si="54"/>
        <v>-</v>
      </c>
    </row>
    <row r="91" spans="1:20" ht="24" x14ac:dyDescent="0.25">
      <c r="A91" s="248" t="s">
        <v>103</v>
      </c>
      <c r="B91" s="249" t="s">
        <v>23</v>
      </c>
      <c r="C91" s="470">
        <f t="shared" si="45"/>
        <v>0</v>
      </c>
      <c r="D91" s="250"/>
      <c r="E91" s="251"/>
      <c r="F91" s="601">
        <v>14000</v>
      </c>
      <c r="G91" s="472">
        <f t="shared" si="46"/>
        <v>0</v>
      </c>
      <c r="H91" s="254"/>
      <c r="I91" s="607"/>
      <c r="J91" s="610"/>
      <c r="K91" s="470">
        <f t="shared" ref="K91:K100" si="57">+L91-E91</f>
        <v>0</v>
      </c>
      <c r="L91" s="472">
        <f t="shared" si="48"/>
        <v>0</v>
      </c>
      <c r="M91" s="473" t="str">
        <f t="shared" ref="M91:M100" si="58">IFERROR(K91/L91,"-")</f>
        <v>-</v>
      </c>
      <c r="N91" s="474">
        <f t="shared" si="55"/>
        <v>0</v>
      </c>
      <c r="O91" s="472">
        <f t="shared" si="50"/>
        <v>0</v>
      </c>
      <c r="P91" s="475" t="str">
        <f t="shared" si="56"/>
        <v>-</v>
      </c>
      <c r="Q91" s="472" t="str">
        <f t="shared" si="51"/>
        <v>-</v>
      </c>
      <c r="R91" s="472">
        <f t="shared" si="52"/>
        <v>0</v>
      </c>
      <c r="S91" s="476" t="str">
        <f t="shared" si="53"/>
        <v>-</v>
      </c>
      <c r="T91" s="477" t="str">
        <f t="shared" si="54"/>
        <v>-</v>
      </c>
    </row>
    <row r="92" spans="1:20" ht="24.75" thickBot="1" x14ac:dyDescent="0.3">
      <c r="A92" s="248" t="s">
        <v>103</v>
      </c>
      <c r="B92" s="253" t="s">
        <v>212</v>
      </c>
      <c r="C92" s="478">
        <f t="shared" si="45"/>
        <v>490</v>
      </c>
      <c r="D92" s="250">
        <f>30+30+60+280</f>
        <v>400</v>
      </c>
      <c r="E92" s="251">
        <v>90</v>
      </c>
      <c r="F92" s="601">
        <v>4500</v>
      </c>
      <c r="G92" s="472">
        <f>+H92+I92</f>
        <v>18180</v>
      </c>
      <c r="H92" s="259">
        <v>18122</v>
      </c>
      <c r="I92" s="608">
        <v>58</v>
      </c>
      <c r="J92" s="610">
        <v>960</v>
      </c>
      <c r="K92" s="478">
        <f t="shared" si="57"/>
        <v>470</v>
      </c>
      <c r="L92" s="250">
        <f t="shared" si="48"/>
        <v>560</v>
      </c>
      <c r="M92" s="479">
        <f t="shared" si="58"/>
        <v>0.8392857142857143</v>
      </c>
      <c r="N92" s="480">
        <f t="shared" si="55"/>
        <v>-20</v>
      </c>
      <c r="O92" s="250">
        <f t="shared" si="50"/>
        <v>470</v>
      </c>
      <c r="P92" s="481">
        <f t="shared" si="56"/>
        <v>-4.2553191489361701E-2</v>
      </c>
      <c r="Q92" s="250">
        <f t="shared" si="51"/>
        <v>-23.062706270627018</v>
      </c>
      <c r="R92" s="250">
        <f t="shared" si="52"/>
        <v>-20</v>
      </c>
      <c r="S92" s="482">
        <f t="shared" si="53"/>
        <v>1.1531353135313509</v>
      </c>
      <c r="T92" s="483">
        <f t="shared" si="54"/>
        <v>-4.1183404054691099E-2</v>
      </c>
    </row>
    <row r="93" spans="1:20" ht="24.75" thickBot="1" x14ac:dyDescent="0.3">
      <c r="A93" s="255" t="s">
        <v>103</v>
      </c>
      <c r="B93" s="256" t="s">
        <v>213</v>
      </c>
      <c r="C93" s="484">
        <f t="shared" si="45"/>
        <v>390</v>
      </c>
      <c r="D93" s="257">
        <f>30+60+90</f>
        <v>180</v>
      </c>
      <c r="E93" s="258">
        <v>210</v>
      </c>
      <c r="F93" s="605">
        <v>5000</v>
      </c>
      <c r="G93" s="494">
        <f t="shared" ref="G93:G100" si="59">+H93+I93</f>
        <v>1385</v>
      </c>
      <c r="H93" s="259">
        <v>1381</v>
      </c>
      <c r="I93" s="608">
        <v>4</v>
      </c>
      <c r="J93" s="613">
        <v>480</v>
      </c>
      <c r="K93" s="484">
        <f t="shared" si="57"/>
        <v>90</v>
      </c>
      <c r="L93" s="257">
        <f t="shared" si="48"/>
        <v>300</v>
      </c>
      <c r="M93" s="485">
        <f t="shared" si="58"/>
        <v>0.3</v>
      </c>
      <c r="N93" s="486">
        <f t="shared" si="55"/>
        <v>-300</v>
      </c>
      <c r="O93" s="257">
        <f t="shared" si="50"/>
        <v>90</v>
      </c>
      <c r="P93" s="487">
        <f t="shared" si="56"/>
        <v>-3.3333333333333335</v>
      </c>
      <c r="Q93" s="257">
        <f t="shared" si="51"/>
        <v>-301.38628158844767</v>
      </c>
      <c r="R93" s="257">
        <f t="shared" si="52"/>
        <v>-300</v>
      </c>
      <c r="S93" s="488">
        <f t="shared" si="53"/>
        <v>1.0046209386281588</v>
      </c>
      <c r="T93" s="489">
        <f t="shared" si="54"/>
        <v>-1.0046209386281588</v>
      </c>
    </row>
    <row r="94" spans="1:20" ht="24" x14ac:dyDescent="0.25">
      <c r="A94" s="252" t="s">
        <v>101</v>
      </c>
      <c r="B94" s="260" t="s">
        <v>29</v>
      </c>
      <c r="C94" s="470">
        <f t="shared" si="45"/>
        <v>510</v>
      </c>
      <c r="D94" s="250">
        <f>30+30+30</f>
        <v>90</v>
      </c>
      <c r="E94" s="251">
        <v>420</v>
      </c>
      <c r="F94" s="471">
        <v>160000</v>
      </c>
      <c r="G94" s="472">
        <f t="shared" si="59"/>
        <v>164587</v>
      </c>
      <c r="H94" s="471">
        <f>91494+71604</f>
        <v>163098</v>
      </c>
      <c r="I94" s="611">
        <f>1044+445</f>
        <v>1489</v>
      </c>
      <c r="J94" s="703">
        <v>1440</v>
      </c>
      <c r="K94" s="470">
        <f t="shared" si="57"/>
        <v>930</v>
      </c>
      <c r="L94" s="472">
        <f t="shared" si="48"/>
        <v>1350</v>
      </c>
      <c r="M94" s="473">
        <f t="shared" si="58"/>
        <v>0.68888888888888888</v>
      </c>
      <c r="N94" s="474">
        <f t="shared" si="55"/>
        <v>420</v>
      </c>
      <c r="O94" s="472">
        <f t="shared" si="50"/>
        <v>930</v>
      </c>
      <c r="P94" s="475">
        <f t="shared" si="56"/>
        <v>0.45161290322580644</v>
      </c>
      <c r="Q94" s="472">
        <f t="shared" si="51"/>
        <v>406.9724826383615</v>
      </c>
      <c r="R94" s="472">
        <f t="shared" si="52"/>
        <v>420</v>
      </c>
      <c r="S94" s="490">
        <f t="shared" si="53"/>
        <v>0.96898210151990838</v>
      </c>
      <c r="T94" s="491">
        <f t="shared" si="54"/>
        <v>0.30146109825063816</v>
      </c>
    </row>
    <row r="95" spans="1:20" ht="22.5" customHeight="1" x14ac:dyDescent="0.25">
      <c r="A95" s="248" t="s">
        <v>101</v>
      </c>
      <c r="B95" s="260" t="s">
        <v>31</v>
      </c>
      <c r="C95" s="470">
        <f t="shared" si="45"/>
        <v>0</v>
      </c>
      <c r="D95" s="707"/>
      <c r="E95" s="251"/>
      <c r="F95" s="471">
        <v>50000</v>
      </c>
      <c r="G95" s="472">
        <f t="shared" si="59"/>
        <v>0</v>
      </c>
      <c r="H95" s="471"/>
      <c r="I95" s="611"/>
      <c r="J95" s="610"/>
      <c r="K95" s="470">
        <f t="shared" si="57"/>
        <v>0</v>
      </c>
      <c r="L95" s="472">
        <f t="shared" si="48"/>
        <v>0</v>
      </c>
      <c r="M95" s="473" t="str">
        <f t="shared" si="58"/>
        <v>-</v>
      </c>
      <c r="N95" s="474">
        <f t="shared" si="55"/>
        <v>0</v>
      </c>
      <c r="O95" s="472">
        <f t="shared" si="50"/>
        <v>0</v>
      </c>
      <c r="P95" s="475" t="str">
        <f t="shared" si="56"/>
        <v>-</v>
      </c>
      <c r="Q95" s="472" t="str">
        <f t="shared" si="51"/>
        <v>-</v>
      </c>
      <c r="R95" s="472">
        <f t="shared" si="52"/>
        <v>0</v>
      </c>
      <c r="S95" s="490" t="str">
        <f t="shared" si="53"/>
        <v>-</v>
      </c>
      <c r="T95" s="491" t="str">
        <f t="shared" si="54"/>
        <v>-</v>
      </c>
    </row>
    <row r="96" spans="1:20" ht="24.75" thickBot="1" x14ac:dyDescent="0.3">
      <c r="A96" s="255" t="s">
        <v>101</v>
      </c>
      <c r="B96" s="261" t="s">
        <v>32</v>
      </c>
      <c r="C96" s="492">
        <f t="shared" si="45"/>
        <v>0</v>
      </c>
      <c r="D96" s="257"/>
      <c r="E96" s="258"/>
      <c r="F96" s="493">
        <v>110000</v>
      </c>
      <c r="G96" s="494">
        <f t="shared" si="59"/>
        <v>0</v>
      </c>
      <c r="H96" s="493"/>
      <c r="I96" s="612"/>
      <c r="J96" s="613"/>
      <c r="K96" s="492">
        <f t="shared" si="57"/>
        <v>0</v>
      </c>
      <c r="L96" s="494">
        <f t="shared" si="48"/>
        <v>0</v>
      </c>
      <c r="M96" s="495" t="str">
        <f t="shared" si="58"/>
        <v>-</v>
      </c>
      <c r="N96" s="496">
        <f t="shared" si="55"/>
        <v>0</v>
      </c>
      <c r="O96" s="494">
        <f t="shared" si="50"/>
        <v>0</v>
      </c>
      <c r="P96" s="497" t="str">
        <f t="shared" si="56"/>
        <v>-</v>
      </c>
      <c r="Q96" s="494" t="str">
        <f t="shared" si="51"/>
        <v>-</v>
      </c>
      <c r="R96" s="494">
        <f t="shared" si="52"/>
        <v>0</v>
      </c>
      <c r="S96" s="498" t="str">
        <f t="shared" si="53"/>
        <v>-</v>
      </c>
      <c r="T96" s="499" t="str">
        <f t="shared" si="54"/>
        <v>-</v>
      </c>
    </row>
    <row r="97" spans="1:20" ht="24" x14ac:dyDescent="0.25">
      <c r="A97" s="248" t="s">
        <v>102</v>
      </c>
      <c r="B97" s="249" t="s">
        <v>219</v>
      </c>
      <c r="C97" s="470">
        <f t="shared" si="45"/>
        <v>30</v>
      </c>
      <c r="D97" s="250">
        <v>30</v>
      </c>
      <c r="E97" s="251"/>
      <c r="F97" s="471">
        <v>6500</v>
      </c>
      <c r="G97" s="472">
        <f t="shared" si="59"/>
        <v>400</v>
      </c>
      <c r="H97" s="471">
        <v>349</v>
      </c>
      <c r="I97" s="611">
        <v>51</v>
      </c>
      <c r="J97" s="610">
        <v>480</v>
      </c>
      <c r="K97" s="470">
        <f t="shared" si="57"/>
        <v>450</v>
      </c>
      <c r="L97" s="472">
        <f t="shared" si="48"/>
        <v>450</v>
      </c>
      <c r="M97" s="473">
        <f t="shared" si="58"/>
        <v>1</v>
      </c>
      <c r="N97" s="474">
        <f t="shared" si="55"/>
        <v>420</v>
      </c>
      <c r="O97" s="472">
        <f t="shared" si="50"/>
        <v>450</v>
      </c>
      <c r="P97" s="475">
        <f t="shared" si="56"/>
        <v>0.93333333333333335</v>
      </c>
      <c r="Q97" s="472">
        <f t="shared" si="51"/>
        <v>358.8</v>
      </c>
      <c r="R97" s="472">
        <f t="shared" si="52"/>
        <v>420</v>
      </c>
      <c r="S97" s="490">
        <f t="shared" si="53"/>
        <v>0.85428571428571431</v>
      </c>
      <c r="T97" s="491">
        <f t="shared" si="54"/>
        <v>0.79733333333333334</v>
      </c>
    </row>
    <row r="98" spans="1:20" ht="24" x14ac:dyDescent="0.25">
      <c r="A98" s="252" t="s">
        <v>102</v>
      </c>
      <c r="B98" s="249" t="s">
        <v>38</v>
      </c>
      <c r="C98" s="470">
        <f t="shared" si="45"/>
        <v>30</v>
      </c>
      <c r="D98" s="250">
        <v>30</v>
      </c>
      <c r="E98" s="251"/>
      <c r="F98" s="471">
        <v>2800</v>
      </c>
      <c r="G98" s="472">
        <f t="shared" si="59"/>
        <v>3210</v>
      </c>
      <c r="H98" s="471">
        <v>3200</v>
      </c>
      <c r="I98" s="611">
        <v>10</v>
      </c>
      <c r="J98" s="610">
        <v>480</v>
      </c>
      <c r="K98" s="470">
        <f t="shared" si="57"/>
        <v>450</v>
      </c>
      <c r="L98" s="472">
        <f t="shared" si="48"/>
        <v>450</v>
      </c>
      <c r="M98" s="473">
        <f t="shared" si="58"/>
        <v>1</v>
      </c>
      <c r="N98" s="474">
        <f t="shared" si="55"/>
        <v>420</v>
      </c>
      <c r="O98" s="472">
        <f t="shared" si="50"/>
        <v>450</v>
      </c>
      <c r="P98" s="475">
        <f t="shared" si="56"/>
        <v>0.93333333333333335</v>
      </c>
      <c r="Q98" s="472">
        <f t="shared" si="51"/>
        <v>418.50467289719626</v>
      </c>
      <c r="R98" s="472">
        <f t="shared" si="52"/>
        <v>420</v>
      </c>
      <c r="S98" s="490">
        <f t="shared" si="53"/>
        <v>0.99643969737427684</v>
      </c>
      <c r="T98" s="491">
        <f t="shared" si="54"/>
        <v>0.93001038421599169</v>
      </c>
    </row>
    <row r="99" spans="1:20" ht="24" x14ac:dyDescent="0.25">
      <c r="A99" s="248" t="s">
        <v>102</v>
      </c>
      <c r="B99" s="249" t="s">
        <v>39</v>
      </c>
      <c r="C99" s="470">
        <f t="shared" si="45"/>
        <v>30</v>
      </c>
      <c r="D99" s="250">
        <v>30</v>
      </c>
      <c r="E99" s="251"/>
      <c r="F99" s="471">
        <v>25000</v>
      </c>
      <c r="G99" s="472">
        <f t="shared" si="59"/>
        <v>45083</v>
      </c>
      <c r="H99" s="471">
        <v>44904</v>
      </c>
      <c r="I99" s="611">
        <v>179</v>
      </c>
      <c r="J99" s="610">
        <v>480</v>
      </c>
      <c r="K99" s="470">
        <f t="shared" si="57"/>
        <v>450</v>
      </c>
      <c r="L99" s="472">
        <f t="shared" si="48"/>
        <v>450</v>
      </c>
      <c r="M99" s="473">
        <f t="shared" si="58"/>
        <v>1</v>
      </c>
      <c r="N99" s="474">
        <f t="shared" si="55"/>
        <v>420</v>
      </c>
      <c r="O99" s="472">
        <f t="shared" si="50"/>
        <v>450</v>
      </c>
      <c r="P99" s="475">
        <f t="shared" si="56"/>
        <v>0.93333333333333335</v>
      </c>
      <c r="Q99" s="472">
        <f t="shared" si="51"/>
        <v>418.09418184237961</v>
      </c>
      <c r="R99" s="472">
        <f t="shared" si="52"/>
        <v>420</v>
      </c>
      <c r="S99" s="490">
        <f t="shared" si="53"/>
        <v>0.99546233771995141</v>
      </c>
      <c r="T99" s="491">
        <f t="shared" si="54"/>
        <v>0.9290981818719547</v>
      </c>
    </row>
    <row r="100" spans="1:20" ht="45.75" thickBot="1" x14ac:dyDescent="0.3">
      <c r="A100" s="615" t="s">
        <v>102</v>
      </c>
      <c r="B100" s="261" t="s">
        <v>218</v>
      </c>
      <c r="C100" s="616">
        <f t="shared" si="45"/>
        <v>30</v>
      </c>
      <c r="D100" s="617">
        <v>30</v>
      </c>
      <c r="E100" s="618"/>
      <c r="F100" s="619">
        <v>25000</v>
      </c>
      <c r="G100" s="620">
        <f t="shared" si="59"/>
        <v>0</v>
      </c>
      <c r="H100" s="619"/>
      <c r="I100" s="621"/>
      <c r="J100" s="614">
        <v>480</v>
      </c>
      <c r="K100" s="616">
        <f t="shared" si="57"/>
        <v>450</v>
      </c>
      <c r="L100" s="620">
        <f t="shared" si="48"/>
        <v>450</v>
      </c>
      <c r="M100" s="622">
        <f t="shared" si="58"/>
        <v>1</v>
      </c>
      <c r="N100" s="623">
        <f t="shared" si="55"/>
        <v>420</v>
      </c>
      <c r="O100" s="620">
        <f t="shared" si="50"/>
        <v>450</v>
      </c>
      <c r="P100" s="624">
        <f t="shared" si="56"/>
        <v>0.93333333333333335</v>
      </c>
      <c r="Q100" s="620" t="str">
        <f t="shared" si="51"/>
        <v>-</v>
      </c>
      <c r="R100" s="620">
        <f t="shared" si="52"/>
        <v>420</v>
      </c>
      <c r="S100" s="625" t="str">
        <f t="shared" si="53"/>
        <v>-</v>
      </c>
      <c r="T100" s="626" t="str">
        <f t="shared" si="54"/>
        <v>-</v>
      </c>
    </row>
    <row r="101" spans="1:20" ht="24.6" customHeight="1" x14ac:dyDescent="0.25">
      <c r="A101" s="230"/>
      <c r="B101" s="231"/>
      <c r="C101" s="232"/>
      <c r="D101" s="232"/>
      <c r="E101" s="232"/>
      <c r="F101" s="232"/>
      <c r="G101" s="233"/>
      <c r="H101" s="234"/>
      <c r="I101" s="232"/>
      <c r="J101" s="232"/>
      <c r="K101" s="232"/>
      <c r="L101" s="232"/>
      <c r="M101" s="234"/>
      <c r="N101" s="232"/>
      <c r="O101" s="232"/>
      <c r="P101" s="234"/>
      <c r="Q101" s="232"/>
      <c r="R101" s="232"/>
      <c r="S101" s="234"/>
      <c r="T101" s="234"/>
    </row>
    <row r="102" spans="1:20" ht="24.6" customHeight="1" x14ac:dyDescent="0.25">
      <c r="A102" s="230"/>
      <c r="B102" s="231"/>
      <c r="C102" s="232"/>
      <c r="D102" s="232"/>
      <c r="E102" s="232"/>
      <c r="F102" s="232"/>
      <c r="G102" s="233"/>
      <c r="H102" s="234"/>
      <c r="I102" s="232"/>
      <c r="J102" s="232"/>
      <c r="K102" s="232"/>
      <c r="L102" s="232"/>
      <c r="M102" s="234"/>
      <c r="N102" s="232"/>
      <c r="O102" s="232"/>
      <c r="P102" s="234"/>
      <c r="Q102" s="232"/>
      <c r="R102" s="232"/>
      <c r="S102" s="234"/>
      <c r="T102" s="234"/>
    </row>
    <row r="103" spans="1:20" ht="24.6" customHeight="1" x14ac:dyDescent="0.25">
      <c r="A103" s="230"/>
      <c r="B103" s="231"/>
      <c r="C103" s="232"/>
      <c r="D103" s="232"/>
      <c r="E103" s="232"/>
      <c r="F103" s="232"/>
      <c r="G103" s="233"/>
      <c r="H103" s="234"/>
      <c r="I103" s="232"/>
      <c r="J103" s="232"/>
      <c r="K103" s="232"/>
      <c r="L103" s="232"/>
      <c r="M103" s="234"/>
      <c r="N103" s="232"/>
      <c r="O103" s="232"/>
      <c r="P103" s="234"/>
      <c r="Q103" s="232"/>
      <c r="R103" s="232"/>
      <c r="S103" s="234"/>
      <c r="T103" s="234"/>
    </row>
    <row r="104" spans="1:20" ht="24.6" customHeight="1" x14ac:dyDescent="0.25">
      <c r="A104" s="230"/>
      <c r="B104" s="231"/>
      <c r="C104" s="232"/>
      <c r="D104" s="232"/>
      <c r="E104" s="232"/>
      <c r="F104" s="232"/>
      <c r="G104" s="233"/>
      <c r="H104" s="234"/>
      <c r="I104" s="232"/>
      <c r="J104" s="232"/>
      <c r="K104" s="232"/>
      <c r="L104" s="232"/>
      <c r="M104" s="234"/>
      <c r="N104" s="232"/>
      <c r="O104" s="232"/>
      <c r="P104" s="234"/>
      <c r="Q104" s="232"/>
      <c r="R104" s="232"/>
      <c r="S104" s="234"/>
      <c r="T104" s="234"/>
    </row>
    <row r="105" spans="1:20" ht="24.6" customHeight="1" x14ac:dyDescent="0.25">
      <c r="A105" s="230"/>
      <c r="B105" s="231"/>
      <c r="C105" s="232"/>
      <c r="D105" s="232"/>
      <c r="E105" s="232"/>
      <c r="F105" s="232"/>
      <c r="G105" s="233"/>
      <c r="H105" s="234"/>
      <c r="I105" s="232"/>
      <c r="J105" s="232"/>
      <c r="K105" s="232"/>
      <c r="L105" s="232"/>
      <c r="M105" s="234"/>
      <c r="N105" s="232"/>
      <c r="O105" s="232"/>
      <c r="P105" s="234"/>
      <c r="Q105" s="232"/>
      <c r="R105" s="232"/>
      <c r="S105" s="234"/>
      <c r="T105" s="234"/>
    </row>
    <row r="106" spans="1:20" ht="24.6" customHeight="1" thickBot="1" x14ac:dyDescent="0.3">
      <c r="A106" s="230"/>
      <c r="B106" s="231"/>
      <c r="C106" s="232"/>
      <c r="D106" s="232"/>
      <c r="E106" s="232"/>
      <c r="F106" s="232"/>
      <c r="G106" s="233"/>
      <c r="H106" s="234"/>
      <c r="I106" s="232"/>
      <c r="J106" s="232"/>
      <c r="K106" s="232"/>
      <c r="L106" s="232"/>
      <c r="M106" s="234"/>
      <c r="N106" s="232"/>
      <c r="O106" s="232"/>
      <c r="P106" s="234"/>
      <c r="Q106" s="232"/>
      <c r="R106" s="232"/>
      <c r="S106" s="234"/>
      <c r="T106" s="234"/>
    </row>
    <row r="107" spans="1:20" ht="22.5" customHeight="1" x14ac:dyDescent="0.25">
      <c r="A107" s="1033" t="s">
        <v>1</v>
      </c>
      <c r="B107" s="1033" t="s">
        <v>2</v>
      </c>
      <c r="C107" s="987" t="s">
        <v>207</v>
      </c>
      <c r="D107" s="988"/>
      <c r="E107" s="989"/>
      <c r="F107" s="987" t="s">
        <v>524</v>
      </c>
      <c r="G107" s="988"/>
      <c r="H107" s="988"/>
      <c r="I107" s="989"/>
      <c r="J107" s="1033" t="s">
        <v>204</v>
      </c>
      <c r="K107" s="987" t="s">
        <v>192</v>
      </c>
      <c r="L107" s="988"/>
      <c r="M107" s="989"/>
      <c r="N107" s="987" t="s">
        <v>193</v>
      </c>
      <c r="O107" s="988"/>
      <c r="P107" s="989"/>
      <c r="Q107" s="987" t="s">
        <v>194</v>
      </c>
      <c r="R107" s="988"/>
      <c r="S107" s="989"/>
      <c r="T107" s="1091" t="s">
        <v>191</v>
      </c>
    </row>
    <row r="108" spans="1:20" ht="90.75" thickBot="1" x14ac:dyDescent="0.3">
      <c r="A108" s="1035"/>
      <c r="B108" s="1035"/>
      <c r="C108" s="235" t="s">
        <v>208</v>
      </c>
      <c r="D108" s="236" t="s">
        <v>205</v>
      </c>
      <c r="E108" s="237" t="s">
        <v>206</v>
      </c>
      <c r="F108" s="238" t="s">
        <v>326</v>
      </c>
      <c r="G108" s="236" t="s">
        <v>201</v>
      </c>
      <c r="H108" s="239" t="s">
        <v>202</v>
      </c>
      <c r="I108" s="240" t="s">
        <v>203</v>
      </c>
      <c r="J108" s="1035"/>
      <c r="K108" s="235" t="s">
        <v>195</v>
      </c>
      <c r="L108" s="239" t="s">
        <v>196</v>
      </c>
      <c r="M108" s="241" t="s">
        <v>209</v>
      </c>
      <c r="N108" s="242" t="s">
        <v>197</v>
      </c>
      <c r="O108" s="239" t="s">
        <v>198</v>
      </c>
      <c r="P108" s="241" t="s">
        <v>210</v>
      </c>
      <c r="Q108" s="235" t="s">
        <v>199</v>
      </c>
      <c r="R108" s="239" t="s">
        <v>200</v>
      </c>
      <c r="S108" s="243" t="s">
        <v>211</v>
      </c>
      <c r="T108" s="1092"/>
    </row>
    <row r="109" spans="1:20" ht="25.5" customHeight="1" x14ac:dyDescent="0.25">
      <c r="A109" s="244" t="s">
        <v>103</v>
      </c>
      <c r="B109" s="245" t="s">
        <v>16</v>
      </c>
      <c r="C109" s="463">
        <f>+D109+E109</f>
        <v>0</v>
      </c>
      <c r="D109" s="246"/>
      <c r="E109" s="247"/>
      <c r="F109" s="600">
        <v>15000</v>
      </c>
      <c r="G109" s="464">
        <f>+H109+I109</f>
        <v>0</v>
      </c>
      <c r="H109" s="604"/>
      <c r="I109" s="606"/>
      <c r="J109" s="609"/>
      <c r="K109" s="463">
        <f>+L109-E109</f>
        <v>0</v>
      </c>
      <c r="L109" s="464">
        <f>+J109-D109</f>
        <v>0</v>
      </c>
      <c r="M109" s="465" t="str">
        <f>IFERROR(K109/L109,"-")</f>
        <v>-</v>
      </c>
      <c r="N109" s="466">
        <f>+O109-C109</f>
        <v>0</v>
      </c>
      <c r="O109" s="464">
        <f>+K109</f>
        <v>0</v>
      </c>
      <c r="P109" s="467" t="str">
        <f>IFERROR(N109/O109,"-")</f>
        <v>-</v>
      </c>
      <c r="Q109" s="464" t="str">
        <f>IFERROR(N109-(J109-(J109*H109/G109)),"-")</f>
        <v>-</v>
      </c>
      <c r="R109" s="464">
        <f>+N109</f>
        <v>0</v>
      </c>
      <c r="S109" s="468" t="str">
        <f>IFERROR(Q109/R109,"-")</f>
        <v>-</v>
      </c>
      <c r="T109" s="469" t="str">
        <f>IFERROR(M109*P109*S109,"-")</f>
        <v>-</v>
      </c>
    </row>
    <row r="110" spans="1:20" ht="25.5" customHeight="1" x14ac:dyDescent="0.25">
      <c r="A110" s="248" t="s">
        <v>103</v>
      </c>
      <c r="B110" s="249" t="s">
        <v>215</v>
      </c>
      <c r="C110" s="470">
        <f t="shared" ref="C110:C124" si="60">+D110+E110</f>
        <v>30</v>
      </c>
      <c r="D110" s="250">
        <v>30</v>
      </c>
      <c r="E110" s="251"/>
      <c r="F110" s="601">
        <v>100000</v>
      </c>
      <c r="G110" s="472">
        <f t="shared" ref="G110:G115" si="61">+H110+I110</f>
        <v>82590</v>
      </c>
      <c r="H110" s="254">
        <v>82048</v>
      </c>
      <c r="I110" s="607">
        <v>542</v>
      </c>
      <c r="J110" s="610">
        <v>480</v>
      </c>
      <c r="K110" s="470">
        <f t="shared" ref="K110:K113" si="62">+L110-E110</f>
        <v>450</v>
      </c>
      <c r="L110" s="472">
        <f t="shared" ref="L110:L124" si="63">+J110-D110</f>
        <v>450</v>
      </c>
      <c r="M110" s="473">
        <f t="shared" ref="M110:M113" si="64">IFERROR(K110/L110,"-")</f>
        <v>1</v>
      </c>
      <c r="N110" s="474">
        <f>+O110-C110</f>
        <v>420</v>
      </c>
      <c r="O110" s="472">
        <f t="shared" ref="O110:O124" si="65">+K110</f>
        <v>450</v>
      </c>
      <c r="P110" s="475">
        <f>IFERROR(N110/O110,"-")</f>
        <v>0.93333333333333335</v>
      </c>
      <c r="Q110" s="472">
        <f t="shared" ref="Q110:Q124" si="66">IFERROR(N110-(J110-(J110*H110/G110)),"-")</f>
        <v>416.8499818379949</v>
      </c>
      <c r="R110" s="472">
        <f t="shared" ref="R110:R124" si="67">+N110</f>
        <v>420</v>
      </c>
      <c r="S110" s="476">
        <f t="shared" ref="S110:S124" si="68">IFERROR(Q110/R110,"-")</f>
        <v>0.99249995675713076</v>
      </c>
      <c r="T110" s="477">
        <f t="shared" ref="T110:T124" si="69">IFERROR(M110*P110*S110,"-")</f>
        <v>0.92633329297332201</v>
      </c>
    </row>
    <row r="111" spans="1:20" ht="24" x14ac:dyDescent="0.25">
      <c r="A111" s="248" t="s">
        <v>103</v>
      </c>
      <c r="B111" s="249" t="s">
        <v>214</v>
      </c>
      <c r="C111" s="470">
        <f t="shared" si="60"/>
        <v>0</v>
      </c>
      <c r="D111" s="250"/>
      <c r="E111" s="251"/>
      <c r="F111" s="601">
        <v>80000</v>
      </c>
      <c r="G111" s="472">
        <f t="shared" si="61"/>
        <v>0</v>
      </c>
      <c r="H111" s="254"/>
      <c r="I111" s="607"/>
      <c r="J111" s="610"/>
      <c r="K111" s="470">
        <f t="shared" si="62"/>
        <v>0</v>
      </c>
      <c r="L111" s="472">
        <f t="shared" si="63"/>
        <v>0</v>
      </c>
      <c r="M111" s="473" t="str">
        <f t="shared" si="64"/>
        <v>-</v>
      </c>
      <c r="N111" s="474">
        <f t="shared" ref="N111:N124" si="70">+O111-C111</f>
        <v>0</v>
      </c>
      <c r="O111" s="472">
        <f t="shared" si="65"/>
        <v>0</v>
      </c>
      <c r="P111" s="475" t="str">
        <f t="shared" ref="P111:P124" si="71">IFERROR(N111/O111,"-")</f>
        <v>-</v>
      </c>
      <c r="Q111" s="472" t="str">
        <f t="shared" si="66"/>
        <v>-</v>
      </c>
      <c r="R111" s="472">
        <f t="shared" si="67"/>
        <v>0</v>
      </c>
      <c r="S111" s="476" t="str">
        <f t="shared" si="68"/>
        <v>-</v>
      </c>
      <c r="T111" s="477" t="str">
        <f t="shared" si="69"/>
        <v>-</v>
      </c>
    </row>
    <row r="112" spans="1:20" ht="24" x14ac:dyDescent="0.25">
      <c r="A112" s="252" t="s">
        <v>103</v>
      </c>
      <c r="B112" s="249" t="s">
        <v>217</v>
      </c>
      <c r="C112" s="470">
        <f t="shared" si="60"/>
        <v>210</v>
      </c>
      <c r="D112" s="250">
        <v>60</v>
      </c>
      <c r="E112" s="251">
        <v>150</v>
      </c>
      <c r="F112" s="601">
        <v>220000</v>
      </c>
      <c r="G112" s="472">
        <f t="shared" si="61"/>
        <v>152412</v>
      </c>
      <c r="H112" s="254">
        <v>152064</v>
      </c>
      <c r="I112" s="607">
        <v>348</v>
      </c>
      <c r="J112" s="610">
        <f>480*2</f>
        <v>960</v>
      </c>
      <c r="K112" s="470">
        <f t="shared" si="62"/>
        <v>750</v>
      </c>
      <c r="L112" s="472">
        <f t="shared" si="63"/>
        <v>900</v>
      </c>
      <c r="M112" s="473">
        <f t="shared" si="64"/>
        <v>0.83333333333333337</v>
      </c>
      <c r="N112" s="474">
        <f t="shared" si="70"/>
        <v>540</v>
      </c>
      <c r="O112" s="472">
        <f t="shared" si="65"/>
        <v>750</v>
      </c>
      <c r="P112" s="475">
        <f t="shared" si="71"/>
        <v>0.72</v>
      </c>
      <c r="Q112" s="472">
        <f t="shared" si="66"/>
        <v>537.80804661050308</v>
      </c>
      <c r="R112" s="472">
        <f t="shared" si="67"/>
        <v>540</v>
      </c>
      <c r="S112" s="476">
        <f t="shared" si="68"/>
        <v>0.99594082705648723</v>
      </c>
      <c r="T112" s="477">
        <f t="shared" si="69"/>
        <v>0.59756449623389229</v>
      </c>
    </row>
    <row r="113" spans="1:20" ht="24" x14ac:dyDescent="0.25">
      <c r="A113" s="248" t="s">
        <v>103</v>
      </c>
      <c r="B113" s="249" t="s">
        <v>216</v>
      </c>
      <c r="C113" s="470">
        <f t="shared" si="60"/>
        <v>0</v>
      </c>
      <c r="D113" s="250"/>
      <c r="E113" s="251"/>
      <c r="F113" s="601">
        <v>50000</v>
      </c>
      <c r="G113" s="472">
        <f t="shared" si="61"/>
        <v>0</v>
      </c>
      <c r="H113" s="254"/>
      <c r="I113" s="607"/>
      <c r="J113" s="610"/>
      <c r="K113" s="470">
        <f t="shared" si="62"/>
        <v>0</v>
      </c>
      <c r="L113" s="472">
        <f t="shared" si="63"/>
        <v>0</v>
      </c>
      <c r="M113" s="473" t="str">
        <f t="shared" si="64"/>
        <v>-</v>
      </c>
      <c r="N113" s="474">
        <f t="shared" si="70"/>
        <v>0</v>
      </c>
      <c r="O113" s="472">
        <f t="shared" si="65"/>
        <v>0</v>
      </c>
      <c r="P113" s="475" t="str">
        <f t="shared" si="71"/>
        <v>-</v>
      </c>
      <c r="Q113" s="472" t="str">
        <f t="shared" si="66"/>
        <v>-</v>
      </c>
      <c r="R113" s="472">
        <f t="shared" si="67"/>
        <v>0</v>
      </c>
      <c r="S113" s="476" t="str">
        <f t="shared" si="68"/>
        <v>-</v>
      </c>
      <c r="T113" s="477" t="str">
        <f t="shared" si="69"/>
        <v>-</v>
      </c>
    </row>
    <row r="114" spans="1:20" ht="24" x14ac:dyDescent="0.25">
      <c r="A114" s="248">
        <v>5</v>
      </c>
      <c r="B114" s="249" t="s">
        <v>22</v>
      </c>
      <c r="C114" s="470">
        <f t="shared" si="60"/>
        <v>0</v>
      </c>
      <c r="D114" s="250"/>
      <c r="E114" s="251"/>
      <c r="F114" s="601">
        <v>80000</v>
      </c>
      <c r="G114" s="472">
        <f t="shared" si="61"/>
        <v>0</v>
      </c>
      <c r="H114" s="471"/>
      <c r="I114" s="611"/>
      <c r="J114" s="610"/>
      <c r="K114" s="470">
        <f>+L114-E114</f>
        <v>0</v>
      </c>
      <c r="L114" s="472">
        <f t="shared" si="63"/>
        <v>0</v>
      </c>
      <c r="M114" s="473" t="str">
        <f>IFERROR(K114/L114,"-")</f>
        <v>-</v>
      </c>
      <c r="N114" s="474">
        <f t="shared" si="70"/>
        <v>0</v>
      </c>
      <c r="O114" s="472">
        <f t="shared" si="65"/>
        <v>0</v>
      </c>
      <c r="P114" s="475" t="str">
        <f t="shared" si="71"/>
        <v>-</v>
      </c>
      <c r="Q114" s="472" t="str">
        <f t="shared" si="66"/>
        <v>-</v>
      </c>
      <c r="R114" s="472">
        <f t="shared" si="67"/>
        <v>0</v>
      </c>
      <c r="S114" s="476" t="str">
        <f t="shared" si="68"/>
        <v>-</v>
      </c>
      <c r="T114" s="477" t="str">
        <f t="shared" si="69"/>
        <v>-</v>
      </c>
    </row>
    <row r="115" spans="1:20" ht="24" x14ac:dyDescent="0.25">
      <c r="A115" s="248" t="s">
        <v>103</v>
      </c>
      <c r="B115" s="249" t="s">
        <v>23</v>
      </c>
      <c r="C115" s="470">
        <f t="shared" si="60"/>
        <v>0</v>
      </c>
      <c r="D115" s="250"/>
      <c r="E115" s="251"/>
      <c r="F115" s="601">
        <v>14000</v>
      </c>
      <c r="G115" s="472">
        <f t="shared" si="61"/>
        <v>0</v>
      </c>
      <c r="H115" s="254"/>
      <c r="I115" s="607"/>
      <c r="J115" s="610"/>
      <c r="K115" s="470">
        <f t="shared" ref="K115:K124" si="72">+L115-E115</f>
        <v>0</v>
      </c>
      <c r="L115" s="472">
        <f t="shared" si="63"/>
        <v>0</v>
      </c>
      <c r="M115" s="473" t="str">
        <f t="shared" ref="M115:M124" si="73">IFERROR(K115/L115,"-")</f>
        <v>-</v>
      </c>
      <c r="N115" s="474">
        <f t="shared" si="70"/>
        <v>0</v>
      </c>
      <c r="O115" s="472">
        <f t="shared" si="65"/>
        <v>0</v>
      </c>
      <c r="P115" s="475" t="str">
        <f t="shared" si="71"/>
        <v>-</v>
      </c>
      <c r="Q115" s="472" t="str">
        <f t="shared" si="66"/>
        <v>-</v>
      </c>
      <c r="R115" s="472">
        <f t="shared" si="67"/>
        <v>0</v>
      </c>
      <c r="S115" s="476" t="str">
        <f t="shared" si="68"/>
        <v>-</v>
      </c>
      <c r="T115" s="477" t="str">
        <f t="shared" si="69"/>
        <v>-</v>
      </c>
    </row>
    <row r="116" spans="1:20" ht="24.75" thickBot="1" x14ac:dyDescent="0.3">
      <c r="A116" s="248" t="s">
        <v>103</v>
      </c>
      <c r="B116" s="253" t="s">
        <v>212</v>
      </c>
      <c r="C116" s="478">
        <f t="shared" si="60"/>
        <v>570</v>
      </c>
      <c r="D116" s="250">
        <f>60+60+270+30+30+60+60</f>
        <v>570</v>
      </c>
      <c r="E116" s="251"/>
      <c r="F116" s="601">
        <v>4500</v>
      </c>
      <c r="G116" s="472">
        <f>+H116+I116</f>
        <v>34641</v>
      </c>
      <c r="H116" s="259">
        <f>24228+10132</f>
        <v>34360</v>
      </c>
      <c r="I116" s="608">
        <f>195+86</f>
        <v>281</v>
      </c>
      <c r="J116" s="610">
        <f>960+480+480</f>
        <v>1920</v>
      </c>
      <c r="K116" s="478">
        <f t="shared" si="72"/>
        <v>1350</v>
      </c>
      <c r="L116" s="250">
        <f t="shared" si="63"/>
        <v>1350</v>
      </c>
      <c r="M116" s="479">
        <f t="shared" si="73"/>
        <v>1</v>
      </c>
      <c r="N116" s="480">
        <f t="shared" si="70"/>
        <v>780</v>
      </c>
      <c r="O116" s="250">
        <f t="shared" si="65"/>
        <v>1350</v>
      </c>
      <c r="P116" s="481">
        <f t="shared" si="71"/>
        <v>0.57777777777777772</v>
      </c>
      <c r="Q116" s="250">
        <f t="shared" si="66"/>
        <v>764.42539187667785</v>
      </c>
      <c r="R116" s="250">
        <f t="shared" si="67"/>
        <v>780</v>
      </c>
      <c r="S116" s="482">
        <f t="shared" si="68"/>
        <v>0.98003255368804854</v>
      </c>
      <c r="T116" s="483">
        <f t="shared" si="69"/>
        <v>0.56624103101976131</v>
      </c>
    </row>
    <row r="117" spans="1:20" ht="24.75" thickBot="1" x14ac:dyDescent="0.3">
      <c r="A117" s="255" t="s">
        <v>103</v>
      </c>
      <c r="B117" s="256" t="s">
        <v>213</v>
      </c>
      <c r="C117" s="484">
        <f t="shared" si="60"/>
        <v>225</v>
      </c>
      <c r="D117" s="257">
        <f>30+60</f>
        <v>90</v>
      </c>
      <c r="E117" s="258">
        <v>135</v>
      </c>
      <c r="F117" s="605">
        <v>5000</v>
      </c>
      <c r="G117" s="494">
        <f t="shared" ref="G117:G124" si="74">+H117+I117</f>
        <v>22868</v>
      </c>
      <c r="H117" s="259">
        <v>22791</v>
      </c>
      <c r="I117" s="608">
        <v>77</v>
      </c>
      <c r="J117" s="613">
        <v>480</v>
      </c>
      <c r="K117" s="484">
        <f t="shared" si="72"/>
        <v>255</v>
      </c>
      <c r="L117" s="257">
        <f t="shared" si="63"/>
        <v>390</v>
      </c>
      <c r="M117" s="485">
        <f t="shared" si="73"/>
        <v>0.65384615384615385</v>
      </c>
      <c r="N117" s="486">
        <f t="shared" si="70"/>
        <v>30</v>
      </c>
      <c r="O117" s="257">
        <f t="shared" si="65"/>
        <v>255</v>
      </c>
      <c r="P117" s="487">
        <f t="shared" si="71"/>
        <v>0.11764705882352941</v>
      </c>
      <c r="Q117" s="257">
        <f t="shared" si="66"/>
        <v>28.383767710337565</v>
      </c>
      <c r="R117" s="257">
        <f t="shared" si="67"/>
        <v>30</v>
      </c>
      <c r="S117" s="488">
        <f t="shared" si="68"/>
        <v>0.94612559034458554</v>
      </c>
      <c r="T117" s="489">
        <f t="shared" si="69"/>
        <v>7.2778891564968126E-2</v>
      </c>
    </row>
    <row r="118" spans="1:20" ht="24" x14ac:dyDescent="0.25">
      <c r="A118" s="252" t="s">
        <v>101</v>
      </c>
      <c r="B118" s="260" t="s">
        <v>29</v>
      </c>
      <c r="C118" s="470">
        <f t="shared" si="60"/>
        <v>1045</v>
      </c>
      <c r="D118" s="250">
        <v>90</v>
      </c>
      <c r="E118" s="251">
        <v>955</v>
      </c>
      <c r="F118" s="471">
        <v>160000</v>
      </c>
      <c r="G118" s="472">
        <f t="shared" si="74"/>
        <v>49877</v>
      </c>
      <c r="H118" s="471">
        <v>47736</v>
      </c>
      <c r="I118" s="611">
        <v>2141</v>
      </c>
      <c r="J118" s="703">
        <v>1380</v>
      </c>
      <c r="K118" s="470">
        <f t="shared" si="72"/>
        <v>335</v>
      </c>
      <c r="L118" s="472">
        <f t="shared" si="63"/>
        <v>1290</v>
      </c>
      <c r="M118" s="473">
        <f t="shared" si="73"/>
        <v>0.25968992248062017</v>
      </c>
      <c r="N118" s="474">
        <f t="shared" si="70"/>
        <v>-710</v>
      </c>
      <c r="O118" s="472">
        <f t="shared" si="65"/>
        <v>335</v>
      </c>
      <c r="P118" s="475">
        <f t="shared" si="71"/>
        <v>-2.1194029850746268</v>
      </c>
      <c r="Q118" s="472">
        <f t="shared" si="66"/>
        <v>-769.23732381658874</v>
      </c>
      <c r="R118" s="472">
        <f t="shared" si="67"/>
        <v>-710</v>
      </c>
      <c r="S118" s="490">
        <f t="shared" si="68"/>
        <v>1.0834328504458997</v>
      </c>
      <c r="T118" s="491">
        <f t="shared" si="69"/>
        <v>-0.59630800295859587</v>
      </c>
    </row>
    <row r="119" spans="1:20" ht="22.5" customHeight="1" x14ac:dyDescent="0.25">
      <c r="A119" s="248" t="s">
        <v>101</v>
      </c>
      <c r="B119" s="260" t="s">
        <v>31</v>
      </c>
      <c r="C119" s="470">
        <f t="shared" si="60"/>
        <v>0</v>
      </c>
      <c r="D119" s="707"/>
      <c r="E119" s="251"/>
      <c r="F119" s="471">
        <v>50000</v>
      </c>
      <c r="G119" s="472">
        <f t="shared" si="74"/>
        <v>0</v>
      </c>
      <c r="H119" s="471"/>
      <c r="I119" s="611"/>
      <c r="J119" s="610"/>
      <c r="K119" s="470">
        <f t="shared" si="72"/>
        <v>0</v>
      </c>
      <c r="L119" s="472">
        <f t="shared" si="63"/>
        <v>0</v>
      </c>
      <c r="M119" s="473" t="str">
        <f t="shared" si="73"/>
        <v>-</v>
      </c>
      <c r="N119" s="474">
        <f t="shared" si="70"/>
        <v>0</v>
      </c>
      <c r="O119" s="472">
        <f t="shared" si="65"/>
        <v>0</v>
      </c>
      <c r="P119" s="475" t="str">
        <f t="shared" si="71"/>
        <v>-</v>
      </c>
      <c r="Q119" s="472" t="str">
        <f t="shared" si="66"/>
        <v>-</v>
      </c>
      <c r="R119" s="472">
        <f t="shared" si="67"/>
        <v>0</v>
      </c>
      <c r="S119" s="490" t="str">
        <f t="shared" si="68"/>
        <v>-</v>
      </c>
      <c r="T119" s="491" t="str">
        <f t="shared" si="69"/>
        <v>-</v>
      </c>
    </row>
    <row r="120" spans="1:20" ht="24.75" thickBot="1" x14ac:dyDescent="0.3">
      <c r="A120" s="255" t="s">
        <v>101</v>
      </c>
      <c r="B120" s="261" t="s">
        <v>32</v>
      </c>
      <c r="C120" s="492">
        <f t="shared" si="60"/>
        <v>0</v>
      </c>
      <c r="D120" s="257"/>
      <c r="E120" s="258"/>
      <c r="F120" s="493">
        <v>110000</v>
      </c>
      <c r="G120" s="494">
        <f t="shared" si="74"/>
        <v>0</v>
      </c>
      <c r="H120" s="493"/>
      <c r="I120" s="612"/>
      <c r="J120" s="613"/>
      <c r="K120" s="492">
        <f t="shared" si="72"/>
        <v>0</v>
      </c>
      <c r="L120" s="494">
        <f t="shared" si="63"/>
        <v>0</v>
      </c>
      <c r="M120" s="495" t="str">
        <f t="shared" si="73"/>
        <v>-</v>
      </c>
      <c r="N120" s="496">
        <f t="shared" si="70"/>
        <v>0</v>
      </c>
      <c r="O120" s="494">
        <f t="shared" si="65"/>
        <v>0</v>
      </c>
      <c r="P120" s="497" t="str">
        <f t="shared" si="71"/>
        <v>-</v>
      </c>
      <c r="Q120" s="494" t="str">
        <f t="shared" si="66"/>
        <v>-</v>
      </c>
      <c r="R120" s="494">
        <f t="shared" si="67"/>
        <v>0</v>
      </c>
      <c r="S120" s="498" t="str">
        <f t="shared" si="68"/>
        <v>-</v>
      </c>
      <c r="T120" s="499" t="str">
        <f t="shared" si="69"/>
        <v>-</v>
      </c>
    </row>
    <row r="121" spans="1:20" ht="24" x14ac:dyDescent="0.25">
      <c r="A121" s="248" t="s">
        <v>102</v>
      </c>
      <c r="B121" s="249" t="s">
        <v>219</v>
      </c>
      <c r="C121" s="470">
        <f t="shared" si="60"/>
        <v>0</v>
      </c>
      <c r="D121" s="250"/>
      <c r="E121" s="251"/>
      <c r="F121" s="471">
        <v>6500</v>
      </c>
      <c r="G121" s="472">
        <f t="shared" si="74"/>
        <v>0</v>
      </c>
      <c r="H121" s="471"/>
      <c r="I121" s="611"/>
      <c r="J121" s="610"/>
      <c r="K121" s="470">
        <f t="shared" si="72"/>
        <v>0</v>
      </c>
      <c r="L121" s="472">
        <f t="shared" si="63"/>
        <v>0</v>
      </c>
      <c r="M121" s="473" t="str">
        <f t="shared" si="73"/>
        <v>-</v>
      </c>
      <c r="N121" s="474">
        <f t="shared" si="70"/>
        <v>0</v>
      </c>
      <c r="O121" s="472">
        <f t="shared" si="65"/>
        <v>0</v>
      </c>
      <c r="P121" s="475" t="str">
        <f t="shared" si="71"/>
        <v>-</v>
      </c>
      <c r="Q121" s="472" t="str">
        <f t="shared" si="66"/>
        <v>-</v>
      </c>
      <c r="R121" s="472">
        <f t="shared" si="67"/>
        <v>0</v>
      </c>
      <c r="S121" s="490" t="str">
        <f t="shared" si="68"/>
        <v>-</v>
      </c>
      <c r="T121" s="491" t="str">
        <f t="shared" si="69"/>
        <v>-</v>
      </c>
    </row>
    <row r="122" spans="1:20" ht="24" x14ac:dyDescent="0.25">
      <c r="A122" s="252" t="s">
        <v>102</v>
      </c>
      <c r="B122" s="249" t="s">
        <v>38</v>
      </c>
      <c r="C122" s="470">
        <f t="shared" si="60"/>
        <v>60</v>
      </c>
      <c r="D122" s="250">
        <f>30+30</f>
        <v>60</v>
      </c>
      <c r="E122" s="251"/>
      <c r="F122" s="471">
        <v>2800</v>
      </c>
      <c r="G122" s="472">
        <f t="shared" si="74"/>
        <v>4730</v>
      </c>
      <c r="H122" s="471">
        <f>3200+1200</f>
        <v>4400</v>
      </c>
      <c r="I122" s="611">
        <f>230+100</f>
        <v>330</v>
      </c>
      <c r="J122" s="610">
        <f>480+480</f>
        <v>960</v>
      </c>
      <c r="K122" s="470">
        <f t="shared" si="72"/>
        <v>900</v>
      </c>
      <c r="L122" s="472">
        <f t="shared" si="63"/>
        <v>900</v>
      </c>
      <c r="M122" s="473">
        <f t="shared" si="73"/>
        <v>1</v>
      </c>
      <c r="N122" s="474">
        <f t="shared" si="70"/>
        <v>840</v>
      </c>
      <c r="O122" s="472">
        <f t="shared" si="65"/>
        <v>900</v>
      </c>
      <c r="P122" s="475">
        <f t="shared" si="71"/>
        <v>0.93333333333333335</v>
      </c>
      <c r="Q122" s="472">
        <f t="shared" si="66"/>
        <v>773.02325581395348</v>
      </c>
      <c r="R122" s="472">
        <f t="shared" si="67"/>
        <v>840</v>
      </c>
      <c r="S122" s="490">
        <f t="shared" si="68"/>
        <v>0.92026578073089704</v>
      </c>
      <c r="T122" s="491">
        <f t="shared" si="69"/>
        <v>0.85891472868217056</v>
      </c>
    </row>
    <row r="123" spans="1:20" ht="24" x14ac:dyDescent="0.25">
      <c r="A123" s="248" t="s">
        <v>102</v>
      </c>
      <c r="B123" s="249" t="s">
        <v>39</v>
      </c>
      <c r="C123" s="470">
        <f t="shared" si="60"/>
        <v>30</v>
      </c>
      <c r="D123" s="250">
        <v>30</v>
      </c>
      <c r="E123" s="251"/>
      <c r="F123" s="471">
        <v>25000</v>
      </c>
      <c r="G123" s="472">
        <f t="shared" si="74"/>
        <v>39871</v>
      </c>
      <c r="H123" s="471">
        <v>39492</v>
      </c>
      <c r="I123" s="611">
        <v>379</v>
      </c>
      <c r="J123" s="610">
        <v>480</v>
      </c>
      <c r="K123" s="470">
        <f t="shared" si="72"/>
        <v>450</v>
      </c>
      <c r="L123" s="472">
        <f t="shared" si="63"/>
        <v>450</v>
      </c>
      <c r="M123" s="473">
        <f t="shared" si="73"/>
        <v>1</v>
      </c>
      <c r="N123" s="474">
        <f t="shared" si="70"/>
        <v>420</v>
      </c>
      <c r="O123" s="472">
        <f t="shared" si="65"/>
        <v>450</v>
      </c>
      <c r="P123" s="475">
        <f t="shared" si="71"/>
        <v>0.93333333333333335</v>
      </c>
      <c r="Q123" s="472">
        <f t="shared" si="66"/>
        <v>415.43728524491485</v>
      </c>
      <c r="R123" s="472">
        <f t="shared" si="67"/>
        <v>420</v>
      </c>
      <c r="S123" s="490">
        <f t="shared" si="68"/>
        <v>0.98913639344027349</v>
      </c>
      <c r="T123" s="491">
        <f t="shared" si="69"/>
        <v>0.92319396721092195</v>
      </c>
    </row>
    <row r="124" spans="1:20" ht="45.75" thickBot="1" x14ac:dyDescent="0.3">
      <c r="A124" s="615" t="s">
        <v>102</v>
      </c>
      <c r="B124" s="261" t="s">
        <v>218</v>
      </c>
      <c r="C124" s="616">
        <f t="shared" si="60"/>
        <v>30</v>
      </c>
      <c r="D124" s="617">
        <v>30</v>
      </c>
      <c r="E124" s="618"/>
      <c r="F124" s="619">
        <v>25000</v>
      </c>
      <c r="G124" s="620">
        <f t="shared" si="74"/>
        <v>0</v>
      </c>
      <c r="H124" s="619"/>
      <c r="I124" s="621"/>
      <c r="J124" s="614">
        <v>480</v>
      </c>
      <c r="K124" s="616">
        <f t="shared" si="72"/>
        <v>450</v>
      </c>
      <c r="L124" s="620">
        <f t="shared" si="63"/>
        <v>450</v>
      </c>
      <c r="M124" s="622">
        <f t="shared" si="73"/>
        <v>1</v>
      </c>
      <c r="N124" s="623">
        <f t="shared" si="70"/>
        <v>420</v>
      </c>
      <c r="O124" s="620">
        <f t="shared" si="65"/>
        <v>450</v>
      </c>
      <c r="P124" s="624">
        <f t="shared" si="71"/>
        <v>0.93333333333333335</v>
      </c>
      <c r="Q124" s="620" t="str">
        <f t="shared" si="66"/>
        <v>-</v>
      </c>
      <c r="R124" s="620">
        <f t="shared" si="67"/>
        <v>420</v>
      </c>
      <c r="S124" s="625" t="str">
        <f t="shared" si="68"/>
        <v>-</v>
      </c>
      <c r="T124" s="626" t="str">
        <f t="shared" si="69"/>
        <v>-</v>
      </c>
    </row>
    <row r="125" spans="1:20" ht="24.6" customHeight="1" x14ac:dyDescent="0.25">
      <c r="A125" s="230"/>
      <c r="B125" s="231"/>
      <c r="C125" s="232"/>
      <c r="D125" s="232"/>
      <c r="E125" s="232"/>
      <c r="F125" s="232"/>
      <c r="G125" s="233"/>
      <c r="H125" s="234"/>
      <c r="I125" s="232"/>
      <c r="J125" s="232"/>
      <c r="K125" s="232"/>
      <c r="L125" s="232"/>
      <c r="M125" s="234"/>
      <c r="N125" s="232"/>
      <c r="O125" s="232"/>
      <c r="P125" s="234"/>
      <c r="Q125" s="232"/>
      <c r="R125" s="232"/>
      <c r="S125" s="234"/>
      <c r="T125" s="234"/>
    </row>
    <row r="126" spans="1:20" ht="24.6" customHeight="1" x14ac:dyDescent="0.25">
      <c r="A126" s="230"/>
      <c r="B126" s="231"/>
      <c r="C126" s="232"/>
      <c r="D126" s="232"/>
      <c r="E126" s="232"/>
      <c r="F126" s="232"/>
      <c r="G126" s="233"/>
      <c r="H126" s="234"/>
      <c r="I126" s="232"/>
      <c r="J126" s="232"/>
      <c r="K126" s="232"/>
      <c r="L126" s="232"/>
      <c r="M126" s="234"/>
      <c r="N126" s="232"/>
      <c r="O126" s="232"/>
      <c r="P126" s="234"/>
      <c r="Q126" s="232"/>
      <c r="R126" s="232"/>
      <c r="S126" s="234"/>
      <c r="T126" s="234"/>
    </row>
    <row r="127" spans="1:20" ht="24.6" customHeight="1" x14ac:dyDescent="0.25">
      <c r="A127" s="230"/>
      <c r="B127" s="231"/>
      <c r="C127" s="232"/>
      <c r="D127" s="232"/>
      <c r="E127" s="232"/>
      <c r="F127" s="232"/>
      <c r="G127" s="233"/>
      <c r="H127" s="234"/>
      <c r="I127" s="232"/>
      <c r="J127" s="232"/>
      <c r="K127" s="232"/>
      <c r="L127" s="232"/>
      <c r="M127" s="234"/>
      <c r="N127" s="232"/>
      <c r="O127" s="232"/>
      <c r="P127" s="234"/>
      <c r="Q127" s="232"/>
      <c r="R127" s="232"/>
      <c r="S127" s="234"/>
      <c r="T127" s="234"/>
    </row>
    <row r="128" spans="1:20" ht="24.6" customHeight="1" x14ac:dyDescent="0.25">
      <c r="A128" s="230"/>
      <c r="B128" s="231"/>
      <c r="C128" s="232"/>
      <c r="D128" s="232"/>
      <c r="E128" s="232"/>
      <c r="F128" s="232"/>
      <c r="G128" s="233"/>
      <c r="H128" s="234"/>
      <c r="I128" s="232"/>
      <c r="J128" s="232"/>
      <c r="K128" s="232"/>
      <c r="L128" s="232"/>
      <c r="M128" s="234"/>
      <c r="N128" s="232"/>
      <c r="O128" s="232"/>
      <c r="P128" s="234"/>
      <c r="Q128" s="232"/>
      <c r="R128" s="232"/>
      <c r="S128" s="234"/>
      <c r="T128" s="234"/>
    </row>
    <row r="129" spans="1:20" ht="24.6" customHeight="1" x14ac:dyDescent="0.25">
      <c r="A129" s="230"/>
      <c r="B129" s="231"/>
      <c r="C129" s="232"/>
      <c r="D129" s="232"/>
      <c r="E129" s="232"/>
      <c r="F129" s="232"/>
      <c r="G129" s="233"/>
      <c r="H129" s="234"/>
      <c r="I129" s="232"/>
      <c r="J129" s="232"/>
      <c r="K129" s="232"/>
      <c r="L129" s="232"/>
      <c r="M129" s="234"/>
      <c r="N129" s="232"/>
      <c r="O129" s="232"/>
      <c r="P129" s="234"/>
      <c r="Q129" s="232"/>
      <c r="R129" s="232"/>
      <c r="S129" s="234"/>
      <c r="T129" s="234"/>
    </row>
    <row r="130" spans="1:20" ht="24.6" customHeight="1" thickBot="1" x14ac:dyDescent="0.3">
      <c r="A130" s="230"/>
      <c r="B130" s="231"/>
      <c r="C130" s="232"/>
      <c r="D130" s="232"/>
      <c r="E130" s="232"/>
      <c r="F130" s="232"/>
      <c r="G130" s="233"/>
      <c r="H130" s="234"/>
      <c r="I130" s="232"/>
      <c r="J130" s="232"/>
      <c r="K130" s="232"/>
      <c r="L130" s="232"/>
      <c r="M130" s="234"/>
      <c r="N130" s="232"/>
      <c r="O130" s="232"/>
      <c r="P130" s="234"/>
      <c r="Q130" s="232"/>
      <c r="R130" s="232"/>
      <c r="S130" s="234"/>
      <c r="T130" s="234"/>
    </row>
    <row r="131" spans="1:20" ht="22.5" customHeight="1" x14ac:dyDescent="0.25">
      <c r="A131" s="1033" t="s">
        <v>1</v>
      </c>
      <c r="B131" s="1033" t="s">
        <v>2</v>
      </c>
      <c r="C131" s="987" t="s">
        <v>207</v>
      </c>
      <c r="D131" s="988"/>
      <c r="E131" s="989"/>
      <c r="F131" s="987" t="s">
        <v>519</v>
      </c>
      <c r="G131" s="988"/>
      <c r="H131" s="988"/>
      <c r="I131" s="989"/>
      <c r="J131" s="1033" t="s">
        <v>204</v>
      </c>
      <c r="K131" s="987" t="s">
        <v>192</v>
      </c>
      <c r="L131" s="988"/>
      <c r="M131" s="989"/>
      <c r="N131" s="987" t="s">
        <v>193</v>
      </c>
      <c r="O131" s="988"/>
      <c r="P131" s="989"/>
      <c r="Q131" s="987" t="s">
        <v>194</v>
      </c>
      <c r="R131" s="988"/>
      <c r="S131" s="989"/>
      <c r="T131" s="1091" t="s">
        <v>191</v>
      </c>
    </row>
    <row r="132" spans="1:20" ht="90.75" thickBot="1" x14ac:dyDescent="0.3">
      <c r="A132" s="1035"/>
      <c r="B132" s="1035"/>
      <c r="C132" s="235" t="s">
        <v>208</v>
      </c>
      <c r="D132" s="236" t="s">
        <v>205</v>
      </c>
      <c r="E132" s="237" t="s">
        <v>206</v>
      </c>
      <c r="F132" s="238" t="s">
        <v>326</v>
      </c>
      <c r="G132" s="236" t="s">
        <v>201</v>
      </c>
      <c r="H132" s="239" t="s">
        <v>202</v>
      </c>
      <c r="I132" s="240" t="s">
        <v>203</v>
      </c>
      <c r="J132" s="1035"/>
      <c r="K132" s="235" t="s">
        <v>195</v>
      </c>
      <c r="L132" s="239" t="s">
        <v>196</v>
      </c>
      <c r="M132" s="241" t="s">
        <v>209</v>
      </c>
      <c r="N132" s="242" t="s">
        <v>197</v>
      </c>
      <c r="O132" s="239" t="s">
        <v>198</v>
      </c>
      <c r="P132" s="241" t="s">
        <v>210</v>
      </c>
      <c r="Q132" s="235" t="s">
        <v>199</v>
      </c>
      <c r="R132" s="239" t="s">
        <v>200</v>
      </c>
      <c r="S132" s="243" t="s">
        <v>211</v>
      </c>
      <c r="T132" s="1092"/>
    </row>
    <row r="133" spans="1:20" ht="25.5" customHeight="1" x14ac:dyDescent="0.25">
      <c r="A133" s="244" t="s">
        <v>103</v>
      </c>
      <c r="B133" s="245" t="s">
        <v>16</v>
      </c>
      <c r="C133" s="463">
        <f>+D133+E133</f>
        <v>0</v>
      </c>
      <c r="D133" s="246"/>
      <c r="E133" s="247"/>
      <c r="F133" s="600">
        <v>15000</v>
      </c>
      <c r="G133" s="464">
        <f>+H133+I133</f>
        <v>0</v>
      </c>
      <c r="H133" s="604"/>
      <c r="I133" s="606"/>
      <c r="J133" s="609"/>
      <c r="K133" s="463">
        <f>+L133-E133</f>
        <v>0</v>
      </c>
      <c r="L133" s="464">
        <f>+J133-D133</f>
        <v>0</v>
      </c>
      <c r="M133" s="465" t="str">
        <f>IFERROR(K133/L133,"-")</f>
        <v>-</v>
      </c>
      <c r="N133" s="466">
        <f>+O133-C133</f>
        <v>0</v>
      </c>
      <c r="O133" s="464">
        <f>+K133</f>
        <v>0</v>
      </c>
      <c r="P133" s="467" t="str">
        <f>IFERROR(N133/O133,"-")</f>
        <v>-</v>
      </c>
      <c r="Q133" s="464" t="str">
        <f>IFERROR(N133-(J133-(J133*H133/G133)),"-")</f>
        <v>-</v>
      </c>
      <c r="R133" s="464">
        <f>+N133</f>
        <v>0</v>
      </c>
      <c r="S133" s="468" t="str">
        <f>IFERROR(Q133/R133,"-")</f>
        <v>-</v>
      </c>
      <c r="T133" s="469" t="str">
        <f>IFERROR(M133*P133*S133,"-")</f>
        <v>-</v>
      </c>
    </row>
    <row r="134" spans="1:20" ht="25.5" customHeight="1" x14ac:dyDescent="0.25">
      <c r="A134" s="248" t="s">
        <v>103</v>
      </c>
      <c r="B134" s="249" t="s">
        <v>215</v>
      </c>
      <c r="C134" s="470">
        <f t="shared" ref="C134:C148" si="75">+D134+E134</f>
        <v>60</v>
      </c>
      <c r="D134" s="250">
        <v>30</v>
      </c>
      <c r="E134" s="251">
        <v>30</v>
      </c>
      <c r="F134" s="601">
        <v>100000</v>
      </c>
      <c r="G134" s="472">
        <f t="shared" ref="G134:G139" si="76">+H134+I134</f>
        <v>91926</v>
      </c>
      <c r="H134" s="254">
        <v>91800</v>
      </c>
      <c r="I134" s="607">
        <v>126</v>
      </c>
      <c r="J134" s="610">
        <v>600</v>
      </c>
      <c r="K134" s="470">
        <f t="shared" ref="K134:K137" si="77">+L134-E134</f>
        <v>540</v>
      </c>
      <c r="L134" s="472">
        <f t="shared" ref="L134:L148" si="78">+J134-D134</f>
        <v>570</v>
      </c>
      <c r="M134" s="473">
        <f t="shared" ref="M134:M137" si="79">IFERROR(K134/L134,"-")</f>
        <v>0.94736842105263153</v>
      </c>
      <c r="N134" s="474">
        <f>+O134-C134</f>
        <v>480</v>
      </c>
      <c r="O134" s="472">
        <f t="shared" ref="O134:O148" si="80">+K134</f>
        <v>540</v>
      </c>
      <c r="P134" s="475">
        <f>IFERROR(N134/O134,"-")</f>
        <v>0.88888888888888884</v>
      </c>
      <c r="Q134" s="472">
        <f t="shared" ref="Q134:Q148" si="81">IFERROR(N134-(J134-(J134*H134/G134)),"-")</f>
        <v>479.17759937340907</v>
      </c>
      <c r="R134" s="472">
        <f t="shared" ref="R134:R148" si="82">+N134</f>
        <v>480</v>
      </c>
      <c r="S134" s="476">
        <f t="shared" ref="S134:S148" si="83">IFERROR(Q134/R134,"-")</f>
        <v>0.99828666536126887</v>
      </c>
      <c r="T134" s="477">
        <f t="shared" ref="T134:T148" si="84">IFERROR(M134*P134*S134,"-")</f>
        <v>0.84066245504106851</v>
      </c>
    </row>
    <row r="135" spans="1:20" ht="24" x14ac:dyDescent="0.25">
      <c r="A135" s="248" t="s">
        <v>103</v>
      </c>
      <c r="B135" s="249" t="s">
        <v>214</v>
      </c>
      <c r="C135" s="470">
        <f t="shared" si="75"/>
        <v>0</v>
      </c>
      <c r="D135" s="250"/>
      <c r="E135" s="251"/>
      <c r="F135" s="601">
        <v>80000</v>
      </c>
      <c r="G135" s="472">
        <f t="shared" si="76"/>
        <v>0</v>
      </c>
      <c r="H135" s="254"/>
      <c r="I135" s="607"/>
      <c r="J135" s="610"/>
      <c r="K135" s="470">
        <f t="shared" si="77"/>
        <v>0</v>
      </c>
      <c r="L135" s="472">
        <f t="shared" si="78"/>
        <v>0</v>
      </c>
      <c r="M135" s="473" t="str">
        <f t="shared" si="79"/>
        <v>-</v>
      </c>
      <c r="N135" s="474">
        <f t="shared" ref="N135:N148" si="85">+O135-C135</f>
        <v>0</v>
      </c>
      <c r="O135" s="472">
        <f t="shared" si="80"/>
        <v>0</v>
      </c>
      <c r="P135" s="475" t="str">
        <f t="shared" ref="P135:P148" si="86">IFERROR(N135/O135,"-")</f>
        <v>-</v>
      </c>
      <c r="Q135" s="472" t="str">
        <f t="shared" si="81"/>
        <v>-</v>
      </c>
      <c r="R135" s="472">
        <f t="shared" si="82"/>
        <v>0</v>
      </c>
      <c r="S135" s="476" t="str">
        <f t="shared" si="83"/>
        <v>-</v>
      </c>
      <c r="T135" s="477" t="str">
        <f t="shared" si="84"/>
        <v>-</v>
      </c>
    </row>
    <row r="136" spans="1:20" ht="24" x14ac:dyDescent="0.25">
      <c r="A136" s="252" t="s">
        <v>103</v>
      </c>
      <c r="B136" s="249" t="s">
        <v>217</v>
      </c>
      <c r="C136" s="470">
        <f t="shared" si="75"/>
        <v>270</v>
      </c>
      <c r="D136" s="250">
        <v>60</v>
      </c>
      <c r="E136" s="251">
        <v>210</v>
      </c>
      <c r="F136" s="601">
        <v>220000</v>
      </c>
      <c r="G136" s="472">
        <f t="shared" si="76"/>
        <v>76187</v>
      </c>
      <c r="H136" s="254">
        <v>76032</v>
      </c>
      <c r="I136" s="607">
        <v>155</v>
      </c>
      <c r="J136" s="610">
        <v>960</v>
      </c>
      <c r="K136" s="470">
        <f t="shared" si="77"/>
        <v>690</v>
      </c>
      <c r="L136" s="472">
        <f t="shared" si="78"/>
        <v>900</v>
      </c>
      <c r="M136" s="473">
        <f t="shared" si="79"/>
        <v>0.76666666666666672</v>
      </c>
      <c r="N136" s="474">
        <f t="shared" si="85"/>
        <v>420</v>
      </c>
      <c r="O136" s="472">
        <f t="shared" si="80"/>
        <v>690</v>
      </c>
      <c r="P136" s="475">
        <f t="shared" si="86"/>
        <v>0.60869565217391308</v>
      </c>
      <c r="Q136" s="472">
        <f t="shared" si="81"/>
        <v>418.04691089030939</v>
      </c>
      <c r="R136" s="472">
        <f t="shared" si="82"/>
        <v>420</v>
      </c>
      <c r="S136" s="476">
        <f t="shared" si="83"/>
        <v>0.99534978783407002</v>
      </c>
      <c r="T136" s="477">
        <f t="shared" si="84"/>
        <v>0.46449656765589942</v>
      </c>
    </row>
    <row r="137" spans="1:20" ht="24" x14ac:dyDescent="0.25">
      <c r="A137" s="248" t="s">
        <v>103</v>
      </c>
      <c r="B137" s="249" t="s">
        <v>216</v>
      </c>
      <c r="C137" s="470">
        <f t="shared" si="75"/>
        <v>0</v>
      </c>
      <c r="D137" s="250"/>
      <c r="E137" s="251"/>
      <c r="F137" s="601">
        <v>50000</v>
      </c>
      <c r="G137" s="472">
        <f t="shared" si="76"/>
        <v>0</v>
      </c>
      <c r="H137" s="254"/>
      <c r="I137" s="607"/>
      <c r="J137" s="610"/>
      <c r="K137" s="470">
        <f t="shared" si="77"/>
        <v>0</v>
      </c>
      <c r="L137" s="472">
        <f t="shared" si="78"/>
        <v>0</v>
      </c>
      <c r="M137" s="473" t="str">
        <f t="shared" si="79"/>
        <v>-</v>
      </c>
      <c r="N137" s="474">
        <f t="shared" si="85"/>
        <v>0</v>
      </c>
      <c r="O137" s="472">
        <f t="shared" si="80"/>
        <v>0</v>
      </c>
      <c r="P137" s="475" t="str">
        <f t="shared" si="86"/>
        <v>-</v>
      </c>
      <c r="Q137" s="472" t="str">
        <f t="shared" si="81"/>
        <v>-</v>
      </c>
      <c r="R137" s="472">
        <f t="shared" si="82"/>
        <v>0</v>
      </c>
      <c r="S137" s="476" t="str">
        <f t="shared" si="83"/>
        <v>-</v>
      </c>
      <c r="T137" s="477" t="str">
        <f t="shared" si="84"/>
        <v>-</v>
      </c>
    </row>
    <row r="138" spans="1:20" ht="24" x14ac:dyDescent="0.25">
      <c r="A138" s="248">
        <v>5</v>
      </c>
      <c r="B138" s="249" t="s">
        <v>22</v>
      </c>
      <c r="C138" s="470">
        <f t="shared" si="75"/>
        <v>0</v>
      </c>
      <c r="D138" s="250"/>
      <c r="E138" s="251"/>
      <c r="F138" s="601">
        <v>80000</v>
      </c>
      <c r="G138" s="472">
        <f t="shared" si="76"/>
        <v>0</v>
      </c>
      <c r="H138" s="471"/>
      <c r="I138" s="611"/>
      <c r="J138" s="610"/>
      <c r="K138" s="470">
        <f>+L138-E138</f>
        <v>0</v>
      </c>
      <c r="L138" s="472">
        <f t="shared" si="78"/>
        <v>0</v>
      </c>
      <c r="M138" s="473" t="str">
        <f>IFERROR(K138/L138,"-")</f>
        <v>-</v>
      </c>
      <c r="N138" s="474">
        <f t="shared" si="85"/>
        <v>0</v>
      </c>
      <c r="O138" s="472">
        <f t="shared" si="80"/>
        <v>0</v>
      </c>
      <c r="P138" s="475" t="str">
        <f t="shared" si="86"/>
        <v>-</v>
      </c>
      <c r="Q138" s="472" t="str">
        <f t="shared" si="81"/>
        <v>-</v>
      </c>
      <c r="R138" s="472">
        <f t="shared" si="82"/>
        <v>0</v>
      </c>
      <c r="S138" s="476" t="str">
        <f t="shared" si="83"/>
        <v>-</v>
      </c>
      <c r="T138" s="477" t="str">
        <f t="shared" si="84"/>
        <v>-</v>
      </c>
    </row>
    <row r="139" spans="1:20" ht="24" x14ac:dyDescent="0.25">
      <c r="A139" s="248" t="s">
        <v>103</v>
      </c>
      <c r="B139" s="249" t="s">
        <v>23</v>
      </c>
      <c r="C139" s="470">
        <f t="shared" si="75"/>
        <v>0</v>
      </c>
      <c r="D139" s="250"/>
      <c r="E139" s="251"/>
      <c r="F139" s="601">
        <v>14000</v>
      </c>
      <c r="G139" s="472">
        <f t="shared" si="76"/>
        <v>0</v>
      </c>
      <c r="H139" s="254"/>
      <c r="I139" s="607"/>
      <c r="J139" s="610"/>
      <c r="K139" s="470">
        <f t="shared" ref="K139:K148" si="87">+L139-E139</f>
        <v>0</v>
      </c>
      <c r="L139" s="472">
        <f t="shared" si="78"/>
        <v>0</v>
      </c>
      <c r="M139" s="473" t="str">
        <f t="shared" ref="M139:M148" si="88">IFERROR(K139/L139,"-")</f>
        <v>-</v>
      </c>
      <c r="N139" s="474">
        <f t="shared" si="85"/>
        <v>0</v>
      </c>
      <c r="O139" s="472">
        <f t="shared" si="80"/>
        <v>0</v>
      </c>
      <c r="P139" s="475" t="str">
        <f t="shared" si="86"/>
        <v>-</v>
      </c>
      <c r="Q139" s="472" t="str">
        <f t="shared" si="81"/>
        <v>-</v>
      </c>
      <c r="R139" s="472">
        <f t="shared" si="82"/>
        <v>0</v>
      </c>
      <c r="S139" s="476" t="str">
        <f t="shared" si="83"/>
        <v>-</v>
      </c>
      <c r="T139" s="477" t="str">
        <f t="shared" si="84"/>
        <v>-</v>
      </c>
    </row>
    <row r="140" spans="1:20" ht="24.75" thickBot="1" x14ac:dyDescent="0.3">
      <c r="A140" s="248" t="s">
        <v>103</v>
      </c>
      <c r="B140" s="253" t="s">
        <v>212</v>
      </c>
      <c r="C140" s="478">
        <f t="shared" si="75"/>
        <v>415</v>
      </c>
      <c r="D140" s="250">
        <f>30+30+60+295</f>
        <v>415</v>
      </c>
      <c r="E140" s="251"/>
      <c r="F140" s="601">
        <v>4500</v>
      </c>
      <c r="G140" s="472">
        <f>+H140+I140</f>
        <v>18256</v>
      </c>
      <c r="H140" s="259">
        <v>18062</v>
      </c>
      <c r="I140" s="608">
        <v>194</v>
      </c>
      <c r="J140" s="610">
        <v>960</v>
      </c>
      <c r="K140" s="478">
        <f t="shared" si="87"/>
        <v>545</v>
      </c>
      <c r="L140" s="250">
        <f t="shared" si="78"/>
        <v>545</v>
      </c>
      <c r="M140" s="479">
        <f t="shared" si="88"/>
        <v>1</v>
      </c>
      <c r="N140" s="480">
        <f t="shared" si="85"/>
        <v>130</v>
      </c>
      <c r="O140" s="250">
        <f t="shared" si="80"/>
        <v>545</v>
      </c>
      <c r="P140" s="481">
        <f t="shared" si="86"/>
        <v>0.23853211009174313</v>
      </c>
      <c r="Q140" s="250">
        <f t="shared" si="81"/>
        <v>119.79842243645919</v>
      </c>
      <c r="R140" s="250">
        <f t="shared" si="82"/>
        <v>130</v>
      </c>
      <c r="S140" s="482">
        <f t="shared" si="83"/>
        <v>0.92152632643430143</v>
      </c>
      <c r="T140" s="483">
        <f t="shared" si="84"/>
        <v>0.2198136191494664</v>
      </c>
    </row>
    <row r="141" spans="1:20" ht="24.75" thickBot="1" x14ac:dyDescent="0.3">
      <c r="A141" s="255" t="s">
        <v>103</v>
      </c>
      <c r="B141" s="256" t="s">
        <v>213</v>
      </c>
      <c r="C141" s="484">
        <f t="shared" si="75"/>
        <v>210</v>
      </c>
      <c r="D141" s="257">
        <f>30+60+120</f>
        <v>210</v>
      </c>
      <c r="E141" s="258"/>
      <c r="F141" s="605">
        <v>5000</v>
      </c>
      <c r="G141" s="494">
        <f t="shared" ref="G141:G148" si="89">+H141+I141</f>
        <v>16979</v>
      </c>
      <c r="H141" s="259">
        <v>16974</v>
      </c>
      <c r="I141" s="608">
        <v>5</v>
      </c>
      <c r="J141" s="613">
        <v>480</v>
      </c>
      <c r="K141" s="484">
        <f t="shared" si="87"/>
        <v>270</v>
      </c>
      <c r="L141" s="257">
        <f t="shared" si="78"/>
        <v>270</v>
      </c>
      <c r="M141" s="485">
        <f t="shared" si="88"/>
        <v>1</v>
      </c>
      <c r="N141" s="486">
        <f t="shared" si="85"/>
        <v>60</v>
      </c>
      <c r="O141" s="257">
        <f t="shared" si="80"/>
        <v>270</v>
      </c>
      <c r="P141" s="487">
        <f t="shared" si="86"/>
        <v>0.22222222222222221</v>
      </c>
      <c r="Q141" s="257">
        <f t="shared" si="81"/>
        <v>59.858648919253199</v>
      </c>
      <c r="R141" s="257">
        <f t="shared" si="82"/>
        <v>60</v>
      </c>
      <c r="S141" s="488">
        <f t="shared" si="83"/>
        <v>0.99764414865422002</v>
      </c>
      <c r="T141" s="489">
        <f t="shared" si="84"/>
        <v>0.22169869970093778</v>
      </c>
    </row>
    <row r="142" spans="1:20" ht="24" x14ac:dyDescent="0.25">
      <c r="A142" s="252" t="s">
        <v>101</v>
      </c>
      <c r="B142" s="260" t="s">
        <v>29</v>
      </c>
      <c r="C142" s="470">
        <f t="shared" si="75"/>
        <v>930</v>
      </c>
      <c r="D142" s="250">
        <v>90</v>
      </c>
      <c r="E142" s="251">
        <v>840</v>
      </c>
      <c r="F142" s="471">
        <v>160000</v>
      </c>
      <c r="G142" s="472">
        <f t="shared" si="89"/>
        <v>78000</v>
      </c>
      <c r="H142" s="471">
        <v>75582</v>
      </c>
      <c r="I142" s="611">
        <v>2418</v>
      </c>
      <c r="J142" s="703">
        <v>1380</v>
      </c>
      <c r="K142" s="470">
        <f t="shared" si="87"/>
        <v>450</v>
      </c>
      <c r="L142" s="472">
        <f t="shared" si="78"/>
        <v>1290</v>
      </c>
      <c r="M142" s="473">
        <f t="shared" si="88"/>
        <v>0.34883720930232559</v>
      </c>
      <c r="N142" s="474">
        <f t="shared" si="85"/>
        <v>-480</v>
      </c>
      <c r="O142" s="472">
        <f t="shared" si="80"/>
        <v>450</v>
      </c>
      <c r="P142" s="475">
        <f t="shared" si="86"/>
        <v>-1.0666666666666667</v>
      </c>
      <c r="Q142" s="472">
        <f t="shared" si="81"/>
        <v>-522.78</v>
      </c>
      <c r="R142" s="472">
        <f t="shared" si="82"/>
        <v>-480</v>
      </c>
      <c r="S142" s="490">
        <f t="shared" si="83"/>
        <v>1.0891249999999999</v>
      </c>
      <c r="T142" s="491">
        <f t="shared" si="84"/>
        <v>-0.40525581395348831</v>
      </c>
    </row>
    <row r="143" spans="1:20" ht="22.5" customHeight="1" x14ac:dyDescent="0.25">
      <c r="A143" s="248" t="s">
        <v>101</v>
      </c>
      <c r="B143" s="260" t="s">
        <v>31</v>
      </c>
      <c r="C143" s="470">
        <f t="shared" si="75"/>
        <v>0</v>
      </c>
      <c r="D143" s="707"/>
      <c r="E143" s="251"/>
      <c r="F143" s="471">
        <v>50000</v>
      </c>
      <c r="G143" s="472">
        <f t="shared" si="89"/>
        <v>0</v>
      </c>
      <c r="H143" s="471"/>
      <c r="I143" s="611"/>
      <c r="J143" s="610"/>
      <c r="K143" s="470">
        <f t="shared" si="87"/>
        <v>0</v>
      </c>
      <c r="L143" s="472">
        <f t="shared" si="78"/>
        <v>0</v>
      </c>
      <c r="M143" s="473" t="str">
        <f t="shared" si="88"/>
        <v>-</v>
      </c>
      <c r="N143" s="474">
        <f t="shared" si="85"/>
        <v>0</v>
      </c>
      <c r="O143" s="472">
        <f t="shared" si="80"/>
        <v>0</v>
      </c>
      <c r="P143" s="475" t="str">
        <f t="shared" si="86"/>
        <v>-</v>
      </c>
      <c r="Q143" s="472" t="str">
        <f t="shared" si="81"/>
        <v>-</v>
      </c>
      <c r="R143" s="472">
        <f t="shared" si="82"/>
        <v>0</v>
      </c>
      <c r="S143" s="490" t="str">
        <f t="shared" si="83"/>
        <v>-</v>
      </c>
      <c r="T143" s="491" t="str">
        <f t="shared" si="84"/>
        <v>-</v>
      </c>
    </row>
    <row r="144" spans="1:20" ht="24.75" thickBot="1" x14ac:dyDescent="0.3">
      <c r="A144" s="255" t="s">
        <v>101</v>
      </c>
      <c r="B144" s="261" t="s">
        <v>32</v>
      </c>
      <c r="C144" s="492">
        <f t="shared" si="75"/>
        <v>0</v>
      </c>
      <c r="D144" s="257"/>
      <c r="E144" s="258"/>
      <c r="F144" s="493">
        <v>110000</v>
      </c>
      <c r="G144" s="494">
        <f t="shared" si="89"/>
        <v>0</v>
      </c>
      <c r="H144" s="493"/>
      <c r="I144" s="612"/>
      <c r="J144" s="613"/>
      <c r="K144" s="492">
        <f t="shared" si="87"/>
        <v>0</v>
      </c>
      <c r="L144" s="494">
        <f t="shared" si="78"/>
        <v>0</v>
      </c>
      <c r="M144" s="495" t="str">
        <f t="shared" si="88"/>
        <v>-</v>
      </c>
      <c r="N144" s="496">
        <f t="shared" si="85"/>
        <v>0</v>
      </c>
      <c r="O144" s="494">
        <f t="shared" si="80"/>
        <v>0</v>
      </c>
      <c r="P144" s="497" t="str">
        <f t="shared" si="86"/>
        <v>-</v>
      </c>
      <c r="Q144" s="494" t="str">
        <f t="shared" si="81"/>
        <v>-</v>
      </c>
      <c r="R144" s="494">
        <f t="shared" si="82"/>
        <v>0</v>
      </c>
      <c r="S144" s="498" t="str">
        <f t="shared" si="83"/>
        <v>-</v>
      </c>
      <c r="T144" s="499" t="str">
        <f t="shared" si="84"/>
        <v>-</v>
      </c>
    </row>
    <row r="145" spans="1:20" ht="24" x14ac:dyDescent="0.25">
      <c r="A145" s="248" t="s">
        <v>102</v>
      </c>
      <c r="B145" s="249" t="s">
        <v>219</v>
      </c>
      <c r="C145" s="470">
        <f t="shared" si="75"/>
        <v>30</v>
      </c>
      <c r="D145" s="250">
        <v>30</v>
      </c>
      <c r="E145" s="251"/>
      <c r="F145" s="471">
        <v>6500</v>
      </c>
      <c r="G145" s="472">
        <f t="shared" si="89"/>
        <v>1151</v>
      </c>
      <c r="H145" s="471">
        <v>1100</v>
      </c>
      <c r="I145" s="611">
        <v>51</v>
      </c>
      <c r="J145" s="610">
        <v>480</v>
      </c>
      <c r="K145" s="470">
        <f t="shared" si="87"/>
        <v>450</v>
      </c>
      <c r="L145" s="472">
        <f t="shared" si="78"/>
        <v>450</v>
      </c>
      <c r="M145" s="473">
        <f t="shared" si="88"/>
        <v>1</v>
      </c>
      <c r="N145" s="474">
        <f t="shared" si="85"/>
        <v>420</v>
      </c>
      <c r="O145" s="472">
        <f t="shared" si="80"/>
        <v>450</v>
      </c>
      <c r="P145" s="475">
        <f t="shared" si="86"/>
        <v>0.93333333333333335</v>
      </c>
      <c r="Q145" s="472">
        <f t="shared" si="81"/>
        <v>398.73153779322331</v>
      </c>
      <c r="R145" s="472">
        <f t="shared" si="82"/>
        <v>420</v>
      </c>
      <c r="S145" s="490">
        <f t="shared" si="83"/>
        <v>0.94936080426957936</v>
      </c>
      <c r="T145" s="491">
        <f t="shared" si="84"/>
        <v>0.8860700839849408</v>
      </c>
    </row>
    <row r="146" spans="1:20" ht="24" x14ac:dyDescent="0.25">
      <c r="A146" s="252" t="s">
        <v>102</v>
      </c>
      <c r="B146" s="249" t="s">
        <v>38</v>
      </c>
      <c r="C146" s="470">
        <f t="shared" si="75"/>
        <v>30</v>
      </c>
      <c r="D146" s="250">
        <v>30</v>
      </c>
      <c r="E146" s="251"/>
      <c r="F146" s="471">
        <v>2800</v>
      </c>
      <c r="G146" s="472">
        <f t="shared" si="89"/>
        <v>3425</v>
      </c>
      <c r="H146" s="471">
        <v>3200</v>
      </c>
      <c r="I146" s="611">
        <v>225</v>
      </c>
      <c r="J146" s="610">
        <v>480</v>
      </c>
      <c r="K146" s="470">
        <f t="shared" si="87"/>
        <v>450</v>
      </c>
      <c r="L146" s="472">
        <f t="shared" si="78"/>
        <v>450</v>
      </c>
      <c r="M146" s="473">
        <f t="shared" si="88"/>
        <v>1</v>
      </c>
      <c r="N146" s="474">
        <f t="shared" si="85"/>
        <v>420</v>
      </c>
      <c r="O146" s="472">
        <f t="shared" si="80"/>
        <v>450</v>
      </c>
      <c r="P146" s="475">
        <f t="shared" si="86"/>
        <v>0.93333333333333335</v>
      </c>
      <c r="Q146" s="472">
        <f t="shared" si="81"/>
        <v>388.46715328467155</v>
      </c>
      <c r="R146" s="472">
        <f t="shared" si="82"/>
        <v>420</v>
      </c>
      <c r="S146" s="490">
        <f t="shared" si="83"/>
        <v>0.92492179353493231</v>
      </c>
      <c r="T146" s="491">
        <f t="shared" si="84"/>
        <v>0.86326034063260348</v>
      </c>
    </row>
    <row r="147" spans="1:20" ht="24" x14ac:dyDescent="0.25">
      <c r="A147" s="248" t="s">
        <v>102</v>
      </c>
      <c r="B147" s="249" t="s">
        <v>39</v>
      </c>
      <c r="C147" s="470">
        <f t="shared" si="75"/>
        <v>30</v>
      </c>
      <c r="D147" s="250">
        <v>30</v>
      </c>
      <c r="E147" s="251"/>
      <c r="F147" s="471">
        <v>25000</v>
      </c>
      <c r="G147" s="472">
        <f t="shared" si="89"/>
        <v>38180</v>
      </c>
      <c r="H147" s="471">
        <v>37968</v>
      </c>
      <c r="I147" s="611">
        <v>212</v>
      </c>
      <c r="J147" s="610">
        <v>480</v>
      </c>
      <c r="K147" s="470">
        <f t="shared" si="87"/>
        <v>450</v>
      </c>
      <c r="L147" s="472">
        <f t="shared" si="78"/>
        <v>450</v>
      </c>
      <c r="M147" s="473">
        <f t="shared" si="88"/>
        <v>1</v>
      </c>
      <c r="N147" s="474">
        <f t="shared" si="85"/>
        <v>420</v>
      </c>
      <c r="O147" s="472">
        <f t="shared" si="80"/>
        <v>450</v>
      </c>
      <c r="P147" s="475">
        <f t="shared" si="86"/>
        <v>0.93333333333333335</v>
      </c>
      <c r="Q147" s="472">
        <f t="shared" si="81"/>
        <v>417.33473022524885</v>
      </c>
      <c r="R147" s="472">
        <f t="shared" si="82"/>
        <v>420</v>
      </c>
      <c r="S147" s="490">
        <f t="shared" si="83"/>
        <v>0.9936541195839258</v>
      </c>
      <c r="T147" s="491">
        <f t="shared" si="84"/>
        <v>0.9274105116116641</v>
      </c>
    </row>
    <row r="148" spans="1:20" ht="45.75" thickBot="1" x14ac:dyDescent="0.3">
      <c r="A148" s="615" t="s">
        <v>102</v>
      </c>
      <c r="B148" s="261" t="s">
        <v>218</v>
      </c>
      <c r="C148" s="616">
        <f t="shared" si="75"/>
        <v>30</v>
      </c>
      <c r="D148" s="617">
        <v>30</v>
      </c>
      <c r="E148" s="618"/>
      <c r="F148" s="619">
        <v>25000</v>
      </c>
      <c r="G148" s="620">
        <f t="shared" si="89"/>
        <v>0</v>
      </c>
      <c r="H148" s="619"/>
      <c r="I148" s="621"/>
      <c r="J148" s="614">
        <v>480</v>
      </c>
      <c r="K148" s="616">
        <f t="shared" si="87"/>
        <v>450</v>
      </c>
      <c r="L148" s="620">
        <f t="shared" si="78"/>
        <v>450</v>
      </c>
      <c r="M148" s="622">
        <f t="shared" si="88"/>
        <v>1</v>
      </c>
      <c r="N148" s="623">
        <f t="shared" si="85"/>
        <v>420</v>
      </c>
      <c r="O148" s="620">
        <f t="shared" si="80"/>
        <v>450</v>
      </c>
      <c r="P148" s="624">
        <f t="shared" si="86"/>
        <v>0.93333333333333335</v>
      </c>
      <c r="Q148" s="620" t="str">
        <f t="shared" si="81"/>
        <v>-</v>
      </c>
      <c r="R148" s="620">
        <f t="shared" si="82"/>
        <v>420</v>
      </c>
      <c r="S148" s="625" t="str">
        <f t="shared" si="83"/>
        <v>-</v>
      </c>
      <c r="T148" s="626" t="str">
        <f t="shared" si="84"/>
        <v>-</v>
      </c>
    </row>
    <row r="149" spans="1:20" ht="24.6" customHeight="1" x14ac:dyDescent="0.25">
      <c r="A149" s="230"/>
      <c r="B149" s="231"/>
      <c r="C149" s="232"/>
      <c r="D149" s="232"/>
      <c r="E149" s="232"/>
      <c r="F149" s="232"/>
      <c r="G149" s="233"/>
      <c r="H149" s="234"/>
      <c r="I149" s="232"/>
      <c r="J149" s="232"/>
      <c r="K149" s="232"/>
      <c r="L149" s="232"/>
      <c r="M149" s="234"/>
      <c r="N149" s="232"/>
      <c r="O149" s="232"/>
      <c r="P149" s="234"/>
      <c r="Q149" s="232"/>
      <c r="R149" s="232"/>
      <c r="S149" s="234"/>
      <c r="T149" s="234"/>
    </row>
    <row r="150" spans="1:20" ht="24.6" customHeight="1" x14ac:dyDescent="0.25">
      <c r="A150" s="230"/>
      <c r="B150" s="231"/>
      <c r="C150" s="232"/>
      <c r="D150" s="232"/>
      <c r="E150" s="232"/>
      <c r="F150" s="232"/>
      <c r="G150" s="233"/>
      <c r="H150" s="234"/>
      <c r="I150" s="232"/>
      <c r="J150" s="232"/>
      <c r="K150" s="232"/>
      <c r="L150" s="232"/>
      <c r="M150" s="234"/>
      <c r="N150" s="232"/>
      <c r="O150" s="232"/>
      <c r="P150" s="234"/>
      <c r="Q150" s="232"/>
      <c r="R150" s="232"/>
      <c r="S150" s="234"/>
      <c r="T150" s="234"/>
    </row>
    <row r="151" spans="1:20" ht="24.6" customHeight="1" x14ac:dyDescent="0.25">
      <c r="A151" s="230"/>
      <c r="B151" s="231"/>
      <c r="C151" s="232"/>
      <c r="D151" s="232"/>
      <c r="E151" s="232"/>
      <c r="F151" s="232"/>
      <c r="G151" s="233"/>
      <c r="H151" s="234"/>
      <c r="I151" s="232"/>
      <c r="J151" s="232"/>
      <c r="K151" s="232"/>
      <c r="L151" s="232"/>
      <c r="M151" s="234"/>
      <c r="N151" s="232"/>
      <c r="O151" s="232"/>
      <c r="P151" s="234"/>
      <c r="Q151" s="232"/>
      <c r="R151" s="232"/>
      <c r="S151" s="234"/>
      <c r="T151" s="234"/>
    </row>
    <row r="152" spans="1:20" ht="24.6" customHeight="1" x14ac:dyDescent="0.25">
      <c r="A152" s="230"/>
      <c r="B152" s="231"/>
      <c r="C152" s="232"/>
      <c r="D152" s="232"/>
      <c r="E152" s="232"/>
      <c r="F152" s="232"/>
      <c r="G152" s="233"/>
      <c r="H152" s="234"/>
      <c r="I152" s="232"/>
      <c r="J152" s="232"/>
      <c r="K152" s="232"/>
      <c r="L152" s="232"/>
      <c r="M152" s="234"/>
      <c r="N152" s="232"/>
      <c r="O152" s="232"/>
      <c r="P152" s="234"/>
      <c r="Q152" s="232"/>
      <c r="R152" s="232"/>
      <c r="S152" s="234"/>
      <c r="T152" s="234"/>
    </row>
    <row r="153" spans="1:20" ht="24.6" customHeight="1" thickBot="1" x14ac:dyDescent="0.3">
      <c r="A153" s="230"/>
      <c r="B153" s="231"/>
      <c r="C153" s="232"/>
      <c r="D153" s="232"/>
      <c r="E153" s="232"/>
      <c r="F153" s="232"/>
      <c r="G153" s="233"/>
      <c r="H153" s="234"/>
      <c r="I153" s="232"/>
      <c r="J153" s="232"/>
      <c r="K153" s="232"/>
      <c r="L153" s="232"/>
      <c r="M153" s="234"/>
      <c r="N153" s="232"/>
      <c r="O153" s="232"/>
      <c r="P153" s="234"/>
      <c r="Q153" s="232"/>
      <c r="R153" s="232"/>
      <c r="S153" s="234"/>
      <c r="T153" s="234"/>
    </row>
    <row r="154" spans="1:20" ht="22.5" customHeight="1" x14ac:dyDescent="0.25">
      <c r="A154" s="1033" t="s">
        <v>1</v>
      </c>
      <c r="B154" s="1033" t="s">
        <v>2</v>
      </c>
      <c r="C154" s="987" t="s">
        <v>207</v>
      </c>
      <c r="D154" s="988"/>
      <c r="E154" s="989"/>
      <c r="F154" s="987" t="s">
        <v>513</v>
      </c>
      <c r="G154" s="988"/>
      <c r="H154" s="988"/>
      <c r="I154" s="989"/>
      <c r="J154" s="1033" t="s">
        <v>204</v>
      </c>
      <c r="K154" s="987" t="s">
        <v>192</v>
      </c>
      <c r="L154" s="988"/>
      <c r="M154" s="989"/>
      <c r="N154" s="987" t="s">
        <v>193</v>
      </c>
      <c r="O154" s="988"/>
      <c r="P154" s="989"/>
      <c r="Q154" s="987" t="s">
        <v>194</v>
      </c>
      <c r="R154" s="988"/>
      <c r="S154" s="989"/>
      <c r="T154" s="1091" t="s">
        <v>191</v>
      </c>
    </row>
    <row r="155" spans="1:20" ht="90.75" thickBot="1" x14ac:dyDescent="0.3">
      <c r="A155" s="1035"/>
      <c r="B155" s="1035"/>
      <c r="C155" s="235" t="s">
        <v>208</v>
      </c>
      <c r="D155" s="236" t="s">
        <v>205</v>
      </c>
      <c r="E155" s="237" t="s">
        <v>206</v>
      </c>
      <c r="F155" s="238" t="s">
        <v>326</v>
      </c>
      <c r="G155" s="236" t="s">
        <v>201</v>
      </c>
      <c r="H155" s="239" t="s">
        <v>202</v>
      </c>
      <c r="I155" s="240" t="s">
        <v>203</v>
      </c>
      <c r="J155" s="1035"/>
      <c r="K155" s="235" t="s">
        <v>195</v>
      </c>
      <c r="L155" s="239" t="s">
        <v>196</v>
      </c>
      <c r="M155" s="241" t="s">
        <v>209</v>
      </c>
      <c r="N155" s="242" t="s">
        <v>197</v>
      </c>
      <c r="O155" s="239" t="s">
        <v>198</v>
      </c>
      <c r="P155" s="241" t="s">
        <v>210</v>
      </c>
      <c r="Q155" s="235" t="s">
        <v>199</v>
      </c>
      <c r="R155" s="239" t="s">
        <v>200</v>
      </c>
      <c r="S155" s="243" t="s">
        <v>211</v>
      </c>
      <c r="T155" s="1092"/>
    </row>
    <row r="156" spans="1:20" ht="25.5" customHeight="1" x14ac:dyDescent="0.25">
      <c r="A156" s="244" t="s">
        <v>103</v>
      </c>
      <c r="B156" s="245" t="s">
        <v>16</v>
      </c>
      <c r="C156" s="463">
        <f>+D156+E156</f>
        <v>0</v>
      </c>
      <c r="D156" s="246"/>
      <c r="E156" s="247"/>
      <c r="F156" s="600">
        <v>15000</v>
      </c>
      <c r="G156" s="464">
        <f>+H156+I156</f>
        <v>0</v>
      </c>
      <c r="H156" s="604"/>
      <c r="I156" s="606"/>
      <c r="J156" s="609"/>
      <c r="K156" s="463">
        <f>+L156-E156</f>
        <v>0</v>
      </c>
      <c r="L156" s="464">
        <f>+J156-D156</f>
        <v>0</v>
      </c>
      <c r="M156" s="465" t="str">
        <f>IFERROR(K156/L156,"-")</f>
        <v>-</v>
      </c>
      <c r="N156" s="466">
        <f>+O156-C156</f>
        <v>0</v>
      </c>
      <c r="O156" s="464">
        <f>+K156</f>
        <v>0</v>
      </c>
      <c r="P156" s="467" t="str">
        <f>IFERROR(N156/O156,"-")</f>
        <v>-</v>
      </c>
      <c r="Q156" s="464" t="str">
        <f>IFERROR(N156-(J156-(J156*H156/G156)),"-")</f>
        <v>-</v>
      </c>
      <c r="R156" s="464">
        <f>+N156</f>
        <v>0</v>
      </c>
      <c r="S156" s="468" t="str">
        <f>IFERROR(Q156/R156,"-")</f>
        <v>-</v>
      </c>
      <c r="T156" s="469" t="str">
        <f>IFERROR(M156*P156*S156,"-")</f>
        <v>-</v>
      </c>
    </row>
    <row r="157" spans="1:20" ht="25.5" customHeight="1" x14ac:dyDescent="0.25">
      <c r="A157" s="248" t="s">
        <v>103</v>
      </c>
      <c r="B157" s="249" t="s">
        <v>215</v>
      </c>
      <c r="C157" s="470">
        <f t="shared" ref="C157:C171" si="90">+D157+E157</f>
        <v>30</v>
      </c>
      <c r="D157" s="250">
        <v>30</v>
      </c>
      <c r="E157" s="251"/>
      <c r="F157" s="601">
        <v>100000</v>
      </c>
      <c r="G157" s="472">
        <f t="shared" ref="G157:G162" si="91">+H157+I157</f>
        <v>98458</v>
      </c>
      <c r="H157" s="254">
        <v>97920</v>
      </c>
      <c r="I157" s="607">
        <v>538</v>
      </c>
      <c r="J157" s="610">
        <v>480</v>
      </c>
      <c r="K157" s="470">
        <f t="shared" ref="K157:K160" si="92">+L157-E157</f>
        <v>450</v>
      </c>
      <c r="L157" s="472">
        <f t="shared" ref="L157:L171" si="93">+J157-D157</f>
        <v>450</v>
      </c>
      <c r="M157" s="473">
        <f t="shared" ref="M157:M160" si="94">IFERROR(K157/L157,"-")</f>
        <v>1</v>
      </c>
      <c r="N157" s="474">
        <f>+O157-C157</f>
        <v>420</v>
      </c>
      <c r="O157" s="472">
        <f t="shared" ref="O157:O171" si="95">+K157</f>
        <v>450</v>
      </c>
      <c r="P157" s="475">
        <f>IFERROR(N157/O157,"-")</f>
        <v>0.93333333333333335</v>
      </c>
      <c r="Q157" s="472">
        <f t="shared" ref="Q157:Q171" si="96">IFERROR(N157-(J157-(J157*H157/G157)),"-")</f>
        <v>417.37715574153447</v>
      </c>
      <c r="R157" s="472">
        <f t="shared" ref="R157:R171" si="97">+N157</f>
        <v>420</v>
      </c>
      <c r="S157" s="476">
        <f t="shared" ref="S157:S171" si="98">IFERROR(Q157/R157,"-")</f>
        <v>0.99375513271793925</v>
      </c>
      <c r="T157" s="477">
        <f t="shared" ref="T157:T171" si="99">IFERROR(M157*P157*S157,"-")</f>
        <v>0.92750479053674328</v>
      </c>
    </row>
    <row r="158" spans="1:20" ht="24" x14ac:dyDescent="0.25">
      <c r="A158" s="248" t="s">
        <v>103</v>
      </c>
      <c r="B158" s="249" t="s">
        <v>214</v>
      </c>
      <c r="C158" s="470">
        <f t="shared" si="90"/>
        <v>0</v>
      </c>
      <c r="D158" s="250"/>
      <c r="E158" s="251"/>
      <c r="F158" s="601">
        <v>80000</v>
      </c>
      <c r="G158" s="472">
        <f t="shared" si="91"/>
        <v>0</v>
      </c>
      <c r="H158" s="254"/>
      <c r="I158" s="607"/>
      <c r="J158" s="610"/>
      <c r="K158" s="470">
        <f t="shared" si="92"/>
        <v>0</v>
      </c>
      <c r="L158" s="472">
        <f t="shared" si="93"/>
        <v>0</v>
      </c>
      <c r="M158" s="473" t="str">
        <f t="shared" si="94"/>
        <v>-</v>
      </c>
      <c r="N158" s="474">
        <f t="shared" ref="N158:N171" si="100">+O158-C158</f>
        <v>0</v>
      </c>
      <c r="O158" s="472">
        <f t="shared" si="95"/>
        <v>0</v>
      </c>
      <c r="P158" s="475" t="str">
        <f t="shared" ref="P158:P171" si="101">IFERROR(N158/O158,"-")</f>
        <v>-</v>
      </c>
      <c r="Q158" s="472" t="str">
        <f t="shared" si="96"/>
        <v>-</v>
      </c>
      <c r="R158" s="472">
        <f t="shared" si="97"/>
        <v>0</v>
      </c>
      <c r="S158" s="476" t="str">
        <f t="shared" si="98"/>
        <v>-</v>
      </c>
      <c r="T158" s="477" t="str">
        <f t="shared" si="99"/>
        <v>-</v>
      </c>
    </row>
    <row r="159" spans="1:20" ht="24" x14ac:dyDescent="0.25">
      <c r="A159" s="252" t="s">
        <v>103</v>
      </c>
      <c r="B159" s="249" t="s">
        <v>217</v>
      </c>
      <c r="C159" s="470">
        <f t="shared" si="90"/>
        <v>120</v>
      </c>
      <c r="D159" s="250">
        <f>60+60</f>
        <v>120</v>
      </c>
      <c r="E159" s="251"/>
      <c r="F159" s="601">
        <v>220000</v>
      </c>
      <c r="G159" s="472">
        <f t="shared" si="91"/>
        <v>132948</v>
      </c>
      <c r="H159" s="254">
        <v>132528</v>
      </c>
      <c r="I159" s="607">
        <v>420</v>
      </c>
      <c r="J159" s="610">
        <v>960</v>
      </c>
      <c r="K159" s="470">
        <f t="shared" si="92"/>
        <v>840</v>
      </c>
      <c r="L159" s="472">
        <f t="shared" si="93"/>
        <v>840</v>
      </c>
      <c r="M159" s="473">
        <f t="shared" si="94"/>
        <v>1</v>
      </c>
      <c r="N159" s="474">
        <f t="shared" si="100"/>
        <v>720</v>
      </c>
      <c r="O159" s="472">
        <f t="shared" si="95"/>
        <v>840</v>
      </c>
      <c r="P159" s="475">
        <f t="shared" si="101"/>
        <v>0.8571428571428571</v>
      </c>
      <c r="Q159" s="472">
        <f t="shared" si="96"/>
        <v>716.96723531004602</v>
      </c>
      <c r="R159" s="472">
        <f t="shared" si="97"/>
        <v>720</v>
      </c>
      <c r="S159" s="476">
        <f t="shared" si="98"/>
        <v>0.99578782681950839</v>
      </c>
      <c r="T159" s="477">
        <f t="shared" si="99"/>
        <v>0.85353242298815002</v>
      </c>
    </row>
    <row r="160" spans="1:20" ht="24" x14ac:dyDescent="0.25">
      <c r="A160" s="248" t="s">
        <v>103</v>
      </c>
      <c r="B160" s="249" t="s">
        <v>216</v>
      </c>
      <c r="C160" s="470">
        <f t="shared" si="90"/>
        <v>0</v>
      </c>
      <c r="D160" s="250"/>
      <c r="E160" s="251"/>
      <c r="F160" s="601">
        <v>50000</v>
      </c>
      <c r="G160" s="472">
        <f t="shared" si="91"/>
        <v>0</v>
      </c>
      <c r="H160" s="254"/>
      <c r="I160" s="607"/>
      <c r="J160" s="610"/>
      <c r="K160" s="470">
        <f t="shared" si="92"/>
        <v>0</v>
      </c>
      <c r="L160" s="472">
        <f t="shared" si="93"/>
        <v>0</v>
      </c>
      <c r="M160" s="473" t="str">
        <f t="shared" si="94"/>
        <v>-</v>
      </c>
      <c r="N160" s="474">
        <f t="shared" si="100"/>
        <v>0</v>
      </c>
      <c r="O160" s="472">
        <f t="shared" si="95"/>
        <v>0</v>
      </c>
      <c r="P160" s="475" t="str">
        <f t="shared" si="101"/>
        <v>-</v>
      </c>
      <c r="Q160" s="472" t="str">
        <f t="shared" si="96"/>
        <v>-</v>
      </c>
      <c r="R160" s="472">
        <f t="shared" si="97"/>
        <v>0</v>
      </c>
      <c r="S160" s="476" t="str">
        <f t="shared" si="98"/>
        <v>-</v>
      </c>
      <c r="T160" s="477" t="str">
        <f t="shared" si="99"/>
        <v>-</v>
      </c>
    </row>
    <row r="161" spans="1:20" ht="24" x14ac:dyDescent="0.25">
      <c r="A161" s="248">
        <v>5</v>
      </c>
      <c r="B161" s="249" t="s">
        <v>22</v>
      </c>
      <c r="C161" s="470">
        <f t="shared" si="90"/>
        <v>0</v>
      </c>
      <c r="D161" s="250"/>
      <c r="E161" s="251"/>
      <c r="F161" s="601">
        <v>80000</v>
      </c>
      <c r="G161" s="472">
        <f t="shared" si="91"/>
        <v>0</v>
      </c>
      <c r="H161" s="471"/>
      <c r="I161" s="611"/>
      <c r="J161" s="610"/>
      <c r="K161" s="470">
        <f>+L161-E161</f>
        <v>0</v>
      </c>
      <c r="L161" s="472">
        <f t="shared" si="93"/>
        <v>0</v>
      </c>
      <c r="M161" s="473" t="str">
        <f>IFERROR(K161/L161,"-")</f>
        <v>-</v>
      </c>
      <c r="N161" s="474">
        <f t="shared" si="100"/>
        <v>0</v>
      </c>
      <c r="O161" s="472">
        <f t="shared" si="95"/>
        <v>0</v>
      </c>
      <c r="P161" s="475" t="str">
        <f t="shared" si="101"/>
        <v>-</v>
      </c>
      <c r="Q161" s="472" t="str">
        <f t="shared" si="96"/>
        <v>-</v>
      </c>
      <c r="R161" s="472">
        <f t="shared" si="97"/>
        <v>0</v>
      </c>
      <c r="S161" s="476" t="str">
        <f t="shared" si="98"/>
        <v>-</v>
      </c>
      <c r="T161" s="477" t="str">
        <f t="shared" si="99"/>
        <v>-</v>
      </c>
    </row>
    <row r="162" spans="1:20" ht="24" x14ac:dyDescent="0.25">
      <c r="A162" s="248" t="s">
        <v>103</v>
      </c>
      <c r="B162" s="249" t="s">
        <v>23</v>
      </c>
      <c r="C162" s="470">
        <f t="shared" si="90"/>
        <v>0</v>
      </c>
      <c r="D162" s="250"/>
      <c r="E162" s="251"/>
      <c r="F162" s="601">
        <v>14000</v>
      </c>
      <c r="G162" s="472">
        <f t="shared" si="91"/>
        <v>0</v>
      </c>
      <c r="H162" s="254"/>
      <c r="I162" s="607"/>
      <c r="J162" s="610"/>
      <c r="K162" s="470">
        <f t="shared" ref="K162:K171" si="102">+L162-E162</f>
        <v>0</v>
      </c>
      <c r="L162" s="472">
        <f t="shared" si="93"/>
        <v>0</v>
      </c>
      <c r="M162" s="473" t="str">
        <f t="shared" ref="M162:M171" si="103">IFERROR(K162/L162,"-")</f>
        <v>-</v>
      </c>
      <c r="N162" s="474">
        <f t="shared" si="100"/>
        <v>0</v>
      </c>
      <c r="O162" s="472">
        <f t="shared" si="95"/>
        <v>0</v>
      </c>
      <c r="P162" s="475" t="str">
        <f t="shared" si="101"/>
        <v>-</v>
      </c>
      <c r="Q162" s="472" t="str">
        <f t="shared" si="96"/>
        <v>-</v>
      </c>
      <c r="R162" s="472">
        <f t="shared" si="97"/>
        <v>0</v>
      </c>
      <c r="S162" s="476" t="str">
        <f t="shared" si="98"/>
        <v>-</v>
      </c>
      <c r="T162" s="477" t="str">
        <f t="shared" si="99"/>
        <v>-</v>
      </c>
    </row>
    <row r="163" spans="1:20" ht="24.75" thickBot="1" x14ac:dyDescent="0.3">
      <c r="A163" s="248" t="s">
        <v>103</v>
      </c>
      <c r="B163" s="253" t="s">
        <v>212</v>
      </c>
      <c r="C163" s="478">
        <f t="shared" si="90"/>
        <v>255</v>
      </c>
      <c r="D163" s="250">
        <f>30+30+60+135</f>
        <v>255</v>
      </c>
      <c r="E163" s="251"/>
      <c r="F163" s="601">
        <v>4500</v>
      </c>
      <c r="G163" s="472">
        <f>+H163+I163</f>
        <v>2872</v>
      </c>
      <c r="H163" s="259">
        <v>2839</v>
      </c>
      <c r="I163" s="608">
        <v>33</v>
      </c>
      <c r="J163" s="610">
        <v>960</v>
      </c>
      <c r="K163" s="478">
        <f t="shared" si="102"/>
        <v>705</v>
      </c>
      <c r="L163" s="250">
        <f t="shared" si="93"/>
        <v>705</v>
      </c>
      <c r="M163" s="479">
        <f t="shared" si="103"/>
        <v>1</v>
      </c>
      <c r="N163" s="480">
        <f t="shared" si="100"/>
        <v>450</v>
      </c>
      <c r="O163" s="250">
        <f t="shared" si="95"/>
        <v>705</v>
      </c>
      <c r="P163" s="481">
        <f t="shared" si="101"/>
        <v>0.63829787234042556</v>
      </c>
      <c r="Q163" s="250">
        <f t="shared" si="96"/>
        <v>438.96935933147631</v>
      </c>
      <c r="R163" s="250">
        <f t="shared" si="97"/>
        <v>450</v>
      </c>
      <c r="S163" s="482">
        <f t="shared" si="98"/>
        <v>0.97548746518105844</v>
      </c>
      <c r="T163" s="483">
        <f t="shared" si="99"/>
        <v>0.62265157351982459</v>
      </c>
    </row>
    <row r="164" spans="1:20" ht="24.75" thickBot="1" x14ac:dyDescent="0.3">
      <c r="A164" s="255" t="s">
        <v>103</v>
      </c>
      <c r="B164" s="256" t="s">
        <v>213</v>
      </c>
      <c r="C164" s="484">
        <f t="shared" si="90"/>
        <v>230</v>
      </c>
      <c r="D164" s="257">
        <f>30+60+20</f>
        <v>110</v>
      </c>
      <c r="E164" s="258">
        <v>120</v>
      </c>
      <c r="F164" s="605">
        <v>5000</v>
      </c>
      <c r="G164" s="494">
        <f t="shared" ref="G164:G171" si="104">+H164+I164</f>
        <v>16589</v>
      </c>
      <c r="H164" s="259">
        <v>16487</v>
      </c>
      <c r="I164" s="608">
        <v>102</v>
      </c>
      <c r="J164" s="613">
        <v>480</v>
      </c>
      <c r="K164" s="484">
        <f t="shared" si="102"/>
        <v>250</v>
      </c>
      <c r="L164" s="257">
        <f t="shared" si="93"/>
        <v>370</v>
      </c>
      <c r="M164" s="485">
        <f t="shared" si="103"/>
        <v>0.67567567567567566</v>
      </c>
      <c r="N164" s="486">
        <f t="shared" si="100"/>
        <v>20</v>
      </c>
      <c r="O164" s="257">
        <f t="shared" si="95"/>
        <v>250</v>
      </c>
      <c r="P164" s="487">
        <f t="shared" si="101"/>
        <v>0.08</v>
      </c>
      <c r="Q164" s="257">
        <f t="shared" si="96"/>
        <v>17.048646693592161</v>
      </c>
      <c r="R164" s="257">
        <f t="shared" si="97"/>
        <v>20</v>
      </c>
      <c r="S164" s="488">
        <f t="shared" si="98"/>
        <v>0.85243233467960811</v>
      </c>
      <c r="T164" s="489">
        <f t="shared" si="99"/>
        <v>4.6077423496195036E-2</v>
      </c>
    </row>
    <row r="165" spans="1:20" ht="24" x14ac:dyDescent="0.25">
      <c r="A165" s="252" t="s">
        <v>101</v>
      </c>
      <c r="B165" s="260" t="s">
        <v>29</v>
      </c>
      <c r="C165" s="470">
        <f t="shared" si="90"/>
        <v>480</v>
      </c>
      <c r="D165" s="250">
        <v>30</v>
      </c>
      <c r="E165" s="251">
        <v>450</v>
      </c>
      <c r="F165" s="471">
        <v>160000</v>
      </c>
      <c r="G165" s="472">
        <f t="shared" si="104"/>
        <v>73208</v>
      </c>
      <c r="H165" s="471">
        <v>71604</v>
      </c>
      <c r="I165" s="611">
        <v>1604</v>
      </c>
      <c r="J165" s="703">
        <v>900</v>
      </c>
      <c r="K165" s="470">
        <f t="shared" si="102"/>
        <v>420</v>
      </c>
      <c r="L165" s="472">
        <f t="shared" si="93"/>
        <v>870</v>
      </c>
      <c r="M165" s="473">
        <f t="shared" si="103"/>
        <v>0.48275862068965519</v>
      </c>
      <c r="N165" s="474">
        <f t="shared" si="100"/>
        <v>-60</v>
      </c>
      <c r="O165" s="472">
        <f t="shared" si="95"/>
        <v>420</v>
      </c>
      <c r="P165" s="475">
        <f t="shared" si="101"/>
        <v>-0.14285714285714285</v>
      </c>
      <c r="Q165" s="472">
        <f t="shared" si="96"/>
        <v>-79.719156376352316</v>
      </c>
      <c r="R165" s="472">
        <f t="shared" si="97"/>
        <v>-60</v>
      </c>
      <c r="S165" s="490">
        <f t="shared" si="98"/>
        <v>1.3286526062725386</v>
      </c>
      <c r="T165" s="491">
        <f t="shared" si="99"/>
        <v>-9.1631214225692315E-2</v>
      </c>
    </row>
    <row r="166" spans="1:20" ht="22.5" customHeight="1" x14ac:dyDescent="0.25">
      <c r="A166" s="248" t="s">
        <v>101</v>
      </c>
      <c r="B166" s="260" t="s">
        <v>31</v>
      </c>
      <c r="C166" s="470">
        <f t="shared" si="90"/>
        <v>0</v>
      </c>
      <c r="D166" s="707"/>
      <c r="E166" s="251"/>
      <c r="F166" s="471">
        <v>50000</v>
      </c>
      <c r="G166" s="472">
        <f t="shared" si="104"/>
        <v>0</v>
      </c>
      <c r="H166" s="471"/>
      <c r="I166" s="611"/>
      <c r="J166" s="610"/>
      <c r="K166" s="470">
        <f t="shared" si="102"/>
        <v>0</v>
      </c>
      <c r="L166" s="472">
        <f t="shared" si="93"/>
        <v>0</v>
      </c>
      <c r="M166" s="473" t="str">
        <f t="shared" si="103"/>
        <v>-</v>
      </c>
      <c r="N166" s="474">
        <f t="shared" si="100"/>
        <v>0</v>
      </c>
      <c r="O166" s="472">
        <f t="shared" si="95"/>
        <v>0</v>
      </c>
      <c r="P166" s="475" t="str">
        <f t="shared" si="101"/>
        <v>-</v>
      </c>
      <c r="Q166" s="472" t="str">
        <f t="shared" si="96"/>
        <v>-</v>
      </c>
      <c r="R166" s="472">
        <f t="shared" si="97"/>
        <v>0</v>
      </c>
      <c r="S166" s="490" t="str">
        <f t="shared" si="98"/>
        <v>-</v>
      </c>
      <c r="T166" s="491" t="str">
        <f t="shared" si="99"/>
        <v>-</v>
      </c>
    </row>
    <row r="167" spans="1:20" ht="24.75" thickBot="1" x14ac:dyDescent="0.3">
      <c r="A167" s="255" t="s">
        <v>101</v>
      </c>
      <c r="B167" s="261" t="s">
        <v>32</v>
      </c>
      <c r="C167" s="492">
        <f t="shared" si="90"/>
        <v>0</v>
      </c>
      <c r="D167" s="257"/>
      <c r="E167" s="258"/>
      <c r="F167" s="493">
        <v>110000</v>
      </c>
      <c r="G167" s="494">
        <f t="shared" si="104"/>
        <v>0</v>
      </c>
      <c r="H167" s="493"/>
      <c r="I167" s="612"/>
      <c r="J167" s="613"/>
      <c r="K167" s="492">
        <f t="shared" si="102"/>
        <v>0</v>
      </c>
      <c r="L167" s="494">
        <f t="shared" si="93"/>
        <v>0</v>
      </c>
      <c r="M167" s="495" t="str">
        <f t="shared" si="103"/>
        <v>-</v>
      </c>
      <c r="N167" s="496">
        <f t="shared" si="100"/>
        <v>0</v>
      </c>
      <c r="O167" s="494">
        <f t="shared" si="95"/>
        <v>0</v>
      </c>
      <c r="P167" s="497" t="str">
        <f t="shared" si="101"/>
        <v>-</v>
      </c>
      <c r="Q167" s="494" t="str">
        <f t="shared" si="96"/>
        <v>-</v>
      </c>
      <c r="R167" s="494">
        <f t="shared" si="97"/>
        <v>0</v>
      </c>
      <c r="S167" s="498" t="str">
        <f t="shared" si="98"/>
        <v>-</v>
      </c>
      <c r="T167" s="499" t="str">
        <f t="shared" si="99"/>
        <v>-</v>
      </c>
    </row>
    <row r="168" spans="1:20" ht="24" x14ac:dyDescent="0.25">
      <c r="A168" s="248" t="s">
        <v>102</v>
      </c>
      <c r="B168" s="249" t="s">
        <v>219</v>
      </c>
      <c r="C168" s="470">
        <f t="shared" si="90"/>
        <v>30</v>
      </c>
      <c r="D168" s="250">
        <v>30</v>
      </c>
      <c r="E168" s="251"/>
      <c r="F168" s="471">
        <v>6500</v>
      </c>
      <c r="G168" s="472">
        <f t="shared" si="104"/>
        <v>1950</v>
      </c>
      <c r="H168" s="471">
        <v>1900</v>
      </c>
      <c r="I168" s="611">
        <v>50</v>
      </c>
      <c r="J168" s="610">
        <v>480</v>
      </c>
      <c r="K168" s="470">
        <f t="shared" si="102"/>
        <v>450</v>
      </c>
      <c r="L168" s="472">
        <f t="shared" si="93"/>
        <v>450</v>
      </c>
      <c r="M168" s="473">
        <f t="shared" si="103"/>
        <v>1</v>
      </c>
      <c r="N168" s="474">
        <f t="shared" si="100"/>
        <v>420</v>
      </c>
      <c r="O168" s="472">
        <f t="shared" si="95"/>
        <v>450</v>
      </c>
      <c r="P168" s="475">
        <f t="shared" si="101"/>
        <v>0.93333333333333335</v>
      </c>
      <c r="Q168" s="472">
        <f t="shared" si="96"/>
        <v>407.69230769230768</v>
      </c>
      <c r="R168" s="472">
        <f t="shared" si="97"/>
        <v>420</v>
      </c>
      <c r="S168" s="490">
        <f t="shared" si="98"/>
        <v>0.97069597069597069</v>
      </c>
      <c r="T168" s="491">
        <f t="shared" si="99"/>
        <v>0.90598290598290598</v>
      </c>
    </row>
    <row r="169" spans="1:20" ht="24" x14ac:dyDescent="0.25">
      <c r="A169" s="252" t="s">
        <v>102</v>
      </c>
      <c r="B169" s="249" t="s">
        <v>38</v>
      </c>
      <c r="C169" s="470">
        <f t="shared" si="90"/>
        <v>30</v>
      </c>
      <c r="D169" s="250">
        <v>30</v>
      </c>
      <c r="E169" s="251"/>
      <c r="F169" s="471">
        <v>2800</v>
      </c>
      <c r="G169" s="472">
        <f t="shared" si="104"/>
        <v>805</v>
      </c>
      <c r="H169" s="471">
        <v>800</v>
      </c>
      <c r="I169" s="611">
        <v>5</v>
      </c>
      <c r="J169" s="610">
        <v>480</v>
      </c>
      <c r="K169" s="470">
        <f t="shared" si="102"/>
        <v>450</v>
      </c>
      <c r="L169" s="472">
        <f t="shared" si="93"/>
        <v>450</v>
      </c>
      <c r="M169" s="473">
        <f t="shared" si="103"/>
        <v>1</v>
      </c>
      <c r="N169" s="474">
        <f t="shared" si="100"/>
        <v>420</v>
      </c>
      <c r="O169" s="472">
        <f t="shared" si="95"/>
        <v>450</v>
      </c>
      <c r="P169" s="475">
        <f t="shared" si="101"/>
        <v>0.93333333333333335</v>
      </c>
      <c r="Q169" s="472">
        <f t="shared" si="96"/>
        <v>417.01863354037266</v>
      </c>
      <c r="R169" s="472">
        <f t="shared" si="97"/>
        <v>420</v>
      </c>
      <c r="S169" s="490">
        <f t="shared" si="98"/>
        <v>0.99290150842945868</v>
      </c>
      <c r="T169" s="491">
        <f t="shared" si="99"/>
        <v>0.92670807453416149</v>
      </c>
    </row>
    <row r="170" spans="1:20" ht="24" x14ac:dyDescent="0.25">
      <c r="A170" s="248" t="s">
        <v>102</v>
      </c>
      <c r="B170" s="249" t="s">
        <v>39</v>
      </c>
      <c r="C170" s="470">
        <f t="shared" si="90"/>
        <v>30</v>
      </c>
      <c r="D170" s="250">
        <v>30</v>
      </c>
      <c r="E170" s="251"/>
      <c r="F170" s="471">
        <v>25000</v>
      </c>
      <c r="G170" s="472">
        <f t="shared" si="104"/>
        <v>25740</v>
      </c>
      <c r="H170" s="471">
        <v>25500</v>
      </c>
      <c r="I170" s="611">
        <v>240</v>
      </c>
      <c r="J170" s="610">
        <v>480</v>
      </c>
      <c r="K170" s="470">
        <f t="shared" si="102"/>
        <v>450</v>
      </c>
      <c r="L170" s="472">
        <f t="shared" si="93"/>
        <v>450</v>
      </c>
      <c r="M170" s="473">
        <f t="shared" si="103"/>
        <v>1</v>
      </c>
      <c r="N170" s="474">
        <f t="shared" si="100"/>
        <v>420</v>
      </c>
      <c r="O170" s="472">
        <f t="shared" si="95"/>
        <v>450</v>
      </c>
      <c r="P170" s="475">
        <f t="shared" si="101"/>
        <v>0.93333333333333335</v>
      </c>
      <c r="Q170" s="472">
        <f t="shared" si="96"/>
        <v>415.52447552447552</v>
      </c>
      <c r="R170" s="472">
        <f t="shared" si="97"/>
        <v>420</v>
      </c>
      <c r="S170" s="490">
        <f t="shared" si="98"/>
        <v>0.98934398934398937</v>
      </c>
      <c r="T170" s="491">
        <f t="shared" si="99"/>
        <v>0.92338772338772346</v>
      </c>
    </row>
    <row r="171" spans="1:20" ht="45.75" thickBot="1" x14ac:dyDescent="0.3">
      <c r="A171" s="615" t="s">
        <v>102</v>
      </c>
      <c r="B171" s="261" t="s">
        <v>218</v>
      </c>
      <c r="C171" s="616">
        <f t="shared" si="90"/>
        <v>30</v>
      </c>
      <c r="D171" s="617">
        <v>30</v>
      </c>
      <c r="E171" s="618"/>
      <c r="F171" s="619">
        <v>25000</v>
      </c>
      <c r="G171" s="620">
        <f t="shared" si="104"/>
        <v>0</v>
      </c>
      <c r="H171" s="619"/>
      <c r="I171" s="621"/>
      <c r="J171" s="614">
        <v>480</v>
      </c>
      <c r="K171" s="616">
        <f t="shared" si="102"/>
        <v>450</v>
      </c>
      <c r="L171" s="620">
        <f t="shared" si="93"/>
        <v>450</v>
      </c>
      <c r="M171" s="622">
        <f t="shared" si="103"/>
        <v>1</v>
      </c>
      <c r="N171" s="623">
        <f t="shared" si="100"/>
        <v>420</v>
      </c>
      <c r="O171" s="620">
        <f t="shared" si="95"/>
        <v>450</v>
      </c>
      <c r="P171" s="624">
        <f t="shared" si="101"/>
        <v>0.93333333333333335</v>
      </c>
      <c r="Q171" s="620" t="str">
        <f t="shared" si="96"/>
        <v>-</v>
      </c>
      <c r="R171" s="620">
        <f t="shared" si="97"/>
        <v>420</v>
      </c>
      <c r="S171" s="625" t="str">
        <f t="shared" si="98"/>
        <v>-</v>
      </c>
      <c r="T171" s="626" t="str">
        <f t="shared" si="99"/>
        <v>-</v>
      </c>
    </row>
    <row r="172" spans="1:20" ht="24.6" customHeight="1" x14ac:dyDescent="0.25">
      <c r="A172" s="230"/>
      <c r="B172" s="231"/>
      <c r="C172" s="232"/>
      <c r="D172" s="232"/>
      <c r="E172" s="232"/>
      <c r="F172" s="232"/>
      <c r="G172" s="233"/>
      <c r="H172" s="234"/>
      <c r="I172" s="232"/>
      <c r="J172" s="232"/>
      <c r="K172" s="232"/>
      <c r="L172" s="232"/>
      <c r="M172" s="234"/>
      <c r="N172" s="232"/>
      <c r="O172" s="232"/>
      <c r="P172" s="234"/>
      <c r="Q172" s="232"/>
      <c r="R172" s="232"/>
      <c r="S172" s="234"/>
      <c r="T172" s="234"/>
    </row>
    <row r="173" spans="1:20" ht="24.6" customHeight="1" x14ac:dyDescent="0.25">
      <c r="A173" s="230"/>
      <c r="B173" s="231"/>
      <c r="C173" s="232"/>
      <c r="D173" s="232"/>
      <c r="E173" s="232"/>
      <c r="F173" s="232"/>
      <c r="G173" s="233"/>
      <c r="H173" s="234"/>
      <c r="I173" s="232"/>
      <c r="J173" s="232"/>
      <c r="K173" s="232"/>
      <c r="L173" s="232"/>
      <c r="M173" s="234"/>
      <c r="N173" s="232"/>
      <c r="O173" s="232"/>
      <c r="P173" s="234"/>
      <c r="Q173" s="232"/>
      <c r="R173" s="232"/>
      <c r="S173" s="234"/>
      <c r="T173" s="234"/>
    </row>
    <row r="174" spans="1:20" ht="24.6" customHeight="1" x14ac:dyDescent="0.25">
      <c r="A174" s="230"/>
      <c r="B174" s="231"/>
      <c r="C174" s="232"/>
      <c r="D174" s="232"/>
      <c r="E174" s="232"/>
      <c r="F174" s="232"/>
      <c r="G174" s="233"/>
      <c r="H174" s="234"/>
      <c r="I174" s="232"/>
      <c r="J174" s="232"/>
      <c r="K174" s="232"/>
      <c r="L174" s="232"/>
      <c r="M174" s="234"/>
      <c r="N174" s="232"/>
      <c r="O174" s="232"/>
      <c r="P174" s="234"/>
      <c r="Q174" s="232"/>
      <c r="R174" s="232"/>
      <c r="S174" s="234"/>
      <c r="T174" s="234"/>
    </row>
    <row r="175" spans="1:20" ht="24.6" customHeight="1" x14ac:dyDescent="0.25">
      <c r="A175" s="230"/>
      <c r="B175" s="231"/>
      <c r="C175" s="232"/>
      <c r="D175" s="232"/>
      <c r="E175" s="232"/>
      <c r="F175" s="232"/>
      <c r="G175" s="233"/>
      <c r="H175" s="234"/>
      <c r="I175" s="232"/>
      <c r="J175" s="232"/>
      <c r="K175" s="232"/>
      <c r="L175" s="232"/>
      <c r="M175" s="234"/>
      <c r="N175" s="232"/>
      <c r="O175" s="232"/>
      <c r="P175" s="234"/>
      <c r="Q175" s="232"/>
      <c r="R175" s="232"/>
      <c r="S175" s="234"/>
      <c r="T175" s="234"/>
    </row>
    <row r="176" spans="1:20" ht="24.6" customHeight="1" thickBot="1" x14ac:dyDescent="0.3">
      <c r="A176" s="230"/>
      <c r="B176" s="231"/>
      <c r="C176" s="232"/>
      <c r="D176" s="232"/>
      <c r="E176" s="232"/>
      <c r="F176" s="232"/>
      <c r="G176" s="233"/>
      <c r="H176" s="234"/>
      <c r="I176" s="232"/>
      <c r="J176" s="232"/>
      <c r="K176" s="232"/>
      <c r="L176" s="232"/>
      <c r="M176" s="234"/>
      <c r="N176" s="232"/>
      <c r="O176" s="232"/>
      <c r="P176" s="234"/>
      <c r="Q176" s="232"/>
      <c r="R176" s="232"/>
      <c r="S176" s="234"/>
      <c r="T176" s="234"/>
    </row>
    <row r="177" spans="1:20" ht="22.5" customHeight="1" x14ac:dyDescent="0.25">
      <c r="A177" s="1033" t="s">
        <v>1</v>
      </c>
      <c r="B177" s="1033" t="s">
        <v>2</v>
      </c>
      <c r="C177" s="987" t="s">
        <v>207</v>
      </c>
      <c r="D177" s="988"/>
      <c r="E177" s="989"/>
      <c r="F177" s="987" t="s">
        <v>505</v>
      </c>
      <c r="G177" s="988"/>
      <c r="H177" s="988"/>
      <c r="I177" s="989"/>
      <c r="J177" s="1033" t="s">
        <v>204</v>
      </c>
      <c r="K177" s="987" t="s">
        <v>192</v>
      </c>
      <c r="L177" s="988"/>
      <c r="M177" s="989"/>
      <c r="N177" s="987" t="s">
        <v>193</v>
      </c>
      <c r="O177" s="988"/>
      <c r="P177" s="989"/>
      <c r="Q177" s="987" t="s">
        <v>194</v>
      </c>
      <c r="R177" s="988"/>
      <c r="S177" s="989"/>
      <c r="T177" s="1091" t="s">
        <v>191</v>
      </c>
    </row>
    <row r="178" spans="1:20" ht="90.75" thickBot="1" x14ac:dyDescent="0.3">
      <c r="A178" s="1035"/>
      <c r="B178" s="1035"/>
      <c r="C178" s="235" t="s">
        <v>208</v>
      </c>
      <c r="D178" s="236" t="s">
        <v>205</v>
      </c>
      <c r="E178" s="237" t="s">
        <v>206</v>
      </c>
      <c r="F178" s="238" t="s">
        <v>326</v>
      </c>
      <c r="G178" s="236" t="s">
        <v>201</v>
      </c>
      <c r="H178" s="239" t="s">
        <v>202</v>
      </c>
      <c r="I178" s="240" t="s">
        <v>203</v>
      </c>
      <c r="J178" s="1035"/>
      <c r="K178" s="235" t="s">
        <v>195</v>
      </c>
      <c r="L178" s="239" t="s">
        <v>196</v>
      </c>
      <c r="M178" s="241" t="s">
        <v>209</v>
      </c>
      <c r="N178" s="242" t="s">
        <v>197</v>
      </c>
      <c r="O178" s="239" t="s">
        <v>198</v>
      </c>
      <c r="P178" s="241" t="s">
        <v>210</v>
      </c>
      <c r="Q178" s="235" t="s">
        <v>199</v>
      </c>
      <c r="R178" s="239" t="s">
        <v>200</v>
      </c>
      <c r="S178" s="243" t="s">
        <v>211</v>
      </c>
      <c r="T178" s="1092"/>
    </row>
    <row r="179" spans="1:20" ht="25.5" customHeight="1" x14ac:dyDescent="0.25">
      <c r="A179" s="244" t="s">
        <v>103</v>
      </c>
      <c r="B179" s="245" t="s">
        <v>16</v>
      </c>
      <c r="C179" s="463">
        <f>+D179+E179</f>
        <v>0</v>
      </c>
      <c r="D179" s="246"/>
      <c r="E179" s="247"/>
      <c r="F179" s="600">
        <v>15000</v>
      </c>
      <c r="G179" s="464">
        <f>+H179+I179</f>
        <v>0</v>
      </c>
      <c r="H179" s="604"/>
      <c r="I179" s="606"/>
      <c r="J179" s="609"/>
      <c r="K179" s="463">
        <f>+L179-E179</f>
        <v>0</v>
      </c>
      <c r="L179" s="464">
        <f>+J179-D179</f>
        <v>0</v>
      </c>
      <c r="M179" s="465" t="str">
        <f>IFERROR(K179/L179,"-")</f>
        <v>-</v>
      </c>
      <c r="N179" s="466">
        <f>+O179-C179</f>
        <v>0</v>
      </c>
      <c r="O179" s="464">
        <f>+K179</f>
        <v>0</v>
      </c>
      <c r="P179" s="467" t="str">
        <f>IFERROR(N179/O179,"-")</f>
        <v>-</v>
      </c>
      <c r="Q179" s="464" t="str">
        <f>IFERROR(N179-(J179-(J179*H179/G179)),"-")</f>
        <v>-</v>
      </c>
      <c r="R179" s="464">
        <f>+N179</f>
        <v>0</v>
      </c>
      <c r="S179" s="468" t="str">
        <f>IFERROR(Q179/R179,"-")</f>
        <v>-</v>
      </c>
      <c r="T179" s="469" t="str">
        <f>IFERROR(M179*P179*S179,"-")</f>
        <v>-</v>
      </c>
    </row>
    <row r="180" spans="1:20" ht="25.5" customHeight="1" x14ac:dyDescent="0.25">
      <c r="A180" s="248" t="s">
        <v>103</v>
      </c>
      <c r="B180" s="249" t="s">
        <v>215</v>
      </c>
      <c r="C180" s="470">
        <f t="shared" ref="C180:C194" si="105">+D180+E180</f>
        <v>70</v>
      </c>
      <c r="D180" s="250">
        <v>30</v>
      </c>
      <c r="E180" s="251">
        <v>40</v>
      </c>
      <c r="F180" s="601">
        <v>100000</v>
      </c>
      <c r="G180" s="472">
        <f t="shared" ref="G180:G185" si="106">+H180+I180</f>
        <v>98390</v>
      </c>
      <c r="H180" s="254">
        <f>103900-5880</f>
        <v>98020</v>
      </c>
      <c r="I180" s="607">
        <v>370</v>
      </c>
      <c r="J180" s="610">
        <v>480</v>
      </c>
      <c r="K180" s="470">
        <f t="shared" ref="K180:K183" si="107">+L180-E180</f>
        <v>410</v>
      </c>
      <c r="L180" s="472">
        <f t="shared" ref="L180:L194" si="108">+J180-D180</f>
        <v>450</v>
      </c>
      <c r="M180" s="473">
        <f t="shared" ref="M180:M183" si="109">IFERROR(K180/L180,"-")</f>
        <v>0.91111111111111109</v>
      </c>
      <c r="N180" s="474">
        <f>+O180-C180</f>
        <v>340</v>
      </c>
      <c r="O180" s="472">
        <f t="shared" ref="O180:O194" si="110">+K180</f>
        <v>410</v>
      </c>
      <c r="P180" s="475">
        <f>IFERROR(N180/O180,"-")</f>
        <v>0.82926829268292679</v>
      </c>
      <c r="Q180" s="472">
        <f t="shared" ref="Q180:Q194" si="111">IFERROR(N180-(J180-(J180*H180/G180)),"-")</f>
        <v>338.19493851001118</v>
      </c>
      <c r="R180" s="472">
        <f t="shared" ref="R180:R194" si="112">+N180</f>
        <v>340</v>
      </c>
      <c r="S180" s="476">
        <f t="shared" ref="S180:S194" si="113">IFERROR(Q180/R180,"-")</f>
        <v>0.99469099561767993</v>
      </c>
      <c r="T180" s="477">
        <f t="shared" ref="T180:T194" si="114">IFERROR(M180*P180*S180,"-")</f>
        <v>0.75154430780002479</v>
      </c>
    </row>
    <row r="181" spans="1:20" ht="24" x14ac:dyDescent="0.25">
      <c r="A181" s="248" t="s">
        <v>103</v>
      </c>
      <c r="B181" s="249" t="s">
        <v>214</v>
      </c>
      <c r="C181" s="470">
        <f t="shared" si="105"/>
        <v>0</v>
      </c>
      <c r="D181" s="250"/>
      <c r="E181" s="251"/>
      <c r="F181" s="601">
        <v>80000</v>
      </c>
      <c r="G181" s="472">
        <f t="shared" si="106"/>
        <v>0</v>
      </c>
      <c r="H181" s="254"/>
      <c r="I181" s="607"/>
      <c r="J181" s="610"/>
      <c r="K181" s="470">
        <f t="shared" si="107"/>
        <v>0</v>
      </c>
      <c r="L181" s="472">
        <f t="shared" si="108"/>
        <v>0</v>
      </c>
      <c r="M181" s="473" t="str">
        <f t="shared" si="109"/>
        <v>-</v>
      </c>
      <c r="N181" s="474">
        <f t="shared" ref="N181:N194" si="115">+O181-C181</f>
        <v>0</v>
      </c>
      <c r="O181" s="472">
        <f t="shared" si="110"/>
        <v>0</v>
      </c>
      <c r="P181" s="475" t="str">
        <f t="shared" ref="P181:P194" si="116">IFERROR(N181/O181,"-")</f>
        <v>-</v>
      </c>
      <c r="Q181" s="472" t="str">
        <f t="shared" si="111"/>
        <v>-</v>
      </c>
      <c r="R181" s="472">
        <f t="shared" si="112"/>
        <v>0</v>
      </c>
      <c r="S181" s="476" t="str">
        <f t="shared" si="113"/>
        <v>-</v>
      </c>
      <c r="T181" s="477" t="str">
        <f t="shared" si="114"/>
        <v>-</v>
      </c>
    </row>
    <row r="182" spans="1:20" ht="24" x14ac:dyDescent="0.25">
      <c r="A182" s="252" t="s">
        <v>103</v>
      </c>
      <c r="B182" s="249" t="s">
        <v>217</v>
      </c>
      <c r="C182" s="470">
        <f t="shared" si="105"/>
        <v>360</v>
      </c>
      <c r="D182" s="250">
        <v>60</v>
      </c>
      <c r="E182" s="251">
        <v>300</v>
      </c>
      <c r="F182" s="601">
        <v>220000</v>
      </c>
      <c r="G182" s="472">
        <f t="shared" si="106"/>
        <v>67719</v>
      </c>
      <c r="H182" s="254">
        <v>67584</v>
      </c>
      <c r="I182" s="607">
        <v>135</v>
      </c>
      <c r="J182" s="610">
        <v>960</v>
      </c>
      <c r="K182" s="470">
        <f t="shared" si="107"/>
        <v>600</v>
      </c>
      <c r="L182" s="472">
        <f t="shared" si="108"/>
        <v>900</v>
      </c>
      <c r="M182" s="473">
        <f t="shared" si="109"/>
        <v>0.66666666666666663</v>
      </c>
      <c r="N182" s="474">
        <f t="shared" si="115"/>
        <v>240</v>
      </c>
      <c r="O182" s="472">
        <f t="shared" si="110"/>
        <v>600</v>
      </c>
      <c r="P182" s="475">
        <f t="shared" si="116"/>
        <v>0.4</v>
      </c>
      <c r="Q182" s="472">
        <f t="shared" si="111"/>
        <v>238.08620918796794</v>
      </c>
      <c r="R182" s="472">
        <f t="shared" si="112"/>
        <v>240</v>
      </c>
      <c r="S182" s="476">
        <f t="shared" si="113"/>
        <v>0.99202587161653311</v>
      </c>
      <c r="T182" s="477">
        <f t="shared" si="114"/>
        <v>0.26454023243107549</v>
      </c>
    </row>
    <row r="183" spans="1:20" ht="24" x14ac:dyDescent="0.25">
      <c r="A183" s="248" t="s">
        <v>103</v>
      </c>
      <c r="B183" s="249" t="s">
        <v>216</v>
      </c>
      <c r="C183" s="470">
        <f t="shared" si="105"/>
        <v>0</v>
      </c>
      <c r="D183" s="250"/>
      <c r="E183" s="251"/>
      <c r="F183" s="601">
        <v>50000</v>
      </c>
      <c r="G183" s="472">
        <f t="shared" si="106"/>
        <v>0</v>
      </c>
      <c r="H183" s="254"/>
      <c r="I183" s="607"/>
      <c r="J183" s="610"/>
      <c r="K183" s="470">
        <f t="shared" si="107"/>
        <v>0</v>
      </c>
      <c r="L183" s="472">
        <f t="shared" si="108"/>
        <v>0</v>
      </c>
      <c r="M183" s="473" t="str">
        <f t="shared" si="109"/>
        <v>-</v>
      </c>
      <c r="N183" s="474">
        <f t="shared" si="115"/>
        <v>0</v>
      </c>
      <c r="O183" s="472">
        <f t="shared" si="110"/>
        <v>0</v>
      </c>
      <c r="P183" s="475" t="str">
        <f t="shared" si="116"/>
        <v>-</v>
      </c>
      <c r="Q183" s="472" t="str">
        <f t="shared" si="111"/>
        <v>-</v>
      </c>
      <c r="R183" s="472">
        <f t="shared" si="112"/>
        <v>0</v>
      </c>
      <c r="S183" s="476" t="str">
        <f t="shared" si="113"/>
        <v>-</v>
      </c>
      <c r="T183" s="477" t="str">
        <f t="shared" si="114"/>
        <v>-</v>
      </c>
    </row>
    <row r="184" spans="1:20" ht="24" x14ac:dyDescent="0.25">
      <c r="A184" s="248">
        <v>5</v>
      </c>
      <c r="B184" s="249" t="s">
        <v>22</v>
      </c>
      <c r="C184" s="470">
        <f t="shared" si="105"/>
        <v>0</v>
      </c>
      <c r="D184" s="250"/>
      <c r="E184" s="251"/>
      <c r="F184" s="601">
        <v>80000</v>
      </c>
      <c r="G184" s="472">
        <f t="shared" si="106"/>
        <v>0</v>
      </c>
      <c r="H184" s="471"/>
      <c r="I184" s="611"/>
      <c r="J184" s="610"/>
      <c r="K184" s="470">
        <f>+L184-E184</f>
        <v>0</v>
      </c>
      <c r="L184" s="472">
        <f t="shared" si="108"/>
        <v>0</v>
      </c>
      <c r="M184" s="473" t="str">
        <f>IFERROR(K184/L184,"-")</f>
        <v>-</v>
      </c>
      <c r="N184" s="474">
        <f t="shared" si="115"/>
        <v>0</v>
      </c>
      <c r="O184" s="472">
        <f t="shared" si="110"/>
        <v>0</v>
      </c>
      <c r="P184" s="475" t="str">
        <f t="shared" si="116"/>
        <v>-</v>
      </c>
      <c r="Q184" s="472" t="str">
        <f t="shared" si="111"/>
        <v>-</v>
      </c>
      <c r="R184" s="472">
        <f t="shared" si="112"/>
        <v>0</v>
      </c>
      <c r="S184" s="476" t="str">
        <f t="shared" si="113"/>
        <v>-</v>
      </c>
      <c r="T184" s="477" t="str">
        <f t="shared" si="114"/>
        <v>-</v>
      </c>
    </row>
    <row r="185" spans="1:20" ht="24" x14ac:dyDescent="0.25">
      <c r="A185" s="248" t="s">
        <v>103</v>
      </c>
      <c r="B185" s="249" t="s">
        <v>23</v>
      </c>
      <c r="C185" s="470">
        <f t="shared" si="105"/>
        <v>0</v>
      </c>
      <c r="D185" s="250"/>
      <c r="E185" s="251"/>
      <c r="F185" s="601">
        <v>14000</v>
      </c>
      <c r="G185" s="472">
        <f t="shared" si="106"/>
        <v>0</v>
      </c>
      <c r="H185" s="254"/>
      <c r="I185" s="607"/>
      <c r="J185" s="610"/>
      <c r="K185" s="470">
        <f t="shared" ref="K185:K194" si="117">+L185-E185</f>
        <v>0</v>
      </c>
      <c r="L185" s="472">
        <f t="shared" si="108"/>
        <v>0</v>
      </c>
      <c r="M185" s="473" t="str">
        <f t="shared" ref="M185:M194" si="118">IFERROR(K185/L185,"-")</f>
        <v>-</v>
      </c>
      <c r="N185" s="474">
        <f t="shared" si="115"/>
        <v>0</v>
      </c>
      <c r="O185" s="472">
        <f t="shared" si="110"/>
        <v>0</v>
      </c>
      <c r="P185" s="475" t="str">
        <f t="shared" si="116"/>
        <v>-</v>
      </c>
      <c r="Q185" s="472" t="str">
        <f t="shared" si="111"/>
        <v>-</v>
      </c>
      <c r="R185" s="472">
        <f t="shared" si="112"/>
        <v>0</v>
      </c>
      <c r="S185" s="476" t="str">
        <f t="shared" si="113"/>
        <v>-</v>
      </c>
      <c r="T185" s="477" t="str">
        <f t="shared" si="114"/>
        <v>-</v>
      </c>
    </row>
    <row r="186" spans="1:20" ht="24.75" thickBot="1" x14ac:dyDescent="0.3">
      <c r="A186" s="248" t="s">
        <v>103</v>
      </c>
      <c r="B186" s="253" t="s">
        <v>212</v>
      </c>
      <c r="C186" s="478">
        <f t="shared" si="105"/>
        <v>550</v>
      </c>
      <c r="D186" s="250">
        <f>30+30+60</f>
        <v>120</v>
      </c>
      <c r="E186" s="251">
        <v>430</v>
      </c>
      <c r="F186" s="601">
        <v>4500</v>
      </c>
      <c r="G186" s="472">
        <f>+H186+I186</f>
        <v>7197</v>
      </c>
      <c r="H186" s="259">
        <v>7125</v>
      </c>
      <c r="I186" s="608">
        <v>72</v>
      </c>
      <c r="J186" s="610">
        <v>960</v>
      </c>
      <c r="K186" s="478">
        <f t="shared" si="117"/>
        <v>410</v>
      </c>
      <c r="L186" s="250">
        <f t="shared" si="108"/>
        <v>840</v>
      </c>
      <c r="M186" s="479">
        <f t="shared" si="118"/>
        <v>0.48809523809523808</v>
      </c>
      <c r="N186" s="480">
        <f t="shared" si="115"/>
        <v>-140</v>
      </c>
      <c r="O186" s="250">
        <f t="shared" si="110"/>
        <v>410</v>
      </c>
      <c r="P186" s="481">
        <f t="shared" si="116"/>
        <v>-0.34146341463414637</v>
      </c>
      <c r="Q186" s="250">
        <f t="shared" si="111"/>
        <v>-149.60400166736144</v>
      </c>
      <c r="R186" s="250">
        <f t="shared" si="112"/>
        <v>-140</v>
      </c>
      <c r="S186" s="482">
        <f t="shared" si="113"/>
        <v>1.0686000119097245</v>
      </c>
      <c r="T186" s="483">
        <f t="shared" si="114"/>
        <v>-0.1781000019849541</v>
      </c>
    </row>
    <row r="187" spans="1:20" ht="24.75" thickBot="1" x14ac:dyDescent="0.3">
      <c r="A187" s="255" t="s">
        <v>103</v>
      </c>
      <c r="B187" s="256" t="s">
        <v>213</v>
      </c>
      <c r="C187" s="484">
        <f t="shared" si="105"/>
        <v>210</v>
      </c>
      <c r="D187" s="257">
        <f>30+180</f>
        <v>210</v>
      </c>
      <c r="E187" s="258"/>
      <c r="F187" s="605">
        <v>5000</v>
      </c>
      <c r="G187" s="494">
        <f t="shared" ref="G187:G194" si="119">+H187+I187</f>
        <v>2610</v>
      </c>
      <c r="H187" s="259">
        <f>2104+496</f>
        <v>2600</v>
      </c>
      <c r="I187" s="608">
        <v>10</v>
      </c>
      <c r="J187" s="613">
        <v>480</v>
      </c>
      <c r="K187" s="484">
        <f t="shared" si="117"/>
        <v>270</v>
      </c>
      <c r="L187" s="257">
        <f t="shared" si="108"/>
        <v>270</v>
      </c>
      <c r="M187" s="485">
        <f t="shared" si="118"/>
        <v>1</v>
      </c>
      <c r="N187" s="486">
        <f t="shared" si="115"/>
        <v>60</v>
      </c>
      <c r="O187" s="257">
        <f t="shared" si="110"/>
        <v>270</v>
      </c>
      <c r="P187" s="487">
        <f t="shared" si="116"/>
        <v>0.22222222222222221</v>
      </c>
      <c r="Q187" s="257">
        <f t="shared" si="111"/>
        <v>58.160919540229884</v>
      </c>
      <c r="R187" s="257">
        <f t="shared" si="112"/>
        <v>60</v>
      </c>
      <c r="S187" s="488">
        <f t="shared" si="113"/>
        <v>0.96934865900383138</v>
      </c>
      <c r="T187" s="489">
        <f t="shared" si="114"/>
        <v>0.21541081311196253</v>
      </c>
    </row>
    <row r="188" spans="1:20" ht="24" x14ac:dyDescent="0.25">
      <c r="A188" s="252" t="s">
        <v>101</v>
      </c>
      <c r="B188" s="260" t="s">
        <v>29</v>
      </c>
      <c r="C188" s="470">
        <f t="shared" si="105"/>
        <v>1100</v>
      </c>
      <c r="D188" s="250">
        <f>60+30+30</f>
        <v>120</v>
      </c>
      <c r="E188" s="251">
        <f>695+75+210</f>
        <v>980</v>
      </c>
      <c r="F188" s="471">
        <v>160000</v>
      </c>
      <c r="G188" s="472">
        <f t="shared" si="119"/>
        <v>206020</v>
      </c>
      <c r="H188" s="471">
        <v>202878</v>
      </c>
      <c r="I188" s="611">
        <v>3142</v>
      </c>
      <c r="J188" s="703">
        <f>1380+450+420</f>
        <v>2250</v>
      </c>
      <c r="K188" s="470">
        <f t="shared" si="117"/>
        <v>1150</v>
      </c>
      <c r="L188" s="472">
        <f t="shared" si="108"/>
        <v>2130</v>
      </c>
      <c r="M188" s="473">
        <f t="shared" si="118"/>
        <v>0.539906103286385</v>
      </c>
      <c r="N188" s="474">
        <f t="shared" si="115"/>
        <v>50</v>
      </c>
      <c r="O188" s="472">
        <f t="shared" si="110"/>
        <v>1150</v>
      </c>
      <c r="P188" s="475">
        <f t="shared" si="116"/>
        <v>4.3478260869565216E-2</v>
      </c>
      <c r="Q188" s="472">
        <f t="shared" si="111"/>
        <v>15.685370352392965</v>
      </c>
      <c r="R188" s="472">
        <f t="shared" si="112"/>
        <v>50</v>
      </c>
      <c r="S188" s="490">
        <f t="shared" si="113"/>
        <v>0.31370740704785932</v>
      </c>
      <c r="T188" s="491">
        <f t="shared" si="114"/>
        <v>7.3640236396211103E-3</v>
      </c>
    </row>
    <row r="189" spans="1:20" ht="22.5" customHeight="1" x14ac:dyDescent="0.25">
      <c r="A189" s="248" t="s">
        <v>101</v>
      </c>
      <c r="B189" s="260" t="s">
        <v>31</v>
      </c>
      <c r="C189" s="470">
        <f t="shared" si="105"/>
        <v>0</v>
      </c>
      <c r="D189" s="707"/>
      <c r="E189" s="251"/>
      <c r="F189" s="471">
        <v>50000</v>
      </c>
      <c r="G189" s="472">
        <f t="shared" si="119"/>
        <v>0</v>
      </c>
      <c r="H189" s="471"/>
      <c r="I189" s="611"/>
      <c r="J189" s="610"/>
      <c r="K189" s="470">
        <f t="shared" si="117"/>
        <v>0</v>
      </c>
      <c r="L189" s="472">
        <f t="shared" si="108"/>
        <v>0</v>
      </c>
      <c r="M189" s="473" t="str">
        <f t="shared" si="118"/>
        <v>-</v>
      </c>
      <c r="N189" s="474">
        <f t="shared" si="115"/>
        <v>0</v>
      </c>
      <c r="O189" s="472">
        <f t="shared" si="110"/>
        <v>0</v>
      </c>
      <c r="P189" s="475" t="str">
        <f t="shared" si="116"/>
        <v>-</v>
      </c>
      <c r="Q189" s="472" t="str">
        <f t="shared" si="111"/>
        <v>-</v>
      </c>
      <c r="R189" s="472">
        <f t="shared" si="112"/>
        <v>0</v>
      </c>
      <c r="S189" s="490" t="str">
        <f t="shared" si="113"/>
        <v>-</v>
      </c>
      <c r="T189" s="491" t="str">
        <f t="shared" si="114"/>
        <v>-</v>
      </c>
    </row>
    <row r="190" spans="1:20" ht="24.75" thickBot="1" x14ac:dyDescent="0.3">
      <c r="A190" s="255" t="s">
        <v>101</v>
      </c>
      <c r="B190" s="261" t="s">
        <v>32</v>
      </c>
      <c r="C190" s="492">
        <f t="shared" si="105"/>
        <v>0</v>
      </c>
      <c r="D190" s="257"/>
      <c r="E190" s="258"/>
      <c r="F190" s="493">
        <v>110000</v>
      </c>
      <c r="G190" s="494">
        <f t="shared" si="119"/>
        <v>0</v>
      </c>
      <c r="H190" s="493"/>
      <c r="I190" s="612"/>
      <c r="J190" s="613"/>
      <c r="K190" s="492">
        <f t="shared" si="117"/>
        <v>0</v>
      </c>
      <c r="L190" s="494">
        <f t="shared" si="108"/>
        <v>0</v>
      </c>
      <c r="M190" s="495" t="str">
        <f t="shared" si="118"/>
        <v>-</v>
      </c>
      <c r="N190" s="496">
        <f t="shared" si="115"/>
        <v>0</v>
      </c>
      <c r="O190" s="494">
        <f t="shared" si="110"/>
        <v>0</v>
      </c>
      <c r="P190" s="497" t="str">
        <f t="shared" si="116"/>
        <v>-</v>
      </c>
      <c r="Q190" s="494" t="str">
        <f t="shared" si="111"/>
        <v>-</v>
      </c>
      <c r="R190" s="494">
        <f t="shared" si="112"/>
        <v>0</v>
      </c>
      <c r="S190" s="498" t="str">
        <f t="shared" si="113"/>
        <v>-</v>
      </c>
      <c r="T190" s="499" t="str">
        <f t="shared" si="114"/>
        <v>-</v>
      </c>
    </row>
    <row r="191" spans="1:20" ht="24" x14ac:dyDescent="0.25">
      <c r="A191" s="248" t="s">
        <v>102</v>
      </c>
      <c r="B191" s="249" t="s">
        <v>219</v>
      </c>
      <c r="C191" s="470">
        <f t="shared" si="105"/>
        <v>60</v>
      </c>
      <c r="D191" s="250">
        <f>30+30</f>
        <v>60</v>
      </c>
      <c r="E191" s="251"/>
      <c r="F191" s="471">
        <v>6500</v>
      </c>
      <c r="G191" s="472">
        <f t="shared" si="119"/>
        <v>2700</v>
      </c>
      <c r="H191" s="471">
        <f>1600+1000</f>
        <v>2600</v>
      </c>
      <c r="I191" s="611">
        <f>50+50</f>
        <v>100</v>
      </c>
      <c r="J191" s="610">
        <f>480+480</f>
        <v>960</v>
      </c>
      <c r="K191" s="470">
        <f t="shared" si="117"/>
        <v>900</v>
      </c>
      <c r="L191" s="472">
        <f t="shared" si="108"/>
        <v>900</v>
      </c>
      <c r="M191" s="473">
        <f t="shared" si="118"/>
        <v>1</v>
      </c>
      <c r="N191" s="474">
        <f t="shared" si="115"/>
        <v>840</v>
      </c>
      <c r="O191" s="472">
        <f t="shared" si="110"/>
        <v>900</v>
      </c>
      <c r="P191" s="475">
        <f t="shared" si="116"/>
        <v>0.93333333333333335</v>
      </c>
      <c r="Q191" s="472">
        <f t="shared" si="111"/>
        <v>804.44444444444446</v>
      </c>
      <c r="R191" s="472">
        <f t="shared" si="112"/>
        <v>840</v>
      </c>
      <c r="S191" s="490">
        <f t="shared" si="113"/>
        <v>0.95767195767195767</v>
      </c>
      <c r="T191" s="491">
        <f t="shared" si="114"/>
        <v>0.89382716049382716</v>
      </c>
    </row>
    <row r="192" spans="1:20" ht="24" x14ac:dyDescent="0.25">
      <c r="A192" s="252" t="s">
        <v>102</v>
      </c>
      <c r="B192" s="249" t="s">
        <v>38</v>
      </c>
      <c r="C192" s="470">
        <f t="shared" si="105"/>
        <v>60</v>
      </c>
      <c r="D192" s="250">
        <f>30+30</f>
        <v>60</v>
      </c>
      <c r="E192" s="251"/>
      <c r="F192" s="471">
        <v>2800</v>
      </c>
      <c r="G192" s="472">
        <f t="shared" si="119"/>
        <v>5467</v>
      </c>
      <c r="H192" s="471">
        <f>3200+2000</f>
        <v>5200</v>
      </c>
      <c r="I192" s="611">
        <f>167+100</f>
        <v>267</v>
      </c>
      <c r="J192" s="610">
        <f>480+480</f>
        <v>960</v>
      </c>
      <c r="K192" s="470">
        <f t="shared" si="117"/>
        <v>900</v>
      </c>
      <c r="L192" s="472">
        <f t="shared" si="108"/>
        <v>900</v>
      </c>
      <c r="M192" s="473">
        <f t="shared" si="118"/>
        <v>1</v>
      </c>
      <c r="N192" s="474">
        <f t="shared" si="115"/>
        <v>840</v>
      </c>
      <c r="O192" s="472">
        <f t="shared" si="110"/>
        <v>900</v>
      </c>
      <c r="P192" s="475">
        <f t="shared" si="116"/>
        <v>0.93333333333333335</v>
      </c>
      <c r="Q192" s="472">
        <f t="shared" si="111"/>
        <v>793.11505396012433</v>
      </c>
      <c r="R192" s="472">
        <f t="shared" si="112"/>
        <v>840</v>
      </c>
      <c r="S192" s="490">
        <f t="shared" si="113"/>
        <v>0.94418458804776706</v>
      </c>
      <c r="T192" s="491">
        <f t="shared" si="114"/>
        <v>0.88123894884458265</v>
      </c>
    </row>
    <row r="193" spans="1:20" ht="24" x14ac:dyDescent="0.25">
      <c r="A193" s="248" t="s">
        <v>102</v>
      </c>
      <c r="B193" s="249" t="s">
        <v>39</v>
      </c>
      <c r="C193" s="470">
        <f t="shared" si="105"/>
        <v>30</v>
      </c>
      <c r="D193" s="250">
        <v>30</v>
      </c>
      <c r="E193" s="251"/>
      <c r="F193" s="471">
        <v>25000</v>
      </c>
      <c r="G193" s="472">
        <f t="shared" si="119"/>
        <v>21770</v>
      </c>
      <c r="H193" s="471">
        <v>21600</v>
      </c>
      <c r="I193" s="611">
        <v>170</v>
      </c>
      <c r="J193" s="610">
        <v>480</v>
      </c>
      <c r="K193" s="470">
        <f t="shared" si="117"/>
        <v>450</v>
      </c>
      <c r="L193" s="472">
        <f t="shared" si="108"/>
        <v>450</v>
      </c>
      <c r="M193" s="473">
        <f t="shared" si="118"/>
        <v>1</v>
      </c>
      <c r="N193" s="474">
        <f t="shared" si="115"/>
        <v>420</v>
      </c>
      <c r="O193" s="472">
        <f t="shared" si="110"/>
        <v>450</v>
      </c>
      <c r="P193" s="475">
        <f t="shared" si="116"/>
        <v>0.93333333333333335</v>
      </c>
      <c r="Q193" s="472">
        <f t="shared" si="111"/>
        <v>416.25172255397337</v>
      </c>
      <c r="R193" s="472">
        <f t="shared" si="112"/>
        <v>420</v>
      </c>
      <c r="S193" s="490">
        <f t="shared" si="113"/>
        <v>0.99107552989041281</v>
      </c>
      <c r="T193" s="491">
        <f t="shared" si="114"/>
        <v>0.92500382789771862</v>
      </c>
    </row>
    <row r="194" spans="1:20" ht="45.75" thickBot="1" x14ac:dyDescent="0.3">
      <c r="A194" s="615" t="s">
        <v>102</v>
      </c>
      <c r="B194" s="261" t="s">
        <v>218</v>
      </c>
      <c r="C194" s="616">
        <f t="shared" si="105"/>
        <v>0</v>
      </c>
      <c r="D194" s="617"/>
      <c r="E194" s="618"/>
      <c r="F194" s="619">
        <v>25000</v>
      </c>
      <c r="G194" s="620">
        <f t="shared" si="119"/>
        <v>0</v>
      </c>
      <c r="H194" s="619"/>
      <c r="I194" s="621"/>
      <c r="J194" s="614">
        <v>480</v>
      </c>
      <c r="K194" s="616">
        <f t="shared" si="117"/>
        <v>480</v>
      </c>
      <c r="L194" s="620">
        <f t="shared" si="108"/>
        <v>480</v>
      </c>
      <c r="M194" s="622">
        <f t="shared" si="118"/>
        <v>1</v>
      </c>
      <c r="N194" s="623">
        <f t="shared" si="115"/>
        <v>480</v>
      </c>
      <c r="O194" s="620">
        <f t="shared" si="110"/>
        <v>480</v>
      </c>
      <c r="P194" s="624">
        <f t="shared" si="116"/>
        <v>1</v>
      </c>
      <c r="Q194" s="620" t="str">
        <f t="shared" si="111"/>
        <v>-</v>
      </c>
      <c r="R194" s="620">
        <f t="shared" si="112"/>
        <v>480</v>
      </c>
      <c r="S194" s="625" t="str">
        <f t="shared" si="113"/>
        <v>-</v>
      </c>
      <c r="T194" s="626" t="str">
        <f t="shared" si="114"/>
        <v>-</v>
      </c>
    </row>
    <row r="195" spans="1:20" ht="24.6" customHeight="1" x14ac:dyDescent="0.25">
      <c r="A195" s="230"/>
      <c r="B195" s="231"/>
      <c r="C195" s="232"/>
      <c r="D195" s="232"/>
      <c r="E195" s="232"/>
      <c r="F195" s="232"/>
      <c r="G195" s="233"/>
      <c r="H195" s="234"/>
      <c r="I195" s="232"/>
      <c r="J195" s="232"/>
      <c r="K195" s="232"/>
      <c r="L195" s="232"/>
      <c r="M195" s="234"/>
      <c r="N195" s="232"/>
      <c r="O195" s="232"/>
      <c r="P195" s="234"/>
      <c r="Q195" s="232"/>
      <c r="R195" s="232"/>
      <c r="S195" s="234"/>
      <c r="T195" s="234"/>
    </row>
    <row r="196" spans="1:20" ht="24.6" customHeight="1" x14ac:dyDescent="0.25">
      <c r="A196" s="230"/>
      <c r="B196" s="231"/>
      <c r="C196" s="232"/>
      <c r="D196" s="232"/>
      <c r="E196" s="232"/>
      <c r="F196" s="232"/>
      <c r="G196" s="233"/>
      <c r="H196" s="234"/>
      <c r="I196" s="232"/>
      <c r="J196" s="232"/>
      <c r="K196" s="232"/>
      <c r="L196" s="232"/>
      <c r="M196" s="234"/>
      <c r="N196" s="232"/>
      <c r="O196" s="232"/>
      <c r="P196" s="234"/>
      <c r="Q196" s="232"/>
      <c r="R196" s="232"/>
      <c r="S196" s="234"/>
      <c r="T196" s="234"/>
    </row>
    <row r="197" spans="1:20" ht="24.6" customHeight="1" x14ac:dyDescent="0.25">
      <c r="A197" s="230"/>
      <c r="B197" s="231"/>
      <c r="C197" s="232"/>
      <c r="D197" s="232"/>
      <c r="E197" s="232"/>
      <c r="F197" s="232"/>
      <c r="G197" s="233"/>
      <c r="H197" s="234"/>
      <c r="I197" s="232"/>
      <c r="J197" s="232"/>
      <c r="K197" s="232"/>
      <c r="L197" s="232"/>
      <c r="M197" s="234"/>
      <c r="N197" s="232"/>
      <c r="O197" s="232"/>
      <c r="P197" s="234"/>
      <c r="Q197" s="232"/>
      <c r="R197" s="232"/>
      <c r="S197" s="234"/>
      <c r="T197" s="234"/>
    </row>
    <row r="198" spans="1:20" ht="24.6" customHeight="1" thickBot="1" x14ac:dyDescent="0.3">
      <c r="A198" s="230"/>
      <c r="B198" s="231"/>
      <c r="C198" s="232"/>
      <c r="D198" s="232"/>
      <c r="E198" s="232"/>
      <c r="F198" s="232"/>
      <c r="G198" s="233"/>
      <c r="H198" s="234"/>
      <c r="I198" s="232"/>
      <c r="J198" s="232"/>
      <c r="K198" s="232"/>
      <c r="L198" s="232"/>
      <c r="M198" s="234"/>
      <c r="N198" s="232"/>
      <c r="O198" s="232"/>
      <c r="P198" s="234"/>
      <c r="Q198" s="232"/>
      <c r="R198" s="232"/>
      <c r="S198" s="234"/>
      <c r="T198" s="234"/>
    </row>
    <row r="199" spans="1:20" ht="22.5" customHeight="1" x14ac:dyDescent="0.25">
      <c r="A199" s="1033" t="s">
        <v>1</v>
      </c>
      <c r="B199" s="1033" t="s">
        <v>2</v>
      </c>
      <c r="C199" s="987" t="s">
        <v>207</v>
      </c>
      <c r="D199" s="988"/>
      <c r="E199" s="989"/>
      <c r="F199" s="987" t="s">
        <v>495</v>
      </c>
      <c r="G199" s="988"/>
      <c r="H199" s="988"/>
      <c r="I199" s="989"/>
      <c r="J199" s="1033" t="s">
        <v>204</v>
      </c>
      <c r="K199" s="987" t="s">
        <v>192</v>
      </c>
      <c r="L199" s="988"/>
      <c r="M199" s="989"/>
      <c r="N199" s="987" t="s">
        <v>193</v>
      </c>
      <c r="O199" s="988"/>
      <c r="P199" s="989"/>
      <c r="Q199" s="987" t="s">
        <v>194</v>
      </c>
      <c r="R199" s="988"/>
      <c r="S199" s="989"/>
      <c r="T199" s="1091" t="s">
        <v>191</v>
      </c>
    </row>
    <row r="200" spans="1:20" ht="90.75" thickBot="1" x14ac:dyDescent="0.3">
      <c r="A200" s="1035"/>
      <c r="B200" s="1035"/>
      <c r="C200" s="235" t="s">
        <v>208</v>
      </c>
      <c r="D200" s="236" t="s">
        <v>205</v>
      </c>
      <c r="E200" s="237" t="s">
        <v>206</v>
      </c>
      <c r="F200" s="238" t="s">
        <v>326</v>
      </c>
      <c r="G200" s="236" t="s">
        <v>201</v>
      </c>
      <c r="H200" s="239" t="s">
        <v>202</v>
      </c>
      <c r="I200" s="240" t="s">
        <v>203</v>
      </c>
      <c r="J200" s="1035"/>
      <c r="K200" s="235" t="s">
        <v>195</v>
      </c>
      <c r="L200" s="239" t="s">
        <v>196</v>
      </c>
      <c r="M200" s="241" t="s">
        <v>209</v>
      </c>
      <c r="N200" s="242" t="s">
        <v>197</v>
      </c>
      <c r="O200" s="239" t="s">
        <v>198</v>
      </c>
      <c r="P200" s="241" t="s">
        <v>210</v>
      </c>
      <c r="Q200" s="235" t="s">
        <v>199</v>
      </c>
      <c r="R200" s="239" t="s">
        <v>200</v>
      </c>
      <c r="S200" s="243" t="s">
        <v>211</v>
      </c>
      <c r="T200" s="1092"/>
    </row>
    <row r="201" spans="1:20" ht="25.5" customHeight="1" x14ac:dyDescent="0.25">
      <c r="A201" s="244" t="s">
        <v>103</v>
      </c>
      <c r="B201" s="245" t="s">
        <v>16</v>
      </c>
      <c r="C201" s="463">
        <f>+D201+E201</f>
        <v>0</v>
      </c>
      <c r="D201" s="246"/>
      <c r="E201" s="247"/>
      <c r="F201" s="600">
        <v>15000</v>
      </c>
      <c r="G201" s="464">
        <f>+H201+I201</f>
        <v>0</v>
      </c>
      <c r="H201" s="604"/>
      <c r="I201" s="606"/>
      <c r="J201" s="609"/>
      <c r="K201" s="463">
        <f>+L201-E201</f>
        <v>0</v>
      </c>
      <c r="L201" s="464">
        <f>+J201-D201</f>
        <v>0</v>
      </c>
      <c r="M201" s="465" t="str">
        <f>IFERROR(K201/L201,"-")</f>
        <v>-</v>
      </c>
      <c r="N201" s="466">
        <f>+O201-C201</f>
        <v>0</v>
      </c>
      <c r="O201" s="464">
        <f>+K201</f>
        <v>0</v>
      </c>
      <c r="P201" s="467" t="str">
        <f>IFERROR(N201/O201,"-")</f>
        <v>-</v>
      </c>
      <c r="Q201" s="464" t="str">
        <f>IFERROR(N201-(J201-(J201*H201/G201)),"-")</f>
        <v>-</v>
      </c>
      <c r="R201" s="464">
        <f>+N201</f>
        <v>0</v>
      </c>
      <c r="S201" s="468" t="str">
        <f>IFERROR(Q201/R201,"-")</f>
        <v>-</v>
      </c>
      <c r="T201" s="469" t="str">
        <f>IFERROR(M201*P201*S201,"-")</f>
        <v>-</v>
      </c>
    </row>
    <row r="202" spans="1:20" ht="25.5" customHeight="1" x14ac:dyDescent="0.25">
      <c r="A202" s="248" t="s">
        <v>103</v>
      </c>
      <c r="B202" s="249" t="s">
        <v>215</v>
      </c>
      <c r="C202" s="470">
        <f t="shared" ref="C202:C216" si="120">+D202+E202</f>
        <v>30</v>
      </c>
      <c r="D202" s="250">
        <v>30</v>
      </c>
      <c r="E202" s="251"/>
      <c r="F202" s="601">
        <v>100000</v>
      </c>
      <c r="G202" s="472">
        <f t="shared" ref="G202:G207" si="121">+H202+I202</f>
        <v>122816</v>
      </c>
      <c r="H202" s="254">
        <v>122400</v>
      </c>
      <c r="I202" s="607">
        <v>416</v>
      </c>
      <c r="J202" s="610">
        <v>490</v>
      </c>
      <c r="K202" s="470">
        <f t="shared" ref="K202:K205" si="122">+L202-E202</f>
        <v>460</v>
      </c>
      <c r="L202" s="472">
        <f t="shared" ref="L202:L216" si="123">+J202-D202</f>
        <v>460</v>
      </c>
      <c r="M202" s="473">
        <f t="shared" ref="M202:M205" si="124">IFERROR(K202/L202,"-")</f>
        <v>1</v>
      </c>
      <c r="N202" s="474">
        <f>+O202-C202</f>
        <v>430</v>
      </c>
      <c r="O202" s="472">
        <f t="shared" ref="O202:O216" si="125">+K202</f>
        <v>460</v>
      </c>
      <c r="P202" s="475">
        <f>IFERROR(N202/O202,"-")</f>
        <v>0.93478260869565222</v>
      </c>
      <c r="Q202" s="472">
        <f t="shared" ref="Q202:Q216" si="126">IFERROR(N202-(J202-(J202*H202/G202)),"-")</f>
        <v>428.34028139656073</v>
      </c>
      <c r="R202" s="472">
        <f t="shared" ref="R202:R216" si="127">+N202</f>
        <v>430</v>
      </c>
      <c r="S202" s="476">
        <f t="shared" ref="S202:S216" si="128">IFERROR(Q202/R202,"-")</f>
        <v>0.99614018929432724</v>
      </c>
      <c r="T202" s="477">
        <f t="shared" ref="T202:T216" si="129">IFERROR(M202*P202*S202,"-")</f>
        <v>0.93117452477513207</v>
      </c>
    </row>
    <row r="203" spans="1:20" ht="24" x14ac:dyDescent="0.25">
      <c r="A203" s="248" t="s">
        <v>103</v>
      </c>
      <c r="B203" s="249" t="s">
        <v>214</v>
      </c>
      <c r="C203" s="470">
        <f t="shared" si="120"/>
        <v>0</v>
      </c>
      <c r="D203" s="250"/>
      <c r="E203" s="251"/>
      <c r="F203" s="601">
        <v>80000</v>
      </c>
      <c r="G203" s="472">
        <f t="shared" si="121"/>
        <v>0</v>
      </c>
      <c r="H203" s="254"/>
      <c r="I203" s="607"/>
      <c r="J203" s="610"/>
      <c r="K203" s="470">
        <f t="shared" si="122"/>
        <v>0</v>
      </c>
      <c r="L203" s="472">
        <f t="shared" si="123"/>
        <v>0</v>
      </c>
      <c r="M203" s="473" t="str">
        <f t="shared" si="124"/>
        <v>-</v>
      </c>
      <c r="N203" s="474">
        <f t="shared" ref="N203:N216" si="130">+O203-C203</f>
        <v>0</v>
      </c>
      <c r="O203" s="472">
        <f t="shared" si="125"/>
        <v>0</v>
      </c>
      <c r="P203" s="475" t="str">
        <f t="shared" ref="P203:P216" si="131">IFERROR(N203/O203,"-")</f>
        <v>-</v>
      </c>
      <c r="Q203" s="472" t="str">
        <f t="shared" si="126"/>
        <v>-</v>
      </c>
      <c r="R203" s="472">
        <f t="shared" si="127"/>
        <v>0</v>
      </c>
      <c r="S203" s="476" t="str">
        <f t="shared" si="128"/>
        <v>-</v>
      </c>
      <c r="T203" s="477" t="str">
        <f t="shared" si="129"/>
        <v>-</v>
      </c>
    </row>
    <row r="204" spans="1:20" ht="24" x14ac:dyDescent="0.25">
      <c r="A204" s="252" t="s">
        <v>103</v>
      </c>
      <c r="B204" s="249" t="s">
        <v>217</v>
      </c>
      <c r="C204" s="470">
        <f t="shared" si="120"/>
        <v>90</v>
      </c>
      <c r="D204" s="250">
        <f>30+30</f>
        <v>60</v>
      </c>
      <c r="E204" s="251">
        <v>30</v>
      </c>
      <c r="F204" s="601">
        <v>220000</v>
      </c>
      <c r="G204" s="472">
        <f t="shared" si="121"/>
        <v>169298</v>
      </c>
      <c r="H204" s="254">
        <v>168960</v>
      </c>
      <c r="I204" s="607">
        <v>338</v>
      </c>
      <c r="J204" s="610">
        <v>960</v>
      </c>
      <c r="K204" s="470">
        <f t="shared" si="122"/>
        <v>870</v>
      </c>
      <c r="L204" s="472">
        <f t="shared" si="123"/>
        <v>900</v>
      </c>
      <c r="M204" s="473">
        <f t="shared" si="124"/>
        <v>0.96666666666666667</v>
      </c>
      <c r="N204" s="474">
        <f t="shared" si="130"/>
        <v>780</v>
      </c>
      <c r="O204" s="472">
        <f t="shared" si="125"/>
        <v>870</v>
      </c>
      <c r="P204" s="475">
        <f t="shared" si="131"/>
        <v>0.89655172413793105</v>
      </c>
      <c r="Q204" s="472">
        <f t="shared" si="126"/>
        <v>778.08337960283052</v>
      </c>
      <c r="R204" s="472">
        <f t="shared" si="127"/>
        <v>780</v>
      </c>
      <c r="S204" s="476">
        <f t="shared" si="128"/>
        <v>0.99754279436260318</v>
      </c>
      <c r="T204" s="477">
        <f t="shared" si="129"/>
        <v>0.86453708844758947</v>
      </c>
    </row>
    <row r="205" spans="1:20" ht="24" x14ac:dyDescent="0.25">
      <c r="A205" s="248" t="s">
        <v>103</v>
      </c>
      <c r="B205" s="249" t="s">
        <v>216</v>
      </c>
      <c r="C205" s="470">
        <f t="shared" si="120"/>
        <v>0</v>
      </c>
      <c r="D205" s="250"/>
      <c r="E205" s="251"/>
      <c r="F205" s="601">
        <v>50000</v>
      </c>
      <c r="G205" s="472">
        <f t="shared" si="121"/>
        <v>0</v>
      </c>
      <c r="H205" s="254"/>
      <c r="I205" s="607"/>
      <c r="J205" s="610"/>
      <c r="K205" s="470">
        <f t="shared" si="122"/>
        <v>0</v>
      </c>
      <c r="L205" s="472">
        <f t="shared" si="123"/>
        <v>0</v>
      </c>
      <c r="M205" s="473" t="str">
        <f t="shared" si="124"/>
        <v>-</v>
      </c>
      <c r="N205" s="474">
        <f t="shared" si="130"/>
        <v>0</v>
      </c>
      <c r="O205" s="472">
        <f t="shared" si="125"/>
        <v>0</v>
      </c>
      <c r="P205" s="475" t="str">
        <f t="shared" si="131"/>
        <v>-</v>
      </c>
      <c r="Q205" s="472" t="str">
        <f t="shared" si="126"/>
        <v>-</v>
      </c>
      <c r="R205" s="472">
        <f t="shared" si="127"/>
        <v>0</v>
      </c>
      <c r="S205" s="476" t="str">
        <f t="shared" si="128"/>
        <v>-</v>
      </c>
      <c r="T205" s="477" t="str">
        <f t="shared" si="129"/>
        <v>-</v>
      </c>
    </row>
    <row r="206" spans="1:20" ht="24" x14ac:dyDescent="0.25">
      <c r="A206" s="248">
        <v>5</v>
      </c>
      <c r="B206" s="249" t="s">
        <v>22</v>
      </c>
      <c r="C206" s="470">
        <f t="shared" si="120"/>
        <v>0</v>
      </c>
      <c r="D206" s="250"/>
      <c r="E206" s="251"/>
      <c r="F206" s="601">
        <v>80000</v>
      </c>
      <c r="G206" s="472">
        <f t="shared" si="121"/>
        <v>0</v>
      </c>
      <c r="H206" s="471"/>
      <c r="I206" s="611"/>
      <c r="J206" s="610"/>
      <c r="K206" s="470">
        <f>+L206-E206</f>
        <v>0</v>
      </c>
      <c r="L206" s="472">
        <f t="shared" si="123"/>
        <v>0</v>
      </c>
      <c r="M206" s="473" t="str">
        <f>IFERROR(K206/L206,"-")</f>
        <v>-</v>
      </c>
      <c r="N206" s="474">
        <f t="shared" si="130"/>
        <v>0</v>
      </c>
      <c r="O206" s="472">
        <f t="shared" si="125"/>
        <v>0</v>
      </c>
      <c r="P206" s="475" t="str">
        <f t="shared" si="131"/>
        <v>-</v>
      </c>
      <c r="Q206" s="472" t="str">
        <f t="shared" si="126"/>
        <v>-</v>
      </c>
      <c r="R206" s="472">
        <f t="shared" si="127"/>
        <v>0</v>
      </c>
      <c r="S206" s="476" t="str">
        <f t="shared" si="128"/>
        <v>-</v>
      </c>
      <c r="T206" s="477" t="str">
        <f t="shared" si="129"/>
        <v>-</v>
      </c>
    </row>
    <row r="207" spans="1:20" ht="24" x14ac:dyDescent="0.25">
      <c r="A207" s="248" t="s">
        <v>103</v>
      </c>
      <c r="B207" s="249" t="s">
        <v>23</v>
      </c>
      <c r="C207" s="470">
        <f t="shared" si="120"/>
        <v>0</v>
      </c>
      <c r="D207" s="250"/>
      <c r="E207" s="251"/>
      <c r="F207" s="601">
        <v>14000</v>
      </c>
      <c r="G207" s="472">
        <f t="shared" si="121"/>
        <v>0</v>
      </c>
      <c r="H207" s="254"/>
      <c r="I207" s="607"/>
      <c r="J207" s="610"/>
      <c r="K207" s="470">
        <f t="shared" ref="K207:K216" si="132">+L207-E207</f>
        <v>0</v>
      </c>
      <c r="L207" s="472">
        <f t="shared" si="123"/>
        <v>0</v>
      </c>
      <c r="M207" s="473" t="str">
        <f t="shared" ref="M207:M216" si="133">IFERROR(K207/L207,"-")</f>
        <v>-</v>
      </c>
      <c r="N207" s="474">
        <f t="shared" si="130"/>
        <v>0</v>
      </c>
      <c r="O207" s="472">
        <f t="shared" si="125"/>
        <v>0</v>
      </c>
      <c r="P207" s="475" t="str">
        <f t="shared" si="131"/>
        <v>-</v>
      </c>
      <c r="Q207" s="472" t="str">
        <f t="shared" si="126"/>
        <v>-</v>
      </c>
      <c r="R207" s="472">
        <f t="shared" si="127"/>
        <v>0</v>
      </c>
      <c r="S207" s="476" t="str">
        <f t="shared" si="128"/>
        <v>-</v>
      </c>
      <c r="T207" s="477" t="str">
        <f t="shared" si="129"/>
        <v>-</v>
      </c>
    </row>
    <row r="208" spans="1:20" ht="24.75" thickBot="1" x14ac:dyDescent="0.3">
      <c r="A208" s="248" t="s">
        <v>103</v>
      </c>
      <c r="B208" s="253" t="s">
        <v>212</v>
      </c>
      <c r="C208" s="478">
        <f t="shared" si="120"/>
        <v>165</v>
      </c>
      <c r="D208" s="250">
        <v>165</v>
      </c>
      <c r="E208" s="251"/>
      <c r="F208" s="601">
        <v>4500</v>
      </c>
      <c r="G208" s="472">
        <f>+H208+I208</f>
        <v>25001</v>
      </c>
      <c r="H208" s="259">
        <v>24823</v>
      </c>
      <c r="I208" s="608">
        <v>178</v>
      </c>
      <c r="J208" s="610">
        <v>960</v>
      </c>
      <c r="K208" s="478">
        <f t="shared" si="132"/>
        <v>795</v>
      </c>
      <c r="L208" s="250">
        <f t="shared" si="123"/>
        <v>795</v>
      </c>
      <c r="M208" s="479">
        <f t="shared" si="133"/>
        <v>1</v>
      </c>
      <c r="N208" s="480">
        <f t="shared" si="130"/>
        <v>630</v>
      </c>
      <c r="O208" s="250">
        <f t="shared" si="125"/>
        <v>795</v>
      </c>
      <c r="P208" s="481">
        <f t="shared" si="131"/>
        <v>0.79245283018867929</v>
      </c>
      <c r="Q208" s="250">
        <f t="shared" si="126"/>
        <v>623.16507339706413</v>
      </c>
      <c r="R208" s="250">
        <f t="shared" si="127"/>
        <v>630</v>
      </c>
      <c r="S208" s="482">
        <f t="shared" si="128"/>
        <v>0.98915091015407008</v>
      </c>
      <c r="T208" s="483">
        <f t="shared" si="129"/>
        <v>0.78385543823530091</v>
      </c>
    </row>
    <row r="209" spans="1:20" ht="24.75" thickBot="1" x14ac:dyDescent="0.3">
      <c r="A209" s="255" t="s">
        <v>103</v>
      </c>
      <c r="B209" s="256" t="s">
        <v>213</v>
      </c>
      <c r="C209" s="484">
        <f t="shared" si="120"/>
        <v>480</v>
      </c>
      <c r="D209" s="257"/>
      <c r="E209" s="258">
        <v>480</v>
      </c>
      <c r="F209" s="605">
        <v>5000</v>
      </c>
      <c r="G209" s="494">
        <f t="shared" ref="G209:G216" si="134">+H209+I209</f>
        <v>0</v>
      </c>
      <c r="H209" s="259">
        <v>0</v>
      </c>
      <c r="I209" s="608">
        <v>0</v>
      </c>
      <c r="J209" s="613">
        <v>480</v>
      </c>
      <c r="K209" s="484">
        <f t="shared" si="132"/>
        <v>0</v>
      </c>
      <c r="L209" s="257">
        <f t="shared" si="123"/>
        <v>480</v>
      </c>
      <c r="M209" s="485">
        <f t="shared" si="133"/>
        <v>0</v>
      </c>
      <c r="N209" s="486">
        <f t="shared" si="130"/>
        <v>-480</v>
      </c>
      <c r="O209" s="257">
        <f t="shared" si="125"/>
        <v>0</v>
      </c>
      <c r="P209" s="487" t="str">
        <f t="shared" si="131"/>
        <v>-</v>
      </c>
      <c r="Q209" s="257" t="str">
        <f t="shared" si="126"/>
        <v>-</v>
      </c>
      <c r="R209" s="257">
        <f t="shared" si="127"/>
        <v>-480</v>
      </c>
      <c r="S209" s="488" t="str">
        <f t="shared" si="128"/>
        <v>-</v>
      </c>
      <c r="T209" s="489" t="str">
        <f t="shared" si="129"/>
        <v>-</v>
      </c>
    </row>
    <row r="210" spans="1:20" ht="24" x14ac:dyDescent="0.25">
      <c r="A210" s="252" t="s">
        <v>101</v>
      </c>
      <c r="B210" s="260" t="s">
        <v>29</v>
      </c>
      <c r="C210" s="470">
        <f t="shared" si="120"/>
        <v>620</v>
      </c>
      <c r="D210" s="250">
        <v>90</v>
      </c>
      <c r="E210" s="251">
        <v>530</v>
      </c>
      <c r="F210" s="471">
        <v>160000</v>
      </c>
      <c r="G210" s="472">
        <f t="shared" si="134"/>
        <v>112821</v>
      </c>
      <c r="H210" s="471">
        <v>111384</v>
      </c>
      <c r="I210" s="611">
        <v>1437</v>
      </c>
      <c r="J210" s="703">
        <v>1230</v>
      </c>
      <c r="K210" s="470">
        <f t="shared" si="132"/>
        <v>610</v>
      </c>
      <c r="L210" s="472">
        <f t="shared" si="123"/>
        <v>1140</v>
      </c>
      <c r="M210" s="473">
        <f t="shared" si="133"/>
        <v>0.53508771929824561</v>
      </c>
      <c r="N210" s="474">
        <f t="shared" si="130"/>
        <v>-10</v>
      </c>
      <c r="O210" s="472">
        <f t="shared" si="125"/>
        <v>610</v>
      </c>
      <c r="P210" s="475">
        <f t="shared" si="131"/>
        <v>-1.6393442622950821E-2</v>
      </c>
      <c r="Q210" s="472">
        <f t="shared" si="126"/>
        <v>-25.666498258302909</v>
      </c>
      <c r="R210" s="472">
        <f t="shared" si="127"/>
        <v>-10</v>
      </c>
      <c r="S210" s="490">
        <f t="shared" si="128"/>
        <v>2.5666498258302908</v>
      </c>
      <c r="T210" s="491">
        <f t="shared" si="129"/>
        <v>-2.2514472156406062E-2</v>
      </c>
    </row>
    <row r="211" spans="1:20" ht="22.5" customHeight="1" x14ac:dyDescent="0.25">
      <c r="A211" s="248" t="s">
        <v>101</v>
      </c>
      <c r="B211" s="260" t="s">
        <v>31</v>
      </c>
      <c r="C211" s="470">
        <f t="shared" si="120"/>
        <v>45</v>
      </c>
      <c r="D211" s="707"/>
      <c r="E211" s="251">
        <v>45</v>
      </c>
      <c r="F211" s="471">
        <v>50000</v>
      </c>
      <c r="G211" s="472">
        <f t="shared" si="134"/>
        <v>8116</v>
      </c>
      <c r="H211" s="471">
        <v>7488</v>
      </c>
      <c r="I211" s="611">
        <v>628</v>
      </c>
      <c r="J211" s="610">
        <v>120</v>
      </c>
      <c r="K211" s="470">
        <f t="shared" si="132"/>
        <v>75</v>
      </c>
      <c r="L211" s="472">
        <f t="shared" si="123"/>
        <v>120</v>
      </c>
      <c r="M211" s="473">
        <f t="shared" si="133"/>
        <v>0.625</v>
      </c>
      <c r="N211" s="474">
        <f t="shared" si="130"/>
        <v>30</v>
      </c>
      <c r="O211" s="472">
        <f t="shared" si="125"/>
        <v>75</v>
      </c>
      <c r="P211" s="475">
        <f t="shared" si="131"/>
        <v>0.4</v>
      </c>
      <c r="Q211" s="472">
        <f t="shared" si="126"/>
        <v>20.714637752587478</v>
      </c>
      <c r="R211" s="472">
        <f t="shared" si="127"/>
        <v>30</v>
      </c>
      <c r="S211" s="490">
        <f t="shared" si="128"/>
        <v>0.69048792508624923</v>
      </c>
      <c r="T211" s="491">
        <f t="shared" si="129"/>
        <v>0.17262198127156231</v>
      </c>
    </row>
    <row r="212" spans="1:20" ht="24.75" thickBot="1" x14ac:dyDescent="0.3">
      <c r="A212" s="255" t="s">
        <v>101</v>
      </c>
      <c r="B212" s="261" t="s">
        <v>32</v>
      </c>
      <c r="C212" s="492">
        <f t="shared" si="120"/>
        <v>0</v>
      </c>
      <c r="D212" s="257"/>
      <c r="E212" s="258"/>
      <c r="F212" s="493">
        <v>110000</v>
      </c>
      <c r="G212" s="494">
        <f t="shared" si="134"/>
        <v>0</v>
      </c>
      <c r="H212" s="493"/>
      <c r="I212" s="612"/>
      <c r="J212" s="613"/>
      <c r="K212" s="492">
        <f t="shared" si="132"/>
        <v>0</v>
      </c>
      <c r="L212" s="494">
        <f t="shared" si="123"/>
        <v>0</v>
      </c>
      <c r="M212" s="495" t="str">
        <f t="shared" si="133"/>
        <v>-</v>
      </c>
      <c r="N212" s="496">
        <f t="shared" si="130"/>
        <v>0</v>
      </c>
      <c r="O212" s="494">
        <f t="shared" si="125"/>
        <v>0</v>
      </c>
      <c r="P212" s="497" t="str">
        <f t="shared" si="131"/>
        <v>-</v>
      </c>
      <c r="Q212" s="494" t="str">
        <f t="shared" si="126"/>
        <v>-</v>
      </c>
      <c r="R212" s="494">
        <f t="shared" si="127"/>
        <v>0</v>
      </c>
      <c r="S212" s="498" t="str">
        <f t="shared" si="128"/>
        <v>-</v>
      </c>
      <c r="T212" s="499" t="str">
        <f t="shared" si="129"/>
        <v>-</v>
      </c>
    </row>
    <row r="213" spans="1:20" ht="24" x14ac:dyDescent="0.25">
      <c r="A213" s="248" t="s">
        <v>102</v>
      </c>
      <c r="B213" s="249" t="s">
        <v>219</v>
      </c>
      <c r="C213" s="470">
        <f t="shared" si="120"/>
        <v>30</v>
      </c>
      <c r="D213" s="250">
        <v>30</v>
      </c>
      <c r="E213" s="251"/>
      <c r="F213" s="471">
        <v>6500</v>
      </c>
      <c r="G213" s="472">
        <f t="shared" si="134"/>
        <v>1440</v>
      </c>
      <c r="H213" s="471">
        <v>1300</v>
      </c>
      <c r="I213" s="611">
        <v>140</v>
      </c>
      <c r="J213" s="610">
        <v>480</v>
      </c>
      <c r="K213" s="470">
        <f t="shared" si="132"/>
        <v>450</v>
      </c>
      <c r="L213" s="472">
        <f t="shared" si="123"/>
        <v>450</v>
      </c>
      <c r="M213" s="473">
        <f t="shared" si="133"/>
        <v>1</v>
      </c>
      <c r="N213" s="474">
        <f t="shared" si="130"/>
        <v>420</v>
      </c>
      <c r="O213" s="472">
        <f t="shared" si="125"/>
        <v>450</v>
      </c>
      <c r="P213" s="475">
        <f t="shared" si="131"/>
        <v>0.93333333333333335</v>
      </c>
      <c r="Q213" s="472">
        <f t="shared" si="126"/>
        <v>373.33333333333331</v>
      </c>
      <c r="R213" s="472">
        <f t="shared" si="127"/>
        <v>420</v>
      </c>
      <c r="S213" s="490">
        <f t="shared" si="128"/>
        <v>0.88888888888888884</v>
      </c>
      <c r="T213" s="491">
        <f t="shared" si="129"/>
        <v>0.82962962962962961</v>
      </c>
    </row>
    <row r="214" spans="1:20" ht="24" x14ac:dyDescent="0.25">
      <c r="A214" s="252" t="s">
        <v>102</v>
      </c>
      <c r="B214" s="249" t="s">
        <v>38</v>
      </c>
      <c r="C214" s="470">
        <f t="shared" si="120"/>
        <v>30</v>
      </c>
      <c r="D214" s="250">
        <v>30</v>
      </c>
      <c r="E214" s="251"/>
      <c r="F214" s="471">
        <v>2800</v>
      </c>
      <c r="G214" s="472">
        <f t="shared" si="134"/>
        <v>0</v>
      </c>
      <c r="H214" s="471"/>
      <c r="I214" s="611"/>
      <c r="J214" s="610">
        <v>480</v>
      </c>
      <c r="K214" s="470">
        <f t="shared" si="132"/>
        <v>450</v>
      </c>
      <c r="L214" s="472">
        <f t="shared" si="123"/>
        <v>450</v>
      </c>
      <c r="M214" s="473">
        <f t="shared" si="133"/>
        <v>1</v>
      </c>
      <c r="N214" s="474">
        <f t="shared" si="130"/>
        <v>420</v>
      </c>
      <c r="O214" s="472">
        <f t="shared" si="125"/>
        <v>450</v>
      </c>
      <c r="P214" s="475">
        <f t="shared" si="131"/>
        <v>0.93333333333333335</v>
      </c>
      <c r="Q214" s="472" t="str">
        <f t="shared" si="126"/>
        <v>-</v>
      </c>
      <c r="R214" s="472">
        <f t="shared" si="127"/>
        <v>420</v>
      </c>
      <c r="S214" s="490" t="str">
        <f t="shared" si="128"/>
        <v>-</v>
      </c>
      <c r="T214" s="491" t="str">
        <f t="shared" si="129"/>
        <v>-</v>
      </c>
    </row>
    <row r="215" spans="1:20" ht="24" x14ac:dyDescent="0.25">
      <c r="A215" s="248" t="s">
        <v>102</v>
      </c>
      <c r="B215" s="249" t="s">
        <v>39</v>
      </c>
      <c r="C215" s="470">
        <f t="shared" si="120"/>
        <v>30</v>
      </c>
      <c r="D215" s="250">
        <v>30</v>
      </c>
      <c r="E215" s="251"/>
      <c r="F215" s="471">
        <v>25000</v>
      </c>
      <c r="G215" s="472">
        <f t="shared" si="134"/>
        <v>26857</v>
      </c>
      <c r="H215" s="471">
        <v>26556</v>
      </c>
      <c r="I215" s="611">
        <v>301</v>
      </c>
      <c r="J215" s="610">
        <v>480</v>
      </c>
      <c r="K215" s="470">
        <f t="shared" si="132"/>
        <v>450</v>
      </c>
      <c r="L215" s="472">
        <f t="shared" si="123"/>
        <v>450</v>
      </c>
      <c r="M215" s="473">
        <f t="shared" si="133"/>
        <v>1</v>
      </c>
      <c r="N215" s="474">
        <f t="shared" si="130"/>
        <v>420</v>
      </c>
      <c r="O215" s="472">
        <f t="shared" si="125"/>
        <v>450</v>
      </c>
      <c r="P215" s="475">
        <f t="shared" si="131"/>
        <v>0.93333333333333335</v>
      </c>
      <c r="Q215" s="472">
        <f t="shared" si="126"/>
        <v>414.62039691700488</v>
      </c>
      <c r="R215" s="472">
        <f t="shared" si="127"/>
        <v>420</v>
      </c>
      <c r="S215" s="490">
        <f t="shared" si="128"/>
        <v>0.98719142123096404</v>
      </c>
      <c r="T215" s="491">
        <f t="shared" si="129"/>
        <v>0.92137865981556644</v>
      </c>
    </row>
    <row r="216" spans="1:20" ht="45.75" thickBot="1" x14ac:dyDescent="0.3">
      <c r="A216" s="615" t="s">
        <v>102</v>
      </c>
      <c r="B216" s="261" t="s">
        <v>218</v>
      </c>
      <c r="C216" s="616">
        <f t="shared" si="120"/>
        <v>30</v>
      </c>
      <c r="D216" s="617">
        <v>30</v>
      </c>
      <c r="E216" s="618"/>
      <c r="F216" s="619">
        <v>25000</v>
      </c>
      <c r="G216" s="620">
        <f t="shared" si="134"/>
        <v>0</v>
      </c>
      <c r="H216" s="619"/>
      <c r="I216" s="621"/>
      <c r="J216" s="614">
        <v>480</v>
      </c>
      <c r="K216" s="616">
        <f t="shared" si="132"/>
        <v>450</v>
      </c>
      <c r="L216" s="620">
        <f t="shared" si="123"/>
        <v>450</v>
      </c>
      <c r="M216" s="622">
        <f t="shared" si="133"/>
        <v>1</v>
      </c>
      <c r="N216" s="623">
        <f t="shared" si="130"/>
        <v>420</v>
      </c>
      <c r="O216" s="620">
        <f t="shared" si="125"/>
        <v>450</v>
      </c>
      <c r="P216" s="624">
        <f t="shared" si="131"/>
        <v>0.93333333333333335</v>
      </c>
      <c r="Q216" s="620" t="str">
        <f t="shared" si="126"/>
        <v>-</v>
      </c>
      <c r="R216" s="620">
        <f t="shared" si="127"/>
        <v>420</v>
      </c>
      <c r="S216" s="625" t="str">
        <f t="shared" si="128"/>
        <v>-</v>
      </c>
      <c r="T216" s="626" t="str">
        <f t="shared" si="129"/>
        <v>-</v>
      </c>
    </row>
    <row r="217" spans="1:20" ht="24.6" customHeight="1" x14ac:dyDescent="0.25">
      <c r="A217" s="230"/>
      <c r="B217" s="231"/>
      <c r="C217" s="232"/>
      <c r="D217" s="232"/>
      <c r="E217" s="232"/>
      <c r="F217" s="232"/>
      <c r="G217" s="233"/>
      <c r="H217" s="234"/>
      <c r="I217" s="232"/>
      <c r="J217" s="232"/>
      <c r="K217" s="232"/>
      <c r="L217" s="232"/>
      <c r="M217" s="234"/>
      <c r="N217" s="232"/>
      <c r="O217" s="232"/>
      <c r="P217" s="234"/>
      <c r="Q217" s="232"/>
      <c r="R217" s="232"/>
      <c r="S217" s="234"/>
      <c r="T217" s="234"/>
    </row>
    <row r="218" spans="1:20" ht="24.6" customHeight="1" x14ac:dyDescent="0.25">
      <c r="A218" s="230"/>
      <c r="B218" s="231"/>
      <c r="C218" s="232"/>
      <c r="D218" s="232"/>
      <c r="E218" s="232"/>
      <c r="F218" s="232"/>
      <c r="G218" s="233"/>
      <c r="H218" s="234"/>
      <c r="I218" s="232"/>
      <c r="J218" s="232"/>
      <c r="K218" s="232"/>
      <c r="L218" s="232"/>
      <c r="M218" s="234"/>
      <c r="N218" s="232"/>
      <c r="O218" s="232"/>
      <c r="P218" s="234"/>
      <c r="Q218" s="232"/>
      <c r="R218" s="232"/>
      <c r="S218" s="234"/>
      <c r="T218" s="234"/>
    </row>
    <row r="219" spans="1:20" ht="24.6" customHeight="1" thickBot="1" x14ac:dyDescent="0.3">
      <c r="A219" s="230"/>
      <c r="B219" s="231"/>
      <c r="C219" s="232"/>
      <c r="D219" s="232"/>
      <c r="E219" s="232"/>
      <c r="F219" s="232"/>
      <c r="G219" s="233"/>
      <c r="H219" s="234"/>
      <c r="I219" s="232"/>
      <c r="J219" s="232"/>
      <c r="K219" s="232"/>
      <c r="L219" s="232"/>
      <c r="M219" s="234"/>
      <c r="N219" s="232"/>
      <c r="O219" s="232"/>
      <c r="P219" s="234"/>
      <c r="Q219" s="232"/>
      <c r="R219" s="232"/>
      <c r="S219" s="234"/>
      <c r="T219" s="234"/>
    </row>
    <row r="220" spans="1:20" ht="22.5" customHeight="1" x14ac:dyDescent="0.25">
      <c r="A220" s="1033" t="s">
        <v>1</v>
      </c>
      <c r="B220" s="1033" t="s">
        <v>2</v>
      </c>
      <c r="C220" s="987" t="s">
        <v>207</v>
      </c>
      <c r="D220" s="988"/>
      <c r="E220" s="989"/>
      <c r="F220" s="987" t="s">
        <v>491</v>
      </c>
      <c r="G220" s="988"/>
      <c r="H220" s="988"/>
      <c r="I220" s="989"/>
      <c r="J220" s="1033" t="s">
        <v>204</v>
      </c>
      <c r="K220" s="987" t="s">
        <v>192</v>
      </c>
      <c r="L220" s="988"/>
      <c r="M220" s="989"/>
      <c r="N220" s="987" t="s">
        <v>193</v>
      </c>
      <c r="O220" s="988"/>
      <c r="P220" s="989"/>
      <c r="Q220" s="987" t="s">
        <v>194</v>
      </c>
      <c r="R220" s="988"/>
      <c r="S220" s="989"/>
      <c r="T220" s="1091" t="s">
        <v>191</v>
      </c>
    </row>
    <row r="221" spans="1:20" ht="90.75" thickBot="1" x14ac:dyDescent="0.3">
      <c r="A221" s="1035"/>
      <c r="B221" s="1035"/>
      <c r="C221" s="235" t="s">
        <v>208</v>
      </c>
      <c r="D221" s="236" t="s">
        <v>205</v>
      </c>
      <c r="E221" s="237" t="s">
        <v>206</v>
      </c>
      <c r="F221" s="238" t="s">
        <v>326</v>
      </c>
      <c r="G221" s="236" t="s">
        <v>201</v>
      </c>
      <c r="H221" s="239" t="s">
        <v>202</v>
      </c>
      <c r="I221" s="240" t="s">
        <v>203</v>
      </c>
      <c r="J221" s="1035"/>
      <c r="K221" s="235" t="s">
        <v>195</v>
      </c>
      <c r="L221" s="239" t="s">
        <v>196</v>
      </c>
      <c r="M221" s="241" t="s">
        <v>209</v>
      </c>
      <c r="N221" s="242" t="s">
        <v>197</v>
      </c>
      <c r="O221" s="239" t="s">
        <v>198</v>
      </c>
      <c r="P221" s="241" t="s">
        <v>210</v>
      </c>
      <c r="Q221" s="235" t="s">
        <v>199</v>
      </c>
      <c r="R221" s="239" t="s">
        <v>200</v>
      </c>
      <c r="S221" s="243" t="s">
        <v>211</v>
      </c>
      <c r="T221" s="1092"/>
    </row>
    <row r="222" spans="1:20" ht="25.5" customHeight="1" x14ac:dyDescent="0.25">
      <c r="A222" s="244" t="s">
        <v>103</v>
      </c>
      <c r="B222" s="245" t="s">
        <v>16</v>
      </c>
      <c r="C222" s="463">
        <f>+D222+E222</f>
        <v>0</v>
      </c>
      <c r="D222" s="246"/>
      <c r="E222" s="247"/>
      <c r="F222" s="600">
        <v>15000</v>
      </c>
      <c r="G222" s="464">
        <f>+H222+I222</f>
        <v>0</v>
      </c>
      <c r="H222" s="604"/>
      <c r="I222" s="606"/>
      <c r="J222" s="609"/>
      <c r="K222" s="463">
        <f>+L222-E222</f>
        <v>0</v>
      </c>
      <c r="L222" s="464">
        <f>+J222-D222</f>
        <v>0</v>
      </c>
      <c r="M222" s="465" t="str">
        <f>IFERROR(K222/L222,"-")</f>
        <v>-</v>
      </c>
      <c r="N222" s="466">
        <f>+O222-C222</f>
        <v>0</v>
      </c>
      <c r="O222" s="464">
        <f>+K222</f>
        <v>0</v>
      </c>
      <c r="P222" s="467" t="str">
        <f>IFERROR(N222/O222,"-")</f>
        <v>-</v>
      </c>
      <c r="Q222" s="464" t="str">
        <f>IFERROR(N222-(J222-(J222*H222/G222)),"-")</f>
        <v>-</v>
      </c>
      <c r="R222" s="464">
        <f>+N222</f>
        <v>0</v>
      </c>
      <c r="S222" s="468" t="str">
        <f>IFERROR(Q222/R222,"-")</f>
        <v>-</v>
      </c>
      <c r="T222" s="469" t="str">
        <f>IFERROR(M222*P222*S222,"-")</f>
        <v>-</v>
      </c>
    </row>
    <row r="223" spans="1:20" ht="25.5" customHeight="1" x14ac:dyDescent="0.25">
      <c r="A223" s="248" t="s">
        <v>103</v>
      </c>
      <c r="B223" s="249" t="s">
        <v>215</v>
      </c>
      <c r="C223" s="470">
        <f t="shared" ref="C223:C237" si="135">+D223+E223</f>
        <v>30</v>
      </c>
      <c r="D223" s="250">
        <v>30</v>
      </c>
      <c r="E223" s="251"/>
      <c r="F223" s="601">
        <v>100000</v>
      </c>
      <c r="G223" s="472">
        <f t="shared" ref="G223:G228" si="136">+H223+I223</f>
        <v>104252</v>
      </c>
      <c r="H223" s="254">
        <v>104040</v>
      </c>
      <c r="I223" s="607">
        <v>212</v>
      </c>
      <c r="J223" s="610">
        <v>480</v>
      </c>
      <c r="K223" s="470">
        <f t="shared" ref="K223:K226" si="137">+L223-E223</f>
        <v>450</v>
      </c>
      <c r="L223" s="472">
        <f t="shared" ref="L223:L237" si="138">+J223-D223</f>
        <v>450</v>
      </c>
      <c r="M223" s="473">
        <f t="shared" ref="M223:M226" si="139">IFERROR(K223/L223,"-")</f>
        <v>1</v>
      </c>
      <c r="N223" s="474">
        <f>+O223-C223</f>
        <v>420</v>
      </c>
      <c r="O223" s="472">
        <f t="shared" ref="O223:O237" si="140">+K223</f>
        <v>450</v>
      </c>
      <c r="P223" s="475">
        <f>IFERROR(N223/O223,"-")</f>
        <v>0.93333333333333335</v>
      </c>
      <c r="Q223" s="472">
        <f t="shared" ref="Q223:Q237" si="141">IFERROR(N223-(J223-(J223*H223/G223)),"-")</f>
        <v>419.023903618156</v>
      </c>
      <c r="R223" s="472">
        <f t="shared" ref="R223:R237" si="142">+N223</f>
        <v>420</v>
      </c>
      <c r="S223" s="476">
        <f t="shared" ref="S223:S237" si="143">IFERROR(Q223/R223,"-")</f>
        <v>0.99767596099560951</v>
      </c>
      <c r="T223" s="477">
        <f t="shared" ref="T223:T237" si="144">IFERROR(M223*P223*S223,"-")</f>
        <v>0.93116423026256889</v>
      </c>
    </row>
    <row r="224" spans="1:20" ht="24" x14ac:dyDescent="0.25">
      <c r="A224" s="248" t="s">
        <v>103</v>
      </c>
      <c r="B224" s="249" t="s">
        <v>214</v>
      </c>
      <c r="C224" s="470">
        <f t="shared" si="135"/>
        <v>0</v>
      </c>
      <c r="D224" s="250"/>
      <c r="E224" s="251"/>
      <c r="F224" s="601">
        <v>80000</v>
      </c>
      <c r="G224" s="472">
        <f t="shared" si="136"/>
        <v>0</v>
      </c>
      <c r="H224" s="254"/>
      <c r="I224" s="607"/>
      <c r="J224" s="610"/>
      <c r="K224" s="470">
        <f t="shared" si="137"/>
        <v>0</v>
      </c>
      <c r="L224" s="472">
        <f t="shared" si="138"/>
        <v>0</v>
      </c>
      <c r="M224" s="473" t="str">
        <f t="shared" si="139"/>
        <v>-</v>
      </c>
      <c r="N224" s="474">
        <f t="shared" ref="N224:N237" si="145">+O224-C224</f>
        <v>0</v>
      </c>
      <c r="O224" s="472">
        <f t="shared" si="140"/>
        <v>0</v>
      </c>
      <c r="P224" s="475" t="str">
        <f t="shared" ref="P224:P237" si="146">IFERROR(N224/O224,"-")</f>
        <v>-</v>
      </c>
      <c r="Q224" s="472" t="str">
        <f t="shared" si="141"/>
        <v>-</v>
      </c>
      <c r="R224" s="472">
        <f t="shared" si="142"/>
        <v>0</v>
      </c>
      <c r="S224" s="476" t="str">
        <f t="shared" si="143"/>
        <v>-</v>
      </c>
      <c r="T224" s="477" t="str">
        <f t="shared" si="144"/>
        <v>-</v>
      </c>
    </row>
    <row r="225" spans="1:20" ht="24" x14ac:dyDescent="0.25">
      <c r="A225" s="252" t="s">
        <v>103</v>
      </c>
      <c r="B225" s="249" t="s">
        <v>217</v>
      </c>
      <c r="C225" s="470">
        <f t="shared" si="135"/>
        <v>60</v>
      </c>
      <c r="D225" s="250">
        <v>60</v>
      </c>
      <c r="E225" s="251"/>
      <c r="F225" s="601">
        <v>220000</v>
      </c>
      <c r="G225" s="472">
        <f t="shared" si="136"/>
        <v>118722</v>
      </c>
      <c r="H225" s="254">
        <v>118272</v>
      </c>
      <c r="I225" s="607">
        <v>450</v>
      </c>
      <c r="J225" s="610">
        <v>960</v>
      </c>
      <c r="K225" s="470">
        <f t="shared" si="137"/>
        <v>900</v>
      </c>
      <c r="L225" s="472">
        <f t="shared" si="138"/>
        <v>900</v>
      </c>
      <c r="M225" s="473">
        <f t="shared" si="139"/>
        <v>1</v>
      </c>
      <c r="N225" s="474">
        <f t="shared" si="145"/>
        <v>840</v>
      </c>
      <c r="O225" s="472">
        <f t="shared" si="140"/>
        <v>900</v>
      </c>
      <c r="P225" s="475">
        <f t="shared" si="146"/>
        <v>0.93333333333333335</v>
      </c>
      <c r="Q225" s="472">
        <f t="shared" si="141"/>
        <v>836.36124728357004</v>
      </c>
      <c r="R225" s="472">
        <f t="shared" si="142"/>
        <v>840</v>
      </c>
      <c r="S225" s="476">
        <f t="shared" si="143"/>
        <v>0.99566815152805954</v>
      </c>
      <c r="T225" s="477">
        <f t="shared" si="144"/>
        <v>0.92929027475952231</v>
      </c>
    </row>
    <row r="226" spans="1:20" ht="24" x14ac:dyDescent="0.25">
      <c r="A226" s="248" t="s">
        <v>103</v>
      </c>
      <c r="B226" s="249" t="s">
        <v>216</v>
      </c>
      <c r="C226" s="470">
        <f t="shared" si="135"/>
        <v>180</v>
      </c>
      <c r="D226" s="250">
        <v>180</v>
      </c>
      <c r="E226" s="251"/>
      <c r="F226" s="601">
        <v>50000</v>
      </c>
      <c r="G226" s="472">
        <f t="shared" si="136"/>
        <v>0</v>
      </c>
      <c r="H226" s="254"/>
      <c r="I226" s="607"/>
      <c r="J226" s="610"/>
      <c r="K226" s="470">
        <f t="shared" si="137"/>
        <v>-180</v>
      </c>
      <c r="L226" s="472">
        <f t="shared" si="138"/>
        <v>-180</v>
      </c>
      <c r="M226" s="473">
        <f t="shared" si="139"/>
        <v>1</v>
      </c>
      <c r="N226" s="474">
        <f t="shared" si="145"/>
        <v>-360</v>
      </c>
      <c r="O226" s="472">
        <f t="shared" si="140"/>
        <v>-180</v>
      </c>
      <c r="P226" s="475">
        <f t="shared" si="146"/>
        <v>2</v>
      </c>
      <c r="Q226" s="472" t="str">
        <f t="shared" si="141"/>
        <v>-</v>
      </c>
      <c r="R226" s="472">
        <f t="shared" si="142"/>
        <v>-360</v>
      </c>
      <c r="S226" s="476" t="str">
        <f t="shared" si="143"/>
        <v>-</v>
      </c>
      <c r="T226" s="477" t="str">
        <f t="shared" si="144"/>
        <v>-</v>
      </c>
    </row>
    <row r="227" spans="1:20" ht="24" x14ac:dyDescent="0.25">
      <c r="A227" s="248">
        <v>5</v>
      </c>
      <c r="B227" s="249" t="s">
        <v>22</v>
      </c>
      <c r="C227" s="470">
        <f t="shared" si="135"/>
        <v>0</v>
      </c>
      <c r="D227" s="250"/>
      <c r="E227" s="251"/>
      <c r="F227" s="601">
        <v>80000</v>
      </c>
      <c r="G227" s="472">
        <f t="shared" si="136"/>
        <v>0</v>
      </c>
      <c r="H227" s="471"/>
      <c r="I227" s="611"/>
      <c r="J227" s="610"/>
      <c r="K227" s="470">
        <f>+L227-E227</f>
        <v>0</v>
      </c>
      <c r="L227" s="472">
        <f t="shared" si="138"/>
        <v>0</v>
      </c>
      <c r="M227" s="473" t="str">
        <f>IFERROR(K227/L227,"-")</f>
        <v>-</v>
      </c>
      <c r="N227" s="474">
        <f t="shared" si="145"/>
        <v>0</v>
      </c>
      <c r="O227" s="472">
        <f t="shared" si="140"/>
        <v>0</v>
      </c>
      <c r="P227" s="475" t="str">
        <f t="shared" si="146"/>
        <v>-</v>
      </c>
      <c r="Q227" s="472" t="str">
        <f t="shared" si="141"/>
        <v>-</v>
      </c>
      <c r="R227" s="472">
        <f t="shared" si="142"/>
        <v>0</v>
      </c>
      <c r="S227" s="476" t="str">
        <f t="shared" si="143"/>
        <v>-</v>
      </c>
      <c r="T227" s="477" t="str">
        <f t="shared" si="144"/>
        <v>-</v>
      </c>
    </row>
    <row r="228" spans="1:20" ht="24" x14ac:dyDescent="0.25">
      <c r="A228" s="248" t="s">
        <v>103</v>
      </c>
      <c r="B228" s="249" t="s">
        <v>23</v>
      </c>
      <c r="C228" s="470">
        <f t="shared" si="135"/>
        <v>0</v>
      </c>
      <c r="D228" s="250"/>
      <c r="E228" s="251"/>
      <c r="F228" s="601">
        <v>14000</v>
      </c>
      <c r="G228" s="472">
        <f t="shared" si="136"/>
        <v>0</v>
      </c>
      <c r="H228" s="254"/>
      <c r="I228" s="607"/>
      <c r="J228" s="610"/>
      <c r="K228" s="470">
        <f t="shared" ref="K228:K237" si="147">+L228-E228</f>
        <v>0</v>
      </c>
      <c r="L228" s="472">
        <f t="shared" si="138"/>
        <v>0</v>
      </c>
      <c r="M228" s="473" t="str">
        <f t="shared" ref="M228:M237" si="148">IFERROR(K228/L228,"-")</f>
        <v>-</v>
      </c>
      <c r="N228" s="474">
        <f t="shared" si="145"/>
        <v>0</v>
      </c>
      <c r="O228" s="472">
        <f t="shared" si="140"/>
        <v>0</v>
      </c>
      <c r="P228" s="475" t="str">
        <f t="shared" si="146"/>
        <v>-</v>
      </c>
      <c r="Q228" s="472" t="str">
        <f t="shared" si="141"/>
        <v>-</v>
      </c>
      <c r="R228" s="472">
        <f t="shared" si="142"/>
        <v>0</v>
      </c>
      <c r="S228" s="476" t="str">
        <f t="shared" si="143"/>
        <v>-</v>
      </c>
      <c r="T228" s="477" t="str">
        <f t="shared" si="144"/>
        <v>-</v>
      </c>
    </row>
    <row r="229" spans="1:20" ht="24.75" thickBot="1" x14ac:dyDescent="0.3">
      <c r="A229" s="248" t="s">
        <v>103</v>
      </c>
      <c r="B229" s="253" t="s">
        <v>212</v>
      </c>
      <c r="C229" s="478">
        <f t="shared" si="135"/>
        <v>195</v>
      </c>
      <c r="D229" s="250">
        <v>60</v>
      </c>
      <c r="E229" s="251">
        <v>135</v>
      </c>
      <c r="F229" s="601">
        <v>4500</v>
      </c>
      <c r="G229" s="472">
        <f>+H229+I229</f>
        <v>27434</v>
      </c>
      <c r="H229" s="259">
        <v>27281</v>
      </c>
      <c r="I229" s="608">
        <v>153</v>
      </c>
      <c r="J229" s="610">
        <v>960</v>
      </c>
      <c r="K229" s="478">
        <f t="shared" si="147"/>
        <v>765</v>
      </c>
      <c r="L229" s="250">
        <f t="shared" si="138"/>
        <v>900</v>
      </c>
      <c r="M229" s="479">
        <f t="shared" si="148"/>
        <v>0.85</v>
      </c>
      <c r="N229" s="480">
        <f t="shared" si="145"/>
        <v>570</v>
      </c>
      <c r="O229" s="250">
        <f t="shared" si="140"/>
        <v>765</v>
      </c>
      <c r="P229" s="481">
        <f t="shared" si="146"/>
        <v>0.74509803921568629</v>
      </c>
      <c r="Q229" s="250">
        <f t="shared" si="141"/>
        <v>564.64605963403073</v>
      </c>
      <c r="R229" s="250">
        <f t="shared" si="142"/>
        <v>570</v>
      </c>
      <c r="S229" s="482">
        <f t="shared" si="143"/>
        <v>0.99060712216496616</v>
      </c>
      <c r="T229" s="483">
        <f t="shared" si="144"/>
        <v>0.62738451070447854</v>
      </c>
    </row>
    <row r="230" spans="1:20" ht="24.75" thickBot="1" x14ac:dyDescent="0.3">
      <c r="A230" s="255" t="s">
        <v>103</v>
      </c>
      <c r="B230" s="256" t="s">
        <v>213</v>
      </c>
      <c r="C230" s="484">
        <f t="shared" si="135"/>
        <v>480</v>
      </c>
      <c r="D230" s="257">
        <v>30</v>
      </c>
      <c r="E230" s="258">
        <v>450</v>
      </c>
      <c r="F230" s="605">
        <v>5000</v>
      </c>
      <c r="G230" s="494">
        <f t="shared" ref="G230:G237" si="149">+H230+I230</f>
        <v>12</v>
      </c>
      <c r="H230" s="259">
        <v>12</v>
      </c>
      <c r="I230" s="608">
        <v>0</v>
      </c>
      <c r="J230" s="613">
        <v>480</v>
      </c>
      <c r="K230" s="484">
        <f t="shared" si="147"/>
        <v>0</v>
      </c>
      <c r="L230" s="257">
        <f t="shared" si="138"/>
        <v>450</v>
      </c>
      <c r="M230" s="485">
        <f t="shared" si="148"/>
        <v>0</v>
      </c>
      <c r="N230" s="486">
        <f t="shared" si="145"/>
        <v>-480</v>
      </c>
      <c r="O230" s="257">
        <f t="shared" si="140"/>
        <v>0</v>
      </c>
      <c r="P230" s="487" t="str">
        <f t="shared" si="146"/>
        <v>-</v>
      </c>
      <c r="Q230" s="257">
        <f t="shared" si="141"/>
        <v>-480</v>
      </c>
      <c r="R230" s="257">
        <f t="shared" si="142"/>
        <v>-480</v>
      </c>
      <c r="S230" s="488">
        <f t="shared" si="143"/>
        <v>1</v>
      </c>
      <c r="T230" s="489" t="str">
        <f t="shared" si="144"/>
        <v>-</v>
      </c>
    </row>
    <row r="231" spans="1:20" ht="24" x14ac:dyDescent="0.25">
      <c r="A231" s="252" t="s">
        <v>101</v>
      </c>
      <c r="B231" s="260" t="s">
        <v>29</v>
      </c>
      <c r="C231" s="470">
        <f t="shared" si="135"/>
        <v>755</v>
      </c>
      <c r="D231" s="250">
        <v>90</v>
      </c>
      <c r="E231" s="251">
        <v>665</v>
      </c>
      <c r="F231" s="471">
        <v>160000</v>
      </c>
      <c r="G231" s="472">
        <f t="shared" si="149"/>
        <v>109393</v>
      </c>
      <c r="H231" s="471">
        <v>107406</v>
      </c>
      <c r="I231" s="611">
        <v>1987</v>
      </c>
      <c r="J231" s="703">
        <v>1380</v>
      </c>
      <c r="K231" s="470">
        <f t="shared" si="147"/>
        <v>625</v>
      </c>
      <c r="L231" s="472">
        <f t="shared" si="138"/>
        <v>1290</v>
      </c>
      <c r="M231" s="473">
        <f t="shared" si="148"/>
        <v>0.48449612403100772</v>
      </c>
      <c r="N231" s="474">
        <f t="shared" si="145"/>
        <v>-130</v>
      </c>
      <c r="O231" s="472">
        <f t="shared" si="140"/>
        <v>625</v>
      </c>
      <c r="P231" s="475">
        <f t="shared" si="146"/>
        <v>-0.20799999999999999</v>
      </c>
      <c r="Q231" s="472">
        <f t="shared" si="141"/>
        <v>-155.06613768705483</v>
      </c>
      <c r="R231" s="472">
        <f t="shared" si="142"/>
        <v>-130</v>
      </c>
      <c r="S231" s="490">
        <f t="shared" si="143"/>
        <v>1.1928164437465756</v>
      </c>
      <c r="T231" s="491">
        <f t="shared" si="144"/>
        <v>-0.12020630828453861</v>
      </c>
    </row>
    <row r="232" spans="1:20" ht="22.5" customHeight="1" x14ac:dyDescent="0.25">
      <c r="A232" s="248" t="s">
        <v>101</v>
      </c>
      <c r="B232" s="260" t="s">
        <v>31</v>
      </c>
      <c r="C232" s="470">
        <f t="shared" si="135"/>
        <v>0</v>
      </c>
      <c r="D232" s="707"/>
      <c r="E232" s="251"/>
      <c r="F232" s="471">
        <v>50000</v>
      </c>
      <c r="G232" s="472">
        <f t="shared" si="149"/>
        <v>0</v>
      </c>
      <c r="H232" s="471"/>
      <c r="I232" s="611"/>
      <c r="J232" s="610"/>
      <c r="K232" s="470">
        <f t="shared" si="147"/>
        <v>0</v>
      </c>
      <c r="L232" s="472">
        <f t="shared" si="138"/>
        <v>0</v>
      </c>
      <c r="M232" s="473" t="str">
        <f t="shared" si="148"/>
        <v>-</v>
      </c>
      <c r="N232" s="474">
        <f t="shared" si="145"/>
        <v>0</v>
      </c>
      <c r="O232" s="472">
        <f t="shared" si="140"/>
        <v>0</v>
      </c>
      <c r="P232" s="475" t="str">
        <f t="shared" si="146"/>
        <v>-</v>
      </c>
      <c r="Q232" s="472" t="str">
        <f t="shared" si="141"/>
        <v>-</v>
      </c>
      <c r="R232" s="472">
        <f t="shared" si="142"/>
        <v>0</v>
      </c>
      <c r="S232" s="490" t="str">
        <f t="shared" si="143"/>
        <v>-</v>
      </c>
      <c r="T232" s="491" t="str">
        <f t="shared" si="144"/>
        <v>-</v>
      </c>
    </row>
    <row r="233" spans="1:20" ht="24.75" thickBot="1" x14ac:dyDescent="0.3">
      <c r="A233" s="255" t="s">
        <v>101</v>
      </c>
      <c r="B233" s="261" t="s">
        <v>32</v>
      </c>
      <c r="C233" s="492">
        <f t="shared" si="135"/>
        <v>0</v>
      </c>
      <c r="D233" s="257"/>
      <c r="E233" s="258"/>
      <c r="F233" s="493">
        <v>110000</v>
      </c>
      <c r="G233" s="494">
        <f t="shared" si="149"/>
        <v>0</v>
      </c>
      <c r="H233" s="493"/>
      <c r="I233" s="612"/>
      <c r="J233" s="613"/>
      <c r="K233" s="492">
        <f t="shared" si="147"/>
        <v>0</v>
      </c>
      <c r="L233" s="494">
        <f t="shared" si="138"/>
        <v>0</v>
      </c>
      <c r="M233" s="495" t="str">
        <f t="shared" si="148"/>
        <v>-</v>
      </c>
      <c r="N233" s="496">
        <f t="shared" si="145"/>
        <v>0</v>
      </c>
      <c r="O233" s="494">
        <f t="shared" si="140"/>
        <v>0</v>
      </c>
      <c r="P233" s="497" t="str">
        <f t="shared" si="146"/>
        <v>-</v>
      </c>
      <c r="Q233" s="494" t="str">
        <f t="shared" si="141"/>
        <v>-</v>
      </c>
      <c r="R233" s="494">
        <f t="shared" si="142"/>
        <v>0</v>
      </c>
      <c r="S233" s="498" t="str">
        <f t="shared" si="143"/>
        <v>-</v>
      </c>
      <c r="T233" s="499" t="str">
        <f t="shared" si="144"/>
        <v>-</v>
      </c>
    </row>
    <row r="234" spans="1:20" ht="24" x14ac:dyDescent="0.25">
      <c r="A234" s="248" t="s">
        <v>102</v>
      </c>
      <c r="B234" s="249" t="s">
        <v>219</v>
      </c>
      <c r="C234" s="470">
        <f t="shared" si="135"/>
        <v>30</v>
      </c>
      <c r="D234" s="250">
        <v>30</v>
      </c>
      <c r="E234" s="251"/>
      <c r="F234" s="471">
        <v>6500</v>
      </c>
      <c r="G234" s="472">
        <f t="shared" si="149"/>
        <v>1252</v>
      </c>
      <c r="H234" s="471">
        <v>1200</v>
      </c>
      <c r="I234" s="611">
        <v>52</v>
      </c>
      <c r="J234" s="610">
        <v>480</v>
      </c>
      <c r="K234" s="470">
        <f t="shared" si="147"/>
        <v>450</v>
      </c>
      <c r="L234" s="472">
        <f t="shared" si="138"/>
        <v>450</v>
      </c>
      <c r="M234" s="473">
        <f t="shared" si="148"/>
        <v>1</v>
      </c>
      <c r="N234" s="474">
        <f t="shared" si="145"/>
        <v>420</v>
      </c>
      <c r="O234" s="472">
        <f t="shared" si="140"/>
        <v>450</v>
      </c>
      <c r="P234" s="475">
        <f t="shared" si="146"/>
        <v>0.93333333333333335</v>
      </c>
      <c r="Q234" s="472">
        <f t="shared" si="141"/>
        <v>400.06389776357827</v>
      </c>
      <c r="R234" s="472">
        <f t="shared" si="142"/>
        <v>420</v>
      </c>
      <c r="S234" s="490">
        <f t="shared" si="143"/>
        <v>0.95253308991328156</v>
      </c>
      <c r="T234" s="491">
        <f t="shared" si="144"/>
        <v>0.88903088391906282</v>
      </c>
    </row>
    <row r="235" spans="1:20" ht="24" x14ac:dyDescent="0.25">
      <c r="A235" s="252" t="s">
        <v>102</v>
      </c>
      <c r="B235" s="249" t="s">
        <v>38</v>
      </c>
      <c r="C235" s="470">
        <f t="shared" si="135"/>
        <v>30</v>
      </c>
      <c r="D235" s="250">
        <v>30</v>
      </c>
      <c r="E235" s="251"/>
      <c r="F235" s="471">
        <v>2800</v>
      </c>
      <c r="G235" s="472">
        <f t="shared" si="149"/>
        <v>1790</v>
      </c>
      <c r="H235" s="471">
        <v>1690</v>
      </c>
      <c r="I235" s="611">
        <v>100</v>
      </c>
      <c r="J235" s="610">
        <v>480</v>
      </c>
      <c r="K235" s="470">
        <f t="shared" si="147"/>
        <v>450</v>
      </c>
      <c r="L235" s="472">
        <f t="shared" si="138"/>
        <v>450</v>
      </c>
      <c r="M235" s="473">
        <f t="shared" si="148"/>
        <v>1</v>
      </c>
      <c r="N235" s="474">
        <f t="shared" si="145"/>
        <v>420</v>
      </c>
      <c r="O235" s="472">
        <f t="shared" si="140"/>
        <v>450</v>
      </c>
      <c r="P235" s="475">
        <f t="shared" si="146"/>
        <v>0.93333333333333335</v>
      </c>
      <c r="Q235" s="472">
        <f t="shared" si="141"/>
        <v>393.18435754189943</v>
      </c>
      <c r="R235" s="472">
        <f t="shared" si="142"/>
        <v>420</v>
      </c>
      <c r="S235" s="490">
        <f t="shared" si="143"/>
        <v>0.93615323224261771</v>
      </c>
      <c r="T235" s="491">
        <f t="shared" si="144"/>
        <v>0.8737430167597765</v>
      </c>
    </row>
    <row r="236" spans="1:20" ht="24" x14ac:dyDescent="0.25">
      <c r="A236" s="248" t="s">
        <v>102</v>
      </c>
      <c r="B236" s="249" t="s">
        <v>39</v>
      </c>
      <c r="C236" s="470">
        <f t="shared" si="135"/>
        <v>30</v>
      </c>
      <c r="D236" s="250">
        <v>30</v>
      </c>
      <c r="E236" s="251"/>
      <c r="F236" s="471">
        <v>25000</v>
      </c>
      <c r="G236" s="472">
        <f t="shared" si="149"/>
        <v>27057</v>
      </c>
      <c r="H236" s="471">
        <v>26880</v>
      </c>
      <c r="I236" s="611">
        <v>177</v>
      </c>
      <c r="J236" s="610">
        <v>480</v>
      </c>
      <c r="K236" s="470">
        <f t="shared" si="147"/>
        <v>450</v>
      </c>
      <c r="L236" s="472">
        <f t="shared" si="138"/>
        <v>450</v>
      </c>
      <c r="M236" s="473">
        <f t="shared" si="148"/>
        <v>1</v>
      </c>
      <c r="N236" s="474">
        <f t="shared" si="145"/>
        <v>420</v>
      </c>
      <c r="O236" s="472">
        <f t="shared" si="140"/>
        <v>450</v>
      </c>
      <c r="P236" s="475">
        <f t="shared" si="146"/>
        <v>0.93333333333333335</v>
      </c>
      <c r="Q236" s="472">
        <f t="shared" si="141"/>
        <v>416.85996230180729</v>
      </c>
      <c r="R236" s="472">
        <f t="shared" si="142"/>
        <v>420</v>
      </c>
      <c r="S236" s="490">
        <f t="shared" si="143"/>
        <v>0.99252371976620779</v>
      </c>
      <c r="T236" s="491">
        <f t="shared" si="144"/>
        <v>0.926355471781794</v>
      </c>
    </row>
    <row r="237" spans="1:20" ht="45.75" thickBot="1" x14ac:dyDescent="0.3">
      <c r="A237" s="615" t="s">
        <v>102</v>
      </c>
      <c r="B237" s="261" t="s">
        <v>218</v>
      </c>
      <c r="C237" s="616">
        <f t="shared" si="135"/>
        <v>0</v>
      </c>
      <c r="D237" s="617"/>
      <c r="E237" s="618"/>
      <c r="F237" s="619">
        <v>25000</v>
      </c>
      <c r="G237" s="620">
        <f t="shared" si="149"/>
        <v>0</v>
      </c>
      <c r="H237" s="619"/>
      <c r="I237" s="621"/>
      <c r="J237" s="614"/>
      <c r="K237" s="616">
        <f t="shared" si="147"/>
        <v>0</v>
      </c>
      <c r="L237" s="620">
        <f t="shared" si="138"/>
        <v>0</v>
      </c>
      <c r="M237" s="622" t="str">
        <f t="shared" si="148"/>
        <v>-</v>
      </c>
      <c r="N237" s="623">
        <f t="shared" si="145"/>
        <v>0</v>
      </c>
      <c r="O237" s="620">
        <f t="shared" si="140"/>
        <v>0</v>
      </c>
      <c r="P237" s="624" t="str">
        <f t="shared" si="146"/>
        <v>-</v>
      </c>
      <c r="Q237" s="620" t="str">
        <f t="shared" si="141"/>
        <v>-</v>
      </c>
      <c r="R237" s="620">
        <f t="shared" si="142"/>
        <v>0</v>
      </c>
      <c r="S237" s="625" t="str">
        <f t="shared" si="143"/>
        <v>-</v>
      </c>
      <c r="T237" s="626" t="str">
        <f t="shared" si="144"/>
        <v>-</v>
      </c>
    </row>
    <row r="238" spans="1:20" ht="24.6" customHeight="1" x14ac:dyDescent="0.25">
      <c r="A238" s="230"/>
      <c r="B238" s="231"/>
      <c r="C238" s="232"/>
      <c r="D238" s="232"/>
      <c r="E238" s="232"/>
      <c r="F238" s="232"/>
      <c r="G238" s="233"/>
      <c r="H238" s="234"/>
      <c r="I238" s="232"/>
      <c r="J238" s="232"/>
      <c r="K238" s="232"/>
      <c r="L238" s="232"/>
      <c r="M238" s="234"/>
      <c r="N238" s="232"/>
      <c r="O238" s="232"/>
      <c r="P238" s="234"/>
      <c r="Q238" s="232"/>
      <c r="R238" s="232"/>
      <c r="S238" s="234"/>
      <c r="T238" s="234"/>
    </row>
    <row r="239" spans="1:20" ht="24.6" customHeight="1" x14ac:dyDescent="0.25">
      <c r="A239" s="230"/>
      <c r="B239" s="231"/>
      <c r="C239" s="232"/>
      <c r="D239" s="232"/>
      <c r="E239" s="232"/>
      <c r="F239" s="232"/>
      <c r="G239" s="233"/>
      <c r="H239" s="234"/>
      <c r="I239" s="232"/>
      <c r="J239" s="232"/>
      <c r="K239" s="232"/>
      <c r="L239" s="232"/>
      <c r="M239" s="234"/>
      <c r="N239" s="232"/>
      <c r="O239" s="232"/>
      <c r="P239" s="234"/>
      <c r="Q239" s="232"/>
      <c r="R239" s="232"/>
      <c r="S239" s="234"/>
      <c r="T239" s="234"/>
    </row>
    <row r="240" spans="1:20" ht="24.6" customHeight="1" thickBot="1" x14ac:dyDescent="0.3">
      <c r="A240" s="230"/>
      <c r="B240" s="231"/>
      <c r="C240" s="232"/>
      <c r="D240" s="232"/>
      <c r="E240" s="232"/>
      <c r="F240" s="232"/>
      <c r="G240" s="233"/>
      <c r="H240" s="234"/>
      <c r="I240" s="232"/>
      <c r="J240" s="232"/>
      <c r="K240" s="232"/>
      <c r="L240" s="232"/>
      <c r="M240" s="234"/>
      <c r="N240" s="232"/>
      <c r="O240" s="232"/>
      <c r="P240" s="234"/>
      <c r="Q240" s="232"/>
      <c r="R240" s="232"/>
      <c r="S240" s="234"/>
      <c r="T240" s="234"/>
    </row>
    <row r="241" spans="1:20" ht="22.5" customHeight="1" x14ac:dyDescent="0.25">
      <c r="A241" s="1033" t="s">
        <v>1</v>
      </c>
      <c r="B241" s="1033" t="s">
        <v>2</v>
      </c>
      <c r="C241" s="987" t="s">
        <v>207</v>
      </c>
      <c r="D241" s="988"/>
      <c r="E241" s="989"/>
      <c r="F241" s="987" t="s">
        <v>486</v>
      </c>
      <c r="G241" s="988"/>
      <c r="H241" s="988"/>
      <c r="I241" s="989"/>
      <c r="J241" s="1033" t="s">
        <v>204</v>
      </c>
      <c r="K241" s="987" t="s">
        <v>192</v>
      </c>
      <c r="L241" s="988"/>
      <c r="M241" s="989"/>
      <c r="N241" s="987" t="s">
        <v>193</v>
      </c>
      <c r="O241" s="988"/>
      <c r="P241" s="989"/>
      <c r="Q241" s="987" t="s">
        <v>194</v>
      </c>
      <c r="R241" s="988"/>
      <c r="S241" s="989"/>
      <c r="T241" s="1091" t="s">
        <v>191</v>
      </c>
    </row>
    <row r="242" spans="1:20" ht="90.75" thickBot="1" x14ac:dyDescent="0.3">
      <c r="A242" s="1035"/>
      <c r="B242" s="1035"/>
      <c r="C242" s="235" t="s">
        <v>208</v>
      </c>
      <c r="D242" s="236" t="s">
        <v>205</v>
      </c>
      <c r="E242" s="237" t="s">
        <v>206</v>
      </c>
      <c r="F242" s="238" t="s">
        <v>326</v>
      </c>
      <c r="G242" s="236" t="s">
        <v>201</v>
      </c>
      <c r="H242" s="239" t="s">
        <v>202</v>
      </c>
      <c r="I242" s="240" t="s">
        <v>203</v>
      </c>
      <c r="J242" s="1035"/>
      <c r="K242" s="235" t="s">
        <v>195</v>
      </c>
      <c r="L242" s="239" t="s">
        <v>196</v>
      </c>
      <c r="M242" s="241" t="s">
        <v>209</v>
      </c>
      <c r="N242" s="242" t="s">
        <v>197</v>
      </c>
      <c r="O242" s="239" t="s">
        <v>198</v>
      </c>
      <c r="P242" s="241" t="s">
        <v>210</v>
      </c>
      <c r="Q242" s="235" t="s">
        <v>199</v>
      </c>
      <c r="R242" s="239" t="s">
        <v>200</v>
      </c>
      <c r="S242" s="243" t="s">
        <v>211</v>
      </c>
      <c r="T242" s="1092"/>
    </row>
    <row r="243" spans="1:20" ht="25.5" customHeight="1" x14ac:dyDescent="0.25">
      <c r="A243" s="244" t="s">
        <v>103</v>
      </c>
      <c r="B243" s="245" t="s">
        <v>16</v>
      </c>
      <c r="C243" s="463">
        <f>+D243+E243</f>
        <v>0</v>
      </c>
      <c r="D243" s="246"/>
      <c r="E243" s="247"/>
      <c r="F243" s="600">
        <v>15000</v>
      </c>
      <c r="G243" s="464">
        <f>+H243+I243</f>
        <v>0</v>
      </c>
      <c r="H243" s="604"/>
      <c r="I243" s="606"/>
      <c r="J243" s="609"/>
      <c r="K243" s="463">
        <f>+L243-E243</f>
        <v>0</v>
      </c>
      <c r="L243" s="464">
        <f>+J243-D243</f>
        <v>0</v>
      </c>
      <c r="M243" s="465" t="str">
        <f>IFERROR(K243/L243,"-")</f>
        <v>-</v>
      </c>
      <c r="N243" s="466">
        <f>+O243-C243</f>
        <v>0</v>
      </c>
      <c r="O243" s="464">
        <f>+K243</f>
        <v>0</v>
      </c>
      <c r="P243" s="467" t="str">
        <f>IFERROR(N243/O243,"-")</f>
        <v>-</v>
      </c>
      <c r="Q243" s="464" t="str">
        <f>IFERROR(N243-(J243-(J243*H243/G243)),"-")</f>
        <v>-</v>
      </c>
      <c r="R243" s="464">
        <f>+N243</f>
        <v>0</v>
      </c>
      <c r="S243" s="468" t="str">
        <f>IFERROR(Q243/R243,"-")</f>
        <v>-</v>
      </c>
      <c r="T243" s="469" t="str">
        <f>IFERROR(M243*P243*S243,"-")</f>
        <v>-</v>
      </c>
    </row>
    <row r="244" spans="1:20" ht="25.5" customHeight="1" x14ac:dyDescent="0.25">
      <c r="A244" s="248" t="s">
        <v>103</v>
      </c>
      <c r="B244" s="249" t="s">
        <v>215</v>
      </c>
      <c r="C244" s="470">
        <f t="shared" ref="C244:C258" si="150">+D244+E244</f>
        <v>210</v>
      </c>
      <c r="D244" s="250">
        <v>30</v>
      </c>
      <c r="E244" s="251">
        <v>180</v>
      </c>
      <c r="F244" s="601">
        <v>100000</v>
      </c>
      <c r="G244" s="472">
        <f t="shared" ref="G244:G249" si="151">+H244+I244</f>
        <v>18602</v>
      </c>
      <c r="H244" s="254">
        <v>18360</v>
      </c>
      <c r="I244" s="607">
        <v>242</v>
      </c>
      <c r="J244" s="610">
        <v>480</v>
      </c>
      <c r="K244" s="470">
        <f t="shared" ref="K244:K247" si="152">+L244-E244</f>
        <v>270</v>
      </c>
      <c r="L244" s="472">
        <f t="shared" ref="L244:L258" si="153">+J244-D244</f>
        <v>450</v>
      </c>
      <c r="M244" s="473">
        <f t="shared" ref="M244:M247" si="154">IFERROR(K244/L244,"-")</f>
        <v>0.6</v>
      </c>
      <c r="N244" s="474">
        <f>+O244-C244</f>
        <v>60</v>
      </c>
      <c r="O244" s="472">
        <f t="shared" ref="O244:O258" si="155">+K244</f>
        <v>270</v>
      </c>
      <c r="P244" s="475">
        <f>IFERROR(N244/O244,"-")</f>
        <v>0.22222222222222221</v>
      </c>
      <c r="Q244" s="472">
        <f t="shared" ref="Q244:Q258" si="156">IFERROR(N244-(J244-(J244*H244/G244)),"-")</f>
        <v>53.755510160197844</v>
      </c>
      <c r="R244" s="472">
        <f t="shared" ref="R244:R258" si="157">+N244</f>
        <v>60</v>
      </c>
      <c r="S244" s="476">
        <f t="shared" ref="S244:S258" si="158">IFERROR(Q244/R244,"-")</f>
        <v>0.89592516933663069</v>
      </c>
      <c r="T244" s="477">
        <f t="shared" ref="T244:T258" si="159">IFERROR(M244*P244*S244,"-")</f>
        <v>0.11945668924488409</v>
      </c>
    </row>
    <row r="245" spans="1:20" ht="24" x14ac:dyDescent="0.25">
      <c r="A245" s="248" t="s">
        <v>103</v>
      </c>
      <c r="B245" s="249" t="s">
        <v>214</v>
      </c>
      <c r="C245" s="470">
        <f t="shared" si="150"/>
        <v>0</v>
      </c>
      <c r="D245" s="250"/>
      <c r="E245" s="251"/>
      <c r="F245" s="601">
        <v>80000</v>
      </c>
      <c r="G245" s="472">
        <f t="shared" si="151"/>
        <v>0</v>
      </c>
      <c r="H245" s="254"/>
      <c r="I245" s="607"/>
      <c r="J245" s="610"/>
      <c r="K245" s="470">
        <f t="shared" si="152"/>
        <v>0</v>
      </c>
      <c r="L245" s="472">
        <f t="shared" si="153"/>
        <v>0</v>
      </c>
      <c r="M245" s="473" t="str">
        <f t="shared" si="154"/>
        <v>-</v>
      </c>
      <c r="N245" s="474">
        <f t="shared" ref="N245:N258" si="160">+O245-C245</f>
        <v>0</v>
      </c>
      <c r="O245" s="472">
        <f t="shared" si="155"/>
        <v>0</v>
      </c>
      <c r="P245" s="475" t="str">
        <f t="shared" ref="P245:P258" si="161">IFERROR(N245/O245,"-")</f>
        <v>-</v>
      </c>
      <c r="Q245" s="472" t="str">
        <f t="shared" si="156"/>
        <v>-</v>
      </c>
      <c r="R245" s="472">
        <f t="shared" si="157"/>
        <v>0</v>
      </c>
      <c r="S245" s="476" t="str">
        <f t="shared" si="158"/>
        <v>-</v>
      </c>
      <c r="T245" s="477" t="str">
        <f t="shared" si="159"/>
        <v>-</v>
      </c>
    </row>
    <row r="246" spans="1:20" ht="24" x14ac:dyDescent="0.25">
      <c r="A246" s="252" t="s">
        <v>103</v>
      </c>
      <c r="B246" s="249" t="s">
        <v>217</v>
      </c>
      <c r="C246" s="470">
        <f t="shared" si="150"/>
        <v>120</v>
      </c>
      <c r="D246" s="250">
        <f>30+30</f>
        <v>60</v>
      </c>
      <c r="E246" s="251">
        <v>60</v>
      </c>
      <c r="F246" s="601">
        <v>220000</v>
      </c>
      <c r="G246" s="472">
        <f t="shared" si="151"/>
        <v>169435</v>
      </c>
      <c r="H246" s="254">
        <v>168960</v>
      </c>
      <c r="I246" s="607">
        <v>475</v>
      </c>
      <c r="J246" s="610">
        <v>960</v>
      </c>
      <c r="K246" s="470">
        <f t="shared" si="152"/>
        <v>840</v>
      </c>
      <c r="L246" s="472">
        <f t="shared" si="153"/>
        <v>900</v>
      </c>
      <c r="M246" s="473">
        <f t="shared" si="154"/>
        <v>0.93333333333333335</v>
      </c>
      <c r="N246" s="474">
        <f t="shared" si="160"/>
        <v>720</v>
      </c>
      <c r="O246" s="472">
        <f t="shared" si="155"/>
        <v>840</v>
      </c>
      <c r="P246" s="475">
        <f t="shared" si="161"/>
        <v>0.8571428571428571</v>
      </c>
      <c r="Q246" s="472">
        <f t="shared" si="156"/>
        <v>717.30870245226788</v>
      </c>
      <c r="R246" s="472">
        <f t="shared" si="157"/>
        <v>720</v>
      </c>
      <c r="S246" s="476">
        <f t="shared" si="158"/>
        <v>0.99626208673926098</v>
      </c>
      <c r="T246" s="477">
        <f t="shared" si="159"/>
        <v>0.79700966939140871</v>
      </c>
    </row>
    <row r="247" spans="1:20" ht="24" x14ac:dyDescent="0.25">
      <c r="A247" s="248" t="s">
        <v>103</v>
      </c>
      <c r="B247" s="249" t="s">
        <v>216</v>
      </c>
      <c r="C247" s="470">
        <f t="shared" si="150"/>
        <v>0</v>
      </c>
      <c r="D247" s="250"/>
      <c r="E247" s="251"/>
      <c r="F247" s="601">
        <v>50000</v>
      </c>
      <c r="G247" s="472">
        <f t="shared" si="151"/>
        <v>0</v>
      </c>
      <c r="H247" s="254"/>
      <c r="I247" s="607"/>
      <c r="J247" s="610"/>
      <c r="K247" s="470">
        <f t="shared" si="152"/>
        <v>0</v>
      </c>
      <c r="L247" s="472">
        <f t="shared" si="153"/>
        <v>0</v>
      </c>
      <c r="M247" s="473" t="str">
        <f t="shared" si="154"/>
        <v>-</v>
      </c>
      <c r="N247" s="474">
        <f t="shared" si="160"/>
        <v>0</v>
      </c>
      <c r="O247" s="472">
        <f t="shared" si="155"/>
        <v>0</v>
      </c>
      <c r="P247" s="475" t="str">
        <f t="shared" si="161"/>
        <v>-</v>
      </c>
      <c r="Q247" s="472" t="str">
        <f t="shared" si="156"/>
        <v>-</v>
      </c>
      <c r="R247" s="472">
        <f t="shared" si="157"/>
        <v>0</v>
      </c>
      <c r="S247" s="476" t="str">
        <f t="shared" si="158"/>
        <v>-</v>
      </c>
      <c r="T247" s="477" t="str">
        <f t="shared" si="159"/>
        <v>-</v>
      </c>
    </row>
    <row r="248" spans="1:20" ht="24" x14ac:dyDescent="0.25">
      <c r="A248" s="248">
        <v>5</v>
      </c>
      <c r="B248" s="249" t="s">
        <v>22</v>
      </c>
      <c r="C248" s="470">
        <f t="shared" si="150"/>
        <v>0</v>
      </c>
      <c r="D248" s="250"/>
      <c r="E248" s="251"/>
      <c r="F248" s="601">
        <v>80000</v>
      </c>
      <c r="G248" s="472">
        <f t="shared" si="151"/>
        <v>0</v>
      </c>
      <c r="H248" s="471"/>
      <c r="I248" s="611"/>
      <c r="J248" s="610"/>
      <c r="K248" s="470">
        <f>+L248-E248</f>
        <v>0</v>
      </c>
      <c r="L248" s="472">
        <f t="shared" si="153"/>
        <v>0</v>
      </c>
      <c r="M248" s="473" t="str">
        <f>IFERROR(K248/L248,"-")</f>
        <v>-</v>
      </c>
      <c r="N248" s="474">
        <f t="shared" si="160"/>
        <v>0</v>
      </c>
      <c r="O248" s="472">
        <f t="shared" si="155"/>
        <v>0</v>
      </c>
      <c r="P248" s="475" t="str">
        <f t="shared" si="161"/>
        <v>-</v>
      </c>
      <c r="Q248" s="472" t="str">
        <f t="shared" si="156"/>
        <v>-</v>
      </c>
      <c r="R248" s="472">
        <f t="shared" si="157"/>
        <v>0</v>
      </c>
      <c r="S248" s="476" t="str">
        <f t="shared" si="158"/>
        <v>-</v>
      </c>
      <c r="T248" s="477" t="str">
        <f t="shared" si="159"/>
        <v>-</v>
      </c>
    </row>
    <row r="249" spans="1:20" ht="24" x14ac:dyDescent="0.25">
      <c r="A249" s="248" t="s">
        <v>103</v>
      </c>
      <c r="B249" s="249" t="s">
        <v>23</v>
      </c>
      <c r="C249" s="470">
        <f t="shared" si="150"/>
        <v>0</v>
      </c>
      <c r="D249" s="250"/>
      <c r="E249" s="251"/>
      <c r="F249" s="601">
        <v>14000</v>
      </c>
      <c r="G249" s="472">
        <f t="shared" si="151"/>
        <v>0</v>
      </c>
      <c r="H249" s="254"/>
      <c r="I249" s="607"/>
      <c r="J249" s="610"/>
      <c r="K249" s="470">
        <f t="shared" ref="K249:K258" si="162">+L249-E249</f>
        <v>0</v>
      </c>
      <c r="L249" s="472">
        <f t="shared" si="153"/>
        <v>0</v>
      </c>
      <c r="M249" s="473" t="str">
        <f t="shared" ref="M249:M258" si="163">IFERROR(K249/L249,"-")</f>
        <v>-</v>
      </c>
      <c r="N249" s="474">
        <f t="shared" si="160"/>
        <v>0</v>
      </c>
      <c r="O249" s="472">
        <f t="shared" si="155"/>
        <v>0</v>
      </c>
      <c r="P249" s="475" t="str">
        <f t="shared" si="161"/>
        <v>-</v>
      </c>
      <c r="Q249" s="472" t="str">
        <f t="shared" si="156"/>
        <v>-</v>
      </c>
      <c r="R249" s="472">
        <f t="shared" si="157"/>
        <v>0</v>
      </c>
      <c r="S249" s="476" t="str">
        <f t="shared" si="158"/>
        <v>-</v>
      </c>
      <c r="T249" s="477" t="str">
        <f t="shared" si="159"/>
        <v>-</v>
      </c>
    </row>
    <row r="250" spans="1:20" ht="24.75" thickBot="1" x14ac:dyDescent="0.3">
      <c r="A250" s="248" t="s">
        <v>103</v>
      </c>
      <c r="B250" s="253" t="s">
        <v>212</v>
      </c>
      <c r="C250" s="478">
        <f t="shared" si="150"/>
        <v>780</v>
      </c>
      <c r="D250" s="250"/>
      <c r="E250" s="251">
        <v>780</v>
      </c>
      <c r="F250" s="601">
        <v>4500</v>
      </c>
      <c r="G250" s="472">
        <f>+H250+I250</f>
        <v>4734</v>
      </c>
      <c r="H250" s="259">
        <v>4717</v>
      </c>
      <c r="I250" s="608">
        <v>17</v>
      </c>
      <c r="J250" s="610">
        <v>960</v>
      </c>
      <c r="K250" s="478">
        <f t="shared" si="162"/>
        <v>180</v>
      </c>
      <c r="L250" s="250">
        <f t="shared" si="153"/>
        <v>960</v>
      </c>
      <c r="M250" s="479">
        <f t="shared" si="163"/>
        <v>0.1875</v>
      </c>
      <c r="N250" s="480">
        <f t="shared" si="160"/>
        <v>-600</v>
      </c>
      <c r="O250" s="250">
        <f t="shared" si="155"/>
        <v>180</v>
      </c>
      <c r="P250" s="481">
        <f t="shared" si="161"/>
        <v>-3.3333333333333335</v>
      </c>
      <c r="Q250" s="250">
        <f t="shared" si="156"/>
        <v>-603.44740177439792</v>
      </c>
      <c r="R250" s="250">
        <f t="shared" si="157"/>
        <v>-600</v>
      </c>
      <c r="S250" s="482">
        <f t="shared" si="158"/>
        <v>1.0057456696239966</v>
      </c>
      <c r="T250" s="483">
        <f t="shared" si="159"/>
        <v>-0.62859104351499784</v>
      </c>
    </row>
    <row r="251" spans="1:20" ht="24.75" thickBot="1" x14ac:dyDescent="0.3">
      <c r="A251" s="255" t="s">
        <v>103</v>
      </c>
      <c r="B251" s="256" t="s">
        <v>213</v>
      </c>
      <c r="C251" s="484">
        <f t="shared" si="150"/>
        <v>90</v>
      </c>
      <c r="D251" s="257">
        <v>30</v>
      </c>
      <c r="E251" s="258">
        <v>60</v>
      </c>
      <c r="F251" s="605">
        <v>5000</v>
      </c>
      <c r="G251" s="494">
        <f t="shared" ref="G251:G258" si="164">+H251+I251</f>
        <v>11000</v>
      </c>
      <c r="H251" s="259">
        <v>10958</v>
      </c>
      <c r="I251" s="608">
        <v>42</v>
      </c>
      <c r="J251" s="613">
        <v>480</v>
      </c>
      <c r="K251" s="484">
        <f t="shared" si="162"/>
        <v>390</v>
      </c>
      <c r="L251" s="257">
        <f t="shared" si="153"/>
        <v>450</v>
      </c>
      <c r="M251" s="485">
        <f t="shared" si="163"/>
        <v>0.8666666666666667</v>
      </c>
      <c r="N251" s="486">
        <f t="shared" si="160"/>
        <v>300</v>
      </c>
      <c r="O251" s="257">
        <f t="shared" si="155"/>
        <v>390</v>
      </c>
      <c r="P251" s="487">
        <f t="shared" si="161"/>
        <v>0.76923076923076927</v>
      </c>
      <c r="Q251" s="257">
        <f t="shared" si="156"/>
        <v>298.16727272727275</v>
      </c>
      <c r="R251" s="257">
        <f t="shared" si="157"/>
        <v>300</v>
      </c>
      <c r="S251" s="488">
        <f t="shared" si="158"/>
        <v>0.99389090909090916</v>
      </c>
      <c r="T251" s="489">
        <f t="shared" si="159"/>
        <v>0.66259393939393951</v>
      </c>
    </row>
    <row r="252" spans="1:20" ht="24" x14ac:dyDescent="0.25">
      <c r="A252" s="252" t="s">
        <v>101</v>
      </c>
      <c r="B252" s="260" t="s">
        <v>29</v>
      </c>
      <c r="C252" s="470">
        <f t="shared" si="150"/>
        <v>175</v>
      </c>
      <c r="D252" s="250">
        <v>175</v>
      </c>
      <c r="E252" s="251"/>
      <c r="F252" s="471">
        <v>160000</v>
      </c>
      <c r="G252" s="472">
        <f t="shared" si="164"/>
        <v>0</v>
      </c>
      <c r="H252" s="471"/>
      <c r="I252" s="611"/>
      <c r="J252" s="703">
        <v>1440</v>
      </c>
      <c r="K252" s="470">
        <f t="shared" si="162"/>
        <v>1265</v>
      </c>
      <c r="L252" s="472">
        <f t="shared" si="153"/>
        <v>1265</v>
      </c>
      <c r="M252" s="473">
        <f t="shared" si="163"/>
        <v>1</v>
      </c>
      <c r="N252" s="474">
        <f t="shared" si="160"/>
        <v>1090</v>
      </c>
      <c r="O252" s="472">
        <f t="shared" si="155"/>
        <v>1265</v>
      </c>
      <c r="P252" s="475">
        <f t="shared" si="161"/>
        <v>0.86166007905138342</v>
      </c>
      <c r="Q252" s="472" t="str">
        <f t="shared" si="156"/>
        <v>-</v>
      </c>
      <c r="R252" s="472">
        <f t="shared" si="157"/>
        <v>1090</v>
      </c>
      <c r="S252" s="490" t="str">
        <f t="shared" si="158"/>
        <v>-</v>
      </c>
      <c r="T252" s="491" t="str">
        <f t="shared" si="159"/>
        <v>-</v>
      </c>
    </row>
    <row r="253" spans="1:20" ht="22.5" customHeight="1" x14ac:dyDescent="0.25">
      <c r="A253" s="248" t="s">
        <v>101</v>
      </c>
      <c r="B253" s="260" t="s">
        <v>31</v>
      </c>
      <c r="C253" s="470">
        <f t="shared" si="150"/>
        <v>0</v>
      </c>
      <c r="D253" s="707"/>
      <c r="E253" s="251"/>
      <c r="F253" s="471">
        <v>50000</v>
      </c>
      <c r="G253" s="472">
        <f t="shared" si="164"/>
        <v>0</v>
      </c>
      <c r="H253" s="471"/>
      <c r="I253" s="611"/>
      <c r="J253" s="610"/>
      <c r="K253" s="470">
        <f t="shared" si="162"/>
        <v>0</v>
      </c>
      <c r="L253" s="472">
        <f t="shared" si="153"/>
        <v>0</v>
      </c>
      <c r="M253" s="473" t="str">
        <f t="shared" si="163"/>
        <v>-</v>
      </c>
      <c r="N253" s="474">
        <f t="shared" si="160"/>
        <v>0</v>
      </c>
      <c r="O253" s="472">
        <f t="shared" si="155"/>
        <v>0</v>
      </c>
      <c r="P253" s="475" t="str">
        <f t="shared" si="161"/>
        <v>-</v>
      </c>
      <c r="Q253" s="472" t="str">
        <f t="shared" si="156"/>
        <v>-</v>
      </c>
      <c r="R253" s="472">
        <f t="shared" si="157"/>
        <v>0</v>
      </c>
      <c r="S253" s="490" t="str">
        <f t="shared" si="158"/>
        <v>-</v>
      </c>
      <c r="T253" s="491" t="str">
        <f t="shared" si="159"/>
        <v>-</v>
      </c>
    </row>
    <row r="254" spans="1:20" ht="24.75" thickBot="1" x14ac:dyDescent="0.3">
      <c r="A254" s="255" t="s">
        <v>101</v>
      </c>
      <c r="B254" s="261" t="s">
        <v>32</v>
      </c>
      <c r="C254" s="492">
        <f t="shared" si="150"/>
        <v>0</v>
      </c>
      <c r="D254" s="257"/>
      <c r="E254" s="258"/>
      <c r="F254" s="493">
        <v>110000</v>
      </c>
      <c r="G254" s="494">
        <f t="shared" si="164"/>
        <v>0</v>
      </c>
      <c r="H254" s="493"/>
      <c r="I254" s="612"/>
      <c r="J254" s="613"/>
      <c r="K254" s="492">
        <f t="shared" si="162"/>
        <v>0</v>
      </c>
      <c r="L254" s="494">
        <f t="shared" si="153"/>
        <v>0</v>
      </c>
      <c r="M254" s="495" t="str">
        <f t="shared" si="163"/>
        <v>-</v>
      </c>
      <c r="N254" s="496">
        <f t="shared" si="160"/>
        <v>0</v>
      </c>
      <c r="O254" s="494">
        <f t="shared" si="155"/>
        <v>0</v>
      </c>
      <c r="P254" s="497" t="str">
        <f t="shared" si="161"/>
        <v>-</v>
      </c>
      <c r="Q254" s="494" t="str">
        <f t="shared" si="156"/>
        <v>-</v>
      </c>
      <c r="R254" s="494">
        <f t="shared" si="157"/>
        <v>0</v>
      </c>
      <c r="S254" s="498" t="str">
        <f t="shared" si="158"/>
        <v>-</v>
      </c>
      <c r="T254" s="499" t="str">
        <f t="shared" si="159"/>
        <v>-</v>
      </c>
    </row>
    <row r="255" spans="1:20" ht="24" x14ac:dyDescent="0.25">
      <c r="A255" s="248" t="s">
        <v>102</v>
      </c>
      <c r="B255" s="249" t="s">
        <v>219</v>
      </c>
      <c r="C255" s="470">
        <f t="shared" si="150"/>
        <v>30</v>
      </c>
      <c r="D255" s="250">
        <v>30</v>
      </c>
      <c r="E255" s="251"/>
      <c r="F255" s="471">
        <v>6500</v>
      </c>
      <c r="G255" s="472">
        <f t="shared" si="164"/>
        <v>745</v>
      </c>
      <c r="H255" s="471">
        <v>700</v>
      </c>
      <c r="I255" s="611">
        <v>45</v>
      </c>
      <c r="J255" s="610">
        <v>480</v>
      </c>
      <c r="K255" s="470">
        <f t="shared" si="162"/>
        <v>450</v>
      </c>
      <c r="L255" s="472">
        <f t="shared" si="153"/>
        <v>450</v>
      </c>
      <c r="M255" s="473">
        <f t="shared" si="163"/>
        <v>1</v>
      </c>
      <c r="N255" s="474">
        <f t="shared" si="160"/>
        <v>420</v>
      </c>
      <c r="O255" s="472">
        <f t="shared" si="155"/>
        <v>450</v>
      </c>
      <c r="P255" s="475">
        <f t="shared" si="161"/>
        <v>0.93333333333333335</v>
      </c>
      <c r="Q255" s="472">
        <f t="shared" si="156"/>
        <v>391.00671140939596</v>
      </c>
      <c r="R255" s="472">
        <f t="shared" si="157"/>
        <v>420</v>
      </c>
      <c r="S255" s="490">
        <f t="shared" si="158"/>
        <v>0.9309683604985618</v>
      </c>
      <c r="T255" s="491">
        <f t="shared" si="159"/>
        <v>0.868903803131991</v>
      </c>
    </row>
    <row r="256" spans="1:20" ht="24" x14ac:dyDescent="0.25">
      <c r="A256" s="252" t="s">
        <v>102</v>
      </c>
      <c r="B256" s="249" t="s">
        <v>38</v>
      </c>
      <c r="C256" s="470">
        <f t="shared" si="150"/>
        <v>30</v>
      </c>
      <c r="D256" s="250">
        <v>30</v>
      </c>
      <c r="E256" s="251"/>
      <c r="F256" s="471">
        <v>2800</v>
      </c>
      <c r="G256" s="472">
        <f t="shared" si="164"/>
        <v>870</v>
      </c>
      <c r="H256" s="471">
        <v>800</v>
      </c>
      <c r="I256" s="611">
        <v>70</v>
      </c>
      <c r="J256" s="610">
        <v>480</v>
      </c>
      <c r="K256" s="470">
        <f t="shared" si="162"/>
        <v>450</v>
      </c>
      <c r="L256" s="472">
        <f t="shared" si="153"/>
        <v>450</v>
      </c>
      <c r="M256" s="473">
        <f t="shared" si="163"/>
        <v>1</v>
      </c>
      <c r="N256" s="474">
        <f t="shared" si="160"/>
        <v>420</v>
      </c>
      <c r="O256" s="472">
        <f t="shared" si="155"/>
        <v>450</v>
      </c>
      <c r="P256" s="475">
        <f t="shared" si="161"/>
        <v>0.93333333333333335</v>
      </c>
      <c r="Q256" s="472">
        <f t="shared" si="156"/>
        <v>381.37931034482756</v>
      </c>
      <c r="R256" s="472">
        <f t="shared" si="157"/>
        <v>420</v>
      </c>
      <c r="S256" s="490">
        <f t="shared" si="158"/>
        <v>0.90804597701149414</v>
      </c>
      <c r="T256" s="491">
        <f t="shared" si="159"/>
        <v>0.84750957854406117</v>
      </c>
    </row>
    <row r="257" spans="1:20" ht="24" x14ac:dyDescent="0.25">
      <c r="A257" s="248" t="s">
        <v>102</v>
      </c>
      <c r="B257" s="249" t="s">
        <v>39</v>
      </c>
      <c r="C257" s="470">
        <f t="shared" si="150"/>
        <v>30</v>
      </c>
      <c r="D257" s="250">
        <v>30</v>
      </c>
      <c r="E257" s="251"/>
      <c r="F257" s="471">
        <v>25000</v>
      </c>
      <c r="G257" s="472">
        <f t="shared" si="164"/>
        <v>25326</v>
      </c>
      <c r="H257" s="471">
        <v>25200</v>
      </c>
      <c r="I257" s="611">
        <v>126</v>
      </c>
      <c r="J257" s="610">
        <v>480</v>
      </c>
      <c r="K257" s="470">
        <f t="shared" si="162"/>
        <v>450</v>
      </c>
      <c r="L257" s="472">
        <f t="shared" si="153"/>
        <v>450</v>
      </c>
      <c r="M257" s="473">
        <f t="shared" si="163"/>
        <v>1</v>
      </c>
      <c r="N257" s="474">
        <f t="shared" si="160"/>
        <v>420</v>
      </c>
      <c r="O257" s="472">
        <f t="shared" si="155"/>
        <v>450</v>
      </c>
      <c r="P257" s="475">
        <f t="shared" si="161"/>
        <v>0.93333333333333335</v>
      </c>
      <c r="Q257" s="472">
        <f t="shared" si="156"/>
        <v>417.61194029850748</v>
      </c>
      <c r="R257" s="472">
        <f t="shared" si="157"/>
        <v>420</v>
      </c>
      <c r="S257" s="490">
        <f t="shared" si="158"/>
        <v>0.99431414356787495</v>
      </c>
      <c r="T257" s="491">
        <f t="shared" si="159"/>
        <v>0.92802653399668333</v>
      </c>
    </row>
    <row r="258" spans="1:20" ht="45.75" thickBot="1" x14ac:dyDescent="0.3">
      <c r="A258" s="615" t="s">
        <v>102</v>
      </c>
      <c r="B258" s="261" t="s">
        <v>218</v>
      </c>
      <c r="C258" s="616">
        <f t="shared" si="150"/>
        <v>0</v>
      </c>
      <c r="D258" s="617"/>
      <c r="E258" s="618"/>
      <c r="F258" s="619">
        <v>25000</v>
      </c>
      <c r="G258" s="620">
        <f t="shared" si="164"/>
        <v>11826</v>
      </c>
      <c r="H258" s="619">
        <v>11400</v>
      </c>
      <c r="I258" s="621">
        <v>426</v>
      </c>
      <c r="J258" s="614"/>
      <c r="K258" s="616">
        <f t="shared" si="162"/>
        <v>0</v>
      </c>
      <c r="L258" s="620">
        <f t="shared" si="153"/>
        <v>0</v>
      </c>
      <c r="M258" s="622" t="str">
        <f t="shared" si="163"/>
        <v>-</v>
      </c>
      <c r="N258" s="623">
        <f t="shared" si="160"/>
        <v>0</v>
      </c>
      <c r="O258" s="620">
        <f t="shared" si="155"/>
        <v>0</v>
      </c>
      <c r="P258" s="624" t="str">
        <f t="shared" si="161"/>
        <v>-</v>
      </c>
      <c r="Q258" s="620">
        <f t="shared" si="156"/>
        <v>0</v>
      </c>
      <c r="R258" s="620">
        <f t="shared" si="157"/>
        <v>0</v>
      </c>
      <c r="S258" s="625" t="str">
        <f t="shared" si="158"/>
        <v>-</v>
      </c>
      <c r="T258" s="626" t="str">
        <f t="shared" si="159"/>
        <v>-</v>
      </c>
    </row>
    <row r="259" spans="1:20" ht="24.6" customHeight="1" x14ac:dyDescent="0.25">
      <c r="A259" s="230"/>
      <c r="B259" s="231"/>
      <c r="C259" s="232"/>
      <c r="D259" s="232"/>
      <c r="E259" s="232"/>
      <c r="F259" s="232"/>
      <c r="G259" s="233"/>
      <c r="H259" s="234"/>
      <c r="I259" s="232"/>
      <c r="J259" s="232"/>
      <c r="K259" s="232"/>
      <c r="L259" s="232"/>
      <c r="M259" s="234"/>
      <c r="N259" s="232"/>
      <c r="O259" s="232"/>
      <c r="P259" s="234"/>
      <c r="Q259" s="232"/>
      <c r="R259" s="232"/>
      <c r="S259" s="234"/>
      <c r="T259" s="234"/>
    </row>
    <row r="260" spans="1:20" ht="24.6" customHeight="1" thickBot="1" x14ac:dyDescent="0.3">
      <c r="A260" s="230"/>
      <c r="B260" s="231"/>
      <c r="C260" s="232"/>
      <c r="D260" s="232"/>
      <c r="E260" s="232"/>
      <c r="F260" s="232"/>
      <c r="G260" s="233"/>
      <c r="H260" s="234"/>
      <c r="I260" s="232"/>
      <c r="J260" s="232"/>
      <c r="K260" s="232"/>
      <c r="L260" s="232"/>
      <c r="M260" s="234"/>
      <c r="N260" s="232"/>
      <c r="O260" s="232"/>
      <c r="P260" s="234"/>
      <c r="Q260" s="232"/>
      <c r="R260" s="232"/>
      <c r="S260" s="234"/>
      <c r="T260" s="234"/>
    </row>
    <row r="261" spans="1:20" ht="22.5" customHeight="1" x14ac:dyDescent="0.25">
      <c r="A261" s="1033" t="s">
        <v>1</v>
      </c>
      <c r="B261" s="1033" t="s">
        <v>2</v>
      </c>
      <c r="C261" s="987" t="s">
        <v>207</v>
      </c>
      <c r="D261" s="988"/>
      <c r="E261" s="989"/>
      <c r="F261" s="987" t="s">
        <v>478</v>
      </c>
      <c r="G261" s="988"/>
      <c r="H261" s="988"/>
      <c r="I261" s="989"/>
      <c r="J261" s="1033" t="s">
        <v>204</v>
      </c>
      <c r="K261" s="987" t="s">
        <v>192</v>
      </c>
      <c r="L261" s="988"/>
      <c r="M261" s="989"/>
      <c r="N261" s="987" t="s">
        <v>193</v>
      </c>
      <c r="O261" s="988"/>
      <c r="P261" s="989"/>
      <c r="Q261" s="987" t="s">
        <v>194</v>
      </c>
      <c r="R261" s="988"/>
      <c r="S261" s="989"/>
      <c r="T261" s="1091" t="s">
        <v>191</v>
      </c>
    </row>
    <row r="262" spans="1:20" ht="90.75" thickBot="1" x14ac:dyDescent="0.3">
      <c r="A262" s="1035"/>
      <c r="B262" s="1035"/>
      <c r="C262" s="235" t="s">
        <v>208</v>
      </c>
      <c r="D262" s="236" t="s">
        <v>205</v>
      </c>
      <c r="E262" s="237" t="s">
        <v>206</v>
      </c>
      <c r="F262" s="238" t="s">
        <v>326</v>
      </c>
      <c r="G262" s="236" t="s">
        <v>201</v>
      </c>
      <c r="H262" s="239" t="s">
        <v>202</v>
      </c>
      <c r="I262" s="240" t="s">
        <v>203</v>
      </c>
      <c r="J262" s="1035"/>
      <c r="K262" s="235" t="s">
        <v>195</v>
      </c>
      <c r="L262" s="239" t="s">
        <v>196</v>
      </c>
      <c r="M262" s="241" t="s">
        <v>209</v>
      </c>
      <c r="N262" s="242" t="s">
        <v>197</v>
      </c>
      <c r="O262" s="239" t="s">
        <v>198</v>
      </c>
      <c r="P262" s="241" t="s">
        <v>210</v>
      </c>
      <c r="Q262" s="235" t="s">
        <v>199</v>
      </c>
      <c r="R262" s="239" t="s">
        <v>200</v>
      </c>
      <c r="S262" s="243" t="s">
        <v>211</v>
      </c>
      <c r="T262" s="1092"/>
    </row>
    <row r="263" spans="1:20" ht="25.5" customHeight="1" x14ac:dyDescent="0.25">
      <c r="A263" s="244" t="s">
        <v>103</v>
      </c>
      <c r="B263" s="245" t="s">
        <v>16</v>
      </c>
      <c r="C263" s="463">
        <f>+D263+E263</f>
        <v>0</v>
      </c>
      <c r="D263" s="246"/>
      <c r="E263" s="247"/>
      <c r="F263" s="600">
        <v>15000</v>
      </c>
      <c r="G263" s="464">
        <f>+H263+I263</f>
        <v>0</v>
      </c>
      <c r="H263" s="604"/>
      <c r="I263" s="606"/>
      <c r="J263" s="609"/>
      <c r="K263" s="463">
        <f>+L263-E263</f>
        <v>0</v>
      </c>
      <c r="L263" s="464">
        <f>+J263-D263</f>
        <v>0</v>
      </c>
      <c r="M263" s="465" t="str">
        <f>IFERROR(K263/L263,"-")</f>
        <v>-</v>
      </c>
      <c r="N263" s="466">
        <f>+O263-C263</f>
        <v>0</v>
      </c>
      <c r="O263" s="464">
        <f>+K263</f>
        <v>0</v>
      </c>
      <c r="P263" s="467" t="str">
        <f>IFERROR(N263/O263,"-")</f>
        <v>-</v>
      </c>
      <c r="Q263" s="464" t="str">
        <f>IFERROR(N263-(J263-(J263*H263/G263)),"-")</f>
        <v>-</v>
      </c>
      <c r="R263" s="464">
        <f>+N263</f>
        <v>0</v>
      </c>
      <c r="S263" s="468" t="str">
        <f>IFERROR(Q263/R263,"-")</f>
        <v>-</v>
      </c>
      <c r="T263" s="469" t="str">
        <f>IFERROR(M263*P263*S263,"-")</f>
        <v>-</v>
      </c>
    </row>
    <row r="264" spans="1:20" ht="25.5" customHeight="1" x14ac:dyDescent="0.25">
      <c r="A264" s="248" t="s">
        <v>103</v>
      </c>
      <c r="B264" s="249" t="s">
        <v>215</v>
      </c>
      <c r="C264" s="470">
        <f t="shared" ref="C264:C278" si="165">+D264+E264</f>
        <v>240</v>
      </c>
      <c r="D264" s="250">
        <v>30</v>
      </c>
      <c r="E264" s="251">
        <v>210</v>
      </c>
      <c r="F264" s="601">
        <v>100000</v>
      </c>
      <c r="G264" s="472">
        <f t="shared" ref="G264:G269" si="166">+H264+I264</f>
        <v>6352</v>
      </c>
      <c r="H264" s="254">
        <v>6120</v>
      </c>
      <c r="I264" s="607">
        <v>232</v>
      </c>
      <c r="J264" s="610">
        <v>480</v>
      </c>
      <c r="K264" s="470">
        <f t="shared" ref="K264:K267" si="167">+L264-E264</f>
        <v>240</v>
      </c>
      <c r="L264" s="472">
        <f t="shared" ref="L264:L278" si="168">+J264-D264</f>
        <v>450</v>
      </c>
      <c r="M264" s="473">
        <f t="shared" ref="M264:M267" si="169">IFERROR(K264/L264,"-")</f>
        <v>0.53333333333333333</v>
      </c>
      <c r="N264" s="474">
        <f>+O264-C264</f>
        <v>0</v>
      </c>
      <c r="O264" s="472">
        <f t="shared" ref="O264:O278" si="170">+K264</f>
        <v>240</v>
      </c>
      <c r="P264" s="475">
        <f>IFERROR(N264/O264,"-")</f>
        <v>0</v>
      </c>
      <c r="Q264" s="472">
        <f t="shared" ref="Q264:Q278" si="171">IFERROR(N264-(J264-(J264*H264/G264)),"-")</f>
        <v>-17.531486146095745</v>
      </c>
      <c r="R264" s="472">
        <f t="shared" ref="R264:R278" si="172">+N264</f>
        <v>0</v>
      </c>
      <c r="S264" s="476" t="str">
        <f t="shared" ref="S264:S278" si="173">IFERROR(Q264/R264,"-")</f>
        <v>-</v>
      </c>
      <c r="T264" s="477" t="str">
        <f t="shared" ref="T264:T278" si="174">IFERROR(M264*P264*S264,"-")</f>
        <v>-</v>
      </c>
    </row>
    <row r="265" spans="1:20" ht="24" x14ac:dyDescent="0.25">
      <c r="A265" s="248" t="s">
        <v>103</v>
      </c>
      <c r="B265" s="249" t="s">
        <v>214</v>
      </c>
      <c r="C265" s="470">
        <f t="shared" si="165"/>
        <v>0</v>
      </c>
      <c r="D265" s="250"/>
      <c r="E265" s="251"/>
      <c r="F265" s="601">
        <v>80000</v>
      </c>
      <c r="G265" s="472">
        <f t="shared" si="166"/>
        <v>0</v>
      </c>
      <c r="H265" s="254"/>
      <c r="I265" s="607"/>
      <c r="J265" s="610"/>
      <c r="K265" s="470">
        <f t="shared" si="167"/>
        <v>0</v>
      </c>
      <c r="L265" s="472">
        <f t="shared" si="168"/>
        <v>0</v>
      </c>
      <c r="M265" s="473" t="str">
        <f t="shared" si="169"/>
        <v>-</v>
      </c>
      <c r="N265" s="474">
        <f t="shared" ref="N265:N278" si="175">+O265-C265</f>
        <v>0</v>
      </c>
      <c r="O265" s="472">
        <f t="shared" si="170"/>
        <v>0</v>
      </c>
      <c r="P265" s="475" t="str">
        <f t="shared" ref="P265:P278" si="176">IFERROR(N265/O265,"-")</f>
        <v>-</v>
      </c>
      <c r="Q265" s="472" t="str">
        <f t="shared" si="171"/>
        <v>-</v>
      </c>
      <c r="R265" s="472">
        <f t="shared" si="172"/>
        <v>0</v>
      </c>
      <c r="S265" s="476" t="str">
        <f t="shared" si="173"/>
        <v>-</v>
      </c>
      <c r="T265" s="477" t="str">
        <f t="shared" si="174"/>
        <v>-</v>
      </c>
    </row>
    <row r="266" spans="1:20" ht="24" x14ac:dyDescent="0.25">
      <c r="A266" s="252" t="s">
        <v>103</v>
      </c>
      <c r="B266" s="249" t="s">
        <v>217</v>
      </c>
      <c r="C266" s="470">
        <f t="shared" si="165"/>
        <v>210</v>
      </c>
      <c r="D266" s="250">
        <f>30+30</f>
        <v>60</v>
      </c>
      <c r="E266" s="251">
        <v>150</v>
      </c>
      <c r="F266" s="601">
        <v>220000</v>
      </c>
      <c r="G266" s="472">
        <f t="shared" si="166"/>
        <v>118733</v>
      </c>
      <c r="H266" s="254">
        <v>118272</v>
      </c>
      <c r="I266" s="607">
        <v>461</v>
      </c>
      <c r="J266" s="610">
        <v>960</v>
      </c>
      <c r="K266" s="470">
        <f t="shared" si="167"/>
        <v>750</v>
      </c>
      <c r="L266" s="472">
        <f t="shared" si="168"/>
        <v>900</v>
      </c>
      <c r="M266" s="473">
        <f t="shared" si="169"/>
        <v>0.83333333333333337</v>
      </c>
      <c r="N266" s="474">
        <f t="shared" si="175"/>
        <v>540</v>
      </c>
      <c r="O266" s="472">
        <f t="shared" si="170"/>
        <v>750</v>
      </c>
      <c r="P266" s="475">
        <f t="shared" si="176"/>
        <v>0.72</v>
      </c>
      <c r="Q266" s="472">
        <f t="shared" si="171"/>
        <v>536.27264534712333</v>
      </c>
      <c r="R266" s="472">
        <f t="shared" si="172"/>
        <v>540</v>
      </c>
      <c r="S266" s="476">
        <f t="shared" si="173"/>
        <v>0.99309749138356174</v>
      </c>
      <c r="T266" s="477">
        <f t="shared" si="174"/>
        <v>0.59585849483013698</v>
      </c>
    </row>
    <row r="267" spans="1:20" ht="24" x14ac:dyDescent="0.25">
      <c r="A267" s="248" t="s">
        <v>103</v>
      </c>
      <c r="B267" s="249" t="s">
        <v>216</v>
      </c>
      <c r="C267" s="470">
        <f t="shared" si="165"/>
        <v>0</v>
      </c>
      <c r="D267" s="250"/>
      <c r="E267" s="251"/>
      <c r="F267" s="601">
        <v>50000</v>
      </c>
      <c r="G267" s="472">
        <f t="shared" si="166"/>
        <v>0</v>
      </c>
      <c r="H267" s="254"/>
      <c r="I267" s="607"/>
      <c r="J267" s="610"/>
      <c r="K267" s="470">
        <f t="shared" si="167"/>
        <v>0</v>
      </c>
      <c r="L267" s="472">
        <f t="shared" si="168"/>
        <v>0</v>
      </c>
      <c r="M267" s="473" t="str">
        <f t="shared" si="169"/>
        <v>-</v>
      </c>
      <c r="N267" s="474">
        <f t="shared" si="175"/>
        <v>0</v>
      </c>
      <c r="O267" s="472">
        <f t="shared" si="170"/>
        <v>0</v>
      </c>
      <c r="P267" s="475" t="str">
        <f t="shared" si="176"/>
        <v>-</v>
      </c>
      <c r="Q267" s="472" t="str">
        <f t="shared" si="171"/>
        <v>-</v>
      </c>
      <c r="R267" s="472">
        <f t="shared" si="172"/>
        <v>0</v>
      </c>
      <c r="S267" s="476" t="str">
        <f t="shared" si="173"/>
        <v>-</v>
      </c>
      <c r="T267" s="477" t="str">
        <f t="shared" si="174"/>
        <v>-</v>
      </c>
    </row>
    <row r="268" spans="1:20" ht="24" x14ac:dyDescent="0.25">
      <c r="A268" s="248">
        <v>5</v>
      </c>
      <c r="B268" s="249" t="s">
        <v>22</v>
      </c>
      <c r="C268" s="470">
        <f t="shared" si="165"/>
        <v>0</v>
      </c>
      <c r="D268" s="250"/>
      <c r="E268" s="251"/>
      <c r="F268" s="601">
        <v>80000</v>
      </c>
      <c r="G268" s="472">
        <f t="shared" si="166"/>
        <v>0</v>
      </c>
      <c r="H268" s="471"/>
      <c r="I268" s="611"/>
      <c r="J268" s="610"/>
      <c r="K268" s="470">
        <f>+L268-E268</f>
        <v>0</v>
      </c>
      <c r="L268" s="472">
        <f t="shared" si="168"/>
        <v>0</v>
      </c>
      <c r="M268" s="473" t="str">
        <f>IFERROR(K268/L268,"-")</f>
        <v>-</v>
      </c>
      <c r="N268" s="474">
        <f t="shared" si="175"/>
        <v>0</v>
      </c>
      <c r="O268" s="472">
        <f t="shared" si="170"/>
        <v>0</v>
      </c>
      <c r="P268" s="475" t="str">
        <f t="shared" si="176"/>
        <v>-</v>
      </c>
      <c r="Q268" s="472" t="str">
        <f t="shared" si="171"/>
        <v>-</v>
      </c>
      <c r="R268" s="472">
        <f t="shared" si="172"/>
        <v>0</v>
      </c>
      <c r="S268" s="476" t="str">
        <f t="shared" si="173"/>
        <v>-</v>
      </c>
      <c r="T268" s="477" t="str">
        <f t="shared" si="174"/>
        <v>-</v>
      </c>
    </row>
    <row r="269" spans="1:20" ht="24" x14ac:dyDescent="0.25">
      <c r="A269" s="248" t="s">
        <v>103</v>
      </c>
      <c r="B269" s="249" t="s">
        <v>23</v>
      </c>
      <c r="C269" s="470">
        <f t="shared" si="165"/>
        <v>0</v>
      </c>
      <c r="D269" s="250"/>
      <c r="E269" s="251"/>
      <c r="F269" s="601">
        <v>14000</v>
      </c>
      <c r="G269" s="472">
        <f t="shared" si="166"/>
        <v>0</v>
      </c>
      <c r="H269" s="254"/>
      <c r="I269" s="607"/>
      <c r="J269" s="610"/>
      <c r="K269" s="470">
        <f t="shared" ref="K269:K278" si="177">+L269-E269</f>
        <v>0</v>
      </c>
      <c r="L269" s="472">
        <f t="shared" si="168"/>
        <v>0</v>
      </c>
      <c r="M269" s="473" t="str">
        <f t="shared" ref="M269:M278" si="178">IFERROR(K269/L269,"-")</f>
        <v>-</v>
      </c>
      <c r="N269" s="474">
        <f t="shared" si="175"/>
        <v>0</v>
      </c>
      <c r="O269" s="472">
        <f t="shared" si="170"/>
        <v>0</v>
      </c>
      <c r="P269" s="475" t="str">
        <f t="shared" si="176"/>
        <v>-</v>
      </c>
      <c r="Q269" s="472" t="str">
        <f t="shared" si="171"/>
        <v>-</v>
      </c>
      <c r="R269" s="472">
        <f t="shared" si="172"/>
        <v>0</v>
      </c>
      <c r="S269" s="476" t="str">
        <f t="shared" si="173"/>
        <v>-</v>
      </c>
      <c r="T269" s="477" t="str">
        <f t="shared" si="174"/>
        <v>-</v>
      </c>
    </row>
    <row r="270" spans="1:20" ht="24.75" thickBot="1" x14ac:dyDescent="0.3">
      <c r="A270" s="248" t="s">
        <v>103</v>
      </c>
      <c r="B270" s="253" t="s">
        <v>212</v>
      </c>
      <c r="C270" s="478">
        <f t="shared" si="165"/>
        <v>960</v>
      </c>
      <c r="D270" s="250">
        <f>30+30</f>
        <v>60</v>
      </c>
      <c r="E270" s="251">
        <v>900</v>
      </c>
      <c r="F270" s="601">
        <v>4500</v>
      </c>
      <c r="G270" s="472">
        <f>+H270+I270</f>
        <v>0</v>
      </c>
      <c r="H270" s="259">
        <v>0</v>
      </c>
      <c r="I270" s="608">
        <v>0</v>
      </c>
      <c r="J270" s="610">
        <v>960</v>
      </c>
      <c r="K270" s="478">
        <f t="shared" si="177"/>
        <v>0</v>
      </c>
      <c r="L270" s="250">
        <f t="shared" si="168"/>
        <v>900</v>
      </c>
      <c r="M270" s="479">
        <f t="shared" si="178"/>
        <v>0</v>
      </c>
      <c r="N270" s="480">
        <f t="shared" si="175"/>
        <v>-960</v>
      </c>
      <c r="O270" s="250">
        <f t="shared" si="170"/>
        <v>0</v>
      </c>
      <c r="P270" s="481" t="str">
        <f t="shared" si="176"/>
        <v>-</v>
      </c>
      <c r="Q270" s="250" t="str">
        <f t="shared" si="171"/>
        <v>-</v>
      </c>
      <c r="R270" s="250">
        <f t="shared" si="172"/>
        <v>-960</v>
      </c>
      <c r="S270" s="482" t="str">
        <f t="shared" si="173"/>
        <v>-</v>
      </c>
      <c r="T270" s="483" t="str">
        <f t="shared" si="174"/>
        <v>-</v>
      </c>
    </row>
    <row r="271" spans="1:20" ht="24.75" thickBot="1" x14ac:dyDescent="0.3">
      <c r="A271" s="255" t="s">
        <v>103</v>
      </c>
      <c r="B271" s="256" t="s">
        <v>213</v>
      </c>
      <c r="C271" s="484">
        <f t="shared" si="165"/>
        <v>90</v>
      </c>
      <c r="D271" s="257">
        <f>30+60</f>
        <v>90</v>
      </c>
      <c r="E271" s="258"/>
      <c r="F271" s="605">
        <v>5000</v>
      </c>
      <c r="G271" s="494">
        <f t="shared" ref="G271:G278" si="179">+H271+I271</f>
        <v>12030</v>
      </c>
      <c r="H271" s="259">
        <v>11959</v>
      </c>
      <c r="I271" s="608">
        <v>71</v>
      </c>
      <c r="J271" s="613">
        <v>480</v>
      </c>
      <c r="K271" s="484">
        <f t="shared" si="177"/>
        <v>390</v>
      </c>
      <c r="L271" s="257">
        <f t="shared" si="168"/>
        <v>390</v>
      </c>
      <c r="M271" s="485">
        <f t="shared" si="178"/>
        <v>1</v>
      </c>
      <c r="N271" s="486">
        <f t="shared" si="175"/>
        <v>300</v>
      </c>
      <c r="O271" s="257">
        <f t="shared" si="170"/>
        <v>390</v>
      </c>
      <c r="P271" s="487">
        <f t="shared" si="176"/>
        <v>0.76923076923076927</v>
      </c>
      <c r="Q271" s="257">
        <f t="shared" si="171"/>
        <v>297.16708229426433</v>
      </c>
      <c r="R271" s="257">
        <f t="shared" si="172"/>
        <v>300</v>
      </c>
      <c r="S271" s="488">
        <f t="shared" si="173"/>
        <v>0.9905569409808811</v>
      </c>
      <c r="T271" s="489">
        <f t="shared" si="174"/>
        <v>0.76196687767760085</v>
      </c>
    </row>
    <row r="272" spans="1:20" ht="24" x14ac:dyDescent="0.25">
      <c r="A272" s="252" t="s">
        <v>101</v>
      </c>
      <c r="B272" s="260" t="s">
        <v>29</v>
      </c>
      <c r="C272" s="470">
        <f t="shared" si="165"/>
        <v>0</v>
      </c>
      <c r="D272" s="250"/>
      <c r="E272" s="251"/>
      <c r="F272" s="471">
        <v>160000</v>
      </c>
      <c r="G272" s="472">
        <f t="shared" si="179"/>
        <v>0</v>
      </c>
      <c r="H272" s="471"/>
      <c r="I272" s="611"/>
      <c r="J272" s="703"/>
      <c r="K272" s="470">
        <f t="shared" si="177"/>
        <v>0</v>
      </c>
      <c r="L272" s="472">
        <f t="shared" si="168"/>
        <v>0</v>
      </c>
      <c r="M272" s="473" t="str">
        <f t="shared" si="178"/>
        <v>-</v>
      </c>
      <c r="N272" s="474">
        <f t="shared" si="175"/>
        <v>0</v>
      </c>
      <c r="O272" s="472">
        <f t="shared" si="170"/>
        <v>0</v>
      </c>
      <c r="P272" s="475" t="str">
        <f t="shared" si="176"/>
        <v>-</v>
      </c>
      <c r="Q272" s="472" t="str">
        <f t="shared" si="171"/>
        <v>-</v>
      </c>
      <c r="R272" s="472">
        <f t="shared" si="172"/>
        <v>0</v>
      </c>
      <c r="S272" s="490" t="str">
        <f t="shared" si="173"/>
        <v>-</v>
      </c>
      <c r="T272" s="491" t="str">
        <f t="shared" si="174"/>
        <v>-</v>
      </c>
    </row>
    <row r="273" spans="1:20" ht="22.5" customHeight="1" x14ac:dyDescent="0.25">
      <c r="A273" s="248" t="s">
        <v>101</v>
      </c>
      <c r="B273" s="260" t="s">
        <v>31</v>
      </c>
      <c r="C273" s="470">
        <f t="shared" si="165"/>
        <v>0</v>
      </c>
      <c r="D273" s="707"/>
      <c r="E273" s="251"/>
      <c r="F273" s="471">
        <v>50000</v>
      </c>
      <c r="G273" s="472">
        <f t="shared" si="179"/>
        <v>0</v>
      </c>
      <c r="H273" s="471"/>
      <c r="I273" s="611"/>
      <c r="J273" s="610"/>
      <c r="K273" s="470">
        <f t="shared" si="177"/>
        <v>0</v>
      </c>
      <c r="L273" s="472">
        <f t="shared" si="168"/>
        <v>0</v>
      </c>
      <c r="M273" s="473" t="str">
        <f t="shared" si="178"/>
        <v>-</v>
      </c>
      <c r="N273" s="474">
        <f t="shared" si="175"/>
        <v>0</v>
      </c>
      <c r="O273" s="472">
        <f t="shared" si="170"/>
        <v>0</v>
      </c>
      <c r="P273" s="475" t="str">
        <f t="shared" si="176"/>
        <v>-</v>
      </c>
      <c r="Q273" s="472" t="str">
        <f t="shared" si="171"/>
        <v>-</v>
      </c>
      <c r="R273" s="472">
        <f t="shared" si="172"/>
        <v>0</v>
      </c>
      <c r="S273" s="490" t="str">
        <f t="shared" si="173"/>
        <v>-</v>
      </c>
      <c r="T273" s="491" t="str">
        <f t="shared" si="174"/>
        <v>-</v>
      </c>
    </row>
    <row r="274" spans="1:20" ht="24.75" thickBot="1" x14ac:dyDescent="0.3">
      <c r="A274" s="255" t="s">
        <v>101</v>
      </c>
      <c r="B274" s="261" t="s">
        <v>32</v>
      </c>
      <c r="C274" s="492">
        <f t="shared" si="165"/>
        <v>0</v>
      </c>
      <c r="D274" s="257"/>
      <c r="E274" s="258"/>
      <c r="F274" s="493">
        <v>110000</v>
      </c>
      <c r="G274" s="494">
        <f t="shared" si="179"/>
        <v>0</v>
      </c>
      <c r="H274" s="493"/>
      <c r="I274" s="612"/>
      <c r="J274" s="613"/>
      <c r="K274" s="492">
        <f t="shared" si="177"/>
        <v>0</v>
      </c>
      <c r="L274" s="494">
        <f t="shared" si="168"/>
        <v>0</v>
      </c>
      <c r="M274" s="495" t="str">
        <f t="shared" si="178"/>
        <v>-</v>
      </c>
      <c r="N274" s="496">
        <f t="shared" si="175"/>
        <v>0</v>
      </c>
      <c r="O274" s="494">
        <f t="shared" si="170"/>
        <v>0</v>
      </c>
      <c r="P274" s="497" t="str">
        <f t="shared" si="176"/>
        <v>-</v>
      </c>
      <c r="Q274" s="494" t="str">
        <f t="shared" si="171"/>
        <v>-</v>
      </c>
      <c r="R274" s="494">
        <f t="shared" si="172"/>
        <v>0</v>
      </c>
      <c r="S274" s="498" t="str">
        <f t="shared" si="173"/>
        <v>-</v>
      </c>
      <c r="T274" s="499" t="str">
        <f t="shared" si="174"/>
        <v>-</v>
      </c>
    </row>
    <row r="275" spans="1:20" ht="24" x14ac:dyDescent="0.25">
      <c r="A275" s="248" t="s">
        <v>102</v>
      </c>
      <c r="B275" s="249" t="s">
        <v>219</v>
      </c>
      <c r="C275" s="470">
        <f t="shared" si="165"/>
        <v>30</v>
      </c>
      <c r="D275" s="250">
        <v>30</v>
      </c>
      <c r="E275" s="251"/>
      <c r="F275" s="471">
        <v>6500</v>
      </c>
      <c r="G275" s="472">
        <f t="shared" si="179"/>
        <v>0</v>
      </c>
      <c r="H275" s="471"/>
      <c r="I275" s="611"/>
      <c r="J275" s="610">
        <v>480</v>
      </c>
      <c r="K275" s="470">
        <f t="shared" si="177"/>
        <v>450</v>
      </c>
      <c r="L275" s="472">
        <f t="shared" si="168"/>
        <v>450</v>
      </c>
      <c r="M275" s="473">
        <f t="shared" si="178"/>
        <v>1</v>
      </c>
      <c r="N275" s="474">
        <f t="shared" si="175"/>
        <v>420</v>
      </c>
      <c r="O275" s="472">
        <f t="shared" si="170"/>
        <v>450</v>
      </c>
      <c r="P275" s="475">
        <f t="shared" si="176"/>
        <v>0.93333333333333335</v>
      </c>
      <c r="Q275" s="472" t="str">
        <f t="shared" si="171"/>
        <v>-</v>
      </c>
      <c r="R275" s="472">
        <f t="shared" si="172"/>
        <v>420</v>
      </c>
      <c r="S275" s="490" t="str">
        <f t="shared" si="173"/>
        <v>-</v>
      </c>
      <c r="T275" s="491" t="str">
        <f t="shared" si="174"/>
        <v>-</v>
      </c>
    </row>
    <row r="276" spans="1:20" ht="24" x14ac:dyDescent="0.25">
      <c r="A276" s="252" t="s">
        <v>102</v>
      </c>
      <c r="B276" s="249" t="s">
        <v>38</v>
      </c>
      <c r="C276" s="470">
        <f t="shared" si="165"/>
        <v>30</v>
      </c>
      <c r="D276" s="250">
        <v>30</v>
      </c>
      <c r="E276" s="251"/>
      <c r="F276" s="471">
        <v>2800</v>
      </c>
      <c r="G276" s="472">
        <f t="shared" si="179"/>
        <v>0</v>
      </c>
      <c r="H276" s="471"/>
      <c r="I276" s="611"/>
      <c r="J276" s="610">
        <v>480</v>
      </c>
      <c r="K276" s="470">
        <f t="shared" si="177"/>
        <v>450</v>
      </c>
      <c r="L276" s="472">
        <f t="shared" si="168"/>
        <v>450</v>
      </c>
      <c r="M276" s="473">
        <f t="shared" si="178"/>
        <v>1</v>
      </c>
      <c r="N276" s="474">
        <f t="shared" si="175"/>
        <v>420</v>
      </c>
      <c r="O276" s="472">
        <f t="shared" si="170"/>
        <v>450</v>
      </c>
      <c r="P276" s="475">
        <f t="shared" si="176"/>
        <v>0.93333333333333335</v>
      </c>
      <c r="Q276" s="472" t="str">
        <f t="shared" si="171"/>
        <v>-</v>
      </c>
      <c r="R276" s="472">
        <f t="shared" si="172"/>
        <v>420</v>
      </c>
      <c r="S276" s="490" t="str">
        <f t="shared" si="173"/>
        <v>-</v>
      </c>
      <c r="T276" s="491" t="str">
        <f t="shared" si="174"/>
        <v>-</v>
      </c>
    </row>
    <row r="277" spans="1:20" ht="24" x14ac:dyDescent="0.25">
      <c r="A277" s="248" t="s">
        <v>102</v>
      </c>
      <c r="B277" s="249" t="s">
        <v>39</v>
      </c>
      <c r="C277" s="470">
        <f t="shared" si="165"/>
        <v>30</v>
      </c>
      <c r="D277" s="250">
        <v>30</v>
      </c>
      <c r="E277" s="251"/>
      <c r="F277" s="471">
        <v>25000</v>
      </c>
      <c r="G277" s="472">
        <f t="shared" si="179"/>
        <v>6834</v>
      </c>
      <c r="H277" s="471">
        <v>6720</v>
      </c>
      <c r="I277" s="611">
        <v>114</v>
      </c>
      <c r="J277" s="610">
        <v>480</v>
      </c>
      <c r="K277" s="470">
        <f t="shared" si="177"/>
        <v>450</v>
      </c>
      <c r="L277" s="472">
        <f t="shared" si="168"/>
        <v>450</v>
      </c>
      <c r="M277" s="473">
        <f t="shared" si="178"/>
        <v>1</v>
      </c>
      <c r="N277" s="474">
        <f t="shared" si="175"/>
        <v>420</v>
      </c>
      <c r="O277" s="472">
        <f t="shared" si="170"/>
        <v>450</v>
      </c>
      <c r="P277" s="475">
        <f t="shared" si="176"/>
        <v>0.93333333333333335</v>
      </c>
      <c r="Q277" s="472">
        <f t="shared" si="171"/>
        <v>411.99297629499563</v>
      </c>
      <c r="R277" s="472">
        <f t="shared" si="172"/>
        <v>420</v>
      </c>
      <c r="S277" s="490">
        <f t="shared" si="173"/>
        <v>0.98093565784522774</v>
      </c>
      <c r="T277" s="491">
        <f t="shared" si="174"/>
        <v>0.91553994732221256</v>
      </c>
    </row>
    <row r="278" spans="1:20" ht="45.75" thickBot="1" x14ac:dyDescent="0.3">
      <c r="A278" s="615" t="s">
        <v>102</v>
      </c>
      <c r="B278" s="261" t="s">
        <v>218</v>
      </c>
      <c r="C278" s="616">
        <f t="shared" si="165"/>
        <v>30</v>
      </c>
      <c r="D278" s="617">
        <v>30</v>
      </c>
      <c r="E278" s="618"/>
      <c r="F278" s="619">
        <v>25000</v>
      </c>
      <c r="G278" s="620">
        <f t="shared" si="179"/>
        <v>11826</v>
      </c>
      <c r="H278" s="619">
        <v>11400</v>
      </c>
      <c r="I278" s="621">
        <v>426</v>
      </c>
      <c r="J278" s="614">
        <v>480</v>
      </c>
      <c r="K278" s="616">
        <f t="shared" si="177"/>
        <v>450</v>
      </c>
      <c r="L278" s="620">
        <f t="shared" si="168"/>
        <v>450</v>
      </c>
      <c r="M278" s="622">
        <f t="shared" si="178"/>
        <v>1</v>
      </c>
      <c r="N278" s="623">
        <f t="shared" si="175"/>
        <v>420</v>
      </c>
      <c r="O278" s="620">
        <f t="shared" si="170"/>
        <v>450</v>
      </c>
      <c r="P278" s="624">
        <f t="shared" si="176"/>
        <v>0.93333333333333335</v>
      </c>
      <c r="Q278" s="620">
        <f t="shared" si="171"/>
        <v>402.70928462709287</v>
      </c>
      <c r="R278" s="620">
        <f t="shared" si="172"/>
        <v>420</v>
      </c>
      <c r="S278" s="625">
        <f t="shared" si="173"/>
        <v>0.95883163006450678</v>
      </c>
      <c r="T278" s="626">
        <f t="shared" si="174"/>
        <v>0.89490952139353963</v>
      </c>
    </row>
    <row r="279" spans="1:20" ht="24.6" customHeight="1" x14ac:dyDescent="0.25">
      <c r="A279" s="230"/>
      <c r="B279" s="231"/>
      <c r="C279" s="232"/>
      <c r="D279" s="232"/>
      <c r="E279" s="232"/>
      <c r="F279" s="232"/>
      <c r="G279" s="233"/>
      <c r="H279" s="234"/>
      <c r="I279" s="232"/>
      <c r="J279" s="232"/>
      <c r="K279" s="232"/>
      <c r="L279" s="232"/>
      <c r="M279" s="234"/>
      <c r="N279" s="232"/>
      <c r="O279" s="232"/>
      <c r="P279" s="234"/>
      <c r="Q279" s="232"/>
      <c r="R279" s="232"/>
      <c r="S279" s="234"/>
      <c r="T279" s="234"/>
    </row>
  </sheetData>
  <dataConsolidate topLabels="1">
    <dataRefs count="1">
      <dataRef ref="B14:H106" sheet="01 Prod Physique Boites" r:id="rId1"/>
    </dataRefs>
  </dataConsolidate>
  <mergeCells count="109">
    <mergeCell ref="K12:M12"/>
    <mergeCell ref="N12:P12"/>
    <mergeCell ref="Q12:S12"/>
    <mergeCell ref="T12:T13"/>
    <mergeCell ref="A12:A13"/>
    <mergeCell ref="B12:B13"/>
    <mergeCell ref="C12:E12"/>
    <mergeCell ref="F12:I12"/>
    <mergeCell ref="J12:J13"/>
    <mergeCell ref="K59:M59"/>
    <mergeCell ref="N59:P59"/>
    <mergeCell ref="Q59:S59"/>
    <mergeCell ref="T59:T60"/>
    <mergeCell ref="A59:A60"/>
    <mergeCell ref="B59:B60"/>
    <mergeCell ref="C59:E59"/>
    <mergeCell ref="F59:I59"/>
    <mergeCell ref="J59:J60"/>
    <mergeCell ref="Q241:S241"/>
    <mergeCell ref="T241:T242"/>
    <mergeCell ref="J261:J262"/>
    <mergeCell ref="K241:M241"/>
    <mergeCell ref="N241:P241"/>
    <mergeCell ref="K220:M220"/>
    <mergeCell ref="N220:P220"/>
    <mergeCell ref="C220:E220"/>
    <mergeCell ref="F220:I220"/>
    <mergeCell ref="J220:J221"/>
    <mergeCell ref="Q220:S220"/>
    <mergeCell ref="T220:T221"/>
    <mergeCell ref="A9:T9"/>
    <mergeCell ref="K261:M261"/>
    <mergeCell ref="N261:P261"/>
    <mergeCell ref="Q261:S261"/>
    <mergeCell ref="T261:T262"/>
    <mergeCell ref="A241:A242"/>
    <mergeCell ref="B241:B242"/>
    <mergeCell ref="C241:E241"/>
    <mergeCell ref="F241:I241"/>
    <mergeCell ref="J241:J242"/>
    <mergeCell ref="A261:A262"/>
    <mergeCell ref="B261:B262"/>
    <mergeCell ref="C261:E261"/>
    <mergeCell ref="F261:I261"/>
    <mergeCell ref="A220:A221"/>
    <mergeCell ref="B220:B221"/>
    <mergeCell ref="A199:A200"/>
    <mergeCell ref="B199:B200"/>
    <mergeCell ref="C199:E199"/>
    <mergeCell ref="T199:T200"/>
    <mergeCell ref="F199:I199"/>
    <mergeCell ref="J199:J200"/>
    <mergeCell ref="K199:M199"/>
    <mergeCell ref="N199:P199"/>
    <mergeCell ref="Q199:S199"/>
    <mergeCell ref="K177:M177"/>
    <mergeCell ref="N177:P177"/>
    <mergeCell ref="Q177:S177"/>
    <mergeCell ref="T177:T178"/>
    <mergeCell ref="A177:A178"/>
    <mergeCell ref="B177:B178"/>
    <mergeCell ref="C177:E177"/>
    <mergeCell ref="F177:I177"/>
    <mergeCell ref="J177:J178"/>
    <mergeCell ref="K154:M154"/>
    <mergeCell ref="N154:P154"/>
    <mergeCell ref="Q154:S154"/>
    <mergeCell ref="T154:T155"/>
    <mergeCell ref="A154:A155"/>
    <mergeCell ref="B154:B155"/>
    <mergeCell ref="C154:E154"/>
    <mergeCell ref="F154:I154"/>
    <mergeCell ref="J154:J155"/>
    <mergeCell ref="K131:M131"/>
    <mergeCell ref="N131:P131"/>
    <mergeCell ref="Q131:S131"/>
    <mergeCell ref="T131:T132"/>
    <mergeCell ref="A131:A132"/>
    <mergeCell ref="B131:B132"/>
    <mergeCell ref="C131:E131"/>
    <mergeCell ref="F131:I131"/>
    <mergeCell ref="J131:J132"/>
    <mergeCell ref="K107:M107"/>
    <mergeCell ref="N107:P107"/>
    <mergeCell ref="Q107:S107"/>
    <mergeCell ref="T107:T108"/>
    <mergeCell ref="A107:A108"/>
    <mergeCell ref="B107:B108"/>
    <mergeCell ref="C107:E107"/>
    <mergeCell ref="F107:I107"/>
    <mergeCell ref="J107:J108"/>
    <mergeCell ref="K83:M83"/>
    <mergeCell ref="N83:P83"/>
    <mergeCell ref="Q83:S83"/>
    <mergeCell ref="T83:T84"/>
    <mergeCell ref="A83:A84"/>
    <mergeCell ref="B83:B84"/>
    <mergeCell ref="C83:E83"/>
    <mergeCell ref="F83:I83"/>
    <mergeCell ref="J83:J84"/>
    <mergeCell ref="K35:M35"/>
    <mergeCell ref="N35:P35"/>
    <mergeCell ref="Q35:S35"/>
    <mergeCell ref="T35:T36"/>
    <mergeCell ref="A35:A36"/>
    <mergeCell ref="B35:B36"/>
    <mergeCell ref="C35:E35"/>
    <mergeCell ref="F35:I35"/>
    <mergeCell ref="J35:J36"/>
  </mergeCells>
  <pageMargins left="0.19685039370078741" right="0.19685039370078741" top="0.19685039370078741" bottom="0.19685039370078741" header="0.19685039370078741" footer="0.19685039370078741"/>
  <pageSetup paperSize="9" scale="33" orientation="landscape" verticalDpi="300" r:id="rId2"/>
  <rowBreaks count="6" manualBreakCount="6">
    <brk id="30" max="19" man="1"/>
    <brk id="76" max="19" man="1"/>
    <brk id="124" max="19" man="1"/>
    <brk id="171" max="19" man="1"/>
    <brk id="216" max="19" man="1"/>
    <brk id="258" max="19" man="1"/>
  </rowBrea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7:T11"/>
  <sheetViews>
    <sheetView view="pageBreakPreview" zoomScale="40" zoomScaleNormal="70" zoomScaleSheetLayoutView="40" workbookViewId="0">
      <pane xSplit="2" topLeftCell="C1" activePane="topRight" state="frozen"/>
      <selection pane="topRight" activeCell="A10" sqref="A10"/>
    </sheetView>
  </sheetViews>
  <sheetFormatPr baseColWidth="10" defaultColWidth="9.140625" defaultRowHeight="16.5" x14ac:dyDescent="0.25"/>
  <cols>
    <col min="1" max="1" width="10.140625" style="229" customWidth="1"/>
    <col min="2" max="2" width="32.42578125" style="221" customWidth="1"/>
    <col min="3" max="4" width="32.28515625" style="222" customWidth="1"/>
    <col min="5" max="5" width="32.28515625" style="223" customWidth="1"/>
    <col min="6" max="7" width="24.7109375" style="222" customWidth="1"/>
    <col min="8" max="8" width="24.7109375" style="224" customWidth="1"/>
    <col min="9" max="9" width="24.7109375" style="223" customWidth="1"/>
    <col min="10" max="10" width="21.140625" style="222" customWidth="1"/>
    <col min="11" max="12" width="15.7109375" style="222" customWidth="1"/>
    <col min="13" max="13" width="15.7109375" style="262" customWidth="1"/>
    <col min="14" max="15" width="15.7109375" style="222" customWidth="1"/>
    <col min="16" max="16" width="15.7109375" style="262" customWidth="1"/>
    <col min="17" max="18" width="15.7109375" style="222" customWidth="1"/>
    <col min="19" max="19" width="14.7109375" style="224" customWidth="1"/>
    <col min="20" max="20" width="23.28515625" style="224" bestFit="1" customWidth="1"/>
    <col min="21" max="16384" width="9.140625" style="229"/>
  </cols>
  <sheetData>
    <row r="7" spans="1:20" ht="67.150000000000006" customHeight="1" x14ac:dyDescent="0.25">
      <c r="A7" s="220" t="s">
        <v>0</v>
      </c>
      <c r="K7" s="225"/>
      <c r="L7" s="225"/>
      <c r="M7" s="226"/>
      <c r="N7" s="227"/>
      <c r="O7" s="227"/>
      <c r="P7" s="227"/>
      <c r="Q7" s="227"/>
      <c r="R7" s="225"/>
      <c r="S7" s="228"/>
    </row>
    <row r="9" spans="1:20" ht="81" customHeight="1" x14ac:dyDescent="0.25">
      <c r="A9" s="1007" t="s">
        <v>230</v>
      </c>
      <c r="B9" s="1008"/>
      <c r="C9" s="1008"/>
      <c r="D9" s="1008"/>
      <c r="E9" s="1008"/>
      <c r="F9" s="1008"/>
      <c r="G9" s="1008"/>
      <c r="H9" s="1008"/>
      <c r="I9" s="1008"/>
      <c r="J9" s="1008"/>
      <c r="K9" s="1008"/>
      <c r="L9" s="1008"/>
      <c r="M9" s="1008"/>
      <c r="N9" s="1008"/>
      <c r="O9" s="1008"/>
      <c r="P9" s="1008"/>
      <c r="Q9" s="1008"/>
      <c r="R9" s="1008"/>
      <c r="S9" s="1008"/>
      <c r="T9" s="1008"/>
    </row>
    <row r="10" spans="1:20" ht="24.6" customHeight="1" x14ac:dyDescent="0.25">
      <c r="A10" s="230"/>
      <c r="B10" s="231"/>
      <c r="C10" s="232"/>
      <c r="D10" s="232"/>
      <c r="E10" s="232"/>
      <c r="F10" s="232"/>
      <c r="G10" s="233"/>
      <c r="H10" s="234"/>
      <c r="I10" s="232"/>
      <c r="J10" s="232"/>
      <c r="K10" s="232"/>
      <c r="L10" s="232"/>
      <c r="M10" s="234"/>
      <c r="N10" s="232"/>
      <c r="O10" s="232"/>
      <c r="P10" s="234"/>
      <c r="Q10" s="232"/>
      <c r="R10" s="232"/>
      <c r="S10" s="234"/>
      <c r="T10" s="234"/>
    </row>
    <row r="11" spans="1:20" ht="25.15" customHeight="1" x14ac:dyDescent="0.25"/>
  </sheetData>
  <dataConsolidate topLabels="1">
    <dataRefs count="1">
      <dataRef ref="B14:H106" sheet="01 Prod Physique Boites" r:id="rId1"/>
    </dataRefs>
  </dataConsolidate>
  <mergeCells count="1">
    <mergeCell ref="A9:T9"/>
  </mergeCells>
  <pageMargins left="0.19685039370078741" right="0.19685039370078741" top="0.19685039370078741" bottom="0.19685039370078741" header="0.19685039370078741" footer="0.19685039370078741"/>
  <pageSetup paperSize="9" scale="33" orientation="landscape" verticalDpi="3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P1055"/>
  <sheetViews>
    <sheetView topLeftCell="A13" workbookViewId="0">
      <selection activeCell="K37" sqref="K37"/>
    </sheetView>
  </sheetViews>
  <sheetFormatPr baseColWidth="10" defaultRowHeight="15" x14ac:dyDescent="0.25"/>
  <cols>
    <col min="3" max="3" width="14.42578125" customWidth="1"/>
    <col min="4" max="4" width="31.42578125" customWidth="1"/>
    <col min="5" max="5" width="9.7109375" customWidth="1"/>
    <col min="6" max="6" width="9.140625" customWidth="1"/>
    <col min="8" max="8" width="8.85546875" customWidth="1"/>
    <col min="11" max="11" width="9.5703125" customWidth="1"/>
    <col min="12" max="12" width="8.7109375" customWidth="1"/>
    <col min="14" max="14" width="12.140625" customWidth="1"/>
    <col min="15" max="15" width="13.140625" customWidth="1"/>
  </cols>
  <sheetData>
    <row r="2" spans="2:15" x14ac:dyDescent="0.25"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2:15" x14ac:dyDescent="0.25"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2:15" x14ac:dyDescent="0.25"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2:15" x14ac:dyDescent="0.25"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2:15" x14ac:dyDescent="0.25"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2:15" x14ac:dyDescent="0.25"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2:15" x14ac:dyDescent="0.25"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2:15" x14ac:dyDescent="0.25"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2:15" x14ac:dyDescent="0.25"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2:15" ht="20.25" x14ac:dyDescent="0.25">
      <c r="B11" s="1" t="s">
        <v>0</v>
      </c>
      <c r="C11" s="1"/>
      <c r="D11" s="1"/>
      <c r="E11" s="1"/>
      <c r="F11" s="76"/>
      <c r="G11" s="76"/>
      <c r="H11" s="76"/>
      <c r="I11" s="76"/>
      <c r="J11" s="76"/>
      <c r="K11" s="76"/>
    </row>
    <row r="13" spans="2:15" x14ac:dyDescent="0.25">
      <c r="B13" s="1153" t="s">
        <v>96</v>
      </c>
      <c r="C13" s="1153"/>
      <c r="D13" s="1153"/>
      <c r="E13" s="1153"/>
      <c r="F13" s="1153"/>
      <c r="G13" s="1153"/>
      <c r="H13" s="1153"/>
      <c r="I13" s="1153"/>
      <c r="J13" s="1153"/>
      <c r="K13" s="1153"/>
      <c r="L13" s="1153"/>
      <c r="M13" s="1153"/>
      <c r="N13" s="1153"/>
      <c r="O13" s="1153"/>
    </row>
    <row r="14" spans="2:15" x14ac:dyDescent="0.25">
      <c r="B14" s="1154" t="s">
        <v>138</v>
      </c>
      <c r="C14" s="1155"/>
      <c r="D14" s="1155"/>
      <c r="E14" s="1155"/>
      <c r="F14" s="1155"/>
      <c r="G14" s="1155"/>
      <c r="H14" s="1155"/>
      <c r="I14" s="1155"/>
      <c r="J14" s="1155"/>
      <c r="K14" s="1155"/>
      <c r="L14" s="1155"/>
      <c r="M14" s="1155"/>
      <c r="N14" s="1155"/>
      <c r="O14" s="1155"/>
    </row>
    <row r="16" spans="2:15" ht="15.75" thickBot="1" x14ac:dyDescent="0.3"/>
    <row r="17" spans="2:16" x14ac:dyDescent="0.25">
      <c r="B17" s="1127" t="s">
        <v>1</v>
      </c>
      <c r="C17" s="1129" t="s">
        <v>2</v>
      </c>
      <c r="D17" s="1132" t="s">
        <v>3</v>
      </c>
      <c r="E17" s="1135" t="s">
        <v>4</v>
      </c>
      <c r="F17" s="1136"/>
      <c r="G17" s="1136"/>
      <c r="H17" s="1136"/>
      <c r="I17" s="1136"/>
      <c r="J17" s="1136"/>
      <c r="K17" s="1136"/>
      <c r="L17" s="1137"/>
      <c r="M17" s="1138" t="s">
        <v>5</v>
      </c>
      <c r="N17" s="1139"/>
      <c r="O17" s="1140"/>
      <c r="P17" s="1132" t="s">
        <v>6</v>
      </c>
    </row>
    <row r="18" spans="2:16" x14ac:dyDescent="0.25">
      <c r="B18" s="1128"/>
      <c r="C18" s="1130"/>
      <c r="D18" s="1133"/>
      <c r="E18" s="1141" t="s">
        <v>7</v>
      </c>
      <c r="F18" s="1143" t="s">
        <v>139</v>
      </c>
      <c r="G18" s="1143"/>
      <c r="H18" s="1144"/>
      <c r="I18" s="1145" t="s">
        <v>8</v>
      </c>
      <c r="J18" s="1143"/>
      <c r="K18" s="1143"/>
      <c r="L18" s="1144" t="s">
        <v>9</v>
      </c>
      <c r="M18" s="1147" t="s">
        <v>10</v>
      </c>
      <c r="N18" s="1149" t="s">
        <v>11</v>
      </c>
      <c r="O18" s="1151" t="s">
        <v>12</v>
      </c>
      <c r="P18" s="1133"/>
    </row>
    <row r="19" spans="2:16" ht="15.75" thickBot="1" x14ac:dyDescent="0.3">
      <c r="B19" s="1128"/>
      <c r="C19" s="1131"/>
      <c r="D19" s="1134"/>
      <c r="E19" s="1142"/>
      <c r="F19" s="2" t="s">
        <v>13</v>
      </c>
      <c r="G19" s="2" t="s">
        <v>14</v>
      </c>
      <c r="H19" s="163" t="s">
        <v>15</v>
      </c>
      <c r="I19" s="142" t="s">
        <v>13</v>
      </c>
      <c r="J19" s="2" t="s">
        <v>14</v>
      </c>
      <c r="K19" s="2" t="s">
        <v>15</v>
      </c>
      <c r="L19" s="1146"/>
      <c r="M19" s="1148"/>
      <c r="N19" s="1150"/>
      <c r="O19" s="1152"/>
      <c r="P19" s="1134"/>
    </row>
    <row r="20" spans="2:16" x14ac:dyDescent="0.25">
      <c r="B20" s="1111" t="s">
        <v>53</v>
      </c>
      <c r="C20" s="29"/>
      <c r="D20" s="117" t="s">
        <v>54</v>
      </c>
      <c r="E20" s="98">
        <v>0</v>
      </c>
      <c r="F20" s="4">
        <f>+G20+H20</f>
        <v>0</v>
      </c>
      <c r="G20" s="4">
        <v>0</v>
      </c>
      <c r="H20" s="8">
        <v>0</v>
      </c>
      <c r="I20" s="6">
        <f>J20+K20</f>
        <v>0</v>
      </c>
      <c r="J20" s="4">
        <f>G20</f>
        <v>0</v>
      </c>
      <c r="K20" s="4">
        <f>H20</f>
        <v>0</v>
      </c>
      <c r="L20" s="33" t="e">
        <f>+J20/E20</f>
        <v>#DIV/0!</v>
      </c>
      <c r="M20" s="104">
        <v>1.3652</v>
      </c>
      <c r="N20" s="31">
        <f>G20*M20</f>
        <v>0</v>
      </c>
      <c r="O20" s="86">
        <f>M20*J20</f>
        <v>0</v>
      </c>
      <c r="P20" s="1113"/>
    </row>
    <row r="21" spans="2:16" x14ac:dyDescent="0.25">
      <c r="B21" s="1112"/>
      <c r="C21" s="32"/>
      <c r="D21" s="118" t="s">
        <v>109</v>
      </c>
      <c r="E21" s="99">
        <v>0</v>
      </c>
      <c r="F21" s="9">
        <f>+G21+H21</f>
        <v>0</v>
      </c>
      <c r="G21" s="9">
        <v>0</v>
      </c>
      <c r="H21" s="10">
        <v>0</v>
      </c>
      <c r="I21" s="6">
        <f>J21+K21</f>
        <v>0</v>
      </c>
      <c r="J21" s="4">
        <f>+G21</f>
        <v>0</v>
      </c>
      <c r="K21" s="4">
        <f>+H21</f>
        <v>0</v>
      </c>
      <c r="L21" s="33"/>
      <c r="M21" s="105">
        <v>5.9917999999999996</v>
      </c>
      <c r="N21" s="34">
        <f>M21*G21</f>
        <v>0</v>
      </c>
      <c r="O21" s="87">
        <f>M21*J21</f>
        <v>0</v>
      </c>
      <c r="P21" s="1114"/>
    </row>
    <row r="22" spans="2:16" x14ac:dyDescent="0.25">
      <c r="B22" s="1112"/>
      <c r="C22" s="35"/>
      <c r="D22" s="119" t="s">
        <v>55</v>
      </c>
      <c r="E22" s="99">
        <v>0</v>
      </c>
      <c r="F22" s="9">
        <f t="shared" ref="F22:F26" si="0">+G22+H22</f>
        <v>173942</v>
      </c>
      <c r="G22" s="9">
        <v>172500</v>
      </c>
      <c r="H22" s="10">
        <v>1442</v>
      </c>
      <c r="I22" s="6">
        <f t="shared" ref="I22:I26" si="1">J22+K22</f>
        <v>173942</v>
      </c>
      <c r="J22" s="4">
        <f t="shared" ref="J22:J26" si="2">+G22</f>
        <v>172500</v>
      </c>
      <c r="K22" s="4">
        <f t="shared" ref="K22:K26" si="3">+H22</f>
        <v>1442</v>
      </c>
      <c r="L22" s="33" t="e">
        <f t="shared" ref="L22" si="4">+J22/E22</f>
        <v>#DIV/0!</v>
      </c>
      <c r="M22" s="106">
        <v>2.3807999999999998</v>
      </c>
      <c r="N22" s="36">
        <f>G22*M22</f>
        <v>410687.99999999994</v>
      </c>
      <c r="O22" s="88">
        <f>M22*J22</f>
        <v>410687.99999999994</v>
      </c>
      <c r="P22" s="1114"/>
    </row>
    <row r="23" spans="2:16" x14ac:dyDescent="0.25">
      <c r="B23" s="1112"/>
      <c r="C23" s="35"/>
      <c r="D23" s="119" t="s">
        <v>56</v>
      </c>
      <c r="E23" s="99">
        <v>0</v>
      </c>
      <c r="F23" s="9">
        <f t="shared" si="0"/>
        <v>0</v>
      </c>
      <c r="G23" s="9">
        <v>0</v>
      </c>
      <c r="H23" s="10">
        <v>0</v>
      </c>
      <c r="I23" s="6">
        <f t="shared" si="1"/>
        <v>0</v>
      </c>
      <c r="J23" s="4">
        <f t="shared" si="2"/>
        <v>0</v>
      </c>
      <c r="K23" s="4">
        <f t="shared" si="3"/>
        <v>0</v>
      </c>
      <c r="L23" s="33"/>
      <c r="M23" s="106">
        <v>2.1457999999999999</v>
      </c>
      <c r="N23" s="36">
        <f t="shared" ref="N23:N26" si="5">G23*M23</f>
        <v>0</v>
      </c>
      <c r="O23" s="88">
        <f>M23*J23</f>
        <v>0</v>
      </c>
      <c r="P23" s="1114"/>
    </row>
    <row r="24" spans="2:16" x14ac:dyDescent="0.25">
      <c r="B24" s="1112"/>
      <c r="C24" s="35"/>
      <c r="D24" s="119" t="s">
        <v>106</v>
      </c>
      <c r="E24" s="99">
        <v>0</v>
      </c>
      <c r="F24" s="9">
        <f t="shared" si="0"/>
        <v>0</v>
      </c>
      <c r="G24" s="9">
        <v>0</v>
      </c>
      <c r="H24" s="10">
        <v>0</v>
      </c>
      <c r="I24" s="6">
        <f t="shared" si="1"/>
        <v>0</v>
      </c>
      <c r="J24" s="4">
        <f t="shared" si="2"/>
        <v>0</v>
      </c>
      <c r="K24" s="4">
        <f t="shared" si="3"/>
        <v>0</v>
      </c>
      <c r="L24" s="33" t="e">
        <f t="shared" ref="L24:L25" si="6">+J24/E24</f>
        <v>#DIV/0!</v>
      </c>
      <c r="M24" s="143">
        <v>4.0426000000000002</v>
      </c>
      <c r="N24" s="36">
        <f t="shared" si="5"/>
        <v>0</v>
      </c>
      <c r="O24" s="88">
        <f>M24*J24</f>
        <v>0</v>
      </c>
      <c r="P24" s="1114"/>
    </row>
    <row r="25" spans="2:16" x14ac:dyDescent="0.25">
      <c r="B25" s="1112"/>
      <c r="C25" s="35"/>
      <c r="D25" s="119" t="s">
        <v>110</v>
      </c>
      <c r="E25" s="99">
        <v>0</v>
      </c>
      <c r="F25" s="9">
        <f t="shared" si="0"/>
        <v>0</v>
      </c>
      <c r="G25" s="9">
        <v>0</v>
      </c>
      <c r="H25" s="10">
        <v>0</v>
      </c>
      <c r="I25" s="6">
        <f t="shared" si="1"/>
        <v>0</v>
      </c>
      <c r="J25" s="4">
        <f t="shared" si="2"/>
        <v>0</v>
      </c>
      <c r="K25" s="4">
        <f t="shared" si="3"/>
        <v>0</v>
      </c>
      <c r="L25" s="33" t="e">
        <f t="shared" si="6"/>
        <v>#DIV/0!</v>
      </c>
      <c r="M25" s="143">
        <v>3.8715000000000002</v>
      </c>
      <c r="N25" s="36">
        <f t="shared" si="5"/>
        <v>0</v>
      </c>
      <c r="O25" s="88">
        <f t="shared" ref="O25:O26" si="7">M25*J25</f>
        <v>0</v>
      </c>
      <c r="P25" s="1114"/>
    </row>
    <row r="26" spans="2:16" ht="15.75" thickBot="1" x14ac:dyDescent="0.3">
      <c r="B26" s="1112"/>
      <c r="C26" s="82"/>
      <c r="D26" s="120" t="s">
        <v>57</v>
      </c>
      <c r="E26" s="108">
        <v>0</v>
      </c>
      <c r="F26" s="12">
        <f t="shared" si="0"/>
        <v>0</v>
      </c>
      <c r="G26" s="12">
        <v>0</v>
      </c>
      <c r="H26" s="13">
        <v>0</v>
      </c>
      <c r="I26" s="21">
        <f t="shared" si="1"/>
        <v>0</v>
      </c>
      <c r="J26" s="4">
        <f t="shared" si="2"/>
        <v>0</v>
      </c>
      <c r="K26" s="4">
        <f t="shared" si="3"/>
        <v>0</v>
      </c>
      <c r="L26" s="81"/>
      <c r="M26" s="127">
        <v>12.284700000000001</v>
      </c>
      <c r="N26" s="36">
        <f t="shared" si="5"/>
        <v>0</v>
      </c>
      <c r="O26" s="128">
        <f t="shared" si="7"/>
        <v>0</v>
      </c>
      <c r="P26" s="1114"/>
    </row>
    <row r="27" spans="2:16" ht="15.75" thickBot="1" x14ac:dyDescent="0.3">
      <c r="B27" s="1112"/>
      <c r="C27" s="1117" t="s">
        <v>104</v>
      </c>
      <c r="D27" s="1118"/>
      <c r="E27" s="129"/>
      <c r="F27" s="130">
        <f>SUM(F20:F26)</f>
        <v>173942</v>
      </c>
      <c r="G27" s="130">
        <f>SUM(G20:G26)</f>
        <v>172500</v>
      </c>
      <c r="H27" s="131">
        <f>SUM(H20:H26)</f>
        <v>1442</v>
      </c>
      <c r="I27" s="132">
        <f>+J27+K27</f>
        <v>173942</v>
      </c>
      <c r="J27" s="133">
        <f>SUM(J20:J26)</f>
        <v>172500</v>
      </c>
      <c r="K27" s="133">
        <f>SUM(K20:K26)</f>
        <v>1442</v>
      </c>
      <c r="L27" s="134"/>
      <c r="M27" s="135"/>
      <c r="N27" s="136"/>
      <c r="O27" s="137">
        <f>SUM(O20:O26)</f>
        <v>410687.99999999994</v>
      </c>
      <c r="P27" s="1115"/>
    </row>
    <row r="28" spans="2:16" x14ac:dyDescent="0.25">
      <c r="B28" s="1112"/>
      <c r="C28" s="32"/>
      <c r="D28" s="118" t="s">
        <v>58</v>
      </c>
      <c r="E28" s="98">
        <v>0</v>
      </c>
      <c r="F28" s="4">
        <f t="shared" ref="F28:F31" si="8">+G28+H28</f>
        <v>0</v>
      </c>
      <c r="G28" s="4">
        <v>0</v>
      </c>
      <c r="H28" s="8">
        <v>0</v>
      </c>
      <c r="I28" s="6">
        <f t="shared" ref="I28:I32" si="9">J28+K28</f>
        <v>0</v>
      </c>
      <c r="J28" s="4">
        <f>G28</f>
        <v>0</v>
      </c>
      <c r="K28" s="4">
        <f>H28</f>
        <v>0</v>
      </c>
      <c r="L28" s="33" t="e">
        <f t="shared" ref="L28" si="10">+J28/E28</f>
        <v>#DIV/0!</v>
      </c>
      <c r="M28" s="105">
        <v>12.029500000000001</v>
      </c>
      <c r="N28" s="34">
        <f>M28*G28</f>
        <v>0</v>
      </c>
      <c r="O28" s="87">
        <f t="shared" ref="O28:O30" si="11">M28*J28</f>
        <v>0</v>
      </c>
      <c r="P28" s="1114"/>
    </row>
    <row r="29" spans="2:16" x14ac:dyDescent="0.25">
      <c r="B29" s="1112"/>
      <c r="C29" s="35"/>
      <c r="D29" s="119" t="s">
        <v>59</v>
      </c>
      <c r="E29" s="99">
        <v>0</v>
      </c>
      <c r="F29" s="9">
        <f t="shared" si="8"/>
        <v>0</v>
      </c>
      <c r="G29" s="9">
        <v>0</v>
      </c>
      <c r="H29" s="10">
        <v>0</v>
      </c>
      <c r="I29" s="6">
        <f t="shared" si="9"/>
        <v>0</v>
      </c>
      <c r="J29" s="4">
        <f>G29</f>
        <v>0</v>
      </c>
      <c r="K29" s="4">
        <f>H29</f>
        <v>0</v>
      </c>
      <c r="L29" s="33"/>
      <c r="M29" s="106">
        <v>0</v>
      </c>
      <c r="N29" s="36"/>
      <c r="O29" s="88">
        <f t="shared" si="11"/>
        <v>0</v>
      </c>
      <c r="P29" s="1114"/>
    </row>
    <row r="30" spans="2:16" x14ac:dyDescent="0.25">
      <c r="B30" s="1112"/>
      <c r="C30" s="35"/>
      <c r="D30" s="119" t="s">
        <v>97</v>
      </c>
      <c r="E30" s="99">
        <v>0</v>
      </c>
      <c r="F30" s="9">
        <f t="shared" si="8"/>
        <v>0</v>
      </c>
      <c r="G30" s="9">
        <v>0</v>
      </c>
      <c r="H30" s="10">
        <v>0</v>
      </c>
      <c r="I30" s="6">
        <f t="shared" si="9"/>
        <v>0</v>
      </c>
      <c r="J30" s="4">
        <f t="shared" ref="J30:J32" si="12">G30</f>
        <v>0</v>
      </c>
      <c r="K30" s="4">
        <f t="shared" ref="K30:K32" si="13">H30</f>
        <v>0</v>
      </c>
      <c r="L30" s="33" t="e">
        <f t="shared" ref="L30:L32" si="14">+J30/E30</f>
        <v>#DIV/0!</v>
      </c>
      <c r="M30" s="106">
        <v>19.688600000000001</v>
      </c>
      <c r="N30" s="36">
        <f>M30*G30</f>
        <v>0</v>
      </c>
      <c r="O30" s="88">
        <f t="shared" si="11"/>
        <v>0</v>
      </c>
      <c r="P30" s="1114"/>
    </row>
    <row r="31" spans="2:16" x14ac:dyDescent="0.25">
      <c r="B31" s="1112"/>
      <c r="C31" s="35"/>
      <c r="D31" s="119" t="s">
        <v>61</v>
      </c>
      <c r="E31" s="99">
        <v>0</v>
      </c>
      <c r="F31" s="9">
        <f t="shared" si="8"/>
        <v>0</v>
      </c>
      <c r="G31" s="9">
        <v>0</v>
      </c>
      <c r="H31" s="10">
        <v>0</v>
      </c>
      <c r="I31" s="6">
        <f t="shared" si="9"/>
        <v>0</v>
      </c>
      <c r="J31" s="4">
        <f t="shared" si="12"/>
        <v>0</v>
      </c>
      <c r="K31" s="4">
        <f t="shared" si="13"/>
        <v>0</v>
      </c>
      <c r="L31" s="33" t="e">
        <f t="shared" si="14"/>
        <v>#DIV/0!</v>
      </c>
      <c r="M31" s="106">
        <v>1.2824</v>
      </c>
      <c r="N31" s="151">
        <f>M31*G31</f>
        <v>0</v>
      </c>
      <c r="O31" s="88">
        <f>M31*J31</f>
        <v>0</v>
      </c>
      <c r="P31" s="1114"/>
    </row>
    <row r="32" spans="2:16" ht="15.75" thickBot="1" x14ac:dyDescent="0.3">
      <c r="B32" s="1112"/>
      <c r="C32" s="82"/>
      <c r="D32" s="120" t="s">
        <v>60</v>
      </c>
      <c r="E32" s="108">
        <v>0</v>
      </c>
      <c r="F32" s="12">
        <v>0</v>
      </c>
      <c r="G32" s="12">
        <v>0</v>
      </c>
      <c r="H32" s="13">
        <v>0</v>
      </c>
      <c r="I32" s="21">
        <f t="shared" si="9"/>
        <v>0</v>
      </c>
      <c r="J32" s="4">
        <f t="shared" si="12"/>
        <v>0</v>
      </c>
      <c r="K32" s="4">
        <f t="shared" si="13"/>
        <v>0</v>
      </c>
      <c r="L32" s="81" t="e">
        <f t="shared" si="14"/>
        <v>#DIV/0!</v>
      </c>
      <c r="M32" s="107">
        <v>18.2316</v>
      </c>
      <c r="N32" s="75"/>
      <c r="O32" s="89">
        <f t="shared" ref="O32" si="15">M32*J32</f>
        <v>0</v>
      </c>
      <c r="P32" s="1116"/>
    </row>
    <row r="33" spans="2:16" ht="15.75" thickBot="1" x14ac:dyDescent="0.3">
      <c r="B33" s="1096" t="s">
        <v>105</v>
      </c>
      <c r="C33" s="1097"/>
      <c r="D33" s="1097"/>
      <c r="E33" s="124"/>
      <c r="F33" s="125">
        <f>+G33+H33</f>
        <v>0</v>
      </c>
      <c r="G33" s="125">
        <f>SUM(G28:G32)</f>
        <v>0</v>
      </c>
      <c r="H33" s="126">
        <f>SUM(H28:H32)</f>
        <v>0</v>
      </c>
      <c r="I33" s="121">
        <f>J33+K33</f>
        <v>0</v>
      </c>
      <c r="J33" s="122">
        <f>SUM(J28:J32)</f>
        <v>0</v>
      </c>
      <c r="K33" s="123">
        <f>SUM(K28:K32)</f>
        <v>0</v>
      </c>
      <c r="L33" s="138"/>
      <c r="M33" s="139"/>
      <c r="N33" s="140"/>
      <c r="O33" s="141">
        <f>SUM(O28:O32)</f>
        <v>0</v>
      </c>
      <c r="P33" s="161"/>
    </row>
    <row r="34" spans="2:16" ht="15.75" thickBot="1" x14ac:dyDescent="0.3">
      <c r="B34" s="1096" t="s">
        <v>98</v>
      </c>
      <c r="C34" s="1097"/>
      <c r="D34" s="1097"/>
      <c r="E34" s="1119"/>
      <c r="F34" s="1119"/>
      <c r="G34" s="1119"/>
      <c r="H34" s="1119"/>
      <c r="I34" s="1097"/>
      <c r="J34" s="1097"/>
      <c r="K34" s="1097"/>
      <c r="L34" s="1097"/>
      <c r="M34" s="1097"/>
      <c r="N34" s="1120"/>
      <c r="O34" s="83">
        <f>O27+O33</f>
        <v>410687.99999999994</v>
      </c>
      <c r="P34" s="161"/>
    </row>
    <row r="35" spans="2:16" x14ac:dyDescent="0.25">
      <c r="B35" s="1111" t="s">
        <v>62</v>
      </c>
      <c r="C35" s="37" t="s">
        <v>63</v>
      </c>
      <c r="D35" s="28" t="s">
        <v>64</v>
      </c>
      <c r="E35" s="38">
        <v>0</v>
      </c>
      <c r="F35" s="14">
        <f>+G35+H35</f>
        <v>0</v>
      </c>
      <c r="G35" s="14">
        <v>0</v>
      </c>
      <c r="H35" s="5">
        <v>0</v>
      </c>
      <c r="I35" s="17">
        <f t="shared" ref="I35:I41" si="16">J35+K35</f>
        <v>0</v>
      </c>
      <c r="J35" s="4">
        <f>G35</f>
        <v>0</v>
      </c>
      <c r="K35" s="4">
        <f>H35</f>
        <v>0</v>
      </c>
      <c r="L35" s="30" t="e">
        <f>+J35/E35</f>
        <v>#DIV/0!</v>
      </c>
      <c r="M35" s="146">
        <v>2.2141000000000002</v>
      </c>
      <c r="N35" s="15">
        <f>+M35*G35</f>
        <v>0</v>
      </c>
      <c r="O35" s="90">
        <f>+M35*J35</f>
        <v>0</v>
      </c>
      <c r="P35" s="1122"/>
    </row>
    <row r="36" spans="2:16" x14ac:dyDescent="0.25">
      <c r="B36" s="1112"/>
      <c r="C36" s="39"/>
      <c r="D36" s="22" t="s">
        <v>65</v>
      </c>
      <c r="E36" s="3">
        <v>0</v>
      </c>
      <c r="F36" s="9">
        <f t="shared" ref="F36:F41" si="17">+G36+H36</f>
        <v>0</v>
      </c>
      <c r="G36" s="4">
        <v>0</v>
      </c>
      <c r="H36" s="8">
        <v>0</v>
      </c>
      <c r="I36" s="6">
        <f t="shared" si="16"/>
        <v>0</v>
      </c>
      <c r="J36" s="4">
        <f>+G36</f>
        <v>0</v>
      </c>
      <c r="K36" s="4">
        <f>+H36</f>
        <v>0</v>
      </c>
      <c r="L36" s="40" t="e">
        <f t="shared" ref="L36:L37" si="18">+J36/E36</f>
        <v>#DIV/0!</v>
      </c>
      <c r="M36" s="145">
        <v>2.4565999999999999</v>
      </c>
      <c r="N36" s="11">
        <f t="shared" ref="N36:N38" si="19">+M36*G36</f>
        <v>0</v>
      </c>
      <c r="O36" s="91">
        <f t="shared" ref="O36:O38" si="20">+M36*J36</f>
        <v>0</v>
      </c>
      <c r="P36" s="1123"/>
    </row>
    <row r="37" spans="2:16" x14ac:dyDescent="0.25">
      <c r="B37" s="1112"/>
      <c r="C37" s="39"/>
      <c r="D37" s="23" t="s">
        <v>126</v>
      </c>
      <c r="E37" s="3">
        <v>0</v>
      </c>
      <c r="F37" s="9">
        <f t="shared" si="17"/>
        <v>0</v>
      </c>
      <c r="G37" s="4">
        <v>0</v>
      </c>
      <c r="H37" s="8">
        <v>0</v>
      </c>
      <c r="I37" s="6">
        <f t="shared" si="16"/>
        <v>0</v>
      </c>
      <c r="J37" s="4">
        <f t="shared" ref="J37:J41" si="21">+G37</f>
        <v>0</v>
      </c>
      <c r="K37" s="4">
        <f t="shared" ref="K37:K41" si="22">+H37</f>
        <v>0</v>
      </c>
      <c r="L37" s="40" t="e">
        <f t="shared" si="18"/>
        <v>#DIV/0!</v>
      </c>
      <c r="M37" s="145">
        <v>2.2907000000000002</v>
      </c>
      <c r="N37" s="11">
        <f t="shared" si="19"/>
        <v>0</v>
      </c>
      <c r="O37" s="91">
        <f t="shared" si="20"/>
        <v>0</v>
      </c>
      <c r="P37" s="1123"/>
    </row>
    <row r="38" spans="2:16" x14ac:dyDescent="0.25">
      <c r="B38" s="1112"/>
      <c r="C38" s="39"/>
      <c r="D38" s="22" t="s">
        <v>131</v>
      </c>
      <c r="E38" s="3"/>
      <c r="F38" s="9">
        <f t="shared" si="17"/>
        <v>0</v>
      </c>
      <c r="G38" s="4">
        <v>0</v>
      </c>
      <c r="H38" s="8">
        <v>0</v>
      </c>
      <c r="I38" s="6">
        <f t="shared" si="16"/>
        <v>0</v>
      </c>
      <c r="J38" s="4">
        <f t="shared" si="21"/>
        <v>0</v>
      </c>
      <c r="K38" s="4">
        <f t="shared" si="22"/>
        <v>0</v>
      </c>
      <c r="L38" s="33"/>
      <c r="M38" s="150">
        <v>2.544</v>
      </c>
      <c r="N38" s="11">
        <f t="shared" si="19"/>
        <v>0</v>
      </c>
      <c r="O38" s="91">
        <f t="shared" si="20"/>
        <v>0</v>
      </c>
      <c r="P38" s="1123"/>
    </row>
    <row r="39" spans="2:16" x14ac:dyDescent="0.25">
      <c r="B39" s="1112"/>
      <c r="C39" s="39" t="s">
        <v>66</v>
      </c>
      <c r="D39" s="22" t="s">
        <v>133</v>
      </c>
      <c r="E39" s="3">
        <v>0</v>
      </c>
      <c r="F39" s="9">
        <f t="shared" si="17"/>
        <v>40072</v>
      </c>
      <c r="G39" s="4">
        <v>38500</v>
      </c>
      <c r="H39" s="8">
        <v>1572</v>
      </c>
      <c r="I39" s="6">
        <f t="shared" si="16"/>
        <v>40072</v>
      </c>
      <c r="J39" s="4">
        <f t="shared" si="21"/>
        <v>38500</v>
      </c>
      <c r="K39" s="4">
        <f t="shared" si="22"/>
        <v>1572</v>
      </c>
      <c r="L39" s="33" t="e">
        <f>+J39/E39</f>
        <v>#DIV/0!</v>
      </c>
      <c r="M39" s="144">
        <v>2.2141000000000002</v>
      </c>
      <c r="N39" s="7">
        <f>+M39*G39</f>
        <v>85242.85</v>
      </c>
      <c r="O39" s="85">
        <f>+M39*J39</f>
        <v>85242.85</v>
      </c>
      <c r="P39" s="1123"/>
    </row>
    <row r="40" spans="2:16" x14ac:dyDescent="0.25">
      <c r="B40" s="1112"/>
      <c r="C40" s="39"/>
      <c r="D40" s="22" t="s">
        <v>65</v>
      </c>
      <c r="E40" s="3">
        <v>0</v>
      </c>
      <c r="F40" s="9">
        <f t="shared" si="17"/>
        <v>0</v>
      </c>
      <c r="G40" s="4">
        <v>0</v>
      </c>
      <c r="H40" s="8">
        <v>0</v>
      </c>
      <c r="I40" s="6">
        <f t="shared" si="16"/>
        <v>0</v>
      </c>
      <c r="J40" s="4">
        <f t="shared" si="21"/>
        <v>0</v>
      </c>
      <c r="K40" s="4">
        <f t="shared" si="22"/>
        <v>0</v>
      </c>
      <c r="L40" s="40" t="e">
        <f t="shared" ref="L40:L41" si="23">+J40/E40</f>
        <v>#DIV/0!</v>
      </c>
      <c r="M40" s="145">
        <v>2.4565999999999999</v>
      </c>
      <c r="N40" s="11">
        <f t="shared" ref="N40:N41" si="24">+M40*G40</f>
        <v>0</v>
      </c>
      <c r="O40" s="91">
        <f t="shared" ref="O40" si="25">+M40*J40</f>
        <v>0</v>
      </c>
      <c r="P40" s="1123"/>
    </row>
    <row r="41" spans="2:16" ht="15.75" thickBot="1" x14ac:dyDescent="0.3">
      <c r="B41" s="1112"/>
      <c r="C41" s="39"/>
      <c r="D41" s="22" t="s">
        <v>126</v>
      </c>
      <c r="E41" s="3">
        <v>0</v>
      </c>
      <c r="F41" s="9">
        <f t="shared" si="17"/>
        <v>0</v>
      </c>
      <c r="G41" s="4">
        <v>0</v>
      </c>
      <c r="H41" s="8">
        <v>0</v>
      </c>
      <c r="I41" s="6">
        <f t="shared" si="16"/>
        <v>0</v>
      </c>
      <c r="J41" s="4">
        <f t="shared" si="21"/>
        <v>0</v>
      </c>
      <c r="K41" s="4">
        <f t="shared" si="22"/>
        <v>0</v>
      </c>
      <c r="L41" s="40" t="e">
        <f t="shared" si="23"/>
        <v>#DIV/0!</v>
      </c>
      <c r="M41" s="145">
        <v>2.2907000000000002</v>
      </c>
      <c r="N41" s="11">
        <f t="shared" si="24"/>
        <v>0</v>
      </c>
      <c r="O41" s="154">
        <f>+M41*J41</f>
        <v>0</v>
      </c>
      <c r="P41" s="1124"/>
    </row>
    <row r="42" spans="2:16" ht="15.75" thickBot="1" x14ac:dyDescent="0.3">
      <c r="B42" s="1112"/>
      <c r="C42" s="41" t="s">
        <v>29</v>
      </c>
      <c r="D42" s="27" t="str">
        <f>+C42</f>
        <v>TOTAL 1/2</v>
      </c>
      <c r="E42" s="42">
        <f>SUM(E35:E41)</f>
        <v>0</v>
      </c>
      <c r="F42" s="43">
        <f>SUM(F35:F41)</f>
        <v>40072</v>
      </c>
      <c r="G42" s="43">
        <f>SUM(G35:G41)</f>
        <v>38500</v>
      </c>
      <c r="H42" s="44">
        <f>SUM(H35:H41)</f>
        <v>1572</v>
      </c>
      <c r="I42" s="45">
        <f>SUM(I39:I41)</f>
        <v>40072</v>
      </c>
      <c r="J42" s="43">
        <f>SUM(J35:J41)</f>
        <v>38500</v>
      </c>
      <c r="K42" s="43">
        <f>SUM(K35:K41)</f>
        <v>1572</v>
      </c>
      <c r="L42" s="46" t="e">
        <f>+J42/E42</f>
        <v>#DIV/0!</v>
      </c>
      <c r="M42" s="47"/>
      <c r="N42" s="48">
        <f>SUM(N39:N41)</f>
        <v>85242.85</v>
      </c>
      <c r="O42" s="49">
        <f>SUM(O35:O41)</f>
        <v>85242.85</v>
      </c>
      <c r="P42" s="162"/>
    </row>
    <row r="43" spans="2:16" x14ac:dyDescent="0.25">
      <c r="B43" s="1112"/>
      <c r="C43" s="1125" t="s">
        <v>67</v>
      </c>
      <c r="D43" s="22" t="s">
        <v>64</v>
      </c>
      <c r="E43" s="3">
        <v>0</v>
      </c>
      <c r="F43" s="4">
        <f>G43+H43</f>
        <v>109220</v>
      </c>
      <c r="G43" s="4">
        <f>60000+45750</f>
        <v>105750</v>
      </c>
      <c r="H43" s="8">
        <f>1780+1690</f>
        <v>3470</v>
      </c>
      <c r="I43" s="16">
        <f>J43+K43</f>
        <v>109220</v>
      </c>
      <c r="J43" s="4">
        <f>G43</f>
        <v>105750</v>
      </c>
      <c r="K43" s="4">
        <f>H43</f>
        <v>3470</v>
      </c>
      <c r="L43" s="50" t="e">
        <f>+J43/E43</f>
        <v>#DIV/0!</v>
      </c>
      <c r="M43" s="144">
        <v>4.1712999999999996</v>
      </c>
      <c r="N43" s="7">
        <f>+M43*G43</f>
        <v>441114.97499999998</v>
      </c>
      <c r="O43" s="93">
        <f>+M43*J43</f>
        <v>441114.97499999998</v>
      </c>
      <c r="P43" s="1122"/>
    </row>
    <row r="44" spans="2:16" x14ac:dyDescent="0.25">
      <c r="B44" s="1112"/>
      <c r="C44" s="1126"/>
      <c r="D44" s="22" t="s">
        <v>65</v>
      </c>
      <c r="E44" s="3">
        <v>0</v>
      </c>
      <c r="F44" s="4">
        <f>G44+H44</f>
        <v>0</v>
      </c>
      <c r="G44" s="4">
        <v>0</v>
      </c>
      <c r="H44" s="8">
        <v>0</v>
      </c>
      <c r="I44" s="6">
        <f>+R1088+F44</f>
        <v>0</v>
      </c>
      <c r="J44" s="4">
        <f>G44</f>
        <v>0</v>
      </c>
      <c r="K44" s="4">
        <f>H44</f>
        <v>0</v>
      </c>
      <c r="L44" s="51" t="e">
        <f t="shared" ref="L44:L48" si="26">+J44/E44</f>
        <v>#DIV/0!</v>
      </c>
      <c r="M44" s="145">
        <v>4.8285999999999998</v>
      </c>
      <c r="N44" s="11">
        <f t="shared" ref="N44:N46" si="27">+M44*G44</f>
        <v>0</v>
      </c>
      <c r="O44" s="94">
        <f t="shared" ref="O44:O46" si="28">+M44*J44</f>
        <v>0</v>
      </c>
      <c r="P44" s="1123"/>
    </row>
    <row r="45" spans="2:16" x14ac:dyDescent="0.25">
      <c r="B45" s="1112"/>
      <c r="C45" s="1126"/>
      <c r="D45" s="22" t="s">
        <v>127</v>
      </c>
      <c r="E45" s="3"/>
      <c r="F45" s="4">
        <f>G45+H45</f>
        <v>0</v>
      </c>
      <c r="G45" s="4">
        <v>0</v>
      </c>
      <c r="H45" s="8">
        <v>0</v>
      </c>
      <c r="I45" s="6">
        <f>+R1089+F45</f>
        <v>0</v>
      </c>
      <c r="J45" s="4">
        <f t="shared" ref="J45:J46" si="29">G45</f>
        <v>0</v>
      </c>
      <c r="K45" s="4">
        <f t="shared" ref="K45:K46" si="30">H45</f>
        <v>0</v>
      </c>
      <c r="L45" s="51" t="e">
        <f t="shared" si="26"/>
        <v>#DIV/0!</v>
      </c>
      <c r="M45" s="144">
        <v>4.5023</v>
      </c>
      <c r="N45" s="11">
        <f t="shared" si="27"/>
        <v>0</v>
      </c>
      <c r="O45" s="94">
        <f t="shared" si="28"/>
        <v>0</v>
      </c>
      <c r="P45" s="1123"/>
    </row>
    <row r="46" spans="2:16" ht="15.75" thickBot="1" x14ac:dyDescent="0.3">
      <c r="B46" s="1112"/>
      <c r="C46" s="1126"/>
      <c r="D46" s="22" t="s">
        <v>111</v>
      </c>
      <c r="E46" s="3">
        <v>0</v>
      </c>
      <c r="F46" s="4">
        <f t="shared" ref="F46" si="31">G46+H46</f>
        <v>0</v>
      </c>
      <c r="G46" s="4">
        <v>0</v>
      </c>
      <c r="H46" s="8">
        <v>0</v>
      </c>
      <c r="I46" s="6">
        <f>+R1089+F46</f>
        <v>0</v>
      </c>
      <c r="J46" s="4">
        <f t="shared" si="29"/>
        <v>0</v>
      </c>
      <c r="K46" s="4">
        <f t="shared" si="30"/>
        <v>0</v>
      </c>
      <c r="L46" s="51" t="e">
        <f t="shared" si="26"/>
        <v>#DIV/0!</v>
      </c>
      <c r="M46" s="144">
        <v>4.4065000000000003</v>
      </c>
      <c r="N46" s="11">
        <f t="shared" si="27"/>
        <v>0</v>
      </c>
      <c r="O46" s="94">
        <f t="shared" si="28"/>
        <v>0</v>
      </c>
      <c r="P46" s="1123"/>
    </row>
    <row r="47" spans="2:16" ht="15.75" thickBot="1" x14ac:dyDescent="0.3">
      <c r="B47" s="1112"/>
      <c r="C47" s="41" t="s">
        <v>31</v>
      </c>
      <c r="D47" s="18" t="str">
        <f>+C47</f>
        <v>TOTAL 4/4</v>
      </c>
      <c r="E47" s="42">
        <f t="shared" ref="E47:K47" si="32">SUM(E43:E46)</f>
        <v>0</v>
      </c>
      <c r="F47" s="43">
        <f t="shared" si="32"/>
        <v>109220</v>
      </c>
      <c r="G47" s="43">
        <f t="shared" si="32"/>
        <v>105750</v>
      </c>
      <c r="H47" s="44">
        <f t="shared" si="32"/>
        <v>3470</v>
      </c>
      <c r="I47" s="45">
        <f t="shared" si="32"/>
        <v>109220</v>
      </c>
      <c r="J47" s="43">
        <f t="shared" si="32"/>
        <v>105750</v>
      </c>
      <c r="K47" s="43">
        <f t="shared" si="32"/>
        <v>3470</v>
      </c>
      <c r="L47" s="46" t="e">
        <f t="shared" si="26"/>
        <v>#DIV/0!</v>
      </c>
      <c r="M47" s="47"/>
      <c r="N47" s="48">
        <f>SUM(N43:N46)</f>
        <v>441114.97499999998</v>
      </c>
      <c r="O47" s="92">
        <f>SUM(O43:O46)</f>
        <v>441114.97499999998</v>
      </c>
      <c r="P47" s="1124"/>
    </row>
    <row r="48" spans="2:16" ht="15.75" thickBot="1" x14ac:dyDescent="0.3">
      <c r="B48" s="1121"/>
      <c r="C48" s="41" t="s">
        <v>68</v>
      </c>
      <c r="D48" s="27" t="s">
        <v>64</v>
      </c>
      <c r="E48" s="25">
        <v>0</v>
      </c>
      <c r="F48" s="20">
        <f>G48+H48</f>
        <v>0</v>
      </c>
      <c r="G48" s="20">
        <v>0</v>
      </c>
      <c r="H48" s="24">
        <v>0</v>
      </c>
      <c r="I48" s="19">
        <f>J48+K48</f>
        <v>0</v>
      </c>
      <c r="J48" s="4">
        <f>G48</f>
        <v>0</v>
      </c>
      <c r="K48" s="4">
        <f>H48</f>
        <v>0</v>
      </c>
      <c r="L48" s="52" t="e">
        <f t="shared" si="26"/>
        <v>#DIV/0!</v>
      </c>
      <c r="M48" s="149">
        <v>1.4086000000000001</v>
      </c>
      <c r="N48" s="26">
        <f t="shared" ref="N48" si="33">+M48*G48</f>
        <v>0</v>
      </c>
      <c r="O48" s="95">
        <f t="shared" ref="O48" si="34">+M48*J48</f>
        <v>0</v>
      </c>
      <c r="P48" s="53"/>
    </row>
    <row r="49" spans="2:16" ht="15.75" thickBot="1" x14ac:dyDescent="0.3">
      <c r="B49" s="1096" t="s">
        <v>95</v>
      </c>
      <c r="C49" s="1097"/>
      <c r="D49" s="1097"/>
      <c r="E49" s="1097"/>
      <c r="F49" s="1097"/>
      <c r="G49" s="1097"/>
      <c r="H49" s="1097"/>
      <c r="I49" s="110">
        <f>J49+K49</f>
        <v>149292</v>
      </c>
      <c r="J49" s="110">
        <f>J42+J47+J48</f>
        <v>144250</v>
      </c>
      <c r="K49" s="110">
        <f>K42+K47+K48</f>
        <v>5042</v>
      </c>
      <c r="L49" s="111"/>
      <c r="M49" s="112"/>
      <c r="N49" s="109"/>
      <c r="O49" s="77">
        <f>+O48+O47+O42</f>
        <v>526357.82499999995</v>
      </c>
      <c r="P49" s="84"/>
    </row>
    <row r="50" spans="2:16" x14ac:dyDescent="0.25">
      <c r="B50" s="1098" t="s">
        <v>69</v>
      </c>
      <c r="C50" s="1101" t="s">
        <v>70</v>
      </c>
      <c r="D50" s="54" t="s">
        <v>71</v>
      </c>
      <c r="E50" s="55">
        <v>0</v>
      </c>
      <c r="F50" s="56">
        <f>G50+H50</f>
        <v>0</v>
      </c>
      <c r="G50" s="56">
        <v>0</v>
      </c>
      <c r="H50" s="57">
        <v>0</v>
      </c>
      <c r="I50" s="78">
        <f>J50+K50</f>
        <v>0</v>
      </c>
      <c r="J50" s="4">
        <f>G50</f>
        <v>0</v>
      </c>
      <c r="K50" s="4">
        <f>H50</f>
        <v>0</v>
      </c>
      <c r="L50" s="58" t="e">
        <f t="shared" ref="L50" si="35">+J50/E50</f>
        <v>#DIV/0!</v>
      </c>
      <c r="M50" s="59">
        <v>32.946300000000001</v>
      </c>
      <c r="N50" s="60">
        <f>+M50*G50</f>
        <v>0</v>
      </c>
      <c r="O50" s="60">
        <f>M50*J50</f>
        <v>0</v>
      </c>
      <c r="P50" s="1103"/>
    </row>
    <row r="51" spans="2:16" x14ac:dyDescent="0.25">
      <c r="B51" s="1099"/>
      <c r="C51" s="1102"/>
      <c r="D51" s="61" t="s">
        <v>72</v>
      </c>
      <c r="E51" s="62">
        <v>0</v>
      </c>
      <c r="F51" s="63">
        <f>G51+H51</f>
        <v>0</v>
      </c>
      <c r="G51" s="63">
        <v>0</v>
      </c>
      <c r="H51" s="64">
        <v>0</v>
      </c>
      <c r="I51" s="79">
        <f>J51+K51</f>
        <v>0</v>
      </c>
      <c r="J51" s="4">
        <f>G51</f>
        <v>0</v>
      </c>
      <c r="K51" s="4">
        <f>H51</f>
        <v>0</v>
      </c>
      <c r="L51" s="65" t="e">
        <f>+J51/E51</f>
        <v>#DIV/0!</v>
      </c>
      <c r="M51" s="66">
        <v>35.398400000000002</v>
      </c>
      <c r="N51" s="67">
        <f>+M51*G51</f>
        <v>0</v>
      </c>
      <c r="O51" s="67">
        <f>M51*J51</f>
        <v>0</v>
      </c>
      <c r="P51" s="1104"/>
    </row>
    <row r="52" spans="2:16" x14ac:dyDescent="0.25">
      <c r="B52" s="1099"/>
      <c r="C52" s="1102"/>
      <c r="D52" s="61" t="s">
        <v>73</v>
      </c>
      <c r="E52" s="62">
        <v>0</v>
      </c>
      <c r="F52" s="63">
        <f t="shared" ref="F52:F55" si="36">G52+H52</f>
        <v>0</v>
      </c>
      <c r="G52" s="63">
        <v>0</v>
      </c>
      <c r="H52" s="64">
        <v>0</v>
      </c>
      <c r="I52" s="79">
        <f t="shared" ref="I52:I61" si="37">J52+K52</f>
        <v>0</v>
      </c>
      <c r="J52" s="4">
        <f t="shared" ref="J52:J77" si="38">G52</f>
        <v>0</v>
      </c>
      <c r="K52" s="4">
        <f t="shared" ref="K52:K77" si="39">H52</f>
        <v>0</v>
      </c>
      <c r="L52" s="65" t="e">
        <f t="shared" ref="L52:L65" si="40">+J52/E52</f>
        <v>#DIV/0!</v>
      </c>
      <c r="M52" s="66">
        <v>32.946300000000001</v>
      </c>
      <c r="N52" s="67">
        <f t="shared" ref="N52:N72" si="41">+M52*G52</f>
        <v>0</v>
      </c>
      <c r="O52" s="67">
        <f t="shared" ref="O52:O60" si="42">M52*J52</f>
        <v>0</v>
      </c>
      <c r="P52" s="1104"/>
    </row>
    <row r="53" spans="2:16" x14ac:dyDescent="0.25">
      <c r="B53" s="1099"/>
      <c r="C53" s="1102" t="s">
        <v>74</v>
      </c>
      <c r="D53" s="61" t="s">
        <v>75</v>
      </c>
      <c r="E53" s="62">
        <v>0</v>
      </c>
      <c r="F53" s="63">
        <f t="shared" si="36"/>
        <v>0</v>
      </c>
      <c r="G53" s="63">
        <v>0</v>
      </c>
      <c r="H53" s="64">
        <v>0</v>
      </c>
      <c r="I53" s="79">
        <f t="shared" si="37"/>
        <v>0</v>
      </c>
      <c r="J53" s="4">
        <f t="shared" si="38"/>
        <v>0</v>
      </c>
      <c r="K53" s="4">
        <f t="shared" si="39"/>
        <v>0</v>
      </c>
      <c r="L53" s="65" t="e">
        <f t="shared" si="40"/>
        <v>#DIV/0!</v>
      </c>
      <c r="M53" s="66">
        <v>55.4758</v>
      </c>
      <c r="N53" s="67">
        <f t="shared" si="41"/>
        <v>0</v>
      </c>
      <c r="O53" s="67">
        <f t="shared" si="42"/>
        <v>0</v>
      </c>
      <c r="P53" s="1104"/>
    </row>
    <row r="54" spans="2:16" x14ac:dyDescent="0.25">
      <c r="B54" s="1099"/>
      <c r="C54" s="1102"/>
      <c r="D54" s="61" t="s">
        <v>134</v>
      </c>
      <c r="E54" s="62">
        <v>0</v>
      </c>
      <c r="F54" s="63">
        <f t="shared" si="36"/>
        <v>0</v>
      </c>
      <c r="G54" s="63">
        <v>0</v>
      </c>
      <c r="H54" s="64">
        <v>0</v>
      </c>
      <c r="I54" s="79">
        <f t="shared" si="37"/>
        <v>0</v>
      </c>
      <c r="J54" s="4">
        <f t="shared" si="38"/>
        <v>0</v>
      </c>
      <c r="K54" s="4">
        <f t="shared" si="39"/>
        <v>0</v>
      </c>
      <c r="L54" s="65" t="e">
        <f t="shared" si="40"/>
        <v>#DIV/0!</v>
      </c>
      <c r="M54" s="66">
        <v>53.515999999999998</v>
      </c>
      <c r="N54" s="67">
        <f t="shared" si="41"/>
        <v>0</v>
      </c>
      <c r="O54" s="67">
        <f t="shared" si="42"/>
        <v>0</v>
      </c>
      <c r="P54" s="1104"/>
    </row>
    <row r="55" spans="2:16" x14ac:dyDescent="0.25">
      <c r="B55" s="1099"/>
      <c r="C55" s="1102"/>
      <c r="D55" s="61" t="s">
        <v>72</v>
      </c>
      <c r="E55" s="62">
        <v>0</v>
      </c>
      <c r="F55" s="63">
        <f t="shared" si="36"/>
        <v>0</v>
      </c>
      <c r="G55" s="63">
        <v>0</v>
      </c>
      <c r="H55" s="64">
        <v>0</v>
      </c>
      <c r="I55" s="79">
        <f t="shared" si="37"/>
        <v>0</v>
      </c>
      <c r="J55" s="4">
        <f t="shared" si="38"/>
        <v>0</v>
      </c>
      <c r="K55" s="4">
        <f t="shared" si="39"/>
        <v>0</v>
      </c>
      <c r="L55" s="65" t="e">
        <f t="shared" si="40"/>
        <v>#DIV/0!</v>
      </c>
      <c r="M55" s="66">
        <v>58.836300000000001</v>
      </c>
      <c r="N55" s="67">
        <f t="shared" si="41"/>
        <v>0</v>
      </c>
      <c r="O55" s="67">
        <f t="shared" si="42"/>
        <v>0</v>
      </c>
      <c r="P55" s="1104"/>
    </row>
    <row r="56" spans="2:16" x14ac:dyDescent="0.25">
      <c r="B56" s="1099"/>
      <c r="C56" s="1106" t="s">
        <v>76</v>
      </c>
      <c r="D56" s="61" t="s">
        <v>77</v>
      </c>
      <c r="E56" s="62">
        <v>0</v>
      </c>
      <c r="F56" s="63">
        <f>G56+H56</f>
        <v>0</v>
      </c>
      <c r="G56" s="63">
        <v>0</v>
      </c>
      <c r="H56" s="64">
        <v>0</v>
      </c>
      <c r="I56" s="79">
        <f t="shared" si="37"/>
        <v>0</v>
      </c>
      <c r="J56" s="4">
        <f t="shared" si="38"/>
        <v>0</v>
      </c>
      <c r="K56" s="4">
        <f t="shared" si="39"/>
        <v>0</v>
      </c>
      <c r="L56" s="65" t="e">
        <f t="shared" si="40"/>
        <v>#DIV/0!</v>
      </c>
      <c r="M56" s="66">
        <v>25.687200000000001</v>
      </c>
      <c r="N56" s="67">
        <f t="shared" si="41"/>
        <v>0</v>
      </c>
      <c r="O56" s="67">
        <f t="shared" si="42"/>
        <v>0</v>
      </c>
      <c r="P56" s="1104"/>
    </row>
    <row r="57" spans="2:16" x14ac:dyDescent="0.25">
      <c r="B57" s="1099"/>
      <c r="C57" s="1107"/>
      <c r="D57" s="61" t="s">
        <v>117</v>
      </c>
      <c r="E57" s="62">
        <v>0</v>
      </c>
      <c r="F57" s="63">
        <f>G57+H57</f>
        <v>0</v>
      </c>
      <c r="G57" s="63">
        <v>0</v>
      </c>
      <c r="H57" s="64">
        <v>0</v>
      </c>
      <c r="I57" s="79">
        <f t="shared" si="37"/>
        <v>0</v>
      </c>
      <c r="J57" s="4">
        <f t="shared" si="38"/>
        <v>0</v>
      </c>
      <c r="K57" s="4">
        <f t="shared" si="39"/>
        <v>0</v>
      </c>
      <c r="L57" s="65" t="e">
        <f t="shared" si="40"/>
        <v>#DIV/0!</v>
      </c>
      <c r="M57" s="66">
        <v>25.033899999999999</v>
      </c>
      <c r="N57" s="67">
        <f t="shared" si="41"/>
        <v>0</v>
      </c>
      <c r="O57" s="67">
        <f t="shared" si="42"/>
        <v>0</v>
      </c>
      <c r="P57" s="1104"/>
    </row>
    <row r="58" spans="2:16" x14ac:dyDescent="0.25">
      <c r="B58" s="1099"/>
      <c r="C58" s="1106" t="s">
        <v>78</v>
      </c>
      <c r="D58" s="61" t="s">
        <v>79</v>
      </c>
      <c r="E58" s="62">
        <v>0</v>
      </c>
      <c r="F58" s="63">
        <f t="shared" ref="F58:F77" si="43">G58+H58</f>
        <v>0</v>
      </c>
      <c r="G58" s="63">
        <v>0</v>
      </c>
      <c r="H58" s="64">
        <v>0</v>
      </c>
      <c r="I58" s="79">
        <f t="shared" si="37"/>
        <v>0</v>
      </c>
      <c r="J58" s="4">
        <f t="shared" si="38"/>
        <v>0</v>
      </c>
      <c r="K58" s="4">
        <f>H58</f>
        <v>0</v>
      </c>
      <c r="L58" s="65" t="e">
        <f t="shared" si="40"/>
        <v>#DIV/0!</v>
      </c>
      <c r="M58" s="66">
        <v>41.992699999999999</v>
      </c>
      <c r="N58" s="67">
        <f t="shared" si="41"/>
        <v>0</v>
      </c>
      <c r="O58" s="67">
        <f t="shared" si="42"/>
        <v>0</v>
      </c>
      <c r="P58" s="1104"/>
    </row>
    <row r="59" spans="2:16" x14ac:dyDescent="0.25">
      <c r="B59" s="1099"/>
      <c r="C59" s="1107"/>
      <c r="D59" s="61" t="s">
        <v>72</v>
      </c>
      <c r="E59" s="62">
        <v>0</v>
      </c>
      <c r="F59" s="63">
        <f t="shared" si="43"/>
        <v>0</v>
      </c>
      <c r="G59" s="63">
        <v>0</v>
      </c>
      <c r="H59" s="64">
        <v>0</v>
      </c>
      <c r="I59" s="79">
        <f t="shared" si="37"/>
        <v>0</v>
      </c>
      <c r="J59" s="4">
        <f t="shared" si="38"/>
        <v>0</v>
      </c>
      <c r="K59" s="4">
        <f t="shared" si="39"/>
        <v>0</v>
      </c>
      <c r="L59" s="65" t="e">
        <f t="shared" si="40"/>
        <v>#DIV/0!</v>
      </c>
      <c r="M59" s="66">
        <v>42.283799999999999</v>
      </c>
      <c r="N59" s="67">
        <f t="shared" si="41"/>
        <v>0</v>
      </c>
      <c r="O59" s="67">
        <f t="shared" si="42"/>
        <v>0</v>
      </c>
      <c r="P59" s="1104"/>
    </row>
    <row r="60" spans="2:16" x14ac:dyDescent="0.25">
      <c r="B60" s="1099"/>
      <c r="C60" s="160" t="s">
        <v>80</v>
      </c>
      <c r="D60" s="61" t="s">
        <v>81</v>
      </c>
      <c r="E60" s="62">
        <v>0</v>
      </c>
      <c r="F60" s="63">
        <f t="shared" si="43"/>
        <v>0</v>
      </c>
      <c r="G60" s="63">
        <v>0</v>
      </c>
      <c r="H60" s="64">
        <v>0</v>
      </c>
      <c r="I60" s="79">
        <f t="shared" si="37"/>
        <v>0</v>
      </c>
      <c r="J60" s="4">
        <f t="shared" si="38"/>
        <v>0</v>
      </c>
      <c r="K60" s="4">
        <f t="shared" si="39"/>
        <v>0</v>
      </c>
      <c r="L60" s="65" t="e">
        <f t="shared" si="40"/>
        <v>#DIV/0!</v>
      </c>
      <c r="M60" s="66">
        <v>4.3535000000000004</v>
      </c>
      <c r="N60" s="67">
        <f t="shared" si="41"/>
        <v>0</v>
      </c>
      <c r="O60" s="67">
        <f t="shared" si="42"/>
        <v>0</v>
      </c>
      <c r="P60" s="1104"/>
    </row>
    <row r="61" spans="2:16" x14ac:dyDescent="0.25">
      <c r="B61" s="1099"/>
      <c r="C61" s="1102" t="s">
        <v>82</v>
      </c>
      <c r="D61" s="61" t="s">
        <v>77</v>
      </c>
      <c r="E61" s="62">
        <v>0</v>
      </c>
      <c r="F61" s="63">
        <f t="shared" si="43"/>
        <v>0</v>
      </c>
      <c r="G61" s="63">
        <v>0</v>
      </c>
      <c r="H61" s="64">
        <v>0</v>
      </c>
      <c r="I61" s="79">
        <f t="shared" si="37"/>
        <v>0</v>
      </c>
      <c r="J61" s="4">
        <f t="shared" si="38"/>
        <v>0</v>
      </c>
      <c r="K61" s="4">
        <f t="shared" si="39"/>
        <v>0</v>
      </c>
      <c r="L61" s="65" t="e">
        <f t="shared" si="40"/>
        <v>#DIV/0!</v>
      </c>
      <c r="M61" s="66">
        <v>4.6184000000000003</v>
      </c>
      <c r="N61" s="67">
        <f t="shared" si="41"/>
        <v>0</v>
      </c>
      <c r="O61" s="67">
        <f>M61*J61</f>
        <v>0</v>
      </c>
      <c r="P61" s="1104"/>
    </row>
    <row r="62" spans="2:16" x14ac:dyDescent="0.25">
      <c r="B62" s="1099"/>
      <c r="C62" s="1102"/>
      <c r="D62" s="61" t="s">
        <v>119</v>
      </c>
      <c r="E62" s="62">
        <v>0</v>
      </c>
      <c r="F62" s="63">
        <f t="shared" si="43"/>
        <v>0</v>
      </c>
      <c r="G62" s="63">
        <v>0</v>
      </c>
      <c r="H62" s="64">
        <v>0</v>
      </c>
      <c r="I62" s="79">
        <f>J62+K62</f>
        <v>0</v>
      </c>
      <c r="J62" s="4">
        <f t="shared" si="38"/>
        <v>0</v>
      </c>
      <c r="K62" s="4">
        <f t="shared" si="39"/>
        <v>0</v>
      </c>
      <c r="L62" s="65" t="e">
        <f t="shared" si="40"/>
        <v>#DIV/0!</v>
      </c>
      <c r="M62" s="153">
        <v>4.6184000000000003</v>
      </c>
      <c r="N62" s="67">
        <f t="shared" si="41"/>
        <v>0</v>
      </c>
      <c r="O62" s="67">
        <f>M62*J62</f>
        <v>0</v>
      </c>
      <c r="P62" s="1104"/>
    </row>
    <row r="63" spans="2:16" x14ac:dyDescent="0.25">
      <c r="B63" s="1099"/>
      <c r="C63" s="1102"/>
      <c r="D63" s="61" t="s">
        <v>123</v>
      </c>
      <c r="E63" s="62">
        <v>0</v>
      </c>
      <c r="F63" s="63">
        <f t="shared" si="43"/>
        <v>0</v>
      </c>
      <c r="G63" s="63">
        <v>0</v>
      </c>
      <c r="H63" s="64">
        <v>0</v>
      </c>
      <c r="I63" s="79">
        <f t="shared" ref="I63:I77" si="44">J63+K63</f>
        <v>0</v>
      </c>
      <c r="J63" s="4">
        <f t="shared" si="38"/>
        <v>0</v>
      </c>
      <c r="K63" s="4">
        <f>H63</f>
        <v>0</v>
      </c>
      <c r="L63" s="65" t="e">
        <f t="shared" si="40"/>
        <v>#DIV/0!</v>
      </c>
      <c r="M63" s="153">
        <v>4.6184000000000003</v>
      </c>
      <c r="N63" s="67">
        <f t="shared" si="41"/>
        <v>0</v>
      </c>
      <c r="O63" s="67">
        <f t="shared" ref="O63:O68" si="45">M63*J63</f>
        <v>0</v>
      </c>
      <c r="P63" s="1104"/>
    </row>
    <row r="64" spans="2:16" x14ac:dyDescent="0.25">
      <c r="B64" s="1099"/>
      <c r="C64" s="1102"/>
      <c r="D64" s="61" t="s">
        <v>124</v>
      </c>
      <c r="E64" s="62">
        <v>0</v>
      </c>
      <c r="F64" s="63">
        <f t="shared" si="43"/>
        <v>24100</v>
      </c>
      <c r="G64" s="63">
        <v>23100</v>
      </c>
      <c r="H64" s="64">
        <v>1000</v>
      </c>
      <c r="I64" s="79">
        <f t="shared" si="44"/>
        <v>24100</v>
      </c>
      <c r="J64" s="4">
        <f t="shared" si="38"/>
        <v>23100</v>
      </c>
      <c r="K64" s="4">
        <f t="shared" si="39"/>
        <v>1000</v>
      </c>
      <c r="L64" s="65" t="e">
        <f t="shared" si="40"/>
        <v>#DIV/0!</v>
      </c>
      <c r="M64" s="153">
        <v>4.7636000000000003</v>
      </c>
      <c r="N64" s="67">
        <f t="shared" si="41"/>
        <v>110039.16</v>
      </c>
      <c r="O64" s="67">
        <f t="shared" si="45"/>
        <v>110039.16</v>
      </c>
      <c r="P64" s="1104"/>
    </row>
    <row r="65" spans="2:16" x14ac:dyDescent="0.25">
      <c r="B65" s="1099"/>
      <c r="C65" s="1102"/>
      <c r="D65" s="61" t="s">
        <v>83</v>
      </c>
      <c r="E65" s="62">
        <v>0</v>
      </c>
      <c r="F65" s="63">
        <f t="shared" si="43"/>
        <v>0</v>
      </c>
      <c r="G65" s="63">
        <v>0</v>
      </c>
      <c r="H65" s="64">
        <v>0</v>
      </c>
      <c r="I65" s="79">
        <f t="shared" si="44"/>
        <v>0</v>
      </c>
      <c r="J65" s="4">
        <f t="shared" si="38"/>
        <v>0</v>
      </c>
      <c r="K65" s="4">
        <f t="shared" si="39"/>
        <v>0</v>
      </c>
      <c r="L65" s="65" t="e">
        <f t="shared" si="40"/>
        <v>#DIV/0!</v>
      </c>
      <c r="M65" s="66">
        <v>4.8738000000000001</v>
      </c>
      <c r="N65" s="67">
        <f t="shared" si="41"/>
        <v>0</v>
      </c>
      <c r="O65" s="67">
        <f t="shared" si="45"/>
        <v>0</v>
      </c>
      <c r="P65" s="1104"/>
    </row>
    <row r="66" spans="2:16" x14ac:dyDescent="0.25">
      <c r="B66" s="1099"/>
      <c r="C66" s="160" t="s">
        <v>128</v>
      </c>
      <c r="D66" s="61" t="s">
        <v>124</v>
      </c>
      <c r="E66" s="62"/>
      <c r="F66" s="63">
        <f t="shared" si="43"/>
        <v>0</v>
      </c>
      <c r="G66" s="63">
        <v>0</v>
      </c>
      <c r="H66" s="64">
        <v>0</v>
      </c>
      <c r="I66" s="79">
        <f t="shared" si="44"/>
        <v>0</v>
      </c>
      <c r="J66" s="4">
        <f t="shared" si="38"/>
        <v>0</v>
      </c>
      <c r="K66" s="4">
        <f t="shared" si="39"/>
        <v>0</v>
      </c>
      <c r="L66" s="65"/>
      <c r="M66" s="66">
        <v>4.8738000000000001</v>
      </c>
      <c r="N66" s="67">
        <f t="shared" si="41"/>
        <v>0</v>
      </c>
      <c r="O66" s="67">
        <f t="shared" si="45"/>
        <v>0</v>
      </c>
      <c r="P66" s="1104"/>
    </row>
    <row r="67" spans="2:16" x14ac:dyDescent="0.25">
      <c r="B67" s="1099"/>
      <c r="C67" s="1102" t="s">
        <v>84</v>
      </c>
      <c r="D67" s="61" t="s">
        <v>77</v>
      </c>
      <c r="E67" s="62">
        <v>0</v>
      </c>
      <c r="F67" s="63">
        <f t="shared" si="43"/>
        <v>34900</v>
      </c>
      <c r="G67" s="63">
        <v>34750</v>
      </c>
      <c r="H67" s="64">
        <v>150</v>
      </c>
      <c r="I67" s="79">
        <f t="shared" si="44"/>
        <v>34900</v>
      </c>
      <c r="J67" s="4">
        <f t="shared" si="38"/>
        <v>34750</v>
      </c>
      <c r="K67" s="4">
        <f t="shared" si="39"/>
        <v>150</v>
      </c>
      <c r="L67" s="65" t="e">
        <f t="shared" ref="L67:L77" si="46">+J67/E67</f>
        <v>#DIV/0!</v>
      </c>
      <c r="M67" s="66">
        <v>4.9344999999999999</v>
      </c>
      <c r="N67" s="67">
        <f t="shared" si="41"/>
        <v>171473.875</v>
      </c>
      <c r="O67" s="67">
        <f t="shared" si="45"/>
        <v>171473.875</v>
      </c>
      <c r="P67" s="1104"/>
    </row>
    <row r="68" spans="2:16" x14ac:dyDescent="0.25">
      <c r="B68" s="1099"/>
      <c r="C68" s="1102"/>
      <c r="D68" s="61" t="s">
        <v>135</v>
      </c>
      <c r="E68" s="62"/>
      <c r="F68" s="63">
        <f t="shared" si="43"/>
        <v>0</v>
      </c>
      <c r="G68" s="63">
        <v>0</v>
      </c>
      <c r="H68" s="64">
        <v>0</v>
      </c>
      <c r="I68" s="79">
        <f t="shared" si="44"/>
        <v>0</v>
      </c>
      <c r="J68" s="4">
        <f t="shared" si="38"/>
        <v>0</v>
      </c>
      <c r="K68" s="4">
        <f t="shared" si="39"/>
        <v>0</v>
      </c>
      <c r="L68" s="65" t="e">
        <f t="shared" si="46"/>
        <v>#DIV/0!</v>
      </c>
      <c r="M68" s="66">
        <v>4.9344999999999999</v>
      </c>
      <c r="N68" s="67">
        <f t="shared" si="41"/>
        <v>0</v>
      </c>
      <c r="O68" s="67">
        <f t="shared" si="45"/>
        <v>0</v>
      </c>
      <c r="P68" s="1104"/>
    </row>
    <row r="69" spans="2:16" x14ac:dyDescent="0.25">
      <c r="B69" s="1099"/>
      <c r="C69" s="1102"/>
      <c r="D69" s="61" t="s">
        <v>129</v>
      </c>
      <c r="E69" s="62">
        <v>0</v>
      </c>
      <c r="F69" s="63">
        <f t="shared" si="43"/>
        <v>0</v>
      </c>
      <c r="G69" s="155">
        <v>0</v>
      </c>
      <c r="H69" s="156">
        <v>0</v>
      </c>
      <c r="I69" s="157">
        <f t="shared" si="44"/>
        <v>0</v>
      </c>
      <c r="J69" s="4">
        <f t="shared" si="38"/>
        <v>0</v>
      </c>
      <c r="K69" s="4">
        <f>H69</f>
        <v>0</v>
      </c>
      <c r="L69" s="158" t="e">
        <f t="shared" si="46"/>
        <v>#DIV/0!</v>
      </c>
      <c r="M69" s="66">
        <v>4.9344999999999999</v>
      </c>
      <c r="N69" s="159">
        <f t="shared" si="41"/>
        <v>0</v>
      </c>
      <c r="O69" s="67">
        <f>M69*J69</f>
        <v>0</v>
      </c>
      <c r="P69" s="1104"/>
    </row>
    <row r="70" spans="2:16" x14ac:dyDescent="0.25">
      <c r="B70" s="1099"/>
      <c r="C70" s="1102" t="s">
        <v>85</v>
      </c>
      <c r="D70" s="61" t="s">
        <v>77</v>
      </c>
      <c r="E70" s="62">
        <v>0</v>
      </c>
      <c r="F70" s="63">
        <f t="shared" si="43"/>
        <v>18900</v>
      </c>
      <c r="G70" s="63">
        <v>18000</v>
      </c>
      <c r="H70" s="64">
        <v>900</v>
      </c>
      <c r="I70" s="79">
        <f t="shared" si="44"/>
        <v>18900</v>
      </c>
      <c r="J70" s="4">
        <f t="shared" si="38"/>
        <v>18000</v>
      </c>
      <c r="K70" s="4">
        <f t="shared" si="39"/>
        <v>900</v>
      </c>
      <c r="L70" s="65" t="e">
        <f t="shared" si="46"/>
        <v>#DIV/0!</v>
      </c>
      <c r="M70" s="148">
        <v>5.5069999999999997</v>
      </c>
      <c r="N70" s="67">
        <f t="shared" si="41"/>
        <v>99126</v>
      </c>
      <c r="O70" s="67">
        <f>M70*J70</f>
        <v>99126</v>
      </c>
      <c r="P70" s="1104"/>
    </row>
    <row r="71" spans="2:16" x14ac:dyDescent="0.25">
      <c r="B71" s="1099"/>
      <c r="C71" s="1102"/>
      <c r="D71" s="61" t="s">
        <v>112</v>
      </c>
      <c r="E71" s="62">
        <v>0</v>
      </c>
      <c r="F71" s="63">
        <f t="shared" si="43"/>
        <v>0</v>
      </c>
      <c r="G71" s="63">
        <v>0</v>
      </c>
      <c r="H71" s="64">
        <v>0</v>
      </c>
      <c r="I71" s="79">
        <f t="shared" si="44"/>
        <v>0</v>
      </c>
      <c r="J71" s="4">
        <f t="shared" si="38"/>
        <v>0</v>
      </c>
      <c r="K71" s="4">
        <f t="shared" si="39"/>
        <v>0</v>
      </c>
      <c r="L71" s="65" t="e">
        <f t="shared" si="46"/>
        <v>#DIV/0!</v>
      </c>
      <c r="M71" s="147">
        <v>5.6550000000000002</v>
      </c>
      <c r="N71" s="67">
        <f t="shared" si="41"/>
        <v>0</v>
      </c>
      <c r="O71" s="67">
        <f>M71*J71</f>
        <v>0</v>
      </c>
      <c r="P71" s="1104"/>
    </row>
    <row r="72" spans="2:16" x14ac:dyDescent="0.25">
      <c r="B72" s="1099"/>
      <c r="C72" s="1102"/>
      <c r="D72" s="61" t="s">
        <v>118</v>
      </c>
      <c r="E72" s="62">
        <v>0</v>
      </c>
      <c r="F72" s="63">
        <f t="shared" si="43"/>
        <v>0</v>
      </c>
      <c r="G72" s="63">
        <v>0</v>
      </c>
      <c r="H72" s="64">
        <v>0</v>
      </c>
      <c r="I72" s="79">
        <f t="shared" si="44"/>
        <v>0</v>
      </c>
      <c r="J72" s="4">
        <f t="shared" si="38"/>
        <v>0</v>
      </c>
      <c r="K72" s="4">
        <f t="shared" si="39"/>
        <v>0</v>
      </c>
      <c r="L72" s="65" t="e">
        <f t="shared" si="46"/>
        <v>#DIV/0!</v>
      </c>
      <c r="M72" s="152">
        <v>5.6550000000000002</v>
      </c>
      <c r="N72" s="67">
        <f t="shared" si="41"/>
        <v>0</v>
      </c>
      <c r="O72" s="67">
        <f>M72*J72</f>
        <v>0</v>
      </c>
      <c r="P72" s="1104"/>
    </row>
    <row r="73" spans="2:16" x14ac:dyDescent="0.25">
      <c r="B73" s="1099"/>
      <c r="C73" s="1102"/>
      <c r="D73" s="61" t="s">
        <v>121</v>
      </c>
      <c r="E73" s="62">
        <v>0</v>
      </c>
      <c r="F73" s="63">
        <f t="shared" si="43"/>
        <v>6000</v>
      </c>
      <c r="G73" s="63">
        <v>5500</v>
      </c>
      <c r="H73" s="64">
        <v>500</v>
      </c>
      <c r="I73" s="79">
        <f t="shared" si="44"/>
        <v>6000</v>
      </c>
      <c r="J73" s="4">
        <f t="shared" si="38"/>
        <v>5500</v>
      </c>
      <c r="K73" s="4">
        <f t="shared" si="39"/>
        <v>500</v>
      </c>
      <c r="L73" s="65" t="e">
        <f t="shared" si="46"/>
        <v>#DIV/0!</v>
      </c>
      <c r="M73" s="66">
        <v>5.7885299999999997</v>
      </c>
      <c r="N73" s="67">
        <f>+M73*G73</f>
        <v>31836.914999999997</v>
      </c>
      <c r="O73" s="67">
        <f>M73*J73</f>
        <v>31836.914999999997</v>
      </c>
      <c r="P73" s="1104"/>
    </row>
    <row r="74" spans="2:16" x14ac:dyDescent="0.25">
      <c r="B74" s="1099"/>
      <c r="C74" s="1102"/>
      <c r="D74" s="61" t="s">
        <v>136</v>
      </c>
      <c r="E74" s="62">
        <v>0</v>
      </c>
      <c r="F74" s="63">
        <f t="shared" si="43"/>
        <v>0</v>
      </c>
      <c r="G74" s="63">
        <v>0</v>
      </c>
      <c r="H74" s="64">
        <v>0</v>
      </c>
      <c r="I74" s="79">
        <f t="shared" si="44"/>
        <v>0</v>
      </c>
      <c r="J74" s="4">
        <f t="shared" si="38"/>
        <v>0</v>
      </c>
      <c r="K74" s="4">
        <f t="shared" si="39"/>
        <v>0</v>
      </c>
      <c r="L74" s="65" t="e">
        <f t="shared" si="46"/>
        <v>#DIV/0!</v>
      </c>
      <c r="M74" s="152">
        <v>5.6550000000000002</v>
      </c>
      <c r="N74" s="67">
        <f t="shared" ref="N74:N76" si="47">+M74*G74</f>
        <v>0</v>
      </c>
      <c r="O74" s="67">
        <f t="shared" ref="O74:O77" si="48">M74*J74</f>
        <v>0</v>
      </c>
      <c r="P74" s="1104"/>
    </row>
    <row r="75" spans="2:16" x14ac:dyDescent="0.25">
      <c r="B75" s="1099"/>
      <c r="C75" s="160" t="s">
        <v>86</v>
      </c>
      <c r="D75" s="61" t="s">
        <v>77</v>
      </c>
      <c r="E75" s="62">
        <v>0</v>
      </c>
      <c r="F75" s="63">
        <f t="shared" si="43"/>
        <v>0</v>
      </c>
      <c r="G75" s="63">
        <v>0</v>
      </c>
      <c r="H75" s="64">
        <v>0</v>
      </c>
      <c r="I75" s="79">
        <f t="shared" si="44"/>
        <v>0</v>
      </c>
      <c r="J75" s="4">
        <f t="shared" si="38"/>
        <v>0</v>
      </c>
      <c r="K75" s="4">
        <f>H75</f>
        <v>0</v>
      </c>
      <c r="L75" s="65" t="e">
        <f t="shared" si="46"/>
        <v>#DIV/0!</v>
      </c>
      <c r="M75" s="66">
        <v>3.2963</v>
      </c>
      <c r="N75" s="67">
        <f t="shared" si="47"/>
        <v>0</v>
      </c>
      <c r="O75" s="67">
        <f t="shared" si="48"/>
        <v>0</v>
      </c>
      <c r="P75" s="1104"/>
    </row>
    <row r="76" spans="2:16" x14ac:dyDescent="0.25">
      <c r="B76" s="1099"/>
      <c r="C76" s="160" t="s">
        <v>87</v>
      </c>
      <c r="D76" s="61" t="s">
        <v>77</v>
      </c>
      <c r="E76" s="62">
        <v>0</v>
      </c>
      <c r="F76" s="63">
        <f t="shared" si="43"/>
        <v>0</v>
      </c>
      <c r="G76" s="63">
        <v>0</v>
      </c>
      <c r="H76" s="64">
        <v>0</v>
      </c>
      <c r="I76" s="79">
        <f t="shared" si="44"/>
        <v>0</v>
      </c>
      <c r="J76" s="4">
        <f t="shared" si="38"/>
        <v>0</v>
      </c>
      <c r="K76" s="4">
        <f t="shared" si="39"/>
        <v>0</v>
      </c>
      <c r="L76" s="65" t="e">
        <f t="shared" si="46"/>
        <v>#DIV/0!</v>
      </c>
      <c r="M76" s="66">
        <v>3.2963</v>
      </c>
      <c r="N76" s="67">
        <f t="shared" si="47"/>
        <v>0</v>
      </c>
      <c r="O76" s="67">
        <f t="shared" si="48"/>
        <v>0</v>
      </c>
      <c r="P76" s="1104"/>
    </row>
    <row r="77" spans="2:16" ht="15.75" thickBot="1" x14ac:dyDescent="0.3">
      <c r="B77" s="1099"/>
      <c r="C77" s="68" t="s">
        <v>88</v>
      </c>
      <c r="D77" s="69" t="s">
        <v>89</v>
      </c>
      <c r="E77" s="70">
        <v>0</v>
      </c>
      <c r="F77" s="71">
        <f t="shared" si="43"/>
        <v>0</v>
      </c>
      <c r="G77" s="71">
        <v>0</v>
      </c>
      <c r="H77" s="72">
        <v>0</v>
      </c>
      <c r="I77" s="80">
        <f t="shared" si="44"/>
        <v>0</v>
      </c>
      <c r="J77" s="4">
        <f t="shared" si="38"/>
        <v>0</v>
      </c>
      <c r="K77" s="4">
        <f t="shared" si="39"/>
        <v>0</v>
      </c>
      <c r="L77" s="65" t="e">
        <f t="shared" si="46"/>
        <v>#DIV/0!</v>
      </c>
      <c r="M77" s="73">
        <v>2.3201000000000001</v>
      </c>
      <c r="N77" s="74">
        <f t="shared" ref="N77" si="49">M77*G77</f>
        <v>0</v>
      </c>
      <c r="O77" s="74">
        <f t="shared" si="48"/>
        <v>0</v>
      </c>
      <c r="P77" s="1105"/>
    </row>
    <row r="78" spans="2:16" ht="15.75" thickBot="1" x14ac:dyDescent="0.3">
      <c r="B78" s="1100"/>
      <c r="C78" s="1108" t="s">
        <v>99</v>
      </c>
      <c r="D78" s="1109"/>
      <c r="E78" s="1109"/>
      <c r="F78" s="1109"/>
      <c r="G78" s="1109"/>
      <c r="H78" s="1110"/>
      <c r="I78" s="116">
        <f>J78+K78</f>
        <v>83900</v>
      </c>
      <c r="J78" s="115">
        <f>SUM(J50:J77)</f>
        <v>81350</v>
      </c>
      <c r="K78" s="115">
        <f>SUM(K50:K77)</f>
        <v>2550</v>
      </c>
      <c r="L78" s="114"/>
      <c r="M78" s="113"/>
      <c r="N78" s="114"/>
      <c r="O78" s="97">
        <f>SUM(O50:O77)</f>
        <v>412475.95</v>
      </c>
      <c r="P78" s="96"/>
    </row>
    <row r="79" spans="2:16" ht="15.75" thickBot="1" x14ac:dyDescent="0.3">
      <c r="B79" s="100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2"/>
    </row>
    <row r="80" spans="2:16" ht="15.75" thickBot="1" x14ac:dyDescent="0.3">
      <c r="B80" s="1093" t="s">
        <v>100</v>
      </c>
      <c r="C80" s="1094"/>
      <c r="D80" s="1094"/>
      <c r="E80" s="1094"/>
      <c r="F80" s="1094"/>
      <c r="G80" s="1094"/>
      <c r="H80" s="1094"/>
      <c r="I80" s="1094"/>
      <c r="J80" s="1094"/>
      <c r="K80" s="1094"/>
      <c r="L80" s="1094"/>
      <c r="M80" s="1094"/>
      <c r="N80" s="1095"/>
      <c r="O80" s="103">
        <f>+O78+O49+O34</f>
        <v>1349521.7749999999</v>
      </c>
      <c r="P80" s="96"/>
    </row>
    <row r="81" spans="2:16" ht="15.75" thickBot="1" x14ac:dyDescent="0.3"/>
    <row r="82" spans="2:16" x14ac:dyDescent="0.25">
      <c r="B82" s="1127" t="s">
        <v>1</v>
      </c>
      <c r="C82" s="1129" t="s">
        <v>2</v>
      </c>
      <c r="D82" s="1132" t="s">
        <v>3</v>
      </c>
      <c r="E82" s="1135" t="s">
        <v>4</v>
      </c>
      <c r="F82" s="1136"/>
      <c r="G82" s="1136"/>
      <c r="H82" s="1136"/>
      <c r="I82" s="1136"/>
      <c r="J82" s="1136"/>
      <c r="K82" s="1136"/>
      <c r="L82" s="1137"/>
      <c r="M82" s="1138" t="s">
        <v>5</v>
      </c>
      <c r="N82" s="1139"/>
      <c r="O82" s="1140"/>
      <c r="P82" s="1132" t="s">
        <v>6</v>
      </c>
    </row>
    <row r="83" spans="2:16" x14ac:dyDescent="0.25">
      <c r="B83" s="1128"/>
      <c r="C83" s="1130"/>
      <c r="D83" s="1133"/>
      <c r="E83" s="1141" t="s">
        <v>7</v>
      </c>
      <c r="F83" s="1143" t="s">
        <v>140</v>
      </c>
      <c r="G83" s="1143"/>
      <c r="H83" s="1144"/>
      <c r="I83" s="1145" t="s">
        <v>8</v>
      </c>
      <c r="J83" s="1143"/>
      <c r="K83" s="1143"/>
      <c r="L83" s="1144" t="s">
        <v>9</v>
      </c>
      <c r="M83" s="1147" t="s">
        <v>10</v>
      </c>
      <c r="N83" s="1149" t="s">
        <v>11</v>
      </c>
      <c r="O83" s="1151" t="s">
        <v>12</v>
      </c>
      <c r="P83" s="1133"/>
    </row>
    <row r="84" spans="2:16" ht="15.75" thickBot="1" x14ac:dyDescent="0.3">
      <c r="B84" s="1128"/>
      <c r="C84" s="1131"/>
      <c r="D84" s="1134"/>
      <c r="E84" s="1142"/>
      <c r="F84" s="2" t="s">
        <v>13</v>
      </c>
      <c r="G84" s="2" t="s">
        <v>14</v>
      </c>
      <c r="H84" s="164" t="s">
        <v>15</v>
      </c>
      <c r="I84" s="142" t="s">
        <v>13</v>
      </c>
      <c r="J84" s="2" t="s">
        <v>14</v>
      </c>
      <c r="K84" s="2" t="s">
        <v>15</v>
      </c>
      <c r="L84" s="1146"/>
      <c r="M84" s="1148"/>
      <c r="N84" s="1150"/>
      <c r="O84" s="1152"/>
      <c r="P84" s="1134"/>
    </row>
    <row r="85" spans="2:16" x14ac:dyDescent="0.25">
      <c r="B85" s="1111" t="s">
        <v>53</v>
      </c>
      <c r="C85" s="29"/>
      <c r="D85" s="117" t="s">
        <v>54</v>
      </c>
      <c r="E85" s="98">
        <v>0</v>
      </c>
      <c r="F85" s="4">
        <f>+G85+H85</f>
        <v>0</v>
      </c>
      <c r="G85" s="4">
        <v>0</v>
      </c>
      <c r="H85" s="8">
        <v>0</v>
      </c>
      <c r="I85" s="6">
        <f>J85+K85</f>
        <v>0</v>
      </c>
      <c r="J85" s="4">
        <f>G85+J20</f>
        <v>0</v>
      </c>
      <c r="K85" s="4">
        <f>H85+K20</f>
        <v>0</v>
      </c>
      <c r="L85" s="33" t="e">
        <f>+J85/E85</f>
        <v>#DIV/0!</v>
      </c>
      <c r="M85" s="104">
        <v>1.3652</v>
      </c>
      <c r="N85" s="31">
        <f>G85*M85</f>
        <v>0</v>
      </c>
      <c r="O85" s="86">
        <f>M85*J85</f>
        <v>0</v>
      </c>
      <c r="P85" s="1113"/>
    </row>
    <row r="86" spans="2:16" x14ac:dyDescent="0.25">
      <c r="B86" s="1112"/>
      <c r="C86" s="32"/>
      <c r="D86" s="118" t="s">
        <v>109</v>
      </c>
      <c r="E86" s="99">
        <v>0</v>
      </c>
      <c r="F86" s="9">
        <f>+G86+H86</f>
        <v>0</v>
      </c>
      <c r="G86" s="9">
        <v>0</v>
      </c>
      <c r="H86" s="10">
        <v>0</v>
      </c>
      <c r="I86" s="6">
        <f>J86+K86</f>
        <v>0</v>
      </c>
      <c r="J86" s="4">
        <f>+G86+J21</f>
        <v>0</v>
      </c>
      <c r="K86" s="4">
        <f>+H86+K21</f>
        <v>0</v>
      </c>
      <c r="L86" s="33"/>
      <c r="M86" s="105">
        <v>5.9917999999999996</v>
      </c>
      <c r="N86" s="34">
        <f>M86*G86</f>
        <v>0</v>
      </c>
      <c r="O86" s="87">
        <f>M86*J86</f>
        <v>0</v>
      </c>
      <c r="P86" s="1114"/>
    </row>
    <row r="87" spans="2:16" x14ac:dyDescent="0.25">
      <c r="B87" s="1112"/>
      <c r="C87" s="35"/>
      <c r="D87" s="119" t="s">
        <v>55</v>
      </c>
      <c r="E87" s="99">
        <v>0</v>
      </c>
      <c r="F87" s="9">
        <f t="shared" ref="F87:F91" si="50">+G87+H87</f>
        <v>173895</v>
      </c>
      <c r="G87" s="9">
        <v>172500</v>
      </c>
      <c r="H87" s="10">
        <v>1395</v>
      </c>
      <c r="I87" s="6">
        <f t="shared" ref="I87:I91" si="51">J87+K87</f>
        <v>347837</v>
      </c>
      <c r="J87" s="4">
        <f t="shared" ref="J87:J91" si="52">+G87+J22</f>
        <v>345000</v>
      </c>
      <c r="K87" s="4">
        <f t="shared" ref="K87:K91" si="53">+H87+K22</f>
        <v>2837</v>
      </c>
      <c r="L87" s="33" t="e">
        <f t="shared" ref="L87" si="54">+J87/E87</f>
        <v>#DIV/0!</v>
      </c>
      <c r="M87" s="106">
        <v>2.3807999999999998</v>
      </c>
      <c r="N87" s="36">
        <f>G87*M87</f>
        <v>410687.99999999994</v>
      </c>
      <c r="O87" s="88">
        <f>M87*J87</f>
        <v>821375.99999999988</v>
      </c>
      <c r="P87" s="1114"/>
    </row>
    <row r="88" spans="2:16" x14ac:dyDescent="0.25">
      <c r="B88" s="1112"/>
      <c r="C88" s="35"/>
      <c r="D88" s="119" t="s">
        <v>56</v>
      </c>
      <c r="E88" s="99">
        <v>0</v>
      </c>
      <c r="F88" s="9">
        <f t="shared" si="50"/>
        <v>0</v>
      </c>
      <c r="G88" s="9">
        <v>0</v>
      </c>
      <c r="H88" s="10">
        <v>0</v>
      </c>
      <c r="I88" s="6">
        <f t="shared" si="51"/>
        <v>0</v>
      </c>
      <c r="J88" s="4">
        <f t="shared" si="52"/>
        <v>0</v>
      </c>
      <c r="K88" s="4">
        <f t="shared" si="53"/>
        <v>0</v>
      </c>
      <c r="L88" s="33"/>
      <c r="M88" s="106">
        <v>2.1457999999999999</v>
      </c>
      <c r="N88" s="36">
        <f t="shared" ref="N88:N91" si="55">G88*M88</f>
        <v>0</v>
      </c>
      <c r="O88" s="88">
        <f>M88*J88</f>
        <v>0</v>
      </c>
      <c r="P88" s="1114"/>
    </row>
    <row r="89" spans="2:16" x14ac:dyDescent="0.25">
      <c r="B89" s="1112"/>
      <c r="C89" s="35"/>
      <c r="D89" s="119" t="s">
        <v>106</v>
      </c>
      <c r="E89" s="99">
        <v>0</v>
      </c>
      <c r="F89" s="9">
        <f t="shared" si="50"/>
        <v>0</v>
      </c>
      <c r="G89" s="9">
        <v>0</v>
      </c>
      <c r="H89" s="10">
        <v>0</v>
      </c>
      <c r="I89" s="6">
        <f t="shared" si="51"/>
        <v>0</v>
      </c>
      <c r="J89" s="4">
        <f t="shared" si="52"/>
        <v>0</v>
      </c>
      <c r="K89" s="4">
        <f t="shared" si="53"/>
        <v>0</v>
      </c>
      <c r="L89" s="33" t="e">
        <f t="shared" ref="L89:L90" si="56">+J89/E89</f>
        <v>#DIV/0!</v>
      </c>
      <c r="M89" s="143">
        <v>4.0426000000000002</v>
      </c>
      <c r="N89" s="36">
        <f t="shared" si="55"/>
        <v>0</v>
      </c>
      <c r="O89" s="88">
        <f>M89*J89</f>
        <v>0</v>
      </c>
      <c r="P89" s="1114"/>
    </row>
    <row r="90" spans="2:16" x14ac:dyDescent="0.25">
      <c r="B90" s="1112"/>
      <c r="C90" s="35"/>
      <c r="D90" s="119" t="s">
        <v>110</v>
      </c>
      <c r="E90" s="99">
        <v>0</v>
      </c>
      <c r="F90" s="9">
        <f t="shared" si="50"/>
        <v>0</v>
      </c>
      <c r="G90" s="9">
        <v>0</v>
      </c>
      <c r="H90" s="10">
        <v>0</v>
      </c>
      <c r="I90" s="6">
        <f t="shared" si="51"/>
        <v>0</v>
      </c>
      <c r="J90" s="4">
        <f t="shared" si="52"/>
        <v>0</v>
      </c>
      <c r="K90" s="4">
        <f t="shared" si="53"/>
        <v>0</v>
      </c>
      <c r="L90" s="33" t="e">
        <f t="shared" si="56"/>
        <v>#DIV/0!</v>
      </c>
      <c r="M90" s="143">
        <v>3.8715000000000002</v>
      </c>
      <c r="N90" s="36">
        <f t="shared" si="55"/>
        <v>0</v>
      </c>
      <c r="O90" s="88">
        <f t="shared" ref="O90:O91" si="57">M90*J90</f>
        <v>0</v>
      </c>
      <c r="P90" s="1114"/>
    </row>
    <row r="91" spans="2:16" ht="15.75" thickBot="1" x14ac:dyDescent="0.3">
      <c r="B91" s="1112"/>
      <c r="C91" s="82"/>
      <c r="D91" s="120" t="s">
        <v>57</v>
      </c>
      <c r="E91" s="108">
        <v>0</v>
      </c>
      <c r="F91" s="12">
        <f t="shared" si="50"/>
        <v>0</v>
      </c>
      <c r="G91" s="12">
        <v>0</v>
      </c>
      <c r="H91" s="13">
        <v>0</v>
      </c>
      <c r="I91" s="21">
        <f t="shared" si="51"/>
        <v>0</v>
      </c>
      <c r="J91" s="4">
        <f t="shared" si="52"/>
        <v>0</v>
      </c>
      <c r="K91" s="4">
        <f t="shared" si="53"/>
        <v>0</v>
      </c>
      <c r="L91" s="81"/>
      <c r="M91" s="127">
        <v>12.284700000000001</v>
      </c>
      <c r="N91" s="36">
        <f t="shared" si="55"/>
        <v>0</v>
      </c>
      <c r="O91" s="128">
        <f t="shared" si="57"/>
        <v>0</v>
      </c>
      <c r="P91" s="1114"/>
    </row>
    <row r="92" spans="2:16" ht="15.75" thickBot="1" x14ac:dyDescent="0.3">
      <c r="B92" s="1112"/>
      <c r="C92" s="1117" t="s">
        <v>104</v>
      </c>
      <c r="D92" s="1118"/>
      <c r="E92" s="129"/>
      <c r="F92" s="130">
        <f>SUM(F85:F91)</f>
        <v>173895</v>
      </c>
      <c r="G92" s="130">
        <f>SUM(G85:G91)</f>
        <v>172500</v>
      </c>
      <c r="H92" s="131">
        <f>SUM(H85:H91)</f>
        <v>1395</v>
      </c>
      <c r="I92" s="132">
        <f>+J92+K92</f>
        <v>347837</v>
      </c>
      <c r="J92" s="133">
        <f>SUM(J85:J91)</f>
        <v>345000</v>
      </c>
      <c r="K92" s="133">
        <f>SUM(K85:K91)</f>
        <v>2837</v>
      </c>
      <c r="L92" s="134"/>
      <c r="M92" s="135"/>
      <c r="N92" s="136"/>
      <c r="O92" s="137">
        <f>SUM(O85:O91)</f>
        <v>821375.99999999988</v>
      </c>
      <c r="P92" s="1115"/>
    </row>
    <row r="93" spans="2:16" x14ac:dyDescent="0.25">
      <c r="B93" s="1112"/>
      <c r="C93" s="32"/>
      <c r="D93" s="118" t="s">
        <v>58</v>
      </c>
      <c r="E93" s="98">
        <v>0</v>
      </c>
      <c r="F93" s="4">
        <f t="shared" ref="F93:F96" si="58">+G93+H93</f>
        <v>0</v>
      </c>
      <c r="G93" s="4">
        <v>0</v>
      </c>
      <c r="H93" s="8">
        <v>0</v>
      </c>
      <c r="I93" s="6">
        <f t="shared" ref="I93:I97" si="59">J93+K93</f>
        <v>0</v>
      </c>
      <c r="J93" s="4">
        <f>G93+J28</f>
        <v>0</v>
      </c>
      <c r="K93" s="4">
        <f>H93+K28</f>
        <v>0</v>
      </c>
      <c r="L93" s="33" t="e">
        <f t="shared" ref="L93" si="60">+J93/E93</f>
        <v>#DIV/0!</v>
      </c>
      <c r="M93" s="105">
        <v>12.029500000000001</v>
      </c>
      <c r="N93" s="34">
        <f>M93*G93</f>
        <v>0</v>
      </c>
      <c r="O93" s="87">
        <f t="shared" ref="O93:O95" si="61">M93*J93</f>
        <v>0</v>
      </c>
      <c r="P93" s="1114"/>
    </row>
    <row r="94" spans="2:16" x14ac:dyDescent="0.25">
      <c r="B94" s="1112"/>
      <c r="C94" s="35"/>
      <c r="D94" s="119" t="s">
        <v>59</v>
      </c>
      <c r="E94" s="99">
        <v>0</v>
      </c>
      <c r="F94" s="9">
        <f t="shared" si="58"/>
        <v>0</v>
      </c>
      <c r="G94" s="9">
        <v>0</v>
      </c>
      <c r="H94" s="10">
        <v>0</v>
      </c>
      <c r="I94" s="6">
        <f t="shared" si="59"/>
        <v>0</v>
      </c>
      <c r="J94" s="4">
        <f>G94+J29</f>
        <v>0</v>
      </c>
      <c r="K94" s="4">
        <f>H94+K29</f>
        <v>0</v>
      </c>
      <c r="L94" s="33"/>
      <c r="M94" s="106">
        <v>0</v>
      </c>
      <c r="N94" s="36"/>
      <c r="O94" s="88">
        <f t="shared" si="61"/>
        <v>0</v>
      </c>
      <c r="P94" s="1114"/>
    </row>
    <row r="95" spans="2:16" x14ac:dyDescent="0.25">
      <c r="B95" s="1112"/>
      <c r="C95" s="35"/>
      <c r="D95" s="119" t="s">
        <v>97</v>
      </c>
      <c r="E95" s="99">
        <v>0</v>
      </c>
      <c r="F95" s="9">
        <f t="shared" si="58"/>
        <v>0</v>
      </c>
      <c r="G95" s="9">
        <v>0</v>
      </c>
      <c r="H95" s="10">
        <v>0</v>
      </c>
      <c r="I95" s="6">
        <f t="shared" si="59"/>
        <v>0</v>
      </c>
      <c r="J95" s="4">
        <f t="shared" ref="J95:J97" si="62">G95+J30</f>
        <v>0</v>
      </c>
      <c r="K95" s="4">
        <f t="shared" ref="K95:K97" si="63">H95+K30</f>
        <v>0</v>
      </c>
      <c r="L95" s="33" t="e">
        <f t="shared" ref="L95:L97" si="64">+J95/E95</f>
        <v>#DIV/0!</v>
      </c>
      <c r="M95" s="106">
        <v>19.688600000000001</v>
      </c>
      <c r="N95" s="36">
        <f>M95*G95</f>
        <v>0</v>
      </c>
      <c r="O95" s="88">
        <f t="shared" si="61"/>
        <v>0</v>
      </c>
      <c r="P95" s="1114"/>
    </row>
    <row r="96" spans="2:16" x14ac:dyDescent="0.25">
      <c r="B96" s="1112"/>
      <c r="C96" s="35"/>
      <c r="D96" s="119" t="s">
        <v>61</v>
      </c>
      <c r="E96" s="99">
        <v>0</v>
      </c>
      <c r="F96" s="9">
        <f t="shared" si="58"/>
        <v>0</v>
      </c>
      <c r="G96" s="9">
        <v>0</v>
      </c>
      <c r="H96" s="10">
        <v>0</v>
      </c>
      <c r="I96" s="6">
        <f t="shared" si="59"/>
        <v>0</v>
      </c>
      <c r="J96" s="4">
        <f t="shared" si="62"/>
        <v>0</v>
      </c>
      <c r="K96" s="4">
        <f t="shared" si="63"/>
        <v>0</v>
      </c>
      <c r="L96" s="33" t="e">
        <f t="shared" si="64"/>
        <v>#DIV/0!</v>
      </c>
      <c r="M96" s="106">
        <v>1.2824</v>
      </c>
      <c r="N96" s="151">
        <f>M96*G96</f>
        <v>0</v>
      </c>
      <c r="O96" s="88">
        <f>M96*J96</f>
        <v>0</v>
      </c>
      <c r="P96" s="1114"/>
    </row>
    <row r="97" spans="2:16" ht="15.75" thickBot="1" x14ac:dyDescent="0.3">
      <c r="B97" s="1112"/>
      <c r="C97" s="82"/>
      <c r="D97" s="120" t="s">
        <v>60</v>
      </c>
      <c r="E97" s="108">
        <v>0</v>
      </c>
      <c r="F97" s="12">
        <v>0</v>
      </c>
      <c r="G97" s="12">
        <v>0</v>
      </c>
      <c r="H97" s="13">
        <v>0</v>
      </c>
      <c r="I97" s="21">
        <f t="shared" si="59"/>
        <v>0</v>
      </c>
      <c r="J97" s="4">
        <f t="shared" si="62"/>
        <v>0</v>
      </c>
      <c r="K97" s="4">
        <f t="shared" si="63"/>
        <v>0</v>
      </c>
      <c r="L97" s="81" t="e">
        <f t="shared" si="64"/>
        <v>#DIV/0!</v>
      </c>
      <c r="M97" s="107">
        <v>18.2316</v>
      </c>
      <c r="N97" s="75"/>
      <c r="O97" s="89">
        <f t="shared" ref="O97" si="65">M97*J97</f>
        <v>0</v>
      </c>
      <c r="P97" s="1116"/>
    </row>
    <row r="98" spans="2:16" ht="15.75" thickBot="1" x14ac:dyDescent="0.3">
      <c r="B98" s="1096" t="s">
        <v>105</v>
      </c>
      <c r="C98" s="1097"/>
      <c r="D98" s="1097"/>
      <c r="E98" s="124"/>
      <c r="F98" s="125">
        <f>+G98+H98</f>
        <v>0</v>
      </c>
      <c r="G98" s="125">
        <f>SUM(G93:G97)</f>
        <v>0</v>
      </c>
      <c r="H98" s="126">
        <f>SUM(H93:H97)</f>
        <v>0</v>
      </c>
      <c r="I98" s="121">
        <f>J98+K98</f>
        <v>0</v>
      </c>
      <c r="J98" s="122">
        <f>SUM(J93:J97)</f>
        <v>0</v>
      </c>
      <c r="K98" s="123">
        <f>SUM(K93:K97)</f>
        <v>0</v>
      </c>
      <c r="L98" s="138"/>
      <c r="M98" s="139"/>
      <c r="N98" s="140"/>
      <c r="O98" s="141">
        <f>SUM(O93:O97)</f>
        <v>0</v>
      </c>
      <c r="P98" s="165"/>
    </row>
    <row r="99" spans="2:16" ht="15.75" thickBot="1" x14ac:dyDescent="0.3">
      <c r="B99" s="1096" t="s">
        <v>98</v>
      </c>
      <c r="C99" s="1097"/>
      <c r="D99" s="1097"/>
      <c r="E99" s="1119"/>
      <c r="F99" s="1119"/>
      <c r="G99" s="1119"/>
      <c r="H99" s="1119"/>
      <c r="I99" s="1097"/>
      <c r="J99" s="1097"/>
      <c r="K99" s="1097"/>
      <c r="L99" s="1097"/>
      <c r="M99" s="1097"/>
      <c r="N99" s="1120"/>
      <c r="O99" s="83">
        <f>O92+O98</f>
        <v>821375.99999999988</v>
      </c>
      <c r="P99" s="165"/>
    </row>
    <row r="100" spans="2:16" x14ac:dyDescent="0.25">
      <c r="B100" s="1111" t="s">
        <v>62</v>
      </c>
      <c r="C100" s="37" t="s">
        <v>63</v>
      </c>
      <c r="D100" s="28" t="s">
        <v>64</v>
      </c>
      <c r="E100" s="38">
        <v>0</v>
      </c>
      <c r="F100" s="14">
        <f>+G100+H100</f>
        <v>0</v>
      </c>
      <c r="G100" s="14">
        <v>0</v>
      </c>
      <c r="H100" s="5">
        <v>0</v>
      </c>
      <c r="I100" s="17">
        <f t="shared" ref="I100:I106" si="66">J100+K100</f>
        <v>0</v>
      </c>
      <c r="J100" s="4">
        <f>G100+J35</f>
        <v>0</v>
      </c>
      <c r="K100" s="4">
        <f>H100+K35</f>
        <v>0</v>
      </c>
      <c r="L100" s="30" t="e">
        <f>+J100/E100</f>
        <v>#DIV/0!</v>
      </c>
      <c r="M100" s="146">
        <v>2.2141000000000002</v>
      </c>
      <c r="N100" s="15">
        <f>+M100*G100</f>
        <v>0</v>
      </c>
      <c r="O100" s="90">
        <f>+M100*J100</f>
        <v>0</v>
      </c>
      <c r="P100" s="1122"/>
    </row>
    <row r="101" spans="2:16" x14ac:dyDescent="0.25">
      <c r="B101" s="1112"/>
      <c r="C101" s="39"/>
      <c r="D101" s="22" t="s">
        <v>65</v>
      </c>
      <c r="E101" s="3">
        <v>0</v>
      </c>
      <c r="F101" s="9">
        <f t="shared" ref="F101:F106" si="67">+G101+H101</f>
        <v>0</v>
      </c>
      <c r="G101" s="4">
        <v>0</v>
      </c>
      <c r="H101" s="8">
        <v>0</v>
      </c>
      <c r="I101" s="6">
        <f t="shared" si="66"/>
        <v>0</v>
      </c>
      <c r="J101" s="4">
        <f>+G101+J36</f>
        <v>0</v>
      </c>
      <c r="K101" s="4">
        <f>+H101+K36</f>
        <v>0</v>
      </c>
      <c r="L101" s="40" t="e">
        <f t="shared" ref="L101:L102" si="68">+J101/E101</f>
        <v>#DIV/0!</v>
      </c>
      <c r="M101" s="145">
        <v>2.4565999999999999</v>
      </c>
      <c r="N101" s="11">
        <f t="shared" ref="N101:N103" si="69">+M101*G101</f>
        <v>0</v>
      </c>
      <c r="O101" s="91">
        <f t="shared" ref="O101:O103" si="70">+M101*J101</f>
        <v>0</v>
      </c>
      <c r="P101" s="1123"/>
    </row>
    <row r="102" spans="2:16" x14ac:dyDescent="0.25">
      <c r="B102" s="1112"/>
      <c r="C102" s="39"/>
      <c r="D102" s="23" t="s">
        <v>126</v>
      </c>
      <c r="E102" s="3">
        <v>0</v>
      </c>
      <c r="F102" s="9">
        <f t="shared" si="67"/>
        <v>0</v>
      </c>
      <c r="G102" s="4">
        <v>0</v>
      </c>
      <c r="H102" s="8">
        <v>0</v>
      </c>
      <c r="I102" s="6">
        <f t="shared" si="66"/>
        <v>0</v>
      </c>
      <c r="J102" s="4">
        <f t="shared" ref="J102:J106" si="71">+G102+J37</f>
        <v>0</v>
      </c>
      <c r="K102" s="4">
        <f t="shared" ref="K102:K106" si="72">+H102+K37</f>
        <v>0</v>
      </c>
      <c r="L102" s="40" t="e">
        <f t="shared" si="68"/>
        <v>#DIV/0!</v>
      </c>
      <c r="M102" s="145">
        <v>2.2907000000000002</v>
      </c>
      <c r="N102" s="11">
        <f t="shared" si="69"/>
        <v>0</v>
      </c>
      <c r="O102" s="91">
        <f t="shared" si="70"/>
        <v>0</v>
      </c>
      <c r="P102" s="1123"/>
    </row>
    <row r="103" spans="2:16" x14ac:dyDescent="0.25">
      <c r="B103" s="1112"/>
      <c r="C103" s="39"/>
      <c r="D103" s="22" t="s">
        <v>131</v>
      </c>
      <c r="E103" s="3"/>
      <c r="F103" s="9">
        <f t="shared" si="67"/>
        <v>0</v>
      </c>
      <c r="G103" s="4">
        <v>0</v>
      </c>
      <c r="H103" s="8">
        <v>0</v>
      </c>
      <c r="I103" s="6">
        <f t="shared" si="66"/>
        <v>0</v>
      </c>
      <c r="J103" s="4">
        <f t="shared" si="71"/>
        <v>0</v>
      </c>
      <c r="K103" s="4">
        <f t="shared" si="72"/>
        <v>0</v>
      </c>
      <c r="L103" s="33"/>
      <c r="M103" s="150">
        <v>2.544</v>
      </c>
      <c r="N103" s="11">
        <f t="shared" si="69"/>
        <v>0</v>
      </c>
      <c r="O103" s="91">
        <f t="shared" si="70"/>
        <v>0</v>
      </c>
      <c r="P103" s="1123"/>
    </row>
    <row r="104" spans="2:16" x14ac:dyDescent="0.25">
      <c r="B104" s="1112"/>
      <c r="C104" s="39" t="s">
        <v>66</v>
      </c>
      <c r="D104" s="22" t="s">
        <v>133</v>
      </c>
      <c r="E104" s="3">
        <v>0</v>
      </c>
      <c r="F104" s="9">
        <f t="shared" si="67"/>
        <v>0</v>
      </c>
      <c r="G104" s="4">
        <v>0</v>
      </c>
      <c r="H104" s="8">
        <v>0</v>
      </c>
      <c r="I104" s="6">
        <f t="shared" si="66"/>
        <v>40072</v>
      </c>
      <c r="J104" s="4">
        <f t="shared" si="71"/>
        <v>38500</v>
      </c>
      <c r="K104" s="4">
        <f t="shared" si="72"/>
        <v>1572</v>
      </c>
      <c r="L104" s="33" t="e">
        <f>+J104/E104</f>
        <v>#DIV/0!</v>
      </c>
      <c r="M104" s="144">
        <v>2.2141000000000002</v>
      </c>
      <c r="N104" s="7">
        <f>+M104*G104</f>
        <v>0</v>
      </c>
      <c r="O104" s="85">
        <f>+M104*J104</f>
        <v>85242.85</v>
      </c>
      <c r="P104" s="1123"/>
    </row>
    <row r="105" spans="2:16" x14ac:dyDescent="0.25">
      <c r="B105" s="1112"/>
      <c r="C105" s="39"/>
      <c r="D105" s="22" t="s">
        <v>65</v>
      </c>
      <c r="E105" s="3">
        <v>0</v>
      </c>
      <c r="F105" s="9">
        <f t="shared" si="67"/>
        <v>0</v>
      </c>
      <c r="G105" s="4">
        <v>0</v>
      </c>
      <c r="H105" s="8">
        <v>0</v>
      </c>
      <c r="I105" s="6">
        <f t="shared" si="66"/>
        <v>0</v>
      </c>
      <c r="J105" s="4">
        <f t="shared" si="71"/>
        <v>0</v>
      </c>
      <c r="K105" s="4">
        <f t="shared" si="72"/>
        <v>0</v>
      </c>
      <c r="L105" s="40" t="e">
        <f t="shared" ref="L105:L106" si="73">+J105/E105</f>
        <v>#DIV/0!</v>
      </c>
      <c r="M105" s="145">
        <v>2.4565999999999999</v>
      </c>
      <c r="N105" s="11">
        <f t="shared" ref="N105:N106" si="74">+M105*G105</f>
        <v>0</v>
      </c>
      <c r="O105" s="91">
        <f t="shared" ref="O105" si="75">+M105*J105</f>
        <v>0</v>
      </c>
      <c r="P105" s="1123"/>
    </row>
    <row r="106" spans="2:16" ht="15.75" thickBot="1" x14ac:dyDescent="0.3">
      <c r="B106" s="1112"/>
      <c r="C106" s="39"/>
      <c r="D106" s="22" t="s">
        <v>126</v>
      </c>
      <c r="E106" s="3">
        <v>0</v>
      </c>
      <c r="F106" s="9">
        <f t="shared" si="67"/>
        <v>0</v>
      </c>
      <c r="G106" s="4">
        <v>0</v>
      </c>
      <c r="H106" s="8">
        <v>0</v>
      </c>
      <c r="I106" s="6">
        <f t="shared" si="66"/>
        <v>0</v>
      </c>
      <c r="J106" s="4">
        <f t="shared" si="71"/>
        <v>0</v>
      </c>
      <c r="K106" s="4">
        <f t="shared" si="72"/>
        <v>0</v>
      </c>
      <c r="L106" s="40" t="e">
        <f t="shared" si="73"/>
        <v>#DIV/0!</v>
      </c>
      <c r="M106" s="145">
        <v>2.2907000000000002</v>
      </c>
      <c r="N106" s="11">
        <f t="shared" si="74"/>
        <v>0</v>
      </c>
      <c r="O106" s="154">
        <f>+M106*J106</f>
        <v>0</v>
      </c>
      <c r="P106" s="1124"/>
    </row>
    <row r="107" spans="2:16" ht="15.75" thickBot="1" x14ac:dyDescent="0.3">
      <c r="B107" s="1112"/>
      <c r="C107" s="41" t="s">
        <v>29</v>
      </c>
      <c r="D107" s="27" t="str">
        <f>+C107</f>
        <v>TOTAL 1/2</v>
      </c>
      <c r="E107" s="42">
        <f>SUM(E100:E106)</f>
        <v>0</v>
      </c>
      <c r="F107" s="43">
        <f>SUM(F100:F106)</f>
        <v>0</v>
      </c>
      <c r="G107" s="43">
        <f>SUM(G100:G106)</f>
        <v>0</v>
      </c>
      <c r="H107" s="44">
        <f>SUM(H100:H106)</f>
        <v>0</v>
      </c>
      <c r="I107" s="45">
        <f>SUM(I104:I106)</f>
        <v>40072</v>
      </c>
      <c r="J107" s="43">
        <f>SUM(J100:J106)</f>
        <v>38500</v>
      </c>
      <c r="K107" s="43">
        <f>SUM(K100:K106)</f>
        <v>1572</v>
      </c>
      <c r="L107" s="46" t="e">
        <f>+J107/E107</f>
        <v>#DIV/0!</v>
      </c>
      <c r="M107" s="47"/>
      <c r="N107" s="48">
        <f>SUM(N104:N106)</f>
        <v>0</v>
      </c>
      <c r="O107" s="49">
        <f>SUM(O100:O106)</f>
        <v>85242.85</v>
      </c>
      <c r="P107" s="166"/>
    </row>
    <row r="108" spans="2:16" x14ac:dyDescent="0.25">
      <c r="B108" s="1112"/>
      <c r="C108" s="1125" t="s">
        <v>67</v>
      </c>
      <c r="D108" s="22" t="s">
        <v>64</v>
      </c>
      <c r="E108" s="3">
        <v>0</v>
      </c>
      <c r="F108" s="4">
        <f>G108+H108</f>
        <v>0</v>
      </c>
      <c r="G108" s="4">
        <v>0</v>
      </c>
      <c r="H108" s="8">
        <v>0</v>
      </c>
      <c r="I108" s="16">
        <f>J108+K108</f>
        <v>109220</v>
      </c>
      <c r="J108" s="4">
        <f>G108+J43</f>
        <v>105750</v>
      </c>
      <c r="K108" s="4">
        <f>H108+K43</f>
        <v>3470</v>
      </c>
      <c r="L108" s="50" t="e">
        <f>+J108/E108</f>
        <v>#DIV/0!</v>
      </c>
      <c r="M108" s="144">
        <v>4.1712999999999996</v>
      </c>
      <c r="N108" s="7">
        <f>+M108*G108</f>
        <v>0</v>
      </c>
      <c r="O108" s="93">
        <f>+M108*J108</f>
        <v>441114.97499999998</v>
      </c>
      <c r="P108" s="1122"/>
    </row>
    <row r="109" spans="2:16" x14ac:dyDescent="0.25">
      <c r="B109" s="1112"/>
      <c r="C109" s="1126"/>
      <c r="D109" s="22" t="s">
        <v>65</v>
      </c>
      <c r="E109" s="3">
        <v>0</v>
      </c>
      <c r="F109" s="4">
        <f>G109+H109</f>
        <v>0</v>
      </c>
      <c r="G109" s="4">
        <v>0</v>
      </c>
      <c r="H109" s="8">
        <v>0</v>
      </c>
      <c r="I109" s="6">
        <f>+R1153+F109</f>
        <v>0</v>
      </c>
      <c r="J109" s="4">
        <f>G109+J44</f>
        <v>0</v>
      </c>
      <c r="K109" s="4">
        <f>H109+K44</f>
        <v>0</v>
      </c>
      <c r="L109" s="51" t="e">
        <f t="shared" ref="L109:L113" si="76">+J109/E109</f>
        <v>#DIV/0!</v>
      </c>
      <c r="M109" s="145">
        <v>4.8285999999999998</v>
      </c>
      <c r="N109" s="11">
        <f t="shared" ref="N109:N111" si="77">+M109*G109</f>
        <v>0</v>
      </c>
      <c r="O109" s="94">
        <f t="shared" ref="O109:O111" si="78">+M109*J109</f>
        <v>0</v>
      </c>
      <c r="P109" s="1123"/>
    </row>
    <row r="110" spans="2:16" x14ac:dyDescent="0.25">
      <c r="B110" s="1112"/>
      <c r="C110" s="1126"/>
      <c r="D110" s="22" t="s">
        <v>127</v>
      </c>
      <c r="E110" s="3"/>
      <c r="F110" s="4">
        <f>G110+H110</f>
        <v>0</v>
      </c>
      <c r="G110" s="4">
        <v>0</v>
      </c>
      <c r="H110" s="8">
        <v>0</v>
      </c>
      <c r="I110" s="6">
        <f>+R1154+F110</f>
        <v>0</v>
      </c>
      <c r="J110" s="4">
        <f t="shared" ref="J110:J111" si="79">G110+J45</f>
        <v>0</v>
      </c>
      <c r="K110" s="4">
        <f t="shared" ref="K110:K111" si="80">H110+K45</f>
        <v>0</v>
      </c>
      <c r="L110" s="51" t="e">
        <f t="shared" si="76"/>
        <v>#DIV/0!</v>
      </c>
      <c r="M110" s="144">
        <v>4.5023</v>
      </c>
      <c r="N110" s="11">
        <f t="shared" si="77"/>
        <v>0</v>
      </c>
      <c r="O110" s="94">
        <f t="shared" si="78"/>
        <v>0</v>
      </c>
      <c r="P110" s="1123"/>
    </row>
    <row r="111" spans="2:16" ht="15.75" thickBot="1" x14ac:dyDescent="0.3">
      <c r="B111" s="1112"/>
      <c r="C111" s="1126"/>
      <c r="D111" s="22" t="s">
        <v>111</v>
      </c>
      <c r="E111" s="3">
        <v>0</v>
      </c>
      <c r="F111" s="4">
        <f t="shared" ref="F111" si="81">G111+H111</f>
        <v>0</v>
      </c>
      <c r="G111" s="4">
        <v>0</v>
      </c>
      <c r="H111" s="8">
        <v>0</v>
      </c>
      <c r="I111" s="6">
        <f>+R1154+F111</f>
        <v>0</v>
      </c>
      <c r="J111" s="4">
        <f t="shared" si="79"/>
        <v>0</v>
      </c>
      <c r="K111" s="4">
        <f t="shared" si="80"/>
        <v>0</v>
      </c>
      <c r="L111" s="51" t="e">
        <f t="shared" si="76"/>
        <v>#DIV/0!</v>
      </c>
      <c r="M111" s="144">
        <v>4.4065000000000003</v>
      </c>
      <c r="N111" s="11">
        <f t="shared" si="77"/>
        <v>0</v>
      </c>
      <c r="O111" s="94">
        <f t="shared" si="78"/>
        <v>0</v>
      </c>
      <c r="P111" s="1123"/>
    </row>
    <row r="112" spans="2:16" ht="15.75" thickBot="1" x14ac:dyDescent="0.3">
      <c r="B112" s="1112"/>
      <c r="C112" s="41" t="s">
        <v>31</v>
      </c>
      <c r="D112" s="18" t="str">
        <f>+C112</f>
        <v>TOTAL 4/4</v>
      </c>
      <c r="E112" s="42">
        <f t="shared" ref="E112:K112" si="82">SUM(E108:E111)</f>
        <v>0</v>
      </c>
      <c r="F112" s="43">
        <f t="shared" si="82"/>
        <v>0</v>
      </c>
      <c r="G112" s="43">
        <f t="shared" si="82"/>
        <v>0</v>
      </c>
      <c r="H112" s="44">
        <f t="shared" si="82"/>
        <v>0</v>
      </c>
      <c r="I112" s="45">
        <f t="shared" si="82"/>
        <v>109220</v>
      </c>
      <c r="J112" s="43">
        <f t="shared" si="82"/>
        <v>105750</v>
      </c>
      <c r="K112" s="43">
        <f t="shared" si="82"/>
        <v>3470</v>
      </c>
      <c r="L112" s="46" t="e">
        <f t="shared" si="76"/>
        <v>#DIV/0!</v>
      </c>
      <c r="M112" s="47"/>
      <c r="N112" s="48">
        <f>SUM(N108:N111)</f>
        <v>0</v>
      </c>
      <c r="O112" s="92">
        <f>SUM(O108:O111)</f>
        <v>441114.97499999998</v>
      </c>
      <c r="P112" s="1124"/>
    </row>
    <row r="113" spans="2:16" ht="15.75" thickBot="1" x14ac:dyDescent="0.3">
      <c r="B113" s="1121"/>
      <c r="C113" s="41" t="s">
        <v>68</v>
      </c>
      <c r="D113" s="27" t="s">
        <v>64</v>
      </c>
      <c r="E113" s="25">
        <v>0</v>
      </c>
      <c r="F113" s="20">
        <f>G113+H113</f>
        <v>0</v>
      </c>
      <c r="G113" s="20">
        <v>0</v>
      </c>
      <c r="H113" s="24">
        <v>0</v>
      </c>
      <c r="I113" s="19">
        <f>J113+K113</f>
        <v>0</v>
      </c>
      <c r="J113" s="4">
        <f>G113+J48</f>
        <v>0</v>
      </c>
      <c r="K113" s="4">
        <f>H113+K48</f>
        <v>0</v>
      </c>
      <c r="L113" s="52" t="e">
        <f t="shared" si="76"/>
        <v>#DIV/0!</v>
      </c>
      <c r="M113" s="149">
        <v>1.4086000000000001</v>
      </c>
      <c r="N113" s="26">
        <f t="shared" ref="N113" si="83">+M113*G113</f>
        <v>0</v>
      </c>
      <c r="O113" s="95">
        <f t="shared" ref="O113" si="84">+M113*J113</f>
        <v>0</v>
      </c>
      <c r="P113" s="53"/>
    </row>
    <row r="114" spans="2:16" ht="15.75" thickBot="1" x14ac:dyDescent="0.3">
      <c r="B114" s="1096" t="s">
        <v>95</v>
      </c>
      <c r="C114" s="1097"/>
      <c r="D114" s="1097"/>
      <c r="E114" s="1097"/>
      <c r="F114" s="1097"/>
      <c r="G114" s="1097"/>
      <c r="H114" s="1097"/>
      <c r="I114" s="110">
        <f>J114+K114</f>
        <v>149292</v>
      </c>
      <c r="J114" s="110">
        <f>J107+J112+J113</f>
        <v>144250</v>
      </c>
      <c r="K114" s="110">
        <f>K107+K112+K113</f>
        <v>5042</v>
      </c>
      <c r="L114" s="111"/>
      <c r="M114" s="112"/>
      <c r="N114" s="109"/>
      <c r="O114" s="77">
        <f>+O113+O112+O107</f>
        <v>526357.82499999995</v>
      </c>
      <c r="P114" s="84"/>
    </row>
    <row r="115" spans="2:16" x14ac:dyDescent="0.25">
      <c r="B115" s="1098" t="s">
        <v>69</v>
      </c>
      <c r="C115" s="1101" t="s">
        <v>70</v>
      </c>
      <c r="D115" s="54" t="s">
        <v>71</v>
      </c>
      <c r="E115" s="55">
        <v>0</v>
      </c>
      <c r="F115" s="56">
        <f>G115+H115</f>
        <v>0</v>
      </c>
      <c r="G115" s="56">
        <v>0</v>
      </c>
      <c r="H115" s="57">
        <v>0</v>
      </c>
      <c r="I115" s="78">
        <f>J115+K115</f>
        <v>0</v>
      </c>
      <c r="J115" s="4">
        <f>G115+J50</f>
        <v>0</v>
      </c>
      <c r="K115" s="4">
        <f>H115+K50</f>
        <v>0</v>
      </c>
      <c r="L115" s="58" t="e">
        <f t="shared" ref="L115" si="85">+J115/E115</f>
        <v>#DIV/0!</v>
      </c>
      <c r="M115" s="59">
        <v>32.946300000000001</v>
      </c>
      <c r="N115" s="60">
        <f>+M115*G115</f>
        <v>0</v>
      </c>
      <c r="O115" s="60">
        <f>M115*J115</f>
        <v>0</v>
      </c>
      <c r="P115" s="1103"/>
    </row>
    <row r="116" spans="2:16" x14ac:dyDescent="0.25">
      <c r="B116" s="1099"/>
      <c r="C116" s="1102"/>
      <c r="D116" s="61" t="s">
        <v>72</v>
      </c>
      <c r="E116" s="62">
        <v>0</v>
      </c>
      <c r="F116" s="63">
        <f>G116+H116</f>
        <v>0</v>
      </c>
      <c r="G116" s="63">
        <v>0</v>
      </c>
      <c r="H116" s="64">
        <v>0</v>
      </c>
      <c r="I116" s="79">
        <f>J116+K116</f>
        <v>0</v>
      </c>
      <c r="J116" s="4">
        <f>G116+J51</f>
        <v>0</v>
      </c>
      <c r="K116" s="4">
        <f>H116+K51</f>
        <v>0</v>
      </c>
      <c r="L116" s="65" t="e">
        <f>+J116/E116</f>
        <v>#DIV/0!</v>
      </c>
      <c r="M116" s="66">
        <v>35.398400000000002</v>
      </c>
      <c r="N116" s="67">
        <f>+M116*G116</f>
        <v>0</v>
      </c>
      <c r="O116" s="67">
        <f>M116*J116</f>
        <v>0</v>
      </c>
      <c r="P116" s="1104"/>
    </row>
    <row r="117" spans="2:16" x14ac:dyDescent="0.25">
      <c r="B117" s="1099"/>
      <c r="C117" s="1102"/>
      <c r="D117" s="61" t="s">
        <v>73</v>
      </c>
      <c r="E117" s="62">
        <v>0</v>
      </c>
      <c r="F117" s="63">
        <f t="shared" ref="F117:F120" si="86">G117+H117</f>
        <v>0</v>
      </c>
      <c r="G117" s="63">
        <v>0</v>
      </c>
      <c r="H117" s="64">
        <v>0</v>
      </c>
      <c r="I117" s="79">
        <f t="shared" ref="I117:I126" si="87">J117+K117</f>
        <v>0</v>
      </c>
      <c r="J117" s="4">
        <f t="shared" ref="J117:J142" si="88">G117+J52</f>
        <v>0</v>
      </c>
      <c r="K117" s="4">
        <f t="shared" ref="K117:K121" si="89">H117+K52</f>
        <v>0</v>
      </c>
      <c r="L117" s="65" t="e">
        <f t="shared" ref="L117:L130" si="90">+J117/E117</f>
        <v>#DIV/0!</v>
      </c>
      <c r="M117" s="66">
        <v>32.946300000000001</v>
      </c>
      <c r="N117" s="67">
        <f t="shared" ref="N117:N137" si="91">+M117*G117</f>
        <v>0</v>
      </c>
      <c r="O117" s="67">
        <f t="shared" ref="O117:O125" si="92">M117*J117</f>
        <v>0</v>
      </c>
      <c r="P117" s="1104"/>
    </row>
    <row r="118" spans="2:16" x14ac:dyDescent="0.25">
      <c r="B118" s="1099"/>
      <c r="C118" s="1102" t="s">
        <v>74</v>
      </c>
      <c r="D118" s="61" t="s">
        <v>75</v>
      </c>
      <c r="E118" s="62">
        <v>0</v>
      </c>
      <c r="F118" s="63">
        <f t="shared" si="86"/>
        <v>4976</v>
      </c>
      <c r="G118" s="63">
        <v>4800</v>
      </c>
      <c r="H118" s="64">
        <v>176</v>
      </c>
      <c r="I118" s="79">
        <f t="shared" si="87"/>
        <v>4976</v>
      </c>
      <c r="J118" s="4">
        <f t="shared" si="88"/>
        <v>4800</v>
      </c>
      <c r="K118" s="4">
        <f t="shared" si="89"/>
        <v>176</v>
      </c>
      <c r="L118" s="65" t="e">
        <f t="shared" si="90"/>
        <v>#DIV/0!</v>
      </c>
      <c r="M118" s="66">
        <v>55.4758</v>
      </c>
      <c r="N118" s="67">
        <f t="shared" si="91"/>
        <v>266283.84000000003</v>
      </c>
      <c r="O118" s="67">
        <f t="shared" si="92"/>
        <v>266283.84000000003</v>
      </c>
      <c r="P118" s="1104"/>
    </row>
    <row r="119" spans="2:16" x14ac:dyDescent="0.25">
      <c r="B119" s="1099"/>
      <c r="C119" s="1102"/>
      <c r="D119" s="61" t="s">
        <v>134</v>
      </c>
      <c r="E119" s="62">
        <v>0</v>
      </c>
      <c r="F119" s="63">
        <f t="shared" si="86"/>
        <v>0</v>
      </c>
      <c r="G119" s="63">
        <v>0</v>
      </c>
      <c r="H119" s="64">
        <v>0</v>
      </c>
      <c r="I119" s="79">
        <f t="shared" si="87"/>
        <v>0</v>
      </c>
      <c r="J119" s="4">
        <f t="shared" si="88"/>
        <v>0</v>
      </c>
      <c r="K119" s="4">
        <f t="shared" si="89"/>
        <v>0</v>
      </c>
      <c r="L119" s="65" t="e">
        <f t="shared" si="90"/>
        <v>#DIV/0!</v>
      </c>
      <c r="M119" s="66">
        <v>53.515999999999998</v>
      </c>
      <c r="N119" s="67">
        <f t="shared" si="91"/>
        <v>0</v>
      </c>
      <c r="O119" s="67">
        <f t="shared" si="92"/>
        <v>0</v>
      </c>
      <c r="P119" s="1104"/>
    </row>
    <row r="120" spans="2:16" x14ac:dyDescent="0.25">
      <c r="B120" s="1099"/>
      <c r="C120" s="1102"/>
      <c r="D120" s="61" t="s">
        <v>72</v>
      </c>
      <c r="E120" s="62">
        <v>0</v>
      </c>
      <c r="F120" s="63">
        <f t="shared" si="86"/>
        <v>0</v>
      </c>
      <c r="G120" s="63">
        <v>0</v>
      </c>
      <c r="H120" s="64">
        <v>0</v>
      </c>
      <c r="I120" s="79">
        <f t="shared" si="87"/>
        <v>0</v>
      </c>
      <c r="J120" s="4">
        <f t="shared" si="88"/>
        <v>0</v>
      </c>
      <c r="K120" s="4">
        <f t="shared" si="89"/>
        <v>0</v>
      </c>
      <c r="L120" s="65" t="e">
        <f t="shared" si="90"/>
        <v>#DIV/0!</v>
      </c>
      <c r="M120" s="66">
        <v>58.836300000000001</v>
      </c>
      <c r="N120" s="67">
        <f t="shared" si="91"/>
        <v>0</v>
      </c>
      <c r="O120" s="67">
        <f t="shared" si="92"/>
        <v>0</v>
      </c>
      <c r="P120" s="1104"/>
    </row>
    <row r="121" spans="2:16" x14ac:dyDescent="0.25">
      <c r="B121" s="1099"/>
      <c r="C121" s="1106" t="s">
        <v>76</v>
      </c>
      <c r="D121" s="61" t="s">
        <v>77</v>
      </c>
      <c r="E121" s="62">
        <v>0</v>
      </c>
      <c r="F121" s="63">
        <f>G121+H121</f>
        <v>0</v>
      </c>
      <c r="G121" s="63">
        <v>0</v>
      </c>
      <c r="H121" s="64">
        <v>0</v>
      </c>
      <c r="I121" s="79">
        <f t="shared" si="87"/>
        <v>0</v>
      </c>
      <c r="J121" s="4">
        <f t="shared" si="88"/>
        <v>0</v>
      </c>
      <c r="K121" s="4">
        <f t="shared" si="89"/>
        <v>0</v>
      </c>
      <c r="L121" s="65" t="e">
        <f t="shared" si="90"/>
        <v>#DIV/0!</v>
      </c>
      <c r="M121" s="66">
        <v>25.687200000000001</v>
      </c>
      <c r="N121" s="67">
        <f t="shared" si="91"/>
        <v>0</v>
      </c>
      <c r="O121" s="67">
        <f t="shared" si="92"/>
        <v>0</v>
      </c>
      <c r="P121" s="1104"/>
    </row>
    <row r="122" spans="2:16" x14ac:dyDescent="0.25">
      <c r="B122" s="1099"/>
      <c r="C122" s="1107"/>
      <c r="D122" s="61" t="s">
        <v>117</v>
      </c>
      <c r="E122" s="62">
        <v>0</v>
      </c>
      <c r="F122" s="63">
        <f>G122+H122</f>
        <v>0</v>
      </c>
      <c r="G122" s="63">
        <v>0</v>
      </c>
      <c r="H122" s="64">
        <v>0</v>
      </c>
      <c r="I122" s="79">
        <f t="shared" si="87"/>
        <v>0</v>
      </c>
      <c r="J122" s="4">
        <f t="shared" si="88"/>
        <v>0</v>
      </c>
      <c r="K122" s="4">
        <f>H122+K57</f>
        <v>0</v>
      </c>
      <c r="L122" s="65" t="e">
        <f t="shared" si="90"/>
        <v>#DIV/0!</v>
      </c>
      <c r="M122" s="66">
        <v>25.033899999999999</v>
      </c>
      <c r="N122" s="67">
        <f t="shared" si="91"/>
        <v>0</v>
      </c>
      <c r="O122" s="67">
        <f t="shared" si="92"/>
        <v>0</v>
      </c>
      <c r="P122" s="1104"/>
    </row>
    <row r="123" spans="2:16" x14ac:dyDescent="0.25">
      <c r="B123" s="1099"/>
      <c r="C123" s="1106" t="s">
        <v>78</v>
      </c>
      <c r="D123" s="61" t="s">
        <v>79</v>
      </c>
      <c r="E123" s="62">
        <v>0</v>
      </c>
      <c r="F123" s="63">
        <f t="shared" ref="F123:F142" si="93">G123+H123</f>
        <v>0</v>
      </c>
      <c r="G123" s="63">
        <v>0</v>
      </c>
      <c r="H123" s="64">
        <v>0</v>
      </c>
      <c r="I123" s="79">
        <f t="shared" si="87"/>
        <v>0</v>
      </c>
      <c r="J123" s="4">
        <f t="shared" si="88"/>
        <v>0</v>
      </c>
      <c r="K123" s="4">
        <f t="shared" ref="K123:K142" si="94">H123+K58</f>
        <v>0</v>
      </c>
      <c r="L123" s="65" t="e">
        <f t="shared" si="90"/>
        <v>#DIV/0!</v>
      </c>
      <c r="M123" s="66">
        <v>41.992699999999999</v>
      </c>
      <c r="N123" s="67">
        <f t="shared" si="91"/>
        <v>0</v>
      </c>
      <c r="O123" s="67">
        <f t="shared" si="92"/>
        <v>0</v>
      </c>
      <c r="P123" s="1104"/>
    </row>
    <row r="124" spans="2:16" x14ac:dyDescent="0.25">
      <c r="B124" s="1099"/>
      <c r="C124" s="1107"/>
      <c r="D124" s="61" t="s">
        <v>72</v>
      </c>
      <c r="E124" s="62">
        <v>0</v>
      </c>
      <c r="F124" s="63">
        <f t="shared" si="93"/>
        <v>0</v>
      </c>
      <c r="G124" s="63">
        <v>0</v>
      </c>
      <c r="H124" s="64">
        <v>0</v>
      </c>
      <c r="I124" s="79">
        <f t="shared" si="87"/>
        <v>0</v>
      </c>
      <c r="J124" s="4">
        <f t="shared" si="88"/>
        <v>0</v>
      </c>
      <c r="K124" s="4">
        <f t="shared" si="94"/>
        <v>0</v>
      </c>
      <c r="L124" s="65" t="e">
        <f t="shared" si="90"/>
        <v>#DIV/0!</v>
      </c>
      <c r="M124" s="66">
        <v>42.283799999999999</v>
      </c>
      <c r="N124" s="67">
        <f t="shared" si="91"/>
        <v>0</v>
      </c>
      <c r="O124" s="67">
        <f t="shared" si="92"/>
        <v>0</v>
      </c>
      <c r="P124" s="1104"/>
    </row>
    <row r="125" spans="2:16" x14ac:dyDescent="0.25">
      <c r="B125" s="1099"/>
      <c r="C125" s="167" t="s">
        <v>80</v>
      </c>
      <c r="D125" s="61" t="s">
        <v>81</v>
      </c>
      <c r="E125" s="62">
        <v>0</v>
      </c>
      <c r="F125" s="63">
        <f t="shared" si="93"/>
        <v>0</v>
      </c>
      <c r="G125" s="63">
        <v>0</v>
      </c>
      <c r="H125" s="64">
        <v>0</v>
      </c>
      <c r="I125" s="79">
        <f t="shared" si="87"/>
        <v>0</v>
      </c>
      <c r="J125" s="4">
        <f t="shared" si="88"/>
        <v>0</v>
      </c>
      <c r="K125" s="4">
        <f t="shared" si="94"/>
        <v>0</v>
      </c>
      <c r="L125" s="65" t="e">
        <f t="shared" si="90"/>
        <v>#DIV/0!</v>
      </c>
      <c r="M125" s="66">
        <v>4.3535000000000004</v>
      </c>
      <c r="N125" s="67">
        <f t="shared" si="91"/>
        <v>0</v>
      </c>
      <c r="O125" s="67">
        <f t="shared" si="92"/>
        <v>0</v>
      </c>
      <c r="P125" s="1104"/>
    </row>
    <row r="126" spans="2:16" x14ac:dyDescent="0.25">
      <c r="B126" s="1099"/>
      <c r="C126" s="1102" t="s">
        <v>82</v>
      </c>
      <c r="D126" s="61" t="s">
        <v>77</v>
      </c>
      <c r="E126" s="62">
        <v>0</v>
      </c>
      <c r="F126" s="63">
        <f t="shared" si="93"/>
        <v>0</v>
      </c>
      <c r="G126" s="63">
        <v>0</v>
      </c>
      <c r="H126" s="64">
        <v>0</v>
      </c>
      <c r="I126" s="79">
        <f t="shared" si="87"/>
        <v>0</v>
      </c>
      <c r="J126" s="4">
        <f t="shared" si="88"/>
        <v>0</v>
      </c>
      <c r="K126" s="4">
        <f t="shared" si="94"/>
        <v>0</v>
      </c>
      <c r="L126" s="65" t="e">
        <f t="shared" si="90"/>
        <v>#DIV/0!</v>
      </c>
      <c r="M126" s="66">
        <v>4.6184000000000003</v>
      </c>
      <c r="N126" s="67">
        <f t="shared" si="91"/>
        <v>0</v>
      </c>
      <c r="O126" s="67">
        <f>M126*J126</f>
        <v>0</v>
      </c>
      <c r="P126" s="1104"/>
    </row>
    <row r="127" spans="2:16" x14ac:dyDescent="0.25">
      <c r="B127" s="1099"/>
      <c r="C127" s="1102"/>
      <c r="D127" s="61" t="s">
        <v>119</v>
      </c>
      <c r="E127" s="62">
        <v>0</v>
      </c>
      <c r="F127" s="63">
        <f t="shared" si="93"/>
        <v>0</v>
      </c>
      <c r="G127" s="63">
        <v>0</v>
      </c>
      <c r="H127" s="64">
        <v>0</v>
      </c>
      <c r="I127" s="79">
        <f>J127+K127</f>
        <v>0</v>
      </c>
      <c r="J127" s="4">
        <f t="shared" si="88"/>
        <v>0</v>
      </c>
      <c r="K127" s="4">
        <f t="shared" si="94"/>
        <v>0</v>
      </c>
      <c r="L127" s="65" t="e">
        <f t="shared" si="90"/>
        <v>#DIV/0!</v>
      </c>
      <c r="M127" s="153">
        <v>4.6184000000000003</v>
      </c>
      <c r="N127" s="67">
        <f t="shared" si="91"/>
        <v>0</v>
      </c>
      <c r="O127" s="67">
        <f>M127*J127</f>
        <v>0</v>
      </c>
      <c r="P127" s="1104"/>
    </row>
    <row r="128" spans="2:16" x14ac:dyDescent="0.25">
      <c r="B128" s="1099"/>
      <c r="C128" s="1102"/>
      <c r="D128" s="61" t="s">
        <v>123</v>
      </c>
      <c r="E128" s="62">
        <v>0</v>
      </c>
      <c r="F128" s="63">
        <f t="shared" si="93"/>
        <v>0</v>
      </c>
      <c r="G128" s="63">
        <v>0</v>
      </c>
      <c r="H128" s="64">
        <v>0</v>
      </c>
      <c r="I128" s="79">
        <f t="shared" ref="I128:I142" si="95">J128+K128</f>
        <v>0</v>
      </c>
      <c r="J128" s="4">
        <f t="shared" si="88"/>
        <v>0</v>
      </c>
      <c r="K128" s="4">
        <f t="shared" si="94"/>
        <v>0</v>
      </c>
      <c r="L128" s="65" t="e">
        <f t="shared" si="90"/>
        <v>#DIV/0!</v>
      </c>
      <c r="M128" s="153">
        <v>4.6184000000000003</v>
      </c>
      <c r="N128" s="67">
        <f t="shared" si="91"/>
        <v>0</v>
      </c>
      <c r="O128" s="67">
        <f t="shared" ref="O128:O133" si="96">M128*J128</f>
        <v>0</v>
      </c>
      <c r="P128" s="1104"/>
    </row>
    <row r="129" spans="2:16" x14ac:dyDescent="0.25">
      <c r="B129" s="1099"/>
      <c r="C129" s="1102"/>
      <c r="D129" s="61" t="s">
        <v>124</v>
      </c>
      <c r="E129" s="62">
        <v>0</v>
      </c>
      <c r="F129" s="63">
        <f t="shared" si="93"/>
        <v>20169</v>
      </c>
      <c r="G129" s="63">
        <v>19800</v>
      </c>
      <c r="H129" s="64">
        <v>369</v>
      </c>
      <c r="I129" s="79">
        <f t="shared" si="95"/>
        <v>44269</v>
      </c>
      <c r="J129" s="4">
        <f t="shared" si="88"/>
        <v>42900</v>
      </c>
      <c r="K129" s="4">
        <f t="shared" si="94"/>
        <v>1369</v>
      </c>
      <c r="L129" s="65" t="e">
        <f t="shared" si="90"/>
        <v>#DIV/0!</v>
      </c>
      <c r="M129" s="153">
        <v>4.7636000000000003</v>
      </c>
      <c r="N129" s="67">
        <f t="shared" si="91"/>
        <v>94319.28</v>
      </c>
      <c r="O129" s="67">
        <f t="shared" si="96"/>
        <v>204358.44</v>
      </c>
      <c r="P129" s="1104"/>
    </row>
    <row r="130" spans="2:16" x14ac:dyDescent="0.25">
      <c r="B130" s="1099"/>
      <c r="C130" s="1102"/>
      <c r="D130" s="61" t="s">
        <v>83</v>
      </c>
      <c r="E130" s="62">
        <v>0</v>
      </c>
      <c r="F130" s="63">
        <f t="shared" si="93"/>
        <v>0</v>
      </c>
      <c r="G130" s="63">
        <v>0</v>
      </c>
      <c r="H130" s="64">
        <v>0</v>
      </c>
      <c r="I130" s="79">
        <f t="shared" si="95"/>
        <v>0</v>
      </c>
      <c r="J130" s="4">
        <f t="shared" si="88"/>
        <v>0</v>
      </c>
      <c r="K130" s="4">
        <f t="shared" si="94"/>
        <v>0</v>
      </c>
      <c r="L130" s="65" t="e">
        <f t="shared" si="90"/>
        <v>#DIV/0!</v>
      </c>
      <c r="M130" s="66">
        <v>4.8738000000000001</v>
      </c>
      <c r="N130" s="67">
        <f t="shared" si="91"/>
        <v>0</v>
      </c>
      <c r="O130" s="67">
        <f t="shared" si="96"/>
        <v>0</v>
      </c>
      <c r="P130" s="1104"/>
    </row>
    <row r="131" spans="2:16" x14ac:dyDescent="0.25">
      <c r="B131" s="1099"/>
      <c r="C131" s="167" t="s">
        <v>128</v>
      </c>
      <c r="D131" s="61" t="s">
        <v>124</v>
      </c>
      <c r="E131" s="62"/>
      <c r="F131" s="63">
        <f t="shared" si="93"/>
        <v>0</v>
      </c>
      <c r="G131" s="63">
        <v>0</v>
      </c>
      <c r="H131" s="64">
        <v>0</v>
      </c>
      <c r="I131" s="79">
        <f t="shared" si="95"/>
        <v>0</v>
      </c>
      <c r="J131" s="4">
        <f t="shared" si="88"/>
        <v>0</v>
      </c>
      <c r="K131" s="4">
        <f t="shared" si="94"/>
        <v>0</v>
      </c>
      <c r="L131" s="65"/>
      <c r="M131" s="66">
        <v>4.8738000000000001</v>
      </c>
      <c r="N131" s="67">
        <f t="shared" si="91"/>
        <v>0</v>
      </c>
      <c r="O131" s="67">
        <f t="shared" si="96"/>
        <v>0</v>
      </c>
      <c r="P131" s="1104"/>
    </row>
    <row r="132" spans="2:16" x14ac:dyDescent="0.25">
      <c r="B132" s="1099"/>
      <c r="C132" s="1102" t="s">
        <v>84</v>
      </c>
      <c r="D132" s="61" t="s">
        <v>77</v>
      </c>
      <c r="E132" s="62">
        <v>0</v>
      </c>
      <c r="F132" s="63">
        <f t="shared" si="93"/>
        <v>9879</v>
      </c>
      <c r="G132" s="63">
        <v>9750</v>
      </c>
      <c r="H132" s="64">
        <v>129</v>
      </c>
      <c r="I132" s="79">
        <f t="shared" si="95"/>
        <v>44779</v>
      </c>
      <c r="J132" s="4">
        <f t="shared" si="88"/>
        <v>44500</v>
      </c>
      <c r="K132" s="4">
        <f t="shared" si="94"/>
        <v>279</v>
      </c>
      <c r="L132" s="65" t="e">
        <f t="shared" ref="L132:L142" si="97">+J132/E132</f>
        <v>#DIV/0!</v>
      </c>
      <c r="M132" s="66">
        <v>4.9344999999999999</v>
      </c>
      <c r="N132" s="67">
        <f t="shared" si="91"/>
        <v>48111.375</v>
      </c>
      <c r="O132" s="67">
        <f t="shared" si="96"/>
        <v>219585.25</v>
      </c>
      <c r="P132" s="1104"/>
    </row>
    <row r="133" spans="2:16" x14ac:dyDescent="0.25">
      <c r="B133" s="1099"/>
      <c r="C133" s="1102"/>
      <c r="D133" s="61" t="s">
        <v>135</v>
      </c>
      <c r="E133" s="62"/>
      <c r="F133" s="63">
        <f t="shared" si="93"/>
        <v>0</v>
      </c>
      <c r="G133" s="63">
        <v>0</v>
      </c>
      <c r="H133" s="64">
        <v>0</v>
      </c>
      <c r="I133" s="79">
        <f t="shared" si="95"/>
        <v>0</v>
      </c>
      <c r="J133" s="4">
        <f t="shared" si="88"/>
        <v>0</v>
      </c>
      <c r="K133" s="4">
        <f t="shared" si="94"/>
        <v>0</v>
      </c>
      <c r="L133" s="65" t="e">
        <f t="shared" si="97"/>
        <v>#DIV/0!</v>
      </c>
      <c r="M133" s="66">
        <v>4.9344999999999999</v>
      </c>
      <c r="N133" s="67">
        <f t="shared" si="91"/>
        <v>0</v>
      </c>
      <c r="O133" s="67">
        <f t="shared" si="96"/>
        <v>0</v>
      </c>
      <c r="P133" s="1104"/>
    </row>
    <row r="134" spans="2:16" x14ac:dyDescent="0.25">
      <c r="B134" s="1099"/>
      <c r="C134" s="1102"/>
      <c r="D134" s="61" t="s">
        <v>129</v>
      </c>
      <c r="E134" s="62">
        <v>0</v>
      </c>
      <c r="F134" s="63">
        <f t="shared" si="93"/>
        <v>0</v>
      </c>
      <c r="G134" s="155">
        <v>0</v>
      </c>
      <c r="H134" s="156">
        <v>0</v>
      </c>
      <c r="I134" s="157">
        <f t="shared" si="95"/>
        <v>0</v>
      </c>
      <c r="J134" s="4">
        <f t="shared" si="88"/>
        <v>0</v>
      </c>
      <c r="K134" s="4">
        <f t="shared" si="94"/>
        <v>0</v>
      </c>
      <c r="L134" s="158" t="e">
        <f t="shared" si="97"/>
        <v>#DIV/0!</v>
      </c>
      <c r="M134" s="66">
        <v>4.9344999999999999</v>
      </c>
      <c r="N134" s="159">
        <f t="shared" si="91"/>
        <v>0</v>
      </c>
      <c r="O134" s="67">
        <f>M134*J134</f>
        <v>0</v>
      </c>
      <c r="P134" s="1104"/>
    </row>
    <row r="135" spans="2:16" x14ac:dyDescent="0.25">
      <c r="B135" s="1099"/>
      <c r="C135" s="1102" t="s">
        <v>85</v>
      </c>
      <c r="D135" s="61" t="s">
        <v>77</v>
      </c>
      <c r="E135" s="62">
        <v>0</v>
      </c>
      <c r="F135" s="63">
        <f t="shared" si="93"/>
        <v>7673</v>
      </c>
      <c r="G135" s="63">
        <v>7200</v>
      </c>
      <c r="H135" s="64">
        <v>473</v>
      </c>
      <c r="I135" s="79">
        <f t="shared" si="95"/>
        <v>26573</v>
      </c>
      <c r="J135" s="4">
        <f t="shared" si="88"/>
        <v>25200</v>
      </c>
      <c r="K135" s="4">
        <f t="shared" si="94"/>
        <v>1373</v>
      </c>
      <c r="L135" s="65" t="e">
        <f t="shared" si="97"/>
        <v>#DIV/0!</v>
      </c>
      <c r="M135" s="148">
        <v>5.5069999999999997</v>
      </c>
      <c r="N135" s="67">
        <f t="shared" si="91"/>
        <v>39650.399999999994</v>
      </c>
      <c r="O135" s="67">
        <f>M135*J135</f>
        <v>138776.4</v>
      </c>
      <c r="P135" s="1104"/>
    </row>
    <row r="136" spans="2:16" x14ac:dyDescent="0.25">
      <c r="B136" s="1099"/>
      <c r="C136" s="1102"/>
      <c r="D136" s="61" t="s">
        <v>112</v>
      </c>
      <c r="E136" s="62">
        <v>0</v>
      </c>
      <c r="F136" s="63">
        <f t="shared" si="93"/>
        <v>0</v>
      </c>
      <c r="G136" s="63">
        <v>0</v>
      </c>
      <c r="H136" s="64">
        <v>0</v>
      </c>
      <c r="I136" s="79">
        <f t="shared" si="95"/>
        <v>0</v>
      </c>
      <c r="J136" s="4">
        <f t="shared" si="88"/>
        <v>0</v>
      </c>
      <c r="K136" s="4">
        <f t="shared" si="94"/>
        <v>0</v>
      </c>
      <c r="L136" s="65" t="e">
        <f t="shared" si="97"/>
        <v>#DIV/0!</v>
      </c>
      <c r="M136" s="147">
        <v>5.6550000000000002</v>
      </c>
      <c r="N136" s="67">
        <f t="shared" si="91"/>
        <v>0</v>
      </c>
      <c r="O136" s="67">
        <f>M136*J136</f>
        <v>0</v>
      </c>
      <c r="P136" s="1104"/>
    </row>
    <row r="137" spans="2:16" x14ac:dyDescent="0.25">
      <c r="B137" s="1099"/>
      <c r="C137" s="1102"/>
      <c r="D137" s="61" t="s">
        <v>118</v>
      </c>
      <c r="E137" s="62">
        <v>0</v>
      </c>
      <c r="F137" s="63">
        <f t="shared" si="93"/>
        <v>0</v>
      </c>
      <c r="G137" s="63">
        <v>0</v>
      </c>
      <c r="H137" s="64">
        <v>0</v>
      </c>
      <c r="I137" s="79">
        <f t="shared" si="95"/>
        <v>0</v>
      </c>
      <c r="J137" s="4">
        <f t="shared" si="88"/>
        <v>0</v>
      </c>
      <c r="K137" s="4">
        <f t="shared" si="94"/>
        <v>0</v>
      </c>
      <c r="L137" s="65" t="e">
        <f t="shared" si="97"/>
        <v>#DIV/0!</v>
      </c>
      <c r="M137" s="152">
        <v>5.6550000000000002</v>
      </c>
      <c r="N137" s="67">
        <f t="shared" si="91"/>
        <v>0</v>
      </c>
      <c r="O137" s="67">
        <f>M137*J137</f>
        <v>0</v>
      </c>
      <c r="P137" s="1104"/>
    </row>
    <row r="138" spans="2:16" x14ac:dyDescent="0.25">
      <c r="B138" s="1099"/>
      <c r="C138" s="1102"/>
      <c r="D138" s="61" t="s">
        <v>121</v>
      </c>
      <c r="E138" s="62">
        <v>0</v>
      </c>
      <c r="F138" s="63">
        <f t="shared" si="93"/>
        <v>3700</v>
      </c>
      <c r="G138" s="63">
        <v>2700</v>
      </c>
      <c r="H138" s="64">
        <v>1000</v>
      </c>
      <c r="I138" s="79">
        <f t="shared" si="95"/>
        <v>9700</v>
      </c>
      <c r="J138" s="4">
        <f t="shared" si="88"/>
        <v>8200</v>
      </c>
      <c r="K138" s="4">
        <f t="shared" si="94"/>
        <v>1500</v>
      </c>
      <c r="L138" s="65" t="e">
        <f t="shared" si="97"/>
        <v>#DIV/0!</v>
      </c>
      <c r="M138" s="66">
        <v>5.7885299999999997</v>
      </c>
      <c r="N138" s="67">
        <f>+M138*G138</f>
        <v>15629.030999999999</v>
      </c>
      <c r="O138" s="67">
        <f>M138*J138</f>
        <v>47465.945999999996</v>
      </c>
      <c r="P138" s="1104"/>
    </row>
    <row r="139" spans="2:16" x14ac:dyDescent="0.25">
      <c r="B139" s="1099"/>
      <c r="C139" s="1102"/>
      <c r="D139" s="61" t="s">
        <v>136</v>
      </c>
      <c r="E139" s="62">
        <v>0</v>
      </c>
      <c r="F139" s="63">
        <f t="shared" si="93"/>
        <v>0</v>
      </c>
      <c r="G139" s="63">
        <v>0</v>
      </c>
      <c r="H139" s="64">
        <v>0</v>
      </c>
      <c r="I139" s="79">
        <f t="shared" si="95"/>
        <v>0</v>
      </c>
      <c r="J139" s="4">
        <f t="shared" si="88"/>
        <v>0</v>
      </c>
      <c r="K139" s="4">
        <f t="shared" si="94"/>
        <v>0</v>
      </c>
      <c r="L139" s="65" t="e">
        <f t="shared" si="97"/>
        <v>#DIV/0!</v>
      </c>
      <c r="M139" s="152">
        <v>5.6550000000000002</v>
      </c>
      <c r="N139" s="67">
        <f t="shared" ref="N139:N141" si="98">+M139*G139</f>
        <v>0</v>
      </c>
      <c r="O139" s="67">
        <f t="shared" ref="O139:O142" si="99">M139*J139</f>
        <v>0</v>
      </c>
      <c r="P139" s="1104"/>
    </row>
    <row r="140" spans="2:16" x14ac:dyDescent="0.25">
      <c r="B140" s="1099"/>
      <c r="C140" s="167" t="s">
        <v>86</v>
      </c>
      <c r="D140" s="61" t="s">
        <v>77</v>
      </c>
      <c r="E140" s="62">
        <v>0</v>
      </c>
      <c r="F140" s="63">
        <f t="shared" si="93"/>
        <v>0</v>
      </c>
      <c r="G140" s="63">
        <v>0</v>
      </c>
      <c r="H140" s="64">
        <v>0</v>
      </c>
      <c r="I140" s="79">
        <f t="shared" si="95"/>
        <v>0</v>
      </c>
      <c r="J140" s="4">
        <f t="shared" si="88"/>
        <v>0</v>
      </c>
      <c r="K140" s="4">
        <f t="shared" si="94"/>
        <v>0</v>
      </c>
      <c r="L140" s="65" t="e">
        <f t="shared" si="97"/>
        <v>#DIV/0!</v>
      </c>
      <c r="M140" s="66">
        <v>3.2963</v>
      </c>
      <c r="N140" s="67">
        <f t="shared" si="98"/>
        <v>0</v>
      </c>
      <c r="O140" s="67">
        <f t="shared" si="99"/>
        <v>0</v>
      </c>
      <c r="P140" s="1104"/>
    </row>
    <row r="141" spans="2:16" x14ac:dyDescent="0.25">
      <c r="B141" s="1099"/>
      <c r="C141" s="167" t="s">
        <v>87</v>
      </c>
      <c r="D141" s="61" t="s">
        <v>77</v>
      </c>
      <c r="E141" s="62">
        <v>0</v>
      </c>
      <c r="F141" s="63">
        <f t="shared" si="93"/>
        <v>0</v>
      </c>
      <c r="G141" s="63">
        <v>0</v>
      </c>
      <c r="H141" s="64">
        <v>0</v>
      </c>
      <c r="I141" s="79">
        <f t="shared" si="95"/>
        <v>0</v>
      </c>
      <c r="J141" s="4">
        <f t="shared" si="88"/>
        <v>0</v>
      </c>
      <c r="K141" s="4">
        <f t="shared" si="94"/>
        <v>0</v>
      </c>
      <c r="L141" s="65" t="e">
        <f t="shared" si="97"/>
        <v>#DIV/0!</v>
      </c>
      <c r="M141" s="66">
        <v>3.2963</v>
      </c>
      <c r="N141" s="67">
        <f t="shared" si="98"/>
        <v>0</v>
      </c>
      <c r="O141" s="67">
        <f t="shared" si="99"/>
        <v>0</v>
      </c>
      <c r="P141" s="1104"/>
    </row>
    <row r="142" spans="2:16" ht="15.75" thickBot="1" x14ac:dyDescent="0.3">
      <c r="B142" s="1099"/>
      <c r="C142" s="68" t="s">
        <v>88</v>
      </c>
      <c r="D142" s="69" t="s">
        <v>89</v>
      </c>
      <c r="E142" s="70">
        <v>0</v>
      </c>
      <c r="F142" s="71">
        <f t="shared" si="93"/>
        <v>0</v>
      </c>
      <c r="G142" s="71">
        <v>0</v>
      </c>
      <c r="H142" s="72">
        <v>0</v>
      </c>
      <c r="I142" s="80">
        <f t="shared" si="95"/>
        <v>0</v>
      </c>
      <c r="J142" s="4">
        <f t="shared" si="88"/>
        <v>0</v>
      </c>
      <c r="K142" s="4">
        <f t="shared" si="94"/>
        <v>0</v>
      </c>
      <c r="L142" s="65" t="e">
        <f t="shared" si="97"/>
        <v>#DIV/0!</v>
      </c>
      <c r="M142" s="73">
        <v>2.3201000000000001</v>
      </c>
      <c r="N142" s="74">
        <f t="shared" ref="N142" si="100">M142*G142</f>
        <v>0</v>
      </c>
      <c r="O142" s="74">
        <f t="shared" si="99"/>
        <v>0</v>
      </c>
      <c r="P142" s="1105"/>
    </row>
    <row r="143" spans="2:16" ht="15.75" thickBot="1" x14ac:dyDescent="0.3">
      <c r="B143" s="1100"/>
      <c r="C143" s="1108" t="s">
        <v>99</v>
      </c>
      <c r="D143" s="1109"/>
      <c r="E143" s="1109"/>
      <c r="F143" s="1109"/>
      <c r="G143" s="1109"/>
      <c r="H143" s="1110"/>
      <c r="I143" s="116">
        <f>J143+K143</f>
        <v>130297</v>
      </c>
      <c r="J143" s="115">
        <f>SUM(J115:J142)</f>
        <v>125600</v>
      </c>
      <c r="K143" s="115">
        <f>SUM(K115:K142)</f>
        <v>4697</v>
      </c>
      <c r="L143" s="114"/>
      <c r="M143" s="113"/>
      <c r="N143" s="114"/>
      <c r="O143" s="97">
        <f>SUM(O115:O142)</f>
        <v>876469.87600000005</v>
      </c>
      <c r="P143" s="96"/>
    </row>
    <row r="144" spans="2:16" ht="15.75" thickBot="1" x14ac:dyDescent="0.3">
      <c r="B144" s="100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2"/>
    </row>
    <row r="145" spans="2:16" ht="15.75" thickBot="1" x14ac:dyDescent="0.3">
      <c r="B145" s="1093" t="s">
        <v>100</v>
      </c>
      <c r="C145" s="1094"/>
      <c r="D145" s="1094"/>
      <c r="E145" s="1094"/>
      <c r="F145" s="1094"/>
      <c r="G145" s="1094"/>
      <c r="H145" s="1094"/>
      <c r="I145" s="1094"/>
      <c r="J145" s="1094"/>
      <c r="K145" s="1094"/>
      <c r="L145" s="1094"/>
      <c r="M145" s="1094"/>
      <c r="N145" s="1095"/>
      <c r="O145" s="103">
        <f>+O143+O114+O99</f>
        <v>2224203.7009999999</v>
      </c>
      <c r="P145" s="96"/>
    </row>
    <row r="146" spans="2:16" ht="15.75" thickBot="1" x14ac:dyDescent="0.3"/>
    <row r="147" spans="2:16" x14ac:dyDescent="0.25">
      <c r="B147" s="1127" t="s">
        <v>1</v>
      </c>
      <c r="C147" s="1129" t="s">
        <v>2</v>
      </c>
      <c r="D147" s="1132" t="s">
        <v>3</v>
      </c>
      <c r="E147" s="1135" t="s">
        <v>4</v>
      </c>
      <c r="F147" s="1136"/>
      <c r="G147" s="1136"/>
      <c r="H147" s="1136"/>
      <c r="I147" s="1136"/>
      <c r="J147" s="1136"/>
      <c r="K147" s="1136"/>
      <c r="L147" s="1137"/>
      <c r="M147" s="1138" t="s">
        <v>5</v>
      </c>
      <c r="N147" s="1139"/>
      <c r="O147" s="1140"/>
      <c r="P147" s="1132" t="s">
        <v>6</v>
      </c>
    </row>
    <row r="148" spans="2:16" x14ac:dyDescent="0.25">
      <c r="B148" s="1128"/>
      <c r="C148" s="1130"/>
      <c r="D148" s="1133"/>
      <c r="E148" s="1141" t="s">
        <v>7</v>
      </c>
      <c r="F148" s="1143" t="s">
        <v>141</v>
      </c>
      <c r="G148" s="1143"/>
      <c r="H148" s="1144"/>
      <c r="I148" s="1145" t="s">
        <v>8</v>
      </c>
      <c r="J148" s="1143"/>
      <c r="K148" s="1143"/>
      <c r="L148" s="1144" t="s">
        <v>9</v>
      </c>
      <c r="M148" s="1147" t="s">
        <v>10</v>
      </c>
      <c r="N148" s="1149" t="s">
        <v>11</v>
      </c>
      <c r="O148" s="1151" t="s">
        <v>12</v>
      </c>
      <c r="P148" s="1133"/>
    </row>
    <row r="149" spans="2:16" ht="15.75" thickBot="1" x14ac:dyDescent="0.3">
      <c r="B149" s="1128"/>
      <c r="C149" s="1131"/>
      <c r="D149" s="1134"/>
      <c r="E149" s="1142"/>
      <c r="F149" s="2" t="s">
        <v>13</v>
      </c>
      <c r="G149" s="2" t="s">
        <v>14</v>
      </c>
      <c r="H149" s="171" t="s">
        <v>15</v>
      </c>
      <c r="I149" s="142" t="s">
        <v>13</v>
      </c>
      <c r="J149" s="2" t="s">
        <v>14</v>
      </c>
      <c r="K149" s="2" t="s">
        <v>15</v>
      </c>
      <c r="L149" s="1146"/>
      <c r="M149" s="1148"/>
      <c r="N149" s="1150"/>
      <c r="O149" s="1152"/>
      <c r="P149" s="1134"/>
    </row>
    <row r="150" spans="2:16" x14ac:dyDescent="0.25">
      <c r="B150" s="1111" t="s">
        <v>53</v>
      </c>
      <c r="C150" s="29"/>
      <c r="D150" s="117" t="s">
        <v>54</v>
      </c>
      <c r="E150" s="98">
        <v>0</v>
      </c>
      <c r="F150" s="4">
        <f>+G150+H150</f>
        <v>0</v>
      </c>
      <c r="G150" s="4">
        <v>0</v>
      </c>
      <c r="H150" s="8">
        <v>0</v>
      </c>
      <c r="I150" s="6">
        <f>J150+K150</f>
        <v>0</v>
      </c>
      <c r="J150" s="4">
        <f>G150+J85</f>
        <v>0</v>
      </c>
      <c r="K150" s="4">
        <f>H150+K85</f>
        <v>0</v>
      </c>
      <c r="L150" s="33" t="e">
        <f>+J150/E150</f>
        <v>#DIV/0!</v>
      </c>
      <c r="M150" s="104">
        <v>1.3652</v>
      </c>
      <c r="N150" s="31">
        <f>G150*M150</f>
        <v>0</v>
      </c>
      <c r="O150" s="86">
        <f>M150*J150</f>
        <v>0</v>
      </c>
      <c r="P150" s="1113"/>
    </row>
    <row r="151" spans="2:16" x14ac:dyDescent="0.25">
      <c r="B151" s="1112"/>
      <c r="C151" s="32"/>
      <c r="D151" s="118" t="s">
        <v>109</v>
      </c>
      <c r="E151" s="99">
        <v>0</v>
      </c>
      <c r="F151" s="9">
        <f>+G151+H151</f>
        <v>0</v>
      </c>
      <c r="G151" s="9">
        <v>0</v>
      </c>
      <c r="H151" s="10">
        <v>0</v>
      </c>
      <c r="I151" s="6">
        <f>J151+K151</f>
        <v>0</v>
      </c>
      <c r="J151" s="4">
        <f>+G151+J86</f>
        <v>0</v>
      </c>
      <c r="K151" s="4">
        <f>+H151+K86</f>
        <v>0</v>
      </c>
      <c r="L151" s="33"/>
      <c r="M151" s="105">
        <v>5.9917999999999996</v>
      </c>
      <c r="N151" s="34">
        <f>M151*G151</f>
        <v>0</v>
      </c>
      <c r="O151" s="87">
        <f>M151*J151</f>
        <v>0</v>
      </c>
      <c r="P151" s="1114"/>
    </row>
    <row r="152" spans="2:16" x14ac:dyDescent="0.25">
      <c r="B152" s="1112"/>
      <c r="C152" s="35"/>
      <c r="D152" s="119" t="s">
        <v>55</v>
      </c>
      <c r="E152" s="99">
        <v>0</v>
      </c>
      <c r="F152" s="9">
        <f t="shared" ref="F152:F156" si="101">+G152+H152</f>
        <v>177508</v>
      </c>
      <c r="G152" s="9">
        <f>93250+82500</f>
        <v>175750</v>
      </c>
      <c r="H152" s="10">
        <f>884+874</f>
        <v>1758</v>
      </c>
      <c r="I152" s="6">
        <f t="shared" ref="I152:I156" si="102">J152+K152</f>
        <v>525345</v>
      </c>
      <c r="J152" s="4">
        <f t="shared" ref="J152:J156" si="103">+G152+J87</f>
        <v>520750</v>
      </c>
      <c r="K152" s="4">
        <f t="shared" ref="K152:K156" si="104">+H152+K87</f>
        <v>4595</v>
      </c>
      <c r="L152" s="33" t="e">
        <f t="shared" ref="L152" si="105">+J152/E152</f>
        <v>#DIV/0!</v>
      </c>
      <c r="M152" s="106">
        <v>2.3807999999999998</v>
      </c>
      <c r="N152" s="36">
        <f>G152*M152</f>
        <v>418425.59999999998</v>
      </c>
      <c r="O152" s="88">
        <f>M152*J152</f>
        <v>1239801.5999999999</v>
      </c>
      <c r="P152" s="1114"/>
    </row>
    <row r="153" spans="2:16" x14ac:dyDescent="0.25">
      <c r="B153" s="1112"/>
      <c r="C153" s="35"/>
      <c r="D153" s="119" t="s">
        <v>56</v>
      </c>
      <c r="E153" s="99">
        <v>0</v>
      </c>
      <c r="F153" s="9">
        <f t="shared" si="101"/>
        <v>0</v>
      </c>
      <c r="G153" s="9">
        <v>0</v>
      </c>
      <c r="H153" s="10">
        <v>0</v>
      </c>
      <c r="I153" s="6">
        <f t="shared" si="102"/>
        <v>0</v>
      </c>
      <c r="J153" s="4">
        <f t="shared" si="103"/>
        <v>0</v>
      </c>
      <c r="K153" s="4">
        <f t="shared" si="104"/>
        <v>0</v>
      </c>
      <c r="L153" s="33"/>
      <c r="M153" s="106">
        <v>2.1457999999999999</v>
      </c>
      <c r="N153" s="36">
        <f t="shared" ref="N153:N156" si="106">G153*M153</f>
        <v>0</v>
      </c>
      <c r="O153" s="88">
        <f>M153*J153</f>
        <v>0</v>
      </c>
      <c r="P153" s="1114"/>
    </row>
    <row r="154" spans="2:16" x14ac:dyDescent="0.25">
      <c r="B154" s="1112"/>
      <c r="C154" s="35"/>
      <c r="D154" s="119" t="s">
        <v>106</v>
      </c>
      <c r="E154" s="99">
        <v>0</v>
      </c>
      <c r="F154" s="9">
        <f t="shared" si="101"/>
        <v>0</v>
      </c>
      <c r="G154" s="9">
        <v>0</v>
      </c>
      <c r="H154" s="10">
        <v>0</v>
      </c>
      <c r="I154" s="6">
        <f t="shared" si="102"/>
        <v>0</v>
      </c>
      <c r="J154" s="4">
        <f t="shared" si="103"/>
        <v>0</v>
      </c>
      <c r="K154" s="4">
        <f t="shared" si="104"/>
        <v>0</v>
      </c>
      <c r="L154" s="33" t="e">
        <f t="shared" ref="L154:L155" si="107">+J154/E154</f>
        <v>#DIV/0!</v>
      </c>
      <c r="M154" s="143">
        <v>4.0426000000000002</v>
      </c>
      <c r="N154" s="36">
        <f t="shared" si="106"/>
        <v>0</v>
      </c>
      <c r="O154" s="88">
        <f>M154*J154</f>
        <v>0</v>
      </c>
      <c r="P154" s="1114"/>
    </row>
    <row r="155" spans="2:16" x14ac:dyDescent="0.25">
      <c r="B155" s="1112"/>
      <c r="C155" s="35"/>
      <c r="D155" s="119" t="s">
        <v>110</v>
      </c>
      <c r="E155" s="99">
        <v>0</v>
      </c>
      <c r="F155" s="9">
        <f t="shared" si="101"/>
        <v>0</v>
      </c>
      <c r="G155" s="9">
        <v>0</v>
      </c>
      <c r="H155" s="10">
        <v>0</v>
      </c>
      <c r="I155" s="6">
        <f t="shared" si="102"/>
        <v>0</v>
      </c>
      <c r="J155" s="4">
        <f t="shared" si="103"/>
        <v>0</v>
      </c>
      <c r="K155" s="4">
        <f t="shared" si="104"/>
        <v>0</v>
      </c>
      <c r="L155" s="33" t="e">
        <f t="shared" si="107"/>
        <v>#DIV/0!</v>
      </c>
      <c r="M155" s="143">
        <v>3.8715000000000002</v>
      </c>
      <c r="N155" s="36">
        <f t="shared" si="106"/>
        <v>0</v>
      </c>
      <c r="O155" s="88">
        <f t="shared" ref="O155:O156" si="108">M155*J155</f>
        <v>0</v>
      </c>
      <c r="P155" s="1114"/>
    </row>
    <row r="156" spans="2:16" ht="15.75" thickBot="1" x14ac:dyDescent="0.3">
      <c r="B156" s="1112"/>
      <c r="C156" s="82"/>
      <c r="D156" s="120" t="s">
        <v>57</v>
      </c>
      <c r="E156" s="108">
        <v>0</v>
      </c>
      <c r="F156" s="12">
        <f t="shared" si="101"/>
        <v>0</v>
      </c>
      <c r="G156" s="12">
        <v>0</v>
      </c>
      <c r="H156" s="13">
        <v>0</v>
      </c>
      <c r="I156" s="21">
        <f t="shared" si="102"/>
        <v>0</v>
      </c>
      <c r="J156" s="4">
        <f t="shared" si="103"/>
        <v>0</v>
      </c>
      <c r="K156" s="4">
        <f t="shared" si="104"/>
        <v>0</v>
      </c>
      <c r="L156" s="81"/>
      <c r="M156" s="127">
        <v>12.284700000000001</v>
      </c>
      <c r="N156" s="36">
        <f t="shared" si="106"/>
        <v>0</v>
      </c>
      <c r="O156" s="128">
        <f t="shared" si="108"/>
        <v>0</v>
      </c>
      <c r="P156" s="1114"/>
    </row>
    <row r="157" spans="2:16" ht="15.75" thickBot="1" x14ac:dyDescent="0.3">
      <c r="B157" s="1112"/>
      <c r="C157" s="1117" t="s">
        <v>104</v>
      </c>
      <c r="D157" s="1118"/>
      <c r="E157" s="129"/>
      <c r="F157" s="130">
        <f>SUM(F150:F156)</f>
        <v>177508</v>
      </c>
      <c r="G157" s="130">
        <f>SUM(G150:G156)</f>
        <v>175750</v>
      </c>
      <c r="H157" s="131">
        <f>SUM(H150:H156)</f>
        <v>1758</v>
      </c>
      <c r="I157" s="132">
        <f>+J157+K157</f>
        <v>525345</v>
      </c>
      <c r="J157" s="133">
        <f>SUM(J150:J156)</f>
        <v>520750</v>
      </c>
      <c r="K157" s="133">
        <f>SUM(K150:K156)</f>
        <v>4595</v>
      </c>
      <c r="L157" s="134"/>
      <c r="M157" s="135"/>
      <c r="N157" s="136"/>
      <c r="O157" s="137">
        <f>SUM(O150:O156)</f>
        <v>1239801.5999999999</v>
      </c>
      <c r="P157" s="1115"/>
    </row>
    <row r="158" spans="2:16" x14ac:dyDescent="0.25">
      <c r="B158" s="1112"/>
      <c r="C158" s="32"/>
      <c r="D158" s="118" t="s">
        <v>58</v>
      </c>
      <c r="E158" s="98">
        <v>0</v>
      </c>
      <c r="F158" s="4">
        <f t="shared" ref="F158:F161" si="109">+G158+H158</f>
        <v>0</v>
      </c>
      <c r="G158" s="4">
        <v>0</v>
      </c>
      <c r="H158" s="8">
        <v>0</v>
      </c>
      <c r="I158" s="6">
        <f t="shared" ref="I158:I162" si="110">J158+K158</f>
        <v>0</v>
      </c>
      <c r="J158" s="4">
        <f>G158+J93</f>
        <v>0</v>
      </c>
      <c r="K158" s="4">
        <f>H158+K93</f>
        <v>0</v>
      </c>
      <c r="L158" s="33" t="e">
        <f t="shared" ref="L158" si="111">+J158/E158</f>
        <v>#DIV/0!</v>
      </c>
      <c r="M158" s="105">
        <v>12.029500000000001</v>
      </c>
      <c r="N158" s="34">
        <f>M158*G158</f>
        <v>0</v>
      </c>
      <c r="O158" s="87">
        <f t="shared" ref="O158:O160" si="112">M158*J158</f>
        <v>0</v>
      </c>
      <c r="P158" s="1114"/>
    </row>
    <row r="159" spans="2:16" x14ac:dyDescent="0.25">
      <c r="B159" s="1112"/>
      <c r="C159" s="35"/>
      <c r="D159" s="119" t="s">
        <v>59</v>
      </c>
      <c r="E159" s="99">
        <v>0</v>
      </c>
      <c r="F159" s="9">
        <f t="shared" si="109"/>
        <v>0</v>
      </c>
      <c r="G159" s="9">
        <v>0</v>
      </c>
      <c r="H159" s="10">
        <v>0</v>
      </c>
      <c r="I159" s="6">
        <f t="shared" si="110"/>
        <v>0</v>
      </c>
      <c r="J159" s="4">
        <f>G159+J94</f>
        <v>0</v>
      </c>
      <c r="K159" s="4">
        <f>H159+K94</f>
        <v>0</v>
      </c>
      <c r="L159" s="33"/>
      <c r="M159" s="106">
        <v>0</v>
      </c>
      <c r="N159" s="36"/>
      <c r="O159" s="88">
        <f t="shared" si="112"/>
        <v>0</v>
      </c>
      <c r="P159" s="1114"/>
    </row>
    <row r="160" spans="2:16" x14ac:dyDescent="0.25">
      <c r="B160" s="1112"/>
      <c r="C160" s="35"/>
      <c r="D160" s="119" t="s">
        <v>97</v>
      </c>
      <c r="E160" s="99">
        <v>0</v>
      </c>
      <c r="F160" s="9">
        <f t="shared" si="109"/>
        <v>0</v>
      </c>
      <c r="G160" s="9">
        <v>0</v>
      </c>
      <c r="H160" s="10">
        <v>0</v>
      </c>
      <c r="I160" s="6">
        <f t="shared" si="110"/>
        <v>0</v>
      </c>
      <c r="J160" s="4">
        <f t="shared" ref="J160:J162" si="113">G160+J95</f>
        <v>0</v>
      </c>
      <c r="K160" s="4">
        <f t="shared" ref="K160:K162" si="114">H160+K95</f>
        <v>0</v>
      </c>
      <c r="L160" s="33" t="e">
        <f t="shared" ref="L160:L162" si="115">+J160/E160</f>
        <v>#DIV/0!</v>
      </c>
      <c r="M160" s="106">
        <v>19.688600000000001</v>
      </c>
      <c r="N160" s="36">
        <f>M160*G160</f>
        <v>0</v>
      </c>
      <c r="O160" s="88">
        <f t="shared" si="112"/>
        <v>0</v>
      </c>
      <c r="P160" s="1114"/>
    </row>
    <row r="161" spans="2:16" x14ac:dyDescent="0.25">
      <c r="B161" s="1112"/>
      <c r="C161" s="35"/>
      <c r="D161" s="119" t="s">
        <v>61</v>
      </c>
      <c r="E161" s="99">
        <v>0</v>
      </c>
      <c r="F161" s="9">
        <f t="shared" si="109"/>
        <v>0</v>
      </c>
      <c r="G161" s="9">
        <v>0</v>
      </c>
      <c r="H161" s="10">
        <v>0</v>
      </c>
      <c r="I161" s="6">
        <f t="shared" si="110"/>
        <v>0</v>
      </c>
      <c r="J161" s="4">
        <f t="shared" si="113"/>
        <v>0</v>
      </c>
      <c r="K161" s="4">
        <f t="shared" si="114"/>
        <v>0</v>
      </c>
      <c r="L161" s="33" t="e">
        <f t="shared" si="115"/>
        <v>#DIV/0!</v>
      </c>
      <c r="M161" s="106">
        <v>1.2824</v>
      </c>
      <c r="N161" s="151">
        <f>M161*G161</f>
        <v>0</v>
      </c>
      <c r="O161" s="88">
        <f>M161*J161</f>
        <v>0</v>
      </c>
      <c r="P161" s="1114"/>
    </row>
    <row r="162" spans="2:16" ht="15.75" thickBot="1" x14ac:dyDescent="0.3">
      <c r="B162" s="1112"/>
      <c r="C162" s="82"/>
      <c r="D162" s="120" t="s">
        <v>60</v>
      </c>
      <c r="E162" s="108">
        <v>0</v>
      </c>
      <c r="F162" s="12">
        <v>0</v>
      </c>
      <c r="G162" s="12">
        <v>0</v>
      </c>
      <c r="H162" s="13">
        <v>0</v>
      </c>
      <c r="I162" s="21">
        <f t="shared" si="110"/>
        <v>0</v>
      </c>
      <c r="J162" s="4">
        <f t="shared" si="113"/>
        <v>0</v>
      </c>
      <c r="K162" s="4">
        <f t="shared" si="114"/>
        <v>0</v>
      </c>
      <c r="L162" s="81" t="e">
        <f t="shared" si="115"/>
        <v>#DIV/0!</v>
      </c>
      <c r="M162" s="107">
        <v>18.2316</v>
      </c>
      <c r="N162" s="75"/>
      <c r="O162" s="89">
        <f t="shared" ref="O162" si="116">M162*J162</f>
        <v>0</v>
      </c>
      <c r="P162" s="1116"/>
    </row>
    <row r="163" spans="2:16" ht="15.75" thickBot="1" x14ac:dyDescent="0.3">
      <c r="B163" s="1096" t="s">
        <v>105</v>
      </c>
      <c r="C163" s="1097"/>
      <c r="D163" s="1097"/>
      <c r="E163" s="124"/>
      <c r="F163" s="125">
        <f>+G163+H163</f>
        <v>0</v>
      </c>
      <c r="G163" s="125">
        <f>SUM(G158:G162)</f>
        <v>0</v>
      </c>
      <c r="H163" s="126">
        <f>SUM(H158:H162)</f>
        <v>0</v>
      </c>
      <c r="I163" s="121">
        <f>J163+K163</f>
        <v>0</v>
      </c>
      <c r="J163" s="122">
        <f>SUM(J158:J162)</f>
        <v>0</v>
      </c>
      <c r="K163" s="123">
        <f>SUM(K158:K162)</f>
        <v>0</v>
      </c>
      <c r="L163" s="138"/>
      <c r="M163" s="139"/>
      <c r="N163" s="140"/>
      <c r="O163" s="141">
        <f>SUM(O158:O162)</f>
        <v>0</v>
      </c>
      <c r="P163" s="170"/>
    </row>
    <row r="164" spans="2:16" ht="15.75" thickBot="1" x14ac:dyDescent="0.3">
      <c r="B164" s="1096" t="s">
        <v>98</v>
      </c>
      <c r="C164" s="1097"/>
      <c r="D164" s="1097"/>
      <c r="E164" s="1119"/>
      <c r="F164" s="1119"/>
      <c r="G164" s="1119"/>
      <c r="H164" s="1119"/>
      <c r="I164" s="1097"/>
      <c r="J164" s="1097"/>
      <c r="K164" s="1097"/>
      <c r="L164" s="1097"/>
      <c r="M164" s="1097"/>
      <c r="N164" s="1120"/>
      <c r="O164" s="83">
        <f>O157+O163</f>
        <v>1239801.5999999999</v>
      </c>
      <c r="P164" s="170"/>
    </row>
    <row r="165" spans="2:16" x14ac:dyDescent="0.25">
      <c r="B165" s="1111" t="s">
        <v>62</v>
      </c>
      <c r="C165" s="37" t="s">
        <v>63</v>
      </c>
      <c r="D165" s="28" t="s">
        <v>64</v>
      </c>
      <c r="E165" s="38">
        <v>0</v>
      </c>
      <c r="F165" s="14">
        <f>+G165+H165</f>
        <v>0</v>
      </c>
      <c r="G165" s="14">
        <v>0</v>
      </c>
      <c r="H165" s="5">
        <v>0</v>
      </c>
      <c r="I165" s="17">
        <f t="shared" ref="I165:I171" si="117">J165+K165</f>
        <v>0</v>
      </c>
      <c r="J165" s="4">
        <f>G165+J100</f>
        <v>0</v>
      </c>
      <c r="K165" s="4">
        <f>H165+K100</f>
        <v>0</v>
      </c>
      <c r="L165" s="30" t="e">
        <f>+J165/E165</f>
        <v>#DIV/0!</v>
      </c>
      <c r="M165" s="146">
        <v>2.2141000000000002</v>
      </c>
      <c r="N165" s="15">
        <f>+M165*G165</f>
        <v>0</v>
      </c>
      <c r="O165" s="90">
        <f>+M165*J165</f>
        <v>0</v>
      </c>
      <c r="P165" s="1122"/>
    </row>
    <row r="166" spans="2:16" x14ac:dyDescent="0.25">
      <c r="B166" s="1112"/>
      <c r="C166" s="39"/>
      <c r="D166" s="22" t="s">
        <v>65</v>
      </c>
      <c r="E166" s="3">
        <v>0</v>
      </c>
      <c r="F166" s="9">
        <f t="shared" ref="F166:F171" si="118">+G166+H166</f>
        <v>0</v>
      </c>
      <c r="G166" s="4">
        <v>0</v>
      </c>
      <c r="H166" s="8">
        <v>0</v>
      </c>
      <c r="I166" s="6">
        <f t="shared" si="117"/>
        <v>0</v>
      </c>
      <c r="J166" s="4">
        <f>+G166+J101</f>
        <v>0</v>
      </c>
      <c r="K166" s="4">
        <f>+H166+K101</f>
        <v>0</v>
      </c>
      <c r="L166" s="40" t="e">
        <f t="shared" ref="L166:L167" si="119">+J166/E166</f>
        <v>#DIV/0!</v>
      </c>
      <c r="M166" s="145">
        <v>2.4565999999999999</v>
      </c>
      <c r="N166" s="11">
        <f t="shared" ref="N166:N168" si="120">+M166*G166</f>
        <v>0</v>
      </c>
      <c r="O166" s="91">
        <f t="shared" ref="O166:O168" si="121">+M166*J166</f>
        <v>0</v>
      </c>
      <c r="P166" s="1123"/>
    </row>
    <row r="167" spans="2:16" x14ac:dyDescent="0.25">
      <c r="B167" s="1112"/>
      <c r="C167" s="39"/>
      <c r="D167" s="23" t="s">
        <v>126</v>
      </c>
      <c r="E167" s="3">
        <v>0</v>
      </c>
      <c r="F167" s="9">
        <f t="shared" si="118"/>
        <v>0</v>
      </c>
      <c r="G167" s="4">
        <v>0</v>
      </c>
      <c r="H167" s="8">
        <v>0</v>
      </c>
      <c r="I167" s="6">
        <f t="shared" si="117"/>
        <v>0</v>
      </c>
      <c r="J167" s="4">
        <f t="shared" ref="J167:J171" si="122">+G167+J102</f>
        <v>0</v>
      </c>
      <c r="K167" s="4">
        <f t="shared" ref="K167:K171" si="123">+H167+K102</f>
        <v>0</v>
      </c>
      <c r="L167" s="40" t="e">
        <f t="shared" si="119"/>
        <v>#DIV/0!</v>
      </c>
      <c r="M167" s="145">
        <v>2.2907000000000002</v>
      </c>
      <c r="N167" s="11">
        <f t="shared" si="120"/>
        <v>0</v>
      </c>
      <c r="O167" s="91">
        <f t="shared" si="121"/>
        <v>0</v>
      </c>
      <c r="P167" s="1123"/>
    </row>
    <row r="168" spans="2:16" x14ac:dyDescent="0.25">
      <c r="B168" s="1112"/>
      <c r="C168" s="39"/>
      <c r="D168" s="22" t="s">
        <v>131</v>
      </c>
      <c r="E168" s="3"/>
      <c r="F168" s="9">
        <f t="shared" si="118"/>
        <v>0</v>
      </c>
      <c r="G168" s="4">
        <v>0</v>
      </c>
      <c r="H168" s="8">
        <v>0</v>
      </c>
      <c r="I168" s="6">
        <f t="shared" si="117"/>
        <v>0</v>
      </c>
      <c r="J168" s="4">
        <f t="shared" si="122"/>
        <v>0</v>
      </c>
      <c r="K168" s="4">
        <f t="shared" si="123"/>
        <v>0</v>
      </c>
      <c r="L168" s="33"/>
      <c r="M168" s="150">
        <v>2.544</v>
      </c>
      <c r="N168" s="11">
        <f t="shared" si="120"/>
        <v>0</v>
      </c>
      <c r="O168" s="91">
        <f t="shared" si="121"/>
        <v>0</v>
      </c>
      <c r="P168" s="1123"/>
    </row>
    <row r="169" spans="2:16" x14ac:dyDescent="0.25">
      <c r="B169" s="1112"/>
      <c r="C169" s="39" t="s">
        <v>66</v>
      </c>
      <c r="D169" s="22" t="s">
        <v>133</v>
      </c>
      <c r="E169" s="3">
        <v>0</v>
      </c>
      <c r="F169" s="9">
        <f t="shared" si="118"/>
        <v>0</v>
      </c>
      <c r="G169" s="4">
        <v>0</v>
      </c>
      <c r="H169" s="8">
        <v>0</v>
      </c>
      <c r="I169" s="6">
        <f t="shared" si="117"/>
        <v>40072</v>
      </c>
      <c r="J169" s="4">
        <f t="shared" si="122"/>
        <v>38500</v>
      </c>
      <c r="K169" s="4">
        <f t="shared" si="123"/>
        <v>1572</v>
      </c>
      <c r="L169" s="33" t="e">
        <f>+J169/E169</f>
        <v>#DIV/0!</v>
      </c>
      <c r="M169" s="144">
        <v>2.2141000000000002</v>
      </c>
      <c r="N169" s="7">
        <f>+M169*G169</f>
        <v>0</v>
      </c>
      <c r="O169" s="85">
        <f>+M169*J169</f>
        <v>85242.85</v>
      </c>
      <c r="P169" s="1123"/>
    </row>
    <row r="170" spans="2:16" x14ac:dyDescent="0.25">
      <c r="B170" s="1112"/>
      <c r="C170" s="39"/>
      <c r="D170" s="22" t="s">
        <v>65</v>
      </c>
      <c r="E170" s="3">
        <v>0</v>
      </c>
      <c r="F170" s="9">
        <f t="shared" si="118"/>
        <v>0</v>
      </c>
      <c r="G170" s="4">
        <v>0</v>
      </c>
      <c r="H170" s="8">
        <v>0</v>
      </c>
      <c r="I170" s="6">
        <f t="shared" si="117"/>
        <v>0</v>
      </c>
      <c r="J170" s="4">
        <f t="shared" si="122"/>
        <v>0</v>
      </c>
      <c r="K170" s="4">
        <f t="shared" si="123"/>
        <v>0</v>
      </c>
      <c r="L170" s="40" t="e">
        <f t="shared" ref="L170:L171" si="124">+J170/E170</f>
        <v>#DIV/0!</v>
      </c>
      <c r="M170" s="145">
        <v>2.4565999999999999</v>
      </c>
      <c r="N170" s="11">
        <f t="shared" ref="N170:N171" si="125">+M170*G170</f>
        <v>0</v>
      </c>
      <c r="O170" s="91">
        <f t="shared" ref="O170" si="126">+M170*J170</f>
        <v>0</v>
      </c>
      <c r="P170" s="1123"/>
    </row>
    <row r="171" spans="2:16" ht="15.75" thickBot="1" x14ac:dyDescent="0.3">
      <c r="B171" s="1112"/>
      <c r="C171" s="39"/>
      <c r="D171" s="22" t="s">
        <v>126</v>
      </c>
      <c r="E171" s="3">
        <v>0</v>
      </c>
      <c r="F171" s="9">
        <f t="shared" si="118"/>
        <v>0</v>
      </c>
      <c r="G171" s="4">
        <v>0</v>
      </c>
      <c r="H171" s="8">
        <v>0</v>
      </c>
      <c r="I171" s="6">
        <f t="shared" si="117"/>
        <v>0</v>
      </c>
      <c r="J171" s="4">
        <f t="shared" si="122"/>
        <v>0</v>
      </c>
      <c r="K171" s="4">
        <f t="shared" si="123"/>
        <v>0</v>
      </c>
      <c r="L171" s="40" t="e">
        <f t="shared" si="124"/>
        <v>#DIV/0!</v>
      </c>
      <c r="M171" s="145">
        <v>2.2907000000000002</v>
      </c>
      <c r="N171" s="11">
        <f t="shared" si="125"/>
        <v>0</v>
      </c>
      <c r="O171" s="154">
        <f>+M171*J171</f>
        <v>0</v>
      </c>
      <c r="P171" s="1124"/>
    </row>
    <row r="172" spans="2:16" ht="15.75" thickBot="1" x14ac:dyDescent="0.3">
      <c r="B172" s="1112"/>
      <c r="C172" s="41" t="s">
        <v>29</v>
      </c>
      <c r="D172" s="27" t="str">
        <f>+C172</f>
        <v>TOTAL 1/2</v>
      </c>
      <c r="E172" s="42">
        <f>SUM(E165:E171)</f>
        <v>0</v>
      </c>
      <c r="F172" s="43">
        <f>SUM(F165:F171)</f>
        <v>0</v>
      </c>
      <c r="G172" s="43">
        <f>SUM(G165:G171)</f>
        <v>0</v>
      </c>
      <c r="H172" s="44">
        <f>SUM(H165:H171)</f>
        <v>0</v>
      </c>
      <c r="I172" s="45">
        <f>SUM(I169:I171)</f>
        <v>40072</v>
      </c>
      <c r="J172" s="43">
        <f>SUM(J165:J171)</f>
        <v>38500</v>
      </c>
      <c r="K172" s="43">
        <f>SUM(K165:K171)</f>
        <v>1572</v>
      </c>
      <c r="L172" s="46" t="e">
        <f>+J172/E172</f>
        <v>#DIV/0!</v>
      </c>
      <c r="M172" s="47"/>
      <c r="N172" s="48">
        <f>SUM(N169:N171)</f>
        <v>0</v>
      </c>
      <c r="O172" s="49">
        <f>SUM(O165:O171)</f>
        <v>85242.85</v>
      </c>
      <c r="P172" s="168"/>
    </row>
    <row r="173" spans="2:16" x14ac:dyDescent="0.25">
      <c r="B173" s="1112"/>
      <c r="C173" s="1125" t="s">
        <v>67</v>
      </c>
      <c r="D173" s="22" t="s">
        <v>64</v>
      </c>
      <c r="E173" s="3">
        <v>0</v>
      </c>
      <c r="F173" s="4">
        <f>G173+H173</f>
        <v>0</v>
      </c>
      <c r="G173" s="4">
        <v>0</v>
      </c>
      <c r="H173" s="8">
        <v>0</v>
      </c>
      <c r="I173" s="16">
        <f>J173+K173</f>
        <v>109220</v>
      </c>
      <c r="J173" s="4">
        <f>G173+J108</f>
        <v>105750</v>
      </c>
      <c r="K173" s="4">
        <f>H173+K108</f>
        <v>3470</v>
      </c>
      <c r="L173" s="50" t="e">
        <f>+J173/E173</f>
        <v>#DIV/0!</v>
      </c>
      <c r="M173" s="144">
        <v>4.1712999999999996</v>
      </c>
      <c r="N173" s="7">
        <f>+M173*G173</f>
        <v>0</v>
      </c>
      <c r="O173" s="93">
        <f>+M173*J173</f>
        <v>441114.97499999998</v>
      </c>
      <c r="P173" s="1122"/>
    </row>
    <row r="174" spans="2:16" x14ac:dyDescent="0.25">
      <c r="B174" s="1112"/>
      <c r="C174" s="1126"/>
      <c r="D174" s="22" t="s">
        <v>65</v>
      </c>
      <c r="E174" s="3">
        <v>0</v>
      </c>
      <c r="F174" s="4">
        <f>G174+H174</f>
        <v>61600</v>
      </c>
      <c r="G174" s="4">
        <v>60000</v>
      </c>
      <c r="H174" s="8">
        <v>1600</v>
      </c>
      <c r="I174" s="6">
        <f>+R1218+F174</f>
        <v>61600</v>
      </c>
      <c r="J174" s="4">
        <f>G174+J109</f>
        <v>60000</v>
      </c>
      <c r="K174" s="4">
        <f>H174+K109</f>
        <v>1600</v>
      </c>
      <c r="L174" s="51" t="e">
        <f t="shared" ref="L174:L178" si="127">+J174/E174</f>
        <v>#DIV/0!</v>
      </c>
      <c r="M174" s="145">
        <v>4.8285999999999998</v>
      </c>
      <c r="N174" s="11">
        <f t="shared" ref="N174:N176" si="128">+M174*G174</f>
        <v>289716</v>
      </c>
      <c r="O174" s="94">
        <f t="shared" ref="O174:O176" si="129">+M174*J174</f>
        <v>289716</v>
      </c>
      <c r="P174" s="1123"/>
    </row>
    <row r="175" spans="2:16" x14ac:dyDescent="0.25">
      <c r="B175" s="1112"/>
      <c r="C175" s="1126"/>
      <c r="D175" s="22" t="s">
        <v>127</v>
      </c>
      <c r="E175" s="3"/>
      <c r="F175" s="4">
        <f>G175+H175</f>
        <v>0</v>
      </c>
      <c r="G175" s="4">
        <v>0</v>
      </c>
      <c r="H175" s="8">
        <v>0</v>
      </c>
      <c r="I175" s="6">
        <f>+R1219+F175</f>
        <v>0</v>
      </c>
      <c r="J175" s="4">
        <f t="shared" ref="J175:J176" si="130">G175+J110</f>
        <v>0</v>
      </c>
      <c r="K175" s="4">
        <f t="shared" ref="K175:K176" si="131">H175+K110</f>
        <v>0</v>
      </c>
      <c r="L175" s="51" t="e">
        <f t="shared" si="127"/>
        <v>#DIV/0!</v>
      </c>
      <c r="M175" s="144">
        <v>4.5023</v>
      </c>
      <c r="N175" s="11">
        <f t="shared" si="128"/>
        <v>0</v>
      </c>
      <c r="O175" s="94">
        <f t="shared" si="129"/>
        <v>0</v>
      </c>
      <c r="P175" s="1123"/>
    </row>
    <row r="176" spans="2:16" ht="15.75" thickBot="1" x14ac:dyDescent="0.3">
      <c r="B176" s="1112"/>
      <c r="C176" s="1126"/>
      <c r="D176" s="22" t="s">
        <v>111</v>
      </c>
      <c r="E176" s="3">
        <v>0</v>
      </c>
      <c r="F176" s="4">
        <f t="shared" ref="F176" si="132">G176+H176</f>
        <v>0</v>
      </c>
      <c r="G176" s="4">
        <v>0</v>
      </c>
      <c r="H176" s="8">
        <v>0</v>
      </c>
      <c r="I176" s="6">
        <f>+R1219+F176</f>
        <v>0</v>
      </c>
      <c r="J176" s="4">
        <f t="shared" si="130"/>
        <v>0</v>
      </c>
      <c r="K176" s="4">
        <f t="shared" si="131"/>
        <v>0</v>
      </c>
      <c r="L176" s="51" t="e">
        <f t="shared" si="127"/>
        <v>#DIV/0!</v>
      </c>
      <c r="M176" s="144">
        <v>4.4065000000000003</v>
      </c>
      <c r="N176" s="11">
        <f t="shared" si="128"/>
        <v>0</v>
      </c>
      <c r="O176" s="94">
        <f t="shared" si="129"/>
        <v>0</v>
      </c>
      <c r="P176" s="1123"/>
    </row>
    <row r="177" spans="2:16" ht="15.75" thickBot="1" x14ac:dyDescent="0.3">
      <c r="B177" s="1112"/>
      <c r="C177" s="41" t="s">
        <v>31</v>
      </c>
      <c r="D177" s="18" t="str">
        <f>+C177</f>
        <v>TOTAL 4/4</v>
      </c>
      <c r="E177" s="42">
        <f t="shared" ref="E177:K177" si="133">SUM(E173:E176)</f>
        <v>0</v>
      </c>
      <c r="F177" s="43">
        <f t="shared" si="133"/>
        <v>61600</v>
      </c>
      <c r="G177" s="43">
        <f t="shared" si="133"/>
        <v>60000</v>
      </c>
      <c r="H177" s="44">
        <f t="shared" si="133"/>
        <v>1600</v>
      </c>
      <c r="I177" s="45">
        <f t="shared" si="133"/>
        <v>170820</v>
      </c>
      <c r="J177" s="43">
        <f t="shared" si="133"/>
        <v>165750</v>
      </c>
      <c r="K177" s="43">
        <f t="shared" si="133"/>
        <v>5070</v>
      </c>
      <c r="L177" s="46" t="e">
        <f t="shared" si="127"/>
        <v>#DIV/0!</v>
      </c>
      <c r="M177" s="47"/>
      <c r="N177" s="48">
        <f>SUM(N173:N176)</f>
        <v>289716</v>
      </c>
      <c r="O177" s="92">
        <f>SUM(O173:O176)</f>
        <v>730830.97499999998</v>
      </c>
      <c r="P177" s="1124"/>
    </row>
    <row r="178" spans="2:16" ht="15.75" thickBot="1" x14ac:dyDescent="0.3">
      <c r="B178" s="1121"/>
      <c r="C178" s="41" t="s">
        <v>68</v>
      </c>
      <c r="D178" s="27" t="s">
        <v>64</v>
      </c>
      <c r="E178" s="25">
        <v>0</v>
      </c>
      <c r="F178" s="20">
        <f>G178+H178</f>
        <v>0</v>
      </c>
      <c r="G178" s="20">
        <v>0</v>
      </c>
      <c r="H178" s="24">
        <v>0</v>
      </c>
      <c r="I178" s="19">
        <f>J178+K178</f>
        <v>0</v>
      </c>
      <c r="J178" s="4">
        <f>G178+J113</f>
        <v>0</v>
      </c>
      <c r="K178" s="4">
        <f>H178+K113</f>
        <v>0</v>
      </c>
      <c r="L178" s="52" t="e">
        <f t="shared" si="127"/>
        <v>#DIV/0!</v>
      </c>
      <c r="M178" s="149">
        <v>1.4086000000000001</v>
      </c>
      <c r="N178" s="26">
        <f t="shared" ref="N178" si="134">+M178*G178</f>
        <v>0</v>
      </c>
      <c r="O178" s="95">
        <f t="shared" ref="O178" si="135">+M178*J178</f>
        <v>0</v>
      </c>
      <c r="P178" s="53"/>
    </row>
    <row r="179" spans="2:16" ht="15.75" thickBot="1" x14ac:dyDescent="0.3">
      <c r="B179" s="1096" t="s">
        <v>95</v>
      </c>
      <c r="C179" s="1097"/>
      <c r="D179" s="1097"/>
      <c r="E179" s="1097"/>
      <c r="F179" s="1097"/>
      <c r="G179" s="1097"/>
      <c r="H179" s="1097"/>
      <c r="I179" s="110">
        <f>J179+K179</f>
        <v>210892</v>
      </c>
      <c r="J179" s="110">
        <f>J172+J177+J178</f>
        <v>204250</v>
      </c>
      <c r="K179" s="110">
        <f>K172+K177+K178</f>
        <v>6642</v>
      </c>
      <c r="L179" s="111"/>
      <c r="M179" s="112"/>
      <c r="N179" s="109"/>
      <c r="O179" s="77">
        <f>+O178+O177+O172</f>
        <v>816073.82499999995</v>
      </c>
      <c r="P179" s="84"/>
    </row>
    <row r="180" spans="2:16" x14ac:dyDescent="0.25">
      <c r="B180" s="1098" t="s">
        <v>69</v>
      </c>
      <c r="C180" s="1101" t="s">
        <v>70</v>
      </c>
      <c r="D180" s="54" t="s">
        <v>71</v>
      </c>
      <c r="E180" s="55">
        <v>0</v>
      </c>
      <c r="F180" s="56">
        <f>G180+H180</f>
        <v>0</v>
      </c>
      <c r="G180" s="56">
        <v>0</v>
      </c>
      <c r="H180" s="57">
        <v>0</v>
      </c>
      <c r="I180" s="78">
        <f>J180+K180</f>
        <v>0</v>
      </c>
      <c r="J180" s="4">
        <f>G180+J115</f>
        <v>0</v>
      </c>
      <c r="K180" s="4">
        <f>H180+K115</f>
        <v>0</v>
      </c>
      <c r="L180" s="58" t="e">
        <f t="shared" ref="L180" si="136">+J180/E180</f>
        <v>#DIV/0!</v>
      </c>
      <c r="M180" s="59">
        <v>32.946300000000001</v>
      </c>
      <c r="N180" s="60">
        <f>+M180*G180</f>
        <v>0</v>
      </c>
      <c r="O180" s="60">
        <f>M180*J180</f>
        <v>0</v>
      </c>
      <c r="P180" s="1103"/>
    </row>
    <row r="181" spans="2:16" x14ac:dyDescent="0.25">
      <c r="B181" s="1099"/>
      <c r="C181" s="1102"/>
      <c r="D181" s="61" t="s">
        <v>72</v>
      </c>
      <c r="E181" s="62">
        <v>0</v>
      </c>
      <c r="F181" s="63">
        <f>G181+H181</f>
        <v>0</v>
      </c>
      <c r="G181" s="63">
        <v>0</v>
      </c>
      <c r="H181" s="64">
        <v>0</v>
      </c>
      <c r="I181" s="79">
        <f>J181+K181</f>
        <v>0</v>
      </c>
      <c r="J181" s="4">
        <f>G181+J116</f>
        <v>0</v>
      </c>
      <c r="K181" s="4">
        <f>H181+K116</f>
        <v>0</v>
      </c>
      <c r="L181" s="65" t="e">
        <f>+J181/E181</f>
        <v>#DIV/0!</v>
      </c>
      <c r="M181" s="66">
        <v>35.398400000000002</v>
      </c>
      <c r="N181" s="67">
        <f>+M181*G181</f>
        <v>0</v>
      </c>
      <c r="O181" s="67">
        <f>M181*J181</f>
        <v>0</v>
      </c>
      <c r="P181" s="1104"/>
    </row>
    <row r="182" spans="2:16" x14ac:dyDescent="0.25">
      <c r="B182" s="1099"/>
      <c r="C182" s="1102"/>
      <c r="D182" s="61" t="s">
        <v>73</v>
      </c>
      <c r="E182" s="62">
        <v>0</v>
      </c>
      <c r="F182" s="63">
        <f t="shared" ref="F182:F185" si="137">G182+H182</f>
        <v>0</v>
      </c>
      <c r="G182" s="63">
        <v>0</v>
      </c>
      <c r="H182" s="64">
        <v>0</v>
      </c>
      <c r="I182" s="79">
        <f t="shared" ref="I182:I191" si="138">J182+K182</f>
        <v>0</v>
      </c>
      <c r="J182" s="4">
        <f t="shared" ref="J182:J207" si="139">G182+J117</f>
        <v>0</v>
      </c>
      <c r="K182" s="4">
        <f t="shared" ref="K182:K186" si="140">H182+K117</f>
        <v>0</v>
      </c>
      <c r="L182" s="65" t="e">
        <f t="shared" ref="L182:L195" si="141">+J182/E182</f>
        <v>#DIV/0!</v>
      </c>
      <c r="M182" s="66">
        <v>32.946300000000001</v>
      </c>
      <c r="N182" s="67">
        <f t="shared" ref="N182:N202" si="142">+M182*G182</f>
        <v>0</v>
      </c>
      <c r="O182" s="67">
        <f t="shared" ref="O182:O190" si="143">M182*J182</f>
        <v>0</v>
      </c>
      <c r="P182" s="1104"/>
    </row>
    <row r="183" spans="2:16" x14ac:dyDescent="0.25">
      <c r="B183" s="1099"/>
      <c r="C183" s="1102" t="s">
        <v>74</v>
      </c>
      <c r="D183" s="61" t="s">
        <v>75</v>
      </c>
      <c r="E183" s="62">
        <v>0</v>
      </c>
      <c r="F183" s="63">
        <f t="shared" si="137"/>
        <v>0</v>
      </c>
      <c r="G183" s="63">
        <v>0</v>
      </c>
      <c r="H183" s="64">
        <v>0</v>
      </c>
      <c r="I183" s="79">
        <f t="shared" si="138"/>
        <v>4976</v>
      </c>
      <c r="J183" s="4">
        <f t="shared" si="139"/>
        <v>4800</v>
      </c>
      <c r="K183" s="4">
        <f t="shared" si="140"/>
        <v>176</v>
      </c>
      <c r="L183" s="65" t="e">
        <f t="shared" si="141"/>
        <v>#DIV/0!</v>
      </c>
      <c r="M183" s="66">
        <v>55.4758</v>
      </c>
      <c r="N183" s="67">
        <f t="shared" si="142"/>
        <v>0</v>
      </c>
      <c r="O183" s="67">
        <f t="shared" si="143"/>
        <v>266283.84000000003</v>
      </c>
      <c r="P183" s="1104"/>
    </row>
    <row r="184" spans="2:16" x14ac:dyDescent="0.25">
      <c r="B184" s="1099"/>
      <c r="C184" s="1102"/>
      <c r="D184" s="61" t="s">
        <v>134</v>
      </c>
      <c r="E184" s="62">
        <v>0</v>
      </c>
      <c r="F184" s="63">
        <f t="shared" si="137"/>
        <v>0</v>
      </c>
      <c r="G184" s="63">
        <v>0</v>
      </c>
      <c r="H184" s="64">
        <v>0</v>
      </c>
      <c r="I184" s="79">
        <f t="shared" si="138"/>
        <v>0</v>
      </c>
      <c r="J184" s="4">
        <f t="shared" si="139"/>
        <v>0</v>
      </c>
      <c r="K184" s="4">
        <f t="shared" si="140"/>
        <v>0</v>
      </c>
      <c r="L184" s="65" t="e">
        <f t="shared" si="141"/>
        <v>#DIV/0!</v>
      </c>
      <c r="M184" s="66">
        <v>53.515999999999998</v>
      </c>
      <c r="N184" s="67">
        <f t="shared" si="142"/>
        <v>0</v>
      </c>
      <c r="O184" s="67">
        <f t="shared" si="143"/>
        <v>0</v>
      </c>
      <c r="P184" s="1104"/>
    </row>
    <row r="185" spans="2:16" x14ac:dyDescent="0.25">
      <c r="B185" s="1099"/>
      <c r="C185" s="1102"/>
      <c r="D185" s="61" t="s">
        <v>72</v>
      </c>
      <c r="E185" s="62">
        <v>0</v>
      </c>
      <c r="F185" s="63">
        <f t="shared" si="137"/>
        <v>0</v>
      </c>
      <c r="G185" s="63">
        <v>0</v>
      </c>
      <c r="H185" s="64">
        <v>0</v>
      </c>
      <c r="I185" s="79">
        <f t="shared" si="138"/>
        <v>0</v>
      </c>
      <c r="J185" s="4">
        <f t="shared" si="139"/>
        <v>0</v>
      </c>
      <c r="K185" s="4">
        <f t="shared" si="140"/>
        <v>0</v>
      </c>
      <c r="L185" s="65" t="e">
        <f t="shared" si="141"/>
        <v>#DIV/0!</v>
      </c>
      <c r="M185" s="66">
        <v>58.836300000000001</v>
      </c>
      <c r="N185" s="67">
        <f t="shared" si="142"/>
        <v>0</v>
      </c>
      <c r="O185" s="67">
        <f t="shared" si="143"/>
        <v>0</v>
      </c>
      <c r="P185" s="1104"/>
    </row>
    <row r="186" spans="2:16" x14ac:dyDescent="0.25">
      <c r="B186" s="1099"/>
      <c r="C186" s="1106" t="s">
        <v>76</v>
      </c>
      <c r="D186" s="61" t="s">
        <v>77</v>
      </c>
      <c r="E186" s="62">
        <v>0</v>
      </c>
      <c r="F186" s="63">
        <f>G186+H186</f>
        <v>0</v>
      </c>
      <c r="G186" s="63">
        <v>0</v>
      </c>
      <c r="H186" s="64">
        <v>0</v>
      </c>
      <c r="I186" s="79">
        <f t="shared" si="138"/>
        <v>0</v>
      </c>
      <c r="J186" s="4">
        <f t="shared" si="139"/>
        <v>0</v>
      </c>
      <c r="K186" s="4">
        <f t="shared" si="140"/>
        <v>0</v>
      </c>
      <c r="L186" s="65" t="e">
        <f t="shared" si="141"/>
        <v>#DIV/0!</v>
      </c>
      <c r="M186" s="66">
        <v>25.687200000000001</v>
      </c>
      <c r="N186" s="67">
        <f t="shared" si="142"/>
        <v>0</v>
      </c>
      <c r="O186" s="67">
        <f t="shared" si="143"/>
        <v>0</v>
      </c>
      <c r="P186" s="1104"/>
    </row>
    <row r="187" spans="2:16" x14ac:dyDescent="0.25">
      <c r="B187" s="1099"/>
      <c r="C187" s="1107"/>
      <c r="D187" s="61" t="s">
        <v>117</v>
      </c>
      <c r="E187" s="62">
        <v>0</v>
      </c>
      <c r="F187" s="63">
        <f>G187+H187</f>
        <v>0</v>
      </c>
      <c r="G187" s="63">
        <v>0</v>
      </c>
      <c r="H187" s="64">
        <v>0</v>
      </c>
      <c r="I187" s="79">
        <f t="shared" si="138"/>
        <v>0</v>
      </c>
      <c r="J187" s="4">
        <f t="shared" si="139"/>
        <v>0</v>
      </c>
      <c r="K187" s="4">
        <f>H187+K122</f>
        <v>0</v>
      </c>
      <c r="L187" s="65" t="e">
        <f t="shared" si="141"/>
        <v>#DIV/0!</v>
      </c>
      <c r="M187" s="66">
        <v>25.033899999999999</v>
      </c>
      <c r="N187" s="67">
        <f t="shared" si="142"/>
        <v>0</v>
      </c>
      <c r="O187" s="67">
        <f t="shared" si="143"/>
        <v>0</v>
      </c>
      <c r="P187" s="1104"/>
    </row>
    <row r="188" spans="2:16" x14ac:dyDescent="0.25">
      <c r="B188" s="1099"/>
      <c r="C188" s="1106" t="s">
        <v>78</v>
      </c>
      <c r="D188" s="61" t="s">
        <v>79</v>
      </c>
      <c r="E188" s="62">
        <v>0</v>
      </c>
      <c r="F188" s="63">
        <f t="shared" ref="F188:F207" si="144">G188+H188</f>
        <v>2065</v>
      </c>
      <c r="G188" s="63">
        <v>2000</v>
      </c>
      <c r="H188" s="64">
        <v>65</v>
      </c>
      <c r="I188" s="79">
        <f t="shared" si="138"/>
        <v>2065</v>
      </c>
      <c r="J188" s="4">
        <f t="shared" si="139"/>
        <v>2000</v>
      </c>
      <c r="K188" s="4">
        <f t="shared" ref="K188:K207" si="145">H188+K123</f>
        <v>65</v>
      </c>
      <c r="L188" s="65" t="e">
        <f t="shared" si="141"/>
        <v>#DIV/0!</v>
      </c>
      <c r="M188" s="66">
        <v>41.992699999999999</v>
      </c>
      <c r="N188" s="67">
        <f t="shared" si="142"/>
        <v>83985.4</v>
      </c>
      <c r="O188" s="67">
        <f t="shared" si="143"/>
        <v>83985.4</v>
      </c>
      <c r="P188" s="1104"/>
    </row>
    <row r="189" spans="2:16" x14ac:dyDescent="0.25">
      <c r="B189" s="1099"/>
      <c r="C189" s="1107"/>
      <c r="D189" s="61" t="s">
        <v>72</v>
      </c>
      <c r="E189" s="62">
        <v>0</v>
      </c>
      <c r="F189" s="63">
        <f t="shared" si="144"/>
        <v>0</v>
      </c>
      <c r="G189" s="63">
        <v>0</v>
      </c>
      <c r="H189" s="64">
        <v>0</v>
      </c>
      <c r="I189" s="79">
        <f t="shared" si="138"/>
        <v>0</v>
      </c>
      <c r="J189" s="4">
        <f t="shared" si="139"/>
        <v>0</v>
      </c>
      <c r="K189" s="4">
        <f t="shared" si="145"/>
        <v>0</v>
      </c>
      <c r="L189" s="65" t="e">
        <f t="shared" si="141"/>
        <v>#DIV/0!</v>
      </c>
      <c r="M189" s="66">
        <v>42.283799999999999</v>
      </c>
      <c r="N189" s="67">
        <f t="shared" si="142"/>
        <v>0</v>
      </c>
      <c r="O189" s="67">
        <f t="shared" si="143"/>
        <v>0</v>
      </c>
      <c r="P189" s="1104"/>
    </row>
    <row r="190" spans="2:16" x14ac:dyDescent="0.25">
      <c r="B190" s="1099"/>
      <c r="C190" s="169" t="s">
        <v>80</v>
      </c>
      <c r="D190" s="61" t="s">
        <v>81</v>
      </c>
      <c r="E190" s="62">
        <v>0</v>
      </c>
      <c r="F190" s="63">
        <f t="shared" si="144"/>
        <v>0</v>
      </c>
      <c r="G190" s="63">
        <v>0</v>
      </c>
      <c r="H190" s="64">
        <v>0</v>
      </c>
      <c r="I190" s="79">
        <f t="shared" si="138"/>
        <v>0</v>
      </c>
      <c r="J190" s="4">
        <f t="shared" si="139"/>
        <v>0</v>
      </c>
      <c r="K190" s="4">
        <f t="shared" si="145"/>
        <v>0</v>
      </c>
      <c r="L190" s="65" t="e">
        <f t="shared" si="141"/>
        <v>#DIV/0!</v>
      </c>
      <c r="M190" s="66">
        <v>4.3535000000000004</v>
      </c>
      <c r="N190" s="67">
        <f t="shared" si="142"/>
        <v>0</v>
      </c>
      <c r="O190" s="67">
        <f t="shared" si="143"/>
        <v>0</v>
      </c>
      <c r="P190" s="1104"/>
    </row>
    <row r="191" spans="2:16" x14ac:dyDescent="0.25">
      <c r="B191" s="1099"/>
      <c r="C191" s="1102" t="s">
        <v>82</v>
      </c>
      <c r="D191" s="61" t="s">
        <v>77</v>
      </c>
      <c r="E191" s="62">
        <v>0</v>
      </c>
      <c r="F191" s="63">
        <f t="shared" si="144"/>
        <v>0</v>
      </c>
      <c r="G191" s="63">
        <v>0</v>
      </c>
      <c r="H191" s="64">
        <v>0</v>
      </c>
      <c r="I191" s="79">
        <f t="shared" si="138"/>
        <v>0</v>
      </c>
      <c r="J191" s="4">
        <f t="shared" si="139"/>
        <v>0</v>
      </c>
      <c r="K191" s="4">
        <f t="shared" si="145"/>
        <v>0</v>
      </c>
      <c r="L191" s="65" t="e">
        <f t="shared" si="141"/>
        <v>#DIV/0!</v>
      </c>
      <c r="M191" s="66">
        <v>4.6184000000000003</v>
      </c>
      <c r="N191" s="67">
        <f t="shared" si="142"/>
        <v>0</v>
      </c>
      <c r="O191" s="67">
        <f>M191*J191</f>
        <v>0</v>
      </c>
      <c r="P191" s="1104"/>
    </row>
    <row r="192" spans="2:16" x14ac:dyDescent="0.25">
      <c r="B192" s="1099"/>
      <c r="C192" s="1102"/>
      <c r="D192" s="61" t="s">
        <v>119</v>
      </c>
      <c r="E192" s="62">
        <v>0</v>
      </c>
      <c r="F192" s="63">
        <f t="shared" si="144"/>
        <v>0</v>
      </c>
      <c r="G192" s="63">
        <v>0</v>
      </c>
      <c r="H192" s="64">
        <v>0</v>
      </c>
      <c r="I192" s="79">
        <f>J192+K192</f>
        <v>0</v>
      </c>
      <c r="J192" s="4">
        <f t="shared" si="139"/>
        <v>0</v>
      </c>
      <c r="K192" s="4">
        <f t="shared" si="145"/>
        <v>0</v>
      </c>
      <c r="L192" s="65" t="e">
        <f t="shared" si="141"/>
        <v>#DIV/0!</v>
      </c>
      <c r="M192" s="153">
        <v>4.6184000000000003</v>
      </c>
      <c r="N192" s="67">
        <f t="shared" si="142"/>
        <v>0</v>
      </c>
      <c r="O192" s="67">
        <f>M192*J192</f>
        <v>0</v>
      </c>
      <c r="P192" s="1104"/>
    </row>
    <row r="193" spans="2:16" x14ac:dyDescent="0.25">
      <c r="B193" s="1099"/>
      <c r="C193" s="1102"/>
      <c r="D193" s="61" t="s">
        <v>123</v>
      </c>
      <c r="E193" s="62">
        <v>0</v>
      </c>
      <c r="F193" s="63">
        <f t="shared" si="144"/>
        <v>0</v>
      </c>
      <c r="G193" s="63">
        <v>0</v>
      </c>
      <c r="H193" s="64">
        <v>0</v>
      </c>
      <c r="I193" s="79">
        <f t="shared" ref="I193:I207" si="146">J193+K193</f>
        <v>0</v>
      </c>
      <c r="J193" s="4">
        <f t="shared" si="139"/>
        <v>0</v>
      </c>
      <c r="K193" s="4">
        <f t="shared" si="145"/>
        <v>0</v>
      </c>
      <c r="L193" s="65" t="e">
        <f t="shared" si="141"/>
        <v>#DIV/0!</v>
      </c>
      <c r="M193" s="153">
        <v>4.6184000000000003</v>
      </c>
      <c r="N193" s="67">
        <f t="shared" si="142"/>
        <v>0</v>
      </c>
      <c r="O193" s="67">
        <f t="shared" ref="O193:O198" si="147">M193*J193</f>
        <v>0</v>
      </c>
      <c r="P193" s="1104"/>
    </row>
    <row r="194" spans="2:16" x14ac:dyDescent="0.25">
      <c r="B194" s="1099"/>
      <c r="C194" s="1102"/>
      <c r="D194" s="61" t="s">
        <v>124</v>
      </c>
      <c r="E194" s="62">
        <v>0</v>
      </c>
      <c r="F194" s="63">
        <f t="shared" si="144"/>
        <v>20600</v>
      </c>
      <c r="G194" s="63">
        <v>19600</v>
      </c>
      <c r="H194" s="64">
        <v>1000</v>
      </c>
      <c r="I194" s="79">
        <f t="shared" si="146"/>
        <v>64869</v>
      </c>
      <c r="J194" s="4">
        <f t="shared" si="139"/>
        <v>62500</v>
      </c>
      <c r="K194" s="4">
        <f t="shared" si="145"/>
        <v>2369</v>
      </c>
      <c r="L194" s="65" t="e">
        <f t="shared" si="141"/>
        <v>#DIV/0!</v>
      </c>
      <c r="M194" s="153">
        <v>4.7636000000000003</v>
      </c>
      <c r="N194" s="67">
        <f t="shared" si="142"/>
        <v>93366.560000000012</v>
      </c>
      <c r="O194" s="67">
        <f t="shared" si="147"/>
        <v>297725</v>
      </c>
      <c r="P194" s="1104"/>
    </row>
    <row r="195" spans="2:16" x14ac:dyDescent="0.25">
      <c r="B195" s="1099"/>
      <c r="C195" s="1102"/>
      <c r="D195" s="61" t="s">
        <v>83</v>
      </c>
      <c r="E195" s="62">
        <v>0</v>
      </c>
      <c r="F195" s="63">
        <f t="shared" si="144"/>
        <v>0</v>
      </c>
      <c r="G195" s="63">
        <v>0</v>
      </c>
      <c r="H195" s="64">
        <v>0</v>
      </c>
      <c r="I195" s="79">
        <f t="shared" si="146"/>
        <v>0</v>
      </c>
      <c r="J195" s="4">
        <f t="shared" si="139"/>
        <v>0</v>
      </c>
      <c r="K195" s="4">
        <f t="shared" si="145"/>
        <v>0</v>
      </c>
      <c r="L195" s="65" t="e">
        <f t="shared" si="141"/>
        <v>#DIV/0!</v>
      </c>
      <c r="M195" s="66">
        <v>4.8738000000000001</v>
      </c>
      <c r="N195" s="67">
        <f t="shared" si="142"/>
        <v>0</v>
      </c>
      <c r="O195" s="67">
        <f t="shared" si="147"/>
        <v>0</v>
      </c>
      <c r="P195" s="1104"/>
    </row>
    <row r="196" spans="2:16" x14ac:dyDescent="0.25">
      <c r="B196" s="1099"/>
      <c r="C196" s="169" t="s">
        <v>128</v>
      </c>
      <c r="D196" s="61" t="s">
        <v>124</v>
      </c>
      <c r="E196" s="62"/>
      <c r="F196" s="63">
        <f t="shared" si="144"/>
        <v>0</v>
      </c>
      <c r="G196" s="63">
        <v>0</v>
      </c>
      <c r="H196" s="64">
        <v>0</v>
      </c>
      <c r="I196" s="79">
        <f t="shared" si="146"/>
        <v>0</v>
      </c>
      <c r="J196" s="4">
        <f t="shared" si="139"/>
        <v>0</v>
      </c>
      <c r="K196" s="4">
        <f t="shared" si="145"/>
        <v>0</v>
      </c>
      <c r="L196" s="65"/>
      <c r="M196" s="66">
        <v>4.8738000000000001</v>
      </c>
      <c r="N196" s="67">
        <f t="shared" si="142"/>
        <v>0</v>
      </c>
      <c r="O196" s="67">
        <f t="shared" si="147"/>
        <v>0</v>
      </c>
      <c r="P196" s="1104"/>
    </row>
    <row r="197" spans="2:16" x14ac:dyDescent="0.25">
      <c r="B197" s="1099"/>
      <c r="C197" s="1102" t="s">
        <v>84</v>
      </c>
      <c r="D197" s="61" t="s">
        <v>77</v>
      </c>
      <c r="E197" s="62">
        <v>0</v>
      </c>
      <c r="F197" s="63">
        <f t="shared" si="144"/>
        <v>31750</v>
      </c>
      <c r="G197" s="63">
        <v>31050</v>
      </c>
      <c r="H197" s="64">
        <v>700</v>
      </c>
      <c r="I197" s="79">
        <f t="shared" si="146"/>
        <v>76529</v>
      </c>
      <c r="J197" s="4">
        <f t="shared" si="139"/>
        <v>75550</v>
      </c>
      <c r="K197" s="4">
        <f t="shared" si="145"/>
        <v>979</v>
      </c>
      <c r="L197" s="65" t="e">
        <f t="shared" ref="L197:L207" si="148">+J197/E197</f>
        <v>#DIV/0!</v>
      </c>
      <c r="M197" s="66">
        <v>4.9344999999999999</v>
      </c>
      <c r="N197" s="67">
        <f t="shared" si="142"/>
        <v>153216.22500000001</v>
      </c>
      <c r="O197" s="67">
        <f t="shared" si="147"/>
        <v>372801.47499999998</v>
      </c>
      <c r="P197" s="1104"/>
    </row>
    <row r="198" spans="2:16" x14ac:dyDescent="0.25">
      <c r="B198" s="1099"/>
      <c r="C198" s="1102"/>
      <c r="D198" s="61" t="s">
        <v>135</v>
      </c>
      <c r="E198" s="62"/>
      <c r="F198" s="63">
        <f t="shared" si="144"/>
        <v>0</v>
      </c>
      <c r="G198" s="63">
        <v>0</v>
      </c>
      <c r="H198" s="64">
        <v>0</v>
      </c>
      <c r="I198" s="79">
        <f t="shared" si="146"/>
        <v>0</v>
      </c>
      <c r="J198" s="4">
        <f t="shared" si="139"/>
        <v>0</v>
      </c>
      <c r="K198" s="4">
        <f t="shared" si="145"/>
        <v>0</v>
      </c>
      <c r="L198" s="65" t="e">
        <f t="shared" si="148"/>
        <v>#DIV/0!</v>
      </c>
      <c r="M198" s="66">
        <v>4.9344999999999999</v>
      </c>
      <c r="N198" s="67">
        <f t="shared" si="142"/>
        <v>0</v>
      </c>
      <c r="O198" s="67">
        <f t="shared" si="147"/>
        <v>0</v>
      </c>
      <c r="P198" s="1104"/>
    </row>
    <row r="199" spans="2:16" x14ac:dyDescent="0.25">
      <c r="B199" s="1099"/>
      <c r="C199" s="1102"/>
      <c r="D199" s="61" t="s">
        <v>129</v>
      </c>
      <c r="E199" s="62">
        <v>0</v>
      </c>
      <c r="F199" s="63">
        <f t="shared" si="144"/>
        <v>0</v>
      </c>
      <c r="G199" s="155">
        <v>0</v>
      </c>
      <c r="H199" s="156">
        <v>0</v>
      </c>
      <c r="I199" s="157">
        <f t="shared" si="146"/>
        <v>0</v>
      </c>
      <c r="J199" s="4">
        <f t="shared" si="139"/>
        <v>0</v>
      </c>
      <c r="K199" s="4">
        <f t="shared" si="145"/>
        <v>0</v>
      </c>
      <c r="L199" s="158" t="e">
        <f t="shared" si="148"/>
        <v>#DIV/0!</v>
      </c>
      <c r="M199" s="66">
        <v>4.9344999999999999</v>
      </c>
      <c r="N199" s="159">
        <f t="shared" si="142"/>
        <v>0</v>
      </c>
      <c r="O199" s="67">
        <f>M199*J199</f>
        <v>0</v>
      </c>
      <c r="P199" s="1104"/>
    </row>
    <row r="200" spans="2:16" x14ac:dyDescent="0.25">
      <c r="B200" s="1099"/>
      <c r="C200" s="1102" t="s">
        <v>85</v>
      </c>
      <c r="D200" s="61" t="s">
        <v>77</v>
      </c>
      <c r="E200" s="62">
        <v>0</v>
      </c>
      <c r="F200" s="63">
        <f t="shared" si="144"/>
        <v>21450</v>
      </c>
      <c r="G200" s="63">
        <v>18450</v>
      </c>
      <c r="H200" s="64">
        <v>3000</v>
      </c>
      <c r="I200" s="79">
        <f t="shared" si="146"/>
        <v>48023</v>
      </c>
      <c r="J200" s="4">
        <f t="shared" si="139"/>
        <v>43650</v>
      </c>
      <c r="K200" s="4">
        <f t="shared" si="145"/>
        <v>4373</v>
      </c>
      <c r="L200" s="65" t="e">
        <f t="shared" si="148"/>
        <v>#DIV/0!</v>
      </c>
      <c r="M200" s="148">
        <v>5.5069999999999997</v>
      </c>
      <c r="N200" s="67">
        <f t="shared" si="142"/>
        <v>101604.15</v>
      </c>
      <c r="O200" s="67">
        <f>M200*J200</f>
        <v>240380.55</v>
      </c>
      <c r="P200" s="1104"/>
    </row>
    <row r="201" spans="2:16" x14ac:dyDescent="0.25">
      <c r="B201" s="1099"/>
      <c r="C201" s="1102"/>
      <c r="D201" s="61" t="s">
        <v>112</v>
      </c>
      <c r="E201" s="62">
        <v>0</v>
      </c>
      <c r="F201" s="63">
        <f t="shared" si="144"/>
        <v>0</v>
      </c>
      <c r="G201" s="63">
        <v>0</v>
      </c>
      <c r="H201" s="64">
        <v>0</v>
      </c>
      <c r="I201" s="79">
        <f t="shared" si="146"/>
        <v>0</v>
      </c>
      <c r="J201" s="4">
        <f t="shared" si="139"/>
        <v>0</v>
      </c>
      <c r="K201" s="4">
        <f t="shared" si="145"/>
        <v>0</v>
      </c>
      <c r="L201" s="65" t="e">
        <f t="shared" si="148"/>
        <v>#DIV/0!</v>
      </c>
      <c r="M201" s="147">
        <v>5.6550000000000002</v>
      </c>
      <c r="N201" s="67">
        <f t="shared" si="142"/>
        <v>0</v>
      </c>
      <c r="O201" s="67">
        <f>M201*J201</f>
        <v>0</v>
      </c>
      <c r="P201" s="1104"/>
    </row>
    <row r="202" spans="2:16" x14ac:dyDescent="0.25">
      <c r="B202" s="1099"/>
      <c r="C202" s="1102"/>
      <c r="D202" s="61" t="s">
        <v>118</v>
      </c>
      <c r="E202" s="62">
        <v>0</v>
      </c>
      <c r="F202" s="63">
        <f t="shared" si="144"/>
        <v>0</v>
      </c>
      <c r="G202" s="63">
        <v>0</v>
      </c>
      <c r="H202" s="64">
        <v>0</v>
      </c>
      <c r="I202" s="79">
        <f t="shared" si="146"/>
        <v>0</v>
      </c>
      <c r="J202" s="4">
        <f t="shared" si="139"/>
        <v>0</v>
      </c>
      <c r="K202" s="4">
        <f t="shared" si="145"/>
        <v>0</v>
      </c>
      <c r="L202" s="65" t="e">
        <f t="shared" si="148"/>
        <v>#DIV/0!</v>
      </c>
      <c r="M202" s="152">
        <v>5.6550000000000002</v>
      </c>
      <c r="N202" s="67">
        <f t="shared" si="142"/>
        <v>0</v>
      </c>
      <c r="O202" s="67">
        <f>M202*J202</f>
        <v>0</v>
      </c>
      <c r="P202" s="1104"/>
    </row>
    <row r="203" spans="2:16" x14ac:dyDescent="0.25">
      <c r="B203" s="1099"/>
      <c r="C203" s="1102"/>
      <c r="D203" s="61" t="s">
        <v>121</v>
      </c>
      <c r="E203" s="62">
        <v>0</v>
      </c>
      <c r="F203" s="63">
        <f t="shared" si="144"/>
        <v>0</v>
      </c>
      <c r="G203" s="63">
        <v>0</v>
      </c>
      <c r="H203" s="64">
        <v>0</v>
      </c>
      <c r="I203" s="79">
        <f t="shared" si="146"/>
        <v>9700</v>
      </c>
      <c r="J203" s="4">
        <f t="shared" si="139"/>
        <v>8200</v>
      </c>
      <c r="K203" s="4">
        <f t="shared" si="145"/>
        <v>1500</v>
      </c>
      <c r="L203" s="65" t="e">
        <f t="shared" si="148"/>
        <v>#DIV/0!</v>
      </c>
      <c r="M203" s="66">
        <v>5.7885299999999997</v>
      </c>
      <c r="N203" s="67">
        <f>+M203*G203</f>
        <v>0</v>
      </c>
      <c r="O203" s="67">
        <f>M203*J203</f>
        <v>47465.945999999996</v>
      </c>
      <c r="P203" s="1104"/>
    </row>
    <row r="204" spans="2:16" x14ac:dyDescent="0.25">
      <c r="B204" s="1099"/>
      <c r="C204" s="1102"/>
      <c r="D204" s="61" t="s">
        <v>136</v>
      </c>
      <c r="E204" s="62">
        <v>0</v>
      </c>
      <c r="F204" s="63">
        <f t="shared" si="144"/>
        <v>0</v>
      </c>
      <c r="G204" s="63">
        <v>0</v>
      </c>
      <c r="H204" s="64">
        <v>0</v>
      </c>
      <c r="I204" s="79">
        <f t="shared" si="146"/>
        <v>0</v>
      </c>
      <c r="J204" s="4">
        <f t="shared" si="139"/>
        <v>0</v>
      </c>
      <c r="K204" s="4">
        <f t="shared" si="145"/>
        <v>0</v>
      </c>
      <c r="L204" s="65" t="e">
        <f t="shared" si="148"/>
        <v>#DIV/0!</v>
      </c>
      <c r="M204" s="152">
        <v>5.6550000000000002</v>
      </c>
      <c r="N204" s="67">
        <f t="shared" ref="N204:N206" si="149">+M204*G204</f>
        <v>0</v>
      </c>
      <c r="O204" s="67">
        <f t="shared" ref="O204:O207" si="150">M204*J204</f>
        <v>0</v>
      </c>
      <c r="P204" s="1104"/>
    </row>
    <row r="205" spans="2:16" x14ac:dyDescent="0.25">
      <c r="B205" s="1099"/>
      <c r="C205" s="169" t="s">
        <v>86</v>
      </c>
      <c r="D205" s="61" t="s">
        <v>77</v>
      </c>
      <c r="E205" s="62">
        <v>0</v>
      </c>
      <c r="F205" s="63">
        <f t="shared" si="144"/>
        <v>0</v>
      </c>
      <c r="G205" s="63">
        <v>0</v>
      </c>
      <c r="H205" s="64">
        <v>0</v>
      </c>
      <c r="I205" s="79">
        <f t="shared" si="146"/>
        <v>0</v>
      </c>
      <c r="J205" s="4">
        <f t="shared" si="139"/>
        <v>0</v>
      </c>
      <c r="K205" s="4">
        <f t="shared" si="145"/>
        <v>0</v>
      </c>
      <c r="L205" s="65" t="e">
        <f t="shared" si="148"/>
        <v>#DIV/0!</v>
      </c>
      <c r="M205" s="66">
        <v>3.2963</v>
      </c>
      <c r="N205" s="67">
        <f t="shared" si="149"/>
        <v>0</v>
      </c>
      <c r="O205" s="67">
        <f t="shared" si="150"/>
        <v>0</v>
      </c>
      <c r="P205" s="1104"/>
    </row>
    <row r="206" spans="2:16" x14ac:dyDescent="0.25">
      <c r="B206" s="1099"/>
      <c r="C206" s="169" t="s">
        <v>87</v>
      </c>
      <c r="D206" s="61" t="s">
        <v>77</v>
      </c>
      <c r="E206" s="62">
        <v>0</v>
      </c>
      <c r="F206" s="63">
        <f t="shared" si="144"/>
        <v>0</v>
      </c>
      <c r="G206" s="63">
        <v>0</v>
      </c>
      <c r="H206" s="64">
        <v>0</v>
      </c>
      <c r="I206" s="79">
        <f t="shared" si="146"/>
        <v>0</v>
      </c>
      <c r="J206" s="4">
        <f t="shared" si="139"/>
        <v>0</v>
      </c>
      <c r="K206" s="4">
        <f t="shared" si="145"/>
        <v>0</v>
      </c>
      <c r="L206" s="65" t="e">
        <f t="shared" si="148"/>
        <v>#DIV/0!</v>
      </c>
      <c r="M206" s="66">
        <v>3.2963</v>
      </c>
      <c r="N206" s="67">
        <f t="shared" si="149"/>
        <v>0</v>
      </c>
      <c r="O206" s="67">
        <f t="shared" si="150"/>
        <v>0</v>
      </c>
      <c r="P206" s="1104"/>
    </row>
    <row r="207" spans="2:16" ht="15.75" thickBot="1" x14ac:dyDescent="0.3">
      <c r="B207" s="1099"/>
      <c r="C207" s="68" t="s">
        <v>88</v>
      </c>
      <c r="D207" s="69" t="s">
        <v>89</v>
      </c>
      <c r="E207" s="70">
        <v>0</v>
      </c>
      <c r="F207" s="71">
        <f t="shared" si="144"/>
        <v>0</v>
      </c>
      <c r="G207" s="71">
        <v>0</v>
      </c>
      <c r="H207" s="72">
        <v>0</v>
      </c>
      <c r="I207" s="80">
        <f t="shared" si="146"/>
        <v>0</v>
      </c>
      <c r="J207" s="4">
        <f t="shared" si="139"/>
        <v>0</v>
      </c>
      <c r="K207" s="4">
        <f t="shared" si="145"/>
        <v>0</v>
      </c>
      <c r="L207" s="65" t="e">
        <f t="shared" si="148"/>
        <v>#DIV/0!</v>
      </c>
      <c r="M207" s="73">
        <v>2.3201000000000001</v>
      </c>
      <c r="N207" s="74">
        <f t="shared" ref="N207" si="151">M207*G207</f>
        <v>0</v>
      </c>
      <c r="O207" s="74">
        <f t="shared" si="150"/>
        <v>0</v>
      </c>
      <c r="P207" s="1105"/>
    </row>
    <row r="208" spans="2:16" ht="15.75" thickBot="1" x14ac:dyDescent="0.3">
      <c r="B208" s="1100"/>
      <c r="C208" s="1108" t="s">
        <v>99</v>
      </c>
      <c r="D208" s="1109"/>
      <c r="E208" s="1109"/>
      <c r="F208" s="1109"/>
      <c r="G208" s="1109"/>
      <c r="H208" s="1110"/>
      <c r="I208" s="116">
        <f>J208+K208</f>
        <v>206162</v>
      </c>
      <c r="J208" s="115">
        <f>SUM(J180:J207)</f>
        <v>196700</v>
      </c>
      <c r="K208" s="115">
        <f>SUM(K180:K207)</f>
        <v>9462</v>
      </c>
      <c r="L208" s="114"/>
      <c r="M208" s="113"/>
      <c r="N208" s="114"/>
      <c r="O208" s="97">
        <f>SUM(O180:O207)</f>
        <v>1308642.2109999999</v>
      </c>
      <c r="P208" s="96"/>
    </row>
    <row r="209" spans="2:16" ht="15.75" thickBot="1" x14ac:dyDescent="0.3">
      <c r="B209" s="100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2"/>
    </row>
    <row r="210" spans="2:16" ht="15.75" thickBot="1" x14ac:dyDescent="0.3">
      <c r="B210" s="1093" t="s">
        <v>100</v>
      </c>
      <c r="C210" s="1094"/>
      <c r="D210" s="1094"/>
      <c r="E210" s="1094"/>
      <c r="F210" s="1094"/>
      <c r="G210" s="1094"/>
      <c r="H210" s="1094"/>
      <c r="I210" s="1094"/>
      <c r="J210" s="1094"/>
      <c r="K210" s="1094"/>
      <c r="L210" s="1094"/>
      <c r="M210" s="1094"/>
      <c r="N210" s="1095"/>
      <c r="O210" s="103">
        <f>+O208+O179+O164</f>
        <v>3364517.6359999999</v>
      </c>
      <c r="P210" s="96"/>
    </row>
    <row r="211" spans="2:16" ht="15.75" thickBot="1" x14ac:dyDescent="0.3"/>
    <row r="212" spans="2:16" x14ac:dyDescent="0.25">
      <c r="B212" s="1127" t="s">
        <v>1</v>
      </c>
      <c r="C212" s="1129" t="s">
        <v>2</v>
      </c>
      <c r="D212" s="1132" t="s">
        <v>3</v>
      </c>
      <c r="E212" s="1135" t="s">
        <v>4</v>
      </c>
      <c r="F212" s="1136"/>
      <c r="G212" s="1136"/>
      <c r="H212" s="1136"/>
      <c r="I212" s="1136"/>
      <c r="J212" s="1136"/>
      <c r="K212" s="1136"/>
      <c r="L212" s="1137"/>
      <c r="M212" s="1138" t="s">
        <v>5</v>
      </c>
      <c r="N212" s="1139"/>
      <c r="O212" s="1140"/>
      <c r="P212" s="1132" t="s">
        <v>6</v>
      </c>
    </row>
    <row r="213" spans="2:16" x14ac:dyDescent="0.25">
      <c r="B213" s="1128"/>
      <c r="C213" s="1130"/>
      <c r="D213" s="1133"/>
      <c r="E213" s="1141" t="s">
        <v>7</v>
      </c>
      <c r="F213" s="1143" t="s">
        <v>142</v>
      </c>
      <c r="G213" s="1143"/>
      <c r="H213" s="1144"/>
      <c r="I213" s="1145" t="s">
        <v>8</v>
      </c>
      <c r="J213" s="1143"/>
      <c r="K213" s="1143"/>
      <c r="L213" s="1144" t="s">
        <v>9</v>
      </c>
      <c r="M213" s="1147" t="s">
        <v>10</v>
      </c>
      <c r="N213" s="1149" t="s">
        <v>11</v>
      </c>
      <c r="O213" s="1151" t="s">
        <v>12</v>
      </c>
      <c r="P213" s="1133"/>
    </row>
    <row r="214" spans="2:16" ht="15.75" thickBot="1" x14ac:dyDescent="0.3">
      <c r="B214" s="1128"/>
      <c r="C214" s="1131"/>
      <c r="D214" s="1134"/>
      <c r="E214" s="1142"/>
      <c r="F214" s="2" t="s">
        <v>13</v>
      </c>
      <c r="G214" s="2" t="s">
        <v>14</v>
      </c>
      <c r="H214" s="174" t="s">
        <v>15</v>
      </c>
      <c r="I214" s="142" t="s">
        <v>13</v>
      </c>
      <c r="J214" s="2" t="s">
        <v>14</v>
      </c>
      <c r="K214" s="2" t="s">
        <v>15</v>
      </c>
      <c r="L214" s="1146"/>
      <c r="M214" s="1148"/>
      <c r="N214" s="1150"/>
      <c r="O214" s="1152"/>
      <c r="P214" s="1134"/>
    </row>
    <row r="215" spans="2:16" x14ac:dyDescent="0.25">
      <c r="B215" s="1111" t="s">
        <v>53</v>
      </c>
      <c r="C215" s="29"/>
      <c r="D215" s="117" t="s">
        <v>143</v>
      </c>
      <c r="E215" s="98">
        <v>0</v>
      </c>
      <c r="F215" s="4">
        <f>+G215+H215</f>
        <v>113814</v>
      </c>
      <c r="G215" s="4">
        <v>112840</v>
      </c>
      <c r="H215" s="8">
        <v>974</v>
      </c>
      <c r="I215" s="6">
        <f>J215+K215</f>
        <v>113814</v>
      </c>
      <c r="J215" s="4">
        <f>G215+J150</f>
        <v>112840</v>
      </c>
      <c r="K215" s="4">
        <f>H215+K150</f>
        <v>974</v>
      </c>
      <c r="L215" s="33" t="e">
        <f>+J215/E215</f>
        <v>#DIV/0!</v>
      </c>
      <c r="M215" s="104">
        <v>1.3652</v>
      </c>
      <c r="N215" s="31">
        <f>G215*M215</f>
        <v>154049.16800000001</v>
      </c>
      <c r="O215" s="86">
        <f>M215*J215</f>
        <v>154049.16800000001</v>
      </c>
      <c r="P215" s="1113"/>
    </row>
    <row r="216" spans="2:16" x14ac:dyDescent="0.25">
      <c r="B216" s="1112"/>
      <c r="C216" s="32"/>
      <c r="D216" s="118" t="s">
        <v>109</v>
      </c>
      <c r="E216" s="99">
        <v>0</v>
      </c>
      <c r="F216" s="9">
        <f>+G216+H216</f>
        <v>0</v>
      </c>
      <c r="G216" s="9">
        <v>0</v>
      </c>
      <c r="H216" s="10">
        <v>0</v>
      </c>
      <c r="I216" s="6">
        <f>J216+K216</f>
        <v>0</v>
      </c>
      <c r="J216" s="4">
        <f>+G216+J151</f>
        <v>0</v>
      </c>
      <c r="K216" s="4">
        <f>+H216+K151</f>
        <v>0</v>
      </c>
      <c r="L216" s="33"/>
      <c r="M216" s="105">
        <v>5.9917999999999996</v>
      </c>
      <c r="N216" s="34">
        <f>M216*G216</f>
        <v>0</v>
      </c>
      <c r="O216" s="87">
        <f>M216*J216</f>
        <v>0</v>
      </c>
      <c r="P216" s="1114"/>
    </row>
    <row r="217" spans="2:16" x14ac:dyDescent="0.25">
      <c r="B217" s="1112"/>
      <c r="C217" s="35"/>
      <c r="D217" s="119" t="s">
        <v>55</v>
      </c>
      <c r="E217" s="99">
        <v>0</v>
      </c>
      <c r="F217" s="9">
        <f t="shared" ref="F217:F221" si="152">+G217+H217</f>
        <v>231616</v>
      </c>
      <c r="G217" s="9">
        <v>230000</v>
      </c>
      <c r="H217" s="10">
        <f>774+842</f>
        <v>1616</v>
      </c>
      <c r="I217" s="6">
        <f t="shared" ref="I217:I221" si="153">J217+K217</f>
        <v>756961</v>
      </c>
      <c r="J217" s="4">
        <f t="shared" ref="J217:J221" si="154">+G217+J152</f>
        <v>750750</v>
      </c>
      <c r="K217" s="4">
        <f t="shared" ref="K217:K221" si="155">+H217+K152</f>
        <v>6211</v>
      </c>
      <c r="L217" s="33" t="e">
        <f t="shared" ref="L217" si="156">+J217/E217</f>
        <v>#DIV/0!</v>
      </c>
      <c r="M217" s="106">
        <v>2.3807999999999998</v>
      </c>
      <c r="N217" s="36">
        <f>G217*M217</f>
        <v>547584</v>
      </c>
      <c r="O217" s="88">
        <f>M217*J217</f>
        <v>1787385.5999999999</v>
      </c>
      <c r="P217" s="1114"/>
    </row>
    <row r="218" spans="2:16" x14ac:dyDescent="0.25">
      <c r="B218" s="1112"/>
      <c r="C218" s="35"/>
      <c r="D218" s="119" t="s">
        <v>56</v>
      </c>
      <c r="E218" s="99">
        <v>0</v>
      </c>
      <c r="F218" s="9">
        <f t="shared" si="152"/>
        <v>0</v>
      </c>
      <c r="G218" s="9">
        <v>0</v>
      </c>
      <c r="H218" s="10">
        <v>0</v>
      </c>
      <c r="I218" s="6">
        <f t="shared" si="153"/>
        <v>0</v>
      </c>
      <c r="J218" s="4">
        <f t="shared" si="154"/>
        <v>0</v>
      </c>
      <c r="K218" s="4">
        <f t="shared" si="155"/>
        <v>0</v>
      </c>
      <c r="L218" s="33"/>
      <c r="M218" s="106">
        <v>2.1457999999999999</v>
      </c>
      <c r="N218" s="36">
        <f t="shared" ref="N218:N221" si="157">G218*M218</f>
        <v>0</v>
      </c>
      <c r="O218" s="88">
        <f>M218*J218</f>
        <v>0</v>
      </c>
      <c r="P218" s="1114"/>
    </row>
    <row r="219" spans="2:16" x14ac:dyDescent="0.25">
      <c r="B219" s="1112"/>
      <c r="C219" s="35"/>
      <c r="D219" s="119" t="s">
        <v>106</v>
      </c>
      <c r="E219" s="99">
        <v>0</v>
      </c>
      <c r="F219" s="9">
        <f t="shared" si="152"/>
        <v>0</v>
      </c>
      <c r="G219" s="9">
        <v>0</v>
      </c>
      <c r="H219" s="10">
        <v>0</v>
      </c>
      <c r="I219" s="6">
        <f t="shared" si="153"/>
        <v>0</v>
      </c>
      <c r="J219" s="4">
        <f t="shared" si="154"/>
        <v>0</v>
      </c>
      <c r="K219" s="4">
        <f t="shared" si="155"/>
        <v>0</v>
      </c>
      <c r="L219" s="33" t="e">
        <f t="shared" ref="L219:L220" si="158">+J219/E219</f>
        <v>#DIV/0!</v>
      </c>
      <c r="M219" s="143">
        <v>4.0426000000000002</v>
      </c>
      <c r="N219" s="36">
        <f t="shared" si="157"/>
        <v>0</v>
      </c>
      <c r="O219" s="88">
        <f>M219*J219</f>
        <v>0</v>
      </c>
      <c r="P219" s="1114"/>
    </row>
    <row r="220" spans="2:16" x14ac:dyDescent="0.25">
      <c r="B220" s="1112"/>
      <c r="C220" s="35"/>
      <c r="D220" s="119" t="s">
        <v>110</v>
      </c>
      <c r="E220" s="99">
        <v>0</v>
      </c>
      <c r="F220" s="9">
        <f t="shared" si="152"/>
        <v>0</v>
      </c>
      <c r="G220" s="9">
        <v>0</v>
      </c>
      <c r="H220" s="10">
        <v>0</v>
      </c>
      <c r="I220" s="6">
        <f t="shared" si="153"/>
        <v>0</v>
      </c>
      <c r="J220" s="4">
        <f t="shared" si="154"/>
        <v>0</v>
      </c>
      <c r="K220" s="4">
        <f t="shared" si="155"/>
        <v>0</v>
      </c>
      <c r="L220" s="33" t="e">
        <f t="shared" si="158"/>
        <v>#DIV/0!</v>
      </c>
      <c r="M220" s="143">
        <v>3.8715000000000002</v>
      </c>
      <c r="N220" s="36">
        <f t="shared" si="157"/>
        <v>0</v>
      </c>
      <c r="O220" s="88">
        <f t="shared" ref="O220:O221" si="159">M220*J220</f>
        <v>0</v>
      </c>
      <c r="P220" s="1114"/>
    </row>
    <row r="221" spans="2:16" ht="15.75" thickBot="1" x14ac:dyDescent="0.3">
      <c r="B221" s="1112"/>
      <c r="C221" s="82"/>
      <c r="D221" s="120" t="s">
        <v>57</v>
      </c>
      <c r="E221" s="108">
        <v>0</v>
      </c>
      <c r="F221" s="12">
        <f t="shared" si="152"/>
        <v>0</v>
      </c>
      <c r="G221" s="12">
        <v>0</v>
      </c>
      <c r="H221" s="13">
        <v>0</v>
      </c>
      <c r="I221" s="21">
        <f t="shared" si="153"/>
        <v>0</v>
      </c>
      <c r="J221" s="4">
        <f t="shared" si="154"/>
        <v>0</v>
      </c>
      <c r="K221" s="4">
        <f t="shared" si="155"/>
        <v>0</v>
      </c>
      <c r="L221" s="81"/>
      <c r="M221" s="127">
        <v>12.284700000000001</v>
      </c>
      <c r="N221" s="36">
        <f t="shared" si="157"/>
        <v>0</v>
      </c>
      <c r="O221" s="128">
        <f t="shared" si="159"/>
        <v>0</v>
      </c>
      <c r="P221" s="1114"/>
    </row>
    <row r="222" spans="2:16" ht="15.75" thickBot="1" x14ac:dyDescent="0.3">
      <c r="B222" s="1112"/>
      <c r="C222" s="1117" t="s">
        <v>104</v>
      </c>
      <c r="D222" s="1118"/>
      <c r="E222" s="129"/>
      <c r="F222" s="130">
        <f>SUM(F215:F221)</f>
        <v>345430</v>
      </c>
      <c r="G222" s="130">
        <f>SUM(G215:G221)</f>
        <v>342840</v>
      </c>
      <c r="H222" s="131">
        <f>SUM(H215:H221)</f>
        <v>2590</v>
      </c>
      <c r="I222" s="132">
        <f>+J222+K222</f>
        <v>870775</v>
      </c>
      <c r="J222" s="133">
        <f>SUM(J215:J221)</f>
        <v>863590</v>
      </c>
      <c r="K222" s="133">
        <f>SUM(K215:K221)</f>
        <v>7185</v>
      </c>
      <c r="L222" s="134"/>
      <c r="M222" s="135"/>
      <c r="N222" s="136"/>
      <c r="O222" s="137">
        <f>SUM(O215:O221)</f>
        <v>1941434.7679999999</v>
      </c>
      <c r="P222" s="1115"/>
    </row>
    <row r="223" spans="2:16" x14ac:dyDescent="0.25">
      <c r="B223" s="1112"/>
      <c r="C223" s="32"/>
      <c r="D223" s="118" t="s">
        <v>58</v>
      </c>
      <c r="E223" s="98">
        <v>0</v>
      </c>
      <c r="F223" s="4">
        <f t="shared" ref="F223:F226" si="160">+G223+H223</f>
        <v>0</v>
      </c>
      <c r="G223" s="4">
        <v>0</v>
      </c>
      <c r="H223" s="8">
        <v>0</v>
      </c>
      <c r="I223" s="6">
        <f t="shared" ref="I223:I227" si="161">J223+K223</f>
        <v>0</v>
      </c>
      <c r="J223" s="4">
        <f>G223+J158</f>
        <v>0</v>
      </c>
      <c r="K223" s="4">
        <f>H223+K158</f>
        <v>0</v>
      </c>
      <c r="L223" s="33" t="e">
        <f t="shared" ref="L223" si="162">+J223/E223</f>
        <v>#DIV/0!</v>
      </c>
      <c r="M223" s="105">
        <v>12.029500000000001</v>
      </c>
      <c r="N223" s="34">
        <f>M223*G223</f>
        <v>0</v>
      </c>
      <c r="O223" s="87">
        <f t="shared" ref="O223:O225" si="163">M223*J223</f>
        <v>0</v>
      </c>
      <c r="P223" s="1114"/>
    </row>
    <row r="224" spans="2:16" x14ac:dyDescent="0.25">
      <c r="B224" s="1112"/>
      <c r="C224" s="35"/>
      <c r="D224" s="119" t="s">
        <v>59</v>
      </c>
      <c r="E224" s="99">
        <v>0</v>
      </c>
      <c r="F224" s="9">
        <f t="shared" si="160"/>
        <v>0</v>
      </c>
      <c r="G224" s="9">
        <v>0</v>
      </c>
      <c r="H224" s="10">
        <v>0</v>
      </c>
      <c r="I224" s="6">
        <f t="shared" si="161"/>
        <v>0</v>
      </c>
      <c r="J224" s="4">
        <f>G224+J159</f>
        <v>0</v>
      </c>
      <c r="K224" s="4">
        <f>H224+K159</f>
        <v>0</v>
      </c>
      <c r="L224" s="33"/>
      <c r="M224" s="106">
        <v>0</v>
      </c>
      <c r="N224" s="36"/>
      <c r="O224" s="88">
        <f t="shared" si="163"/>
        <v>0</v>
      </c>
      <c r="P224" s="1114"/>
    </row>
    <row r="225" spans="2:16" x14ac:dyDescent="0.25">
      <c r="B225" s="1112"/>
      <c r="C225" s="35"/>
      <c r="D225" s="119" t="s">
        <v>97</v>
      </c>
      <c r="E225" s="99">
        <v>0</v>
      </c>
      <c r="F225" s="9">
        <f t="shared" si="160"/>
        <v>0</v>
      </c>
      <c r="G225" s="9">
        <v>0</v>
      </c>
      <c r="H225" s="10">
        <v>0</v>
      </c>
      <c r="I225" s="6">
        <f t="shared" si="161"/>
        <v>0</v>
      </c>
      <c r="J225" s="4">
        <f t="shared" ref="J225:J227" si="164">G225+J160</f>
        <v>0</v>
      </c>
      <c r="K225" s="4">
        <f t="shared" ref="K225:K227" si="165">H225+K160</f>
        <v>0</v>
      </c>
      <c r="L225" s="33" t="e">
        <f t="shared" ref="L225:L227" si="166">+J225/E225</f>
        <v>#DIV/0!</v>
      </c>
      <c r="M225" s="106">
        <v>19.688600000000001</v>
      </c>
      <c r="N225" s="36">
        <f>M225*G225</f>
        <v>0</v>
      </c>
      <c r="O225" s="88">
        <f t="shared" si="163"/>
        <v>0</v>
      </c>
      <c r="P225" s="1114"/>
    </row>
    <row r="226" spans="2:16" x14ac:dyDescent="0.25">
      <c r="B226" s="1112"/>
      <c r="C226" s="35"/>
      <c r="D226" s="119" t="s">
        <v>61</v>
      </c>
      <c r="E226" s="99">
        <v>0</v>
      </c>
      <c r="F226" s="9">
        <f t="shared" si="160"/>
        <v>0</v>
      </c>
      <c r="G226" s="9">
        <v>0</v>
      </c>
      <c r="H226" s="10">
        <v>0</v>
      </c>
      <c r="I226" s="6">
        <f t="shared" si="161"/>
        <v>0</v>
      </c>
      <c r="J226" s="4">
        <f t="shared" si="164"/>
        <v>0</v>
      </c>
      <c r="K226" s="4">
        <f t="shared" si="165"/>
        <v>0</v>
      </c>
      <c r="L226" s="33" t="e">
        <f t="shared" si="166"/>
        <v>#DIV/0!</v>
      </c>
      <c r="M226" s="106">
        <v>1.2824</v>
      </c>
      <c r="N226" s="151">
        <f>M226*G226</f>
        <v>0</v>
      </c>
      <c r="O226" s="88">
        <f>M226*J226</f>
        <v>0</v>
      </c>
      <c r="P226" s="1114"/>
    </row>
    <row r="227" spans="2:16" ht="15.75" thickBot="1" x14ac:dyDescent="0.3">
      <c r="B227" s="1112"/>
      <c r="C227" s="82"/>
      <c r="D227" s="120" t="s">
        <v>60</v>
      </c>
      <c r="E227" s="108">
        <v>0</v>
      </c>
      <c r="F227" s="12">
        <v>0</v>
      </c>
      <c r="G227" s="12">
        <v>0</v>
      </c>
      <c r="H227" s="13">
        <v>0</v>
      </c>
      <c r="I227" s="21">
        <f t="shared" si="161"/>
        <v>0</v>
      </c>
      <c r="J227" s="4">
        <f t="shared" si="164"/>
        <v>0</v>
      </c>
      <c r="K227" s="4">
        <f t="shared" si="165"/>
        <v>0</v>
      </c>
      <c r="L227" s="81" t="e">
        <f t="shared" si="166"/>
        <v>#DIV/0!</v>
      </c>
      <c r="M227" s="107">
        <v>18.2316</v>
      </c>
      <c r="N227" s="75"/>
      <c r="O227" s="89">
        <f t="shared" ref="O227" si="167">M227*J227</f>
        <v>0</v>
      </c>
      <c r="P227" s="1116"/>
    </row>
    <row r="228" spans="2:16" ht="15.75" thickBot="1" x14ac:dyDescent="0.3">
      <c r="B228" s="1096" t="s">
        <v>105</v>
      </c>
      <c r="C228" s="1097"/>
      <c r="D228" s="1097"/>
      <c r="E228" s="124"/>
      <c r="F228" s="125">
        <f>+G228+H228</f>
        <v>0</v>
      </c>
      <c r="G228" s="125">
        <f>SUM(G223:G227)</f>
        <v>0</v>
      </c>
      <c r="H228" s="126">
        <f>SUM(H223:H227)</f>
        <v>0</v>
      </c>
      <c r="I228" s="121">
        <f>J228+K228</f>
        <v>0</v>
      </c>
      <c r="J228" s="122">
        <f>SUM(J223:J227)</f>
        <v>0</v>
      </c>
      <c r="K228" s="123">
        <f>SUM(K223:K227)</f>
        <v>0</v>
      </c>
      <c r="L228" s="138"/>
      <c r="M228" s="139"/>
      <c r="N228" s="140"/>
      <c r="O228" s="141">
        <f>SUM(O223:O227)</f>
        <v>0</v>
      </c>
      <c r="P228" s="175"/>
    </row>
    <row r="229" spans="2:16" ht="15.75" thickBot="1" x14ac:dyDescent="0.3">
      <c r="B229" s="1096" t="s">
        <v>98</v>
      </c>
      <c r="C229" s="1097"/>
      <c r="D229" s="1097"/>
      <c r="E229" s="1119"/>
      <c r="F229" s="1119"/>
      <c r="G229" s="1119"/>
      <c r="H229" s="1119"/>
      <c r="I229" s="1097"/>
      <c r="J229" s="1097"/>
      <c r="K229" s="1097"/>
      <c r="L229" s="1097"/>
      <c r="M229" s="1097"/>
      <c r="N229" s="1120"/>
      <c r="O229" s="83">
        <f>O222+O228</f>
        <v>1941434.7679999999</v>
      </c>
      <c r="P229" s="175"/>
    </row>
    <row r="230" spans="2:16" x14ac:dyDescent="0.25">
      <c r="B230" s="1111" t="s">
        <v>62</v>
      </c>
      <c r="C230" s="37" t="s">
        <v>63</v>
      </c>
      <c r="D230" s="28" t="s">
        <v>64</v>
      </c>
      <c r="E230" s="38">
        <v>0</v>
      </c>
      <c r="F230" s="14">
        <f>+G230+H230</f>
        <v>0</v>
      </c>
      <c r="G230" s="14">
        <v>0</v>
      </c>
      <c r="H230" s="5">
        <v>0</v>
      </c>
      <c r="I230" s="17">
        <f t="shared" ref="I230:I236" si="168">J230+K230</f>
        <v>0</v>
      </c>
      <c r="J230" s="4">
        <f>G230+J165</f>
        <v>0</v>
      </c>
      <c r="K230" s="4">
        <f>H230+K165</f>
        <v>0</v>
      </c>
      <c r="L230" s="30" t="e">
        <f>+J230/E230</f>
        <v>#DIV/0!</v>
      </c>
      <c r="M230" s="146">
        <v>2.2141000000000002</v>
      </c>
      <c r="N230" s="15">
        <f>+M230*G230</f>
        <v>0</v>
      </c>
      <c r="O230" s="90">
        <f>+M230*J230</f>
        <v>0</v>
      </c>
      <c r="P230" s="1122"/>
    </row>
    <row r="231" spans="2:16" x14ac:dyDescent="0.25">
      <c r="B231" s="1112"/>
      <c r="C231" s="39"/>
      <c r="D231" s="22" t="s">
        <v>65</v>
      </c>
      <c r="E231" s="3">
        <v>0</v>
      </c>
      <c r="F231" s="9">
        <f t="shared" ref="F231:F236" si="169">+G231+H231</f>
        <v>0</v>
      </c>
      <c r="G231" s="4">
        <v>0</v>
      </c>
      <c r="H231" s="8">
        <v>0</v>
      </c>
      <c r="I231" s="6">
        <f t="shared" si="168"/>
        <v>0</v>
      </c>
      <c r="J231" s="4">
        <f>+G231+J166</f>
        <v>0</v>
      </c>
      <c r="K231" s="4">
        <f>+H231+K166</f>
        <v>0</v>
      </c>
      <c r="L231" s="40" t="e">
        <f t="shared" ref="L231:L232" si="170">+J231/E231</f>
        <v>#DIV/0!</v>
      </c>
      <c r="M231" s="145">
        <v>2.4565999999999999</v>
      </c>
      <c r="N231" s="11">
        <f t="shared" ref="N231:N233" si="171">+M231*G231</f>
        <v>0</v>
      </c>
      <c r="O231" s="91">
        <f t="shared" ref="O231:O233" si="172">+M231*J231</f>
        <v>0</v>
      </c>
      <c r="P231" s="1123"/>
    </row>
    <row r="232" spans="2:16" x14ac:dyDescent="0.25">
      <c r="B232" s="1112"/>
      <c r="C232" s="39"/>
      <c r="D232" s="23" t="s">
        <v>126</v>
      </c>
      <c r="E232" s="3">
        <v>0</v>
      </c>
      <c r="F232" s="9">
        <f t="shared" si="169"/>
        <v>0</v>
      </c>
      <c r="G232" s="4">
        <v>0</v>
      </c>
      <c r="H232" s="8">
        <v>0</v>
      </c>
      <c r="I232" s="6">
        <f t="shared" si="168"/>
        <v>0</v>
      </c>
      <c r="J232" s="4">
        <f t="shared" ref="J232:J236" si="173">+G232+J167</f>
        <v>0</v>
      </c>
      <c r="K232" s="4">
        <f t="shared" ref="K232:K236" si="174">+H232+K167</f>
        <v>0</v>
      </c>
      <c r="L232" s="40" t="e">
        <f t="shared" si="170"/>
        <v>#DIV/0!</v>
      </c>
      <c r="M232" s="145">
        <v>2.2907000000000002</v>
      </c>
      <c r="N232" s="11">
        <f t="shared" si="171"/>
        <v>0</v>
      </c>
      <c r="O232" s="91">
        <f t="shared" si="172"/>
        <v>0</v>
      </c>
      <c r="P232" s="1123"/>
    </row>
    <row r="233" spans="2:16" x14ac:dyDescent="0.25">
      <c r="B233" s="1112"/>
      <c r="C233" s="39"/>
      <c r="D233" s="22" t="s">
        <v>131</v>
      </c>
      <c r="E233" s="3"/>
      <c r="F233" s="9">
        <f t="shared" si="169"/>
        <v>0</v>
      </c>
      <c r="G233" s="4">
        <v>0</v>
      </c>
      <c r="H233" s="8">
        <v>0</v>
      </c>
      <c r="I233" s="6">
        <f t="shared" si="168"/>
        <v>0</v>
      </c>
      <c r="J233" s="4">
        <f t="shared" si="173"/>
        <v>0</v>
      </c>
      <c r="K233" s="4">
        <f t="shared" si="174"/>
        <v>0</v>
      </c>
      <c r="L233" s="33"/>
      <c r="M233" s="150">
        <v>2.544</v>
      </c>
      <c r="N233" s="11">
        <f t="shared" si="171"/>
        <v>0</v>
      </c>
      <c r="O233" s="91">
        <f t="shared" si="172"/>
        <v>0</v>
      </c>
      <c r="P233" s="1123"/>
    </row>
    <row r="234" spans="2:16" x14ac:dyDescent="0.25">
      <c r="B234" s="1112"/>
      <c r="C234" s="39" t="s">
        <v>66</v>
      </c>
      <c r="D234" s="22" t="s">
        <v>133</v>
      </c>
      <c r="E234" s="3">
        <v>0</v>
      </c>
      <c r="F234" s="9">
        <f t="shared" si="169"/>
        <v>53810</v>
      </c>
      <c r="G234" s="4">
        <v>52250</v>
      </c>
      <c r="H234" s="8">
        <v>1560</v>
      </c>
      <c r="I234" s="6">
        <f t="shared" si="168"/>
        <v>93882</v>
      </c>
      <c r="J234" s="4">
        <f t="shared" si="173"/>
        <v>90750</v>
      </c>
      <c r="K234" s="4">
        <f t="shared" si="174"/>
        <v>3132</v>
      </c>
      <c r="L234" s="33" t="e">
        <f>+J234/E234</f>
        <v>#DIV/0!</v>
      </c>
      <c r="M234" s="144">
        <v>2.2141000000000002</v>
      </c>
      <c r="N234" s="7">
        <f>+M234*G234</f>
        <v>115686.72500000001</v>
      </c>
      <c r="O234" s="85">
        <f>+M234*J234</f>
        <v>200929.57500000001</v>
      </c>
      <c r="P234" s="1123"/>
    </row>
    <row r="235" spans="2:16" x14ac:dyDescent="0.25">
      <c r="B235" s="1112"/>
      <c r="C235" s="39"/>
      <c r="D235" s="22" t="s">
        <v>65</v>
      </c>
      <c r="E235" s="3">
        <v>0</v>
      </c>
      <c r="F235" s="9">
        <f t="shared" si="169"/>
        <v>0</v>
      </c>
      <c r="G235" s="4">
        <v>0</v>
      </c>
      <c r="H235" s="8">
        <v>0</v>
      </c>
      <c r="I235" s="6">
        <f t="shared" si="168"/>
        <v>0</v>
      </c>
      <c r="J235" s="4">
        <f t="shared" si="173"/>
        <v>0</v>
      </c>
      <c r="K235" s="4">
        <f t="shared" si="174"/>
        <v>0</v>
      </c>
      <c r="L235" s="40" t="e">
        <f t="shared" ref="L235:L236" si="175">+J235/E235</f>
        <v>#DIV/0!</v>
      </c>
      <c r="M235" s="145">
        <v>2.4565999999999999</v>
      </c>
      <c r="N235" s="11">
        <f t="shared" ref="N235:N236" si="176">+M235*G235</f>
        <v>0</v>
      </c>
      <c r="O235" s="91">
        <f t="shared" ref="O235" si="177">+M235*J235</f>
        <v>0</v>
      </c>
      <c r="P235" s="1123"/>
    </row>
    <row r="236" spans="2:16" ht="15.75" thickBot="1" x14ac:dyDescent="0.3">
      <c r="B236" s="1112"/>
      <c r="C236" s="39"/>
      <c r="D236" s="22" t="s">
        <v>126</v>
      </c>
      <c r="E236" s="3">
        <v>0</v>
      </c>
      <c r="F236" s="9">
        <f t="shared" si="169"/>
        <v>0</v>
      </c>
      <c r="G236" s="4">
        <v>0</v>
      </c>
      <c r="H236" s="8">
        <v>0</v>
      </c>
      <c r="I236" s="6">
        <f t="shared" si="168"/>
        <v>0</v>
      </c>
      <c r="J236" s="4">
        <f t="shared" si="173"/>
        <v>0</v>
      </c>
      <c r="K236" s="4">
        <f t="shared" si="174"/>
        <v>0</v>
      </c>
      <c r="L236" s="40" t="e">
        <f t="shared" si="175"/>
        <v>#DIV/0!</v>
      </c>
      <c r="M236" s="145">
        <v>2.2907000000000002</v>
      </c>
      <c r="N236" s="11">
        <f t="shared" si="176"/>
        <v>0</v>
      </c>
      <c r="O236" s="154">
        <f>+M236*J236</f>
        <v>0</v>
      </c>
      <c r="P236" s="1124"/>
    </row>
    <row r="237" spans="2:16" ht="15.75" thickBot="1" x14ac:dyDescent="0.3">
      <c r="B237" s="1112"/>
      <c r="C237" s="41" t="s">
        <v>29</v>
      </c>
      <c r="D237" s="27" t="str">
        <f>+C237</f>
        <v>TOTAL 1/2</v>
      </c>
      <c r="E237" s="42">
        <f>SUM(E230:E236)</f>
        <v>0</v>
      </c>
      <c r="F237" s="43">
        <f>SUM(F230:F236)</f>
        <v>53810</v>
      </c>
      <c r="G237" s="43">
        <f>SUM(G230:G236)</f>
        <v>52250</v>
      </c>
      <c r="H237" s="44">
        <f>SUM(H230:H236)</f>
        <v>1560</v>
      </c>
      <c r="I237" s="45">
        <f>SUM(I234:I236)</f>
        <v>93882</v>
      </c>
      <c r="J237" s="43">
        <f>SUM(J230:J236)</f>
        <v>90750</v>
      </c>
      <c r="K237" s="43">
        <f>SUM(K230:K236)</f>
        <v>3132</v>
      </c>
      <c r="L237" s="46" t="e">
        <f>+J237/E237</f>
        <v>#DIV/0!</v>
      </c>
      <c r="M237" s="47"/>
      <c r="N237" s="48">
        <f>SUM(N234:N236)</f>
        <v>115686.72500000001</v>
      </c>
      <c r="O237" s="49">
        <f>SUM(O230:O236)</f>
        <v>200929.57500000001</v>
      </c>
      <c r="P237" s="172"/>
    </row>
    <row r="238" spans="2:16" x14ac:dyDescent="0.25">
      <c r="B238" s="1112"/>
      <c r="C238" s="1125" t="s">
        <v>67</v>
      </c>
      <c r="D238" s="22" t="s">
        <v>64</v>
      </c>
      <c r="E238" s="3">
        <v>0</v>
      </c>
      <c r="F238" s="4">
        <f>G238+H238</f>
        <v>0</v>
      </c>
      <c r="G238" s="4">
        <v>0</v>
      </c>
      <c r="H238" s="8">
        <v>0</v>
      </c>
      <c r="I238" s="16">
        <f>J238+K238</f>
        <v>109220</v>
      </c>
      <c r="J238" s="4">
        <f>G238+J173</f>
        <v>105750</v>
      </c>
      <c r="K238" s="4">
        <f>H238+K173</f>
        <v>3470</v>
      </c>
      <c r="L238" s="50" t="e">
        <f>+J238/E238</f>
        <v>#DIV/0!</v>
      </c>
      <c r="M238" s="144">
        <v>4.1712999999999996</v>
      </c>
      <c r="N238" s="7">
        <f>+M238*G238</f>
        <v>0</v>
      </c>
      <c r="O238" s="93">
        <f>+M238*J238</f>
        <v>441114.97499999998</v>
      </c>
      <c r="P238" s="1122"/>
    </row>
    <row r="239" spans="2:16" x14ac:dyDescent="0.25">
      <c r="B239" s="1112"/>
      <c r="C239" s="1126"/>
      <c r="D239" s="22" t="s">
        <v>65</v>
      </c>
      <c r="E239" s="3">
        <v>0</v>
      </c>
      <c r="F239" s="4">
        <f>G239+H239</f>
        <v>61630</v>
      </c>
      <c r="G239" s="4">
        <v>60000</v>
      </c>
      <c r="H239" s="8">
        <v>1630</v>
      </c>
      <c r="I239" s="6">
        <f>+R1283+F239</f>
        <v>61630</v>
      </c>
      <c r="J239" s="4">
        <f>G239+J174</f>
        <v>120000</v>
      </c>
      <c r="K239" s="4">
        <f>H239+K174</f>
        <v>3230</v>
      </c>
      <c r="L239" s="51" t="e">
        <f t="shared" ref="L239:L243" si="178">+J239/E239</f>
        <v>#DIV/0!</v>
      </c>
      <c r="M239" s="145">
        <v>4.8285999999999998</v>
      </c>
      <c r="N239" s="11">
        <f t="shared" ref="N239:N241" si="179">+M239*G239</f>
        <v>289716</v>
      </c>
      <c r="O239" s="94">
        <f t="shared" ref="O239:O241" si="180">+M239*J239</f>
        <v>579432</v>
      </c>
      <c r="P239" s="1123"/>
    </row>
    <row r="240" spans="2:16" x14ac:dyDescent="0.25">
      <c r="B240" s="1112"/>
      <c r="C240" s="1126"/>
      <c r="D240" s="22" t="s">
        <v>127</v>
      </c>
      <c r="E240" s="3"/>
      <c r="F240" s="4">
        <f>G240+H240</f>
        <v>0</v>
      </c>
      <c r="G240" s="4">
        <v>0</v>
      </c>
      <c r="H240" s="8">
        <v>0</v>
      </c>
      <c r="I240" s="6">
        <f>+R1284+F240</f>
        <v>0</v>
      </c>
      <c r="J240" s="4">
        <f t="shared" ref="J240:J241" si="181">G240+J175</f>
        <v>0</v>
      </c>
      <c r="K240" s="4">
        <f t="shared" ref="K240:K241" si="182">H240+K175</f>
        <v>0</v>
      </c>
      <c r="L240" s="51" t="e">
        <f t="shared" si="178"/>
        <v>#DIV/0!</v>
      </c>
      <c r="M240" s="144">
        <v>4.5023</v>
      </c>
      <c r="N240" s="11">
        <f t="shared" si="179"/>
        <v>0</v>
      </c>
      <c r="O240" s="94">
        <f t="shared" si="180"/>
        <v>0</v>
      </c>
      <c r="P240" s="1123"/>
    </row>
    <row r="241" spans="2:16" ht="15.75" thickBot="1" x14ac:dyDescent="0.3">
      <c r="B241" s="1112"/>
      <c r="C241" s="1126"/>
      <c r="D241" s="22" t="s">
        <v>111</v>
      </c>
      <c r="E241" s="3">
        <v>0</v>
      </c>
      <c r="F241" s="4">
        <f t="shared" ref="F241" si="183">G241+H241</f>
        <v>0</v>
      </c>
      <c r="G241" s="4">
        <v>0</v>
      </c>
      <c r="H241" s="8">
        <v>0</v>
      </c>
      <c r="I241" s="6">
        <f>+R1284+F241</f>
        <v>0</v>
      </c>
      <c r="J241" s="4">
        <f t="shared" si="181"/>
        <v>0</v>
      </c>
      <c r="K241" s="4">
        <f t="shared" si="182"/>
        <v>0</v>
      </c>
      <c r="L241" s="51" t="e">
        <f t="shared" si="178"/>
        <v>#DIV/0!</v>
      </c>
      <c r="M241" s="144">
        <v>4.4065000000000003</v>
      </c>
      <c r="N241" s="11">
        <f t="shared" si="179"/>
        <v>0</v>
      </c>
      <c r="O241" s="94">
        <f t="shared" si="180"/>
        <v>0</v>
      </c>
      <c r="P241" s="1123"/>
    </row>
    <row r="242" spans="2:16" ht="15.75" thickBot="1" x14ac:dyDescent="0.3">
      <c r="B242" s="1112"/>
      <c r="C242" s="41" t="s">
        <v>31</v>
      </c>
      <c r="D242" s="18" t="str">
        <f>+C242</f>
        <v>TOTAL 4/4</v>
      </c>
      <c r="E242" s="42">
        <f t="shared" ref="E242:K242" si="184">SUM(E238:E241)</f>
        <v>0</v>
      </c>
      <c r="F242" s="43">
        <f t="shared" si="184"/>
        <v>61630</v>
      </c>
      <c r="G242" s="43">
        <f t="shared" si="184"/>
        <v>60000</v>
      </c>
      <c r="H242" s="44">
        <f t="shared" si="184"/>
        <v>1630</v>
      </c>
      <c r="I242" s="45">
        <f t="shared" si="184"/>
        <v>170850</v>
      </c>
      <c r="J242" s="43">
        <f t="shared" si="184"/>
        <v>225750</v>
      </c>
      <c r="K242" s="43">
        <f t="shared" si="184"/>
        <v>6700</v>
      </c>
      <c r="L242" s="46" t="e">
        <f t="shared" si="178"/>
        <v>#DIV/0!</v>
      </c>
      <c r="M242" s="47"/>
      <c r="N242" s="48">
        <f>SUM(N238:N241)</f>
        <v>289716</v>
      </c>
      <c r="O242" s="92">
        <f>SUM(O238:O241)</f>
        <v>1020546.975</v>
      </c>
      <c r="P242" s="1124"/>
    </row>
    <row r="243" spans="2:16" ht="15.75" thickBot="1" x14ac:dyDescent="0.3">
      <c r="B243" s="1121"/>
      <c r="C243" s="41" t="s">
        <v>68</v>
      </c>
      <c r="D243" s="27" t="s">
        <v>64</v>
      </c>
      <c r="E243" s="25">
        <v>0</v>
      </c>
      <c r="F243" s="20">
        <f>G243+H243</f>
        <v>0</v>
      </c>
      <c r="G243" s="20">
        <v>0</v>
      </c>
      <c r="H243" s="24">
        <v>0</v>
      </c>
      <c r="I243" s="19">
        <f>J243+K243</f>
        <v>0</v>
      </c>
      <c r="J243" s="4">
        <f>G243+J178</f>
        <v>0</v>
      </c>
      <c r="K243" s="4">
        <f>H243+K178</f>
        <v>0</v>
      </c>
      <c r="L243" s="52" t="e">
        <f t="shared" si="178"/>
        <v>#DIV/0!</v>
      </c>
      <c r="M243" s="149">
        <v>1.4086000000000001</v>
      </c>
      <c r="N243" s="26">
        <f t="shared" ref="N243" si="185">+M243*G243</f>
        <v>0</v>
      </c>
      <c r="O243" s="95">
        <f t="shared" ref="O243" si="186">+M243*J243</f>
        <v>0</v>
      </c>
      <c r="P243" s="53"/>
    </row>
    <row r="244" spans="2:16" ht="15.75" thickBot="1" x14ac:dyDescent="0.3">
      <c r="B244" s="1096" t="s">
        <v>95</v>
      </c>
      <c r="C244" s="1097"/>
      <c r="D244" s="1097"/>
      <c r="E244" s="1097"/>
      <c r="F244" s="1097"/>
      <c r="G244" s="1097"/>
      <c r="H244" s="1097"/>
      <c r="I244" s="110">
        <f>J244+K244</f>
        <v>326332</v>
      </c>
      <c r="J244" s="110">
        <f>J237+J242+J243</f>
        <v>316500</v>
      </c>
      <c r="K244" s="110">
        <f>K237+K242+K243</f>
        <v>9832</v>
      </c>
      <c r="L244" s="111"/>
      <c r="M244" s="112"/>
      <c r="N244" s="109"/>
      <c r="O244" s="77">
        <f>+O243+O242+O237</f>
        <v>1221476.55</v>
      </c>
      <c r="P244" s="84"/>
    </row>
    <row r="245" spans="2:16" x14ac:dyDescent="0.25">
      <c r="B245" s="1098" t="s">
        <v>69</v>
      </c>
      <c r="C245" s="1101" t="s">
        <v>70</v>
      </c>
      <c r="D245" s="54" t="s">
        <v>71</v>
      </c>
      <c r="E245" s="55">
        <v>0</v>
      </c>
      <c r="F245" s="56">
        <f>G245+H245</f>
        <v>0</v>
      </c>
      <c r="G245" s="56">
        <v>0</v>
      </c>
      <c r="H245" s="57">
        <v>0</v>
      </c>
      <c r="I245" s="78">
        <f>J245+K245</f>
        <v>0</v>
      </c>
      <c r="J245" s="4">
        <f>G245+J180</f>
        <v>0</v>
      </c>
      <c r="K245" s="4">
        <f>H245+K180</f>
        <v>0</v>
      </c>
      <c r="L245" s="58" t="e">
        <f t="shared" ref="L245" si="187">+J245/E245</f>
        <v>#DIV/0!</v>
      </c>
      <c r="M245" s="59">
        <v>32.946300000000001</v>
      </c>
      <c r="N245" s="60">
        <f>+M245*G245</f>
        <v>0</v>
      </c>
      <c r="O245" s="60">
        <f>M245*J245</f>
        <v>0</v>
      </c>
      <c r="P245" s="1103"/>
    </row>
    <row r="246" spans="2:16" x14ac:dyDescent="0.25">
      <c r="B246" s="1099"/>
      <c r="C246" s="1102"/>
      <c r="D246" s="61" t="s">
        <v>72</v>
      </c>
      <c r="E246" s="62">
        <v>0</v>
      </c>
      <c r="F246" s="63">
        <f>G246+H246</f>
        <v>5080</v>
      </c>
      <c r="G246" s="63">
        <v>5000</v>
      </c>
      <c r="H246" s="64">
        <v>80</v>
      </c>
      <c r="I246" s="79">
        <f>J246+K246</f>
        <v>5080</v>
      </c>
      <c r="J246" s="4">
        <f>G246+J181</f>
        <v>5000</v>
      </c>
      <c r="K246" s="4">
        <f>H246+K181</f>
        <v>80</v>
      </c>
      <c r="L246" s="65" t="e">
        <f>+J246/E246</f>
        <v>#DIV/0!</v>
      </c>
      <c r="M246" s="66">
        <v>35.398400000000002</v>
      </c>
      <c r="N246" s="67">
        <f>+M246*G246</f>
        <v>176992</v>
      </c>
      <c r="O246" s="67">
        <f>M246*J246</f>
        <v>176992</v>
      </c>
      <c r="P246" s="1104"/>
    </row>
    <row r="247" spans="2:16" x14ac:dyDescent="0.25">
      <c r="B247" s="1099"/>
      <c r="C247" s="1102"/>
      <c r="D247" s="61" t="s">
        <v>73</v>
      </c>
      <c r="E247" s="62">
        <v>0</v>
      </c>
      <c r="F247" s="63">
        <f t="shared" ref="F247:F250" si="188">G247+H247</f>
        <v>0</v>
      </c>
      <c r="G247" s="63">
        <v>0</v>
      </c>
      <c r="H247" s="64">
        <v>0</v>
      </c>
      <c r="I247" s="79">
        <f t="shared" ref="I247:I256" si="189">J247+K247</f>
        <v>0</v>
      </c>
      <c r="J247" s="4">
        <f t="shared" ref="J247:J272" si="190">G247+J182</f>
        <v>0</v>
      </c>
      <c r="K247" s="4">
        <f t="shared" ref="K247:K251" si="191">H247+K182</f>
        <v>0</v>
      </c>
      <c r="L247" s="65" t="e">
        <f t="shared" ref="L247:L260" si="192">+J247/E247</f>
        <v>#DIV/0!</v>
      </c>
      <c r="M247" s="66">
        <v>32.946300000000001</v>
      </c>
      <c r="N247" s="67">
        <f t="shared" ref="N247:N267" si="193">+M247*G247</f>
        <v>0</v>
      </c>
      <c r="O247" s="67">
        <f t="shared" ref="O247:O255" si="194">M247*J247</f>
        <v>0</v>
      </c>
      <c r="P247" s="1104"/>
    </row>
    <row r="248" spans="2:16" x14ac:dyDescent="0.25">
      <c r="B248" s="1099"/>
      <c r="C248" s="1102" t="s">
        <v>74</v>
      </c>
      <c r="D248" s="61" t="s">
        <v>75</v>
      </c>
      <c r="E248" s="62">
        <v>0</v>
      </c>
      <c r="F248" s="63">
        <f t="shared" si="188"/>
        <v>0</v>
      </c>
      <c r="G248" s="63">
        <v>0</v>
      </c>
      <c r="H248" s="64">
        <v>0</v>
      </c>
      <c r="I248" s="79">
        <f t="shared" si="189"/>
        <v>4976</v>
      </c>
      <c r="J248" s="4">
        <f t="shared" si="190"/>
        <v>4800</v>
      </c>
      <c r="K248" s="4">
        <f t="shared" si="191"/>
        <v>176</v>
      </c>
      <c r="L248" s="65" t="e">
        <f t="shared" si="192"/>
        <v>#DIV/0!</v>
      </c>
      <c r="M248" s="66">
        <v>55.4758</v>
      </c>
      <c r="N248" s="67">
        <f t="shared" si="193"/>
        <v>0</v>
      </c>
      <c r="O248" s="67">
        <f t="shared" si="194"/>
        <v>266283.84000000003</v>
      </c>
      <c r="P248" s="1104"/>
    </row>
    <row r="249" spans="2:16" x14ac:dyDescent="0.25">
      <c r="B249" s="1099"/>
      <c r="C249" s="1102"/>
      <c r="D249" s="61" t="s">
        <v>134</v>
      </c>
      <c r="E249" s="62">
        <v>0</v>
      </c>
      <c r="F249" s="63">
        <f t="shared" si="188"/>
        <v>0</v>
      </c>
      <c r="G249" s="63">
        <v>0</v>
      </c>
      <c r="H249" s="64">
        <v>0</v>
      </c>
      <c r="I249" s="79">
        <f t="shared" si="189"/>
        <v>0</v>
      </c>
      <c r="J249" s="4">
        <f t="shared" si="190"/>
        <v>0</v>
      </c>
      <c r="K249" s="4">
        <f t="shared" si="191"/>
        <v>0</v>
      </c>
      <c r="L249" s="65" t="e">
        <f t="shared" si="192"/>
        <v>#DIV/0!</v>
      </c>
      <c r="M249" s="66">
        <v>53.515999999999998</v>
      </c>
      <c r="N249" s="67">
        <f t="shared" si="193"/>
        <v>0</v>
      </c>
      <c r="O249" s="67">
        <f t="shared" si="194"/>
        <v>0</v>
      </c>
      <c r="P249" s="1104"/>
    </row>
    <row r="250" spans="2:16" x14ac:dyDescent="0.25">
      <c r="B250" s="1099"/>
      <c r="C250" s="1102"/>
      <c r="D250" s="61" t="s">
        <v>72</v>
      </c>
      <c r="E250" s="62">
        <v>0</v>
      </c>
      <c r="F250" s="63">
        <f t="shared" si="188"/>
        <v>0</v>
      </c>
      <c r="G250" s="63">
        <v>0</v>
      </c>
      <c r="H250" s="64">
        <v>0</v>
      </c>
      <c r="I250" s="79">
        <f t="shared" si="189"/>
        <v>0</v>
      </c>
      <c r="J250" s="4">
        <f t="shared" si="190"/>
        <v>0</v>
      </c>
      <c r="K250" s="4">
        <f t="shared" si="191"/>
        <v>0</v>
      </c>
      <c r="L250" s="65" t="e">
        <f t="shared" si="192"/>
        <v>#DIV/0!</v>
      </c>
      <c r="M250" s="66">
        <v>58.836300000000001</v>
      </c>
      <c r="N250" s="67">
        <f t="shared" si="193"/>
        <v>0</v>
      </c>
      <c r="O250" s="67">
        <f t="shared" si="194"/>
        <v>0</v>
      </c>
      <c r="P250" s="1104"/>
    </row>
    <row r="251" spans="2:16" x14ac:dyDescent="0.25">
      <c r="B251" s="1099"/>
      <c r="C251" s="1106" t="s">
        <v>76</v>
      </c>
      <c r="D251" s="61" t="s">
        <v>77</v>
      </c>
      <c r="E251" s="62">
        <v>0</v>
      </c>
      <c r="F251" s="63">
        <f>G251+H251</f>
        <v>3675</v>
      </c>
      <c r="G251" s="63">
        <v>3575</v>
      </c>
      <c r="H251" s="64">
        <v>100</v>
      </c>
      <c r="I251" s="79">
        <f t="shared" si="189"/>
        <v>3675</v>
      </c>
      <c r="J251" s="4">
        <f t="shared" si="190"/>
        <v>3575</v>
      </c>
      <c r="K251" s="4">
        <f t="shared" si="191"/>
        <v>100</v>
      </c>
      <c r="L251" s="65" t="e">
        <f t="shared" si="192"/>
        <v>#DIV/0!</v>
      </c>
      <c r="M251" s="66">
        <v>25.687200000000001</v>
      </c>
      <c r="N251" s="67">
        <f t="shared" si="193"/>
        <v>91831.74</v>
      </c>
      <c r="O251" s="67">
        <f t="shared" si="194"/>
        <v>91831.74</v>
      </c>
      <c r="P251" s="1104"/>
    </row>
    <row r="252" spans="2:16" x14ac:dyDescent="0.25">
      <c r="B252" s="1099"/>
      <c r="C252" s="1107"/>
      <c r="D252" s="61" t="s">
        <v>117</v>
      </c>
      <c r="E252" s="62">
        <v>0</v>
      </c>
      <c r="F252" s="63">
        <f>G252+H252</f>
        <v>0</v>
      </c>
      <c r="G252" s="63">
        <v>0</v>
      </c>
      <c r="H252" s="64">
        <v>0</v>
      </c>
      <c r="I252" s="79">
        <f t="shared" si="189"/>
        <v>0</v>
      </c>
      <c r="J252" s="4">
        <f t="shared" si="190"/>
        <v>0</v>
      </c>
      <c r="K252" s="4">
        <f>H252+K187</f>
        <v>0</v>
      </c>
      <c r="L252" s="65" t="e">
        <f t="shared" si="192"/>
        <v>#DIV/0!</v>
      </c>
      <c r="M252" s="66">
        <v>25.033899999999999</v>
      </c>
      <c r="N252" s="67">
        <f t="shared" si="193"/>
        <v>0</v>
      </c>
      <c r="O252" s="67">
        <f t="shared" si="194"/>
        <v>0</v>
      </c>
      <c r="P252" s="1104"/>
    </row>
    <row r="253" spans="2:16" x14ac:dyDescent="0.25">
      <c r="B253" s="1099"/>
      <c r="C253" s="1106" t="s">
        <v>78</v>
      </c>
      <c r="D253" s="61" t="s">
        <v>79</v>
      </c>
      <c r="E253" s="62">
        <v>0</v>
      </c>
      <c r="F253" s="63">
        <f t="shared" ref="F253:F272" si="195">G253+H253</f>
        <v>6048</v>
      </c>
      <c r="G253" s="63">
        <v>6000</v>
      </c>
      <c r="H253" s="64">
        <v>48</v>
      </c>
      <c r="I253" s="79">
        <f t="shared" si="189"/>
        <v>8113</v>
      </c>
      <c r="J253" s="4">
        <f t="shared" si="190"/>
        <v>8000</v>
      </c>
      <c r="K253" s="4">
        <f t="shared" ref="K253:K272" si="196">H253+K188</f>
        <v>113</v>
      </c>
      <c r="L253" s="65" t="e">
        <f t="shared" si="192"/>
        <v>#DIV/0!</v>
      </c>
      <c r="M253" s="66">
        <v>41.992699999999999</v>
      </c>
      <c r="N253" s="67">
        <f t="shared" si="193"/>
        <v>251956.19999999998</v>
      </c>
      <c r="O253" s="67">
        <f t="shared" si="194"/>
        <v>335941.6</v>
      </c>
      <c r="P253" s="1104"/>
    </row>
    <row r="254" spans="2:16" x14ac:dyDescent="0.25">
      <c r="B254" s="1099"/>
      <c r="C254" s="1107"/>
      <c r="D254" s="61" t="s">
        <v>72</v>
      </c>
      <c r="E254" s="62">
        <v>0</v>
      </c>
      <c r="F254" s="63">
        <f t="shared" si="195"/>
        <v>0</v>
      </c>
      <c r="G254" s="63">
        <v>0</v>
      </c>
      <c r="H254" s="64">
        <v>0</v>
      </c>
      <c r="I254" s="79">
        <f t="shared" si="189"/>
        <v>0</v>
      </c>
      <c r="J254" s="4">
        <f t="shared" si="190"/>
        <v>0</v>
      </c>
      <c r="K254" s="4">
        <f t="shared" si="196"/>
        <v>0</v>
      </c>
      <c r="L254" s="65" t="e">
        <f t="shared" si="192"/>
        <v>#DIV/0!</v>
      </c>
      <c r="M254" s="66">
        <v>42.283799999999999</v>
      </c>
      <c r="N254" s="67">
        <f t="shared" si="193"/>
        <v>0</v>
      </c>
      <c r="O254" s="67">
        <f t="shared" si="194"/>
        <v>0</v>
      </c>
      <c r="P254" s="1104"/>
    </row>
    <row r="255" spans="2:16" x14ac:dyDescent="0.25">
      <c r="B255" s="1099"/>
      <c r="C255" s="173" t="s">
        <v>80</v>
      </c>
      <c r="D255" s="61" t="s">
        <v>81</v>
      </c>
      <c r="E255" s="62">
        <v>0</v>
      </c>
      <c r="F255" s="63">
        <f t="shared" si="195"/>
        <v>0</v>
      </c>
      <c r="G255" s="63">
        <v>0</v>
      </c>
      <c r="H255" s="64">
        <v>0</v>
      </c>
      <c r="I255" s="79">
        <f t="shared" si="189"/>
        <v>0</v>
      </c>
      <c r="J255" s="4">
        <f t="shared" si="190"/>
        <v>0</v>
      </c>
      <c r="K255" s="4">
        <f t="shared" si="196"/>
        <v>0</v>
      </c>
      <c r="L255" s="65" t="e">
        <f t="shared" si="192"/>
        <v>#DIV/0!</v>
      </c>
      <c r="M255" s="66">
        <v>4.3535000000000004</v>
      </c>
      <c r="N255" s="67">
        <f t="shared" si="193"/>
        <v>0</v>
      </c>
      <c r="O255" s="67">
        <f t="shared" si="194"/>
        <v>0</v>
      </c>
      <c r="P255" s="1104"/>
    </row>
    <row r="256" spans="2:16" x14ac:dyDescent="0.25">
      <c r="B256" s="1099"/>
      <c r="C256" s="1102" t="s">
        <v>82</v>
      </c>
      <c r="D256" s="61" t="s">
        <v>77</v>
      </c>
      <c r="E256" s="62">
        <v>0</v>
      </c>
      <c r="F256" s="63">
        <f t="shared" si="195"/>
        <v>0</v>
      </c>
      <c r="G256" s="63">
        <v>0</v>
      </c>
      <c r="H256" s="64">
        <v>0</v>
      </c>
      <c r="I256" s="79">
        <f t="shared" si="189"/>
        <v>0</v>
      </c>
      <c r="J256" s="4">
        <f t="shared" si="190"/>
        <v>0</v>
      </c>
      <c r="K256" s="4">
        <f t="shared" si="196"/>
        <v>0</v>
      </c>
      <c r="L256" s="65" t="e">
        <f t="shared" si="192"/>
        <v>#DIV/0!</v>
      </c>
      <c r="M256" s="66">
        <v>4.6184000000000003</v>
      </c>
      <c r="N256" s="67">
        <f t="shared" si="193"/>
        <v>0</v>
      </c>
      <c r="O256" s="67">
        <f>M256*J256</f>
        <v>0</v>
      </c>
      <c r="P256" s="1104"/>
    </row>
    <row r="257" spans="2:16" x14ac:dyDescent="0.25">
      <c r="B257" s="1099"/>
      <c r="C257" s="1102"/>
      <c r="D257" s="61" t="s">
        <v>119</v>
      </c>
      <c r="E257" s="62">
        <v>0</v>
      </c>
      <c r="F257" s="63">
        <f t="shared" si="195"/>
        <v>0</v>
      </c>
      <c r="G257" s="63">
        <v>0</v>
      </c>
      <c r="H257" s="64">
        <v>0</v>
      </c>
      <c r="I257" s="79">
        <f>J257+K257</f>
        <v>0</v>
      </c>
      <c r="J257" s="4">
        <f t="shared" si="190"/>
        <v>0</v>
      </c>
      <c r="K257" s="4">
        <f t="shared" si="196"/>
        <v>0</v>
      </c>
      <c r="L257" s="65" t="e">
        <f t="shared" si="192"/>
        <v>#DIV/0!</v>
      </c>
      <c r="M257" s="153">
        <v>4.6184000000000003</v>
      </c>
      <c r="N257" s="67">
        <f t="shared" si="193"/>
        <v>0</v>
      </c>
      <c r="O257" s="67">
        <f>M257*J257</f>
        <v>0</v>
      </c>
      <c r="P257" s="1104"/>
    </row>
    <row r="258" spans="2:16" x14ac:dyDescent="0.25">
      <c r="B258" s="1099"/>
      <c r="C258" s="1102"/>
      <c r="D258" s="61" t="s">
        <v>123</v>
      </c>
      <c r="E258" s="62">
        <v>0</v>
      </c>
      <c r="F258" s="63">
        <f t="shared" si="195"/>
        <v>0</v>
      </c>
      <c r="G258" s="63">
        <v>0</v>
      </c>
      <c r="H258" s="64">
        <v>0</v>
      </c>
      <c r="I258" s="79">
        <f t="shared" ref="I258:I272" si="197">J258+K258</f>
        <v>0</v>
      </c>
      <c r="J258" s="4">
        <f t="shared" si="190"/>
        <v>0</v>
      </c>
      <c r="K258" s="4">
        <f t="shared" si="196"/>
        <v>0</v>
      </c>
      <c r="L258" s="65" t="e">
        <f t="shared" si="192"/>
        <v>#DIV/0!</v>
      </c>
      <c r="M258" s="153">
        <v>4.6184000000000003</v>
      </c>
      <c r="N258" s="67">
        <f t="shared" si="193"/>
        <v>0</v>
      </c>
      <c r="O258" s="67">
        <f t="shared" ref="O258:O263" si="198">M258*J258</f>
        <v>0</v>
      </c>
      <c r="P258" s="1104"/>
    </row>
    <row r="259" spans="2:16" x14ac:dyDescent="0.25">
      <c r="B259" s="1099"/>
      <c r="C259" s="1102"/>
      <c r="D259" s="61" t="s">
        <v>124</v>
      </c>
      <c r="E259" s="62">
        <v>0</v>
      </c>
      <c r="F259" s="63">
        <f t="shared" si="195"/>
        <v>15000</v>
      </c>
      <c r="G259" s="63">
        <v>14000</v>
      </c>
      <c r="H259" s="64">
        <v>1000</v>
      </c>
      <c r="I259" s="79">
        <f t="shared" si="197"/>
        <v>79869</v>
      </c>
      <c r="J259" s="4">
        <f t="shared" si="190"/>
        <v>76500</v>
      </c>
      <c r="K259" s="4">
        <f t="shared" si="196"/>
        <v>3369</v>
      </c>
      <c r="L259" s="65" t="e">
        <f t="shared" si="192"/>
        <v>#DIV/0!</v>
      </c>
      <c r="M259" s="153">
        <v>4.7636000000000003</v>
      </c>
      <c r="N259" s="67">
        <f t="shared" si="193"/>
        <v>66690.400000000009</v>
      </c>
      <c r="O259" s="67">
        <f t="shared" si="198"/>
        <v>364415.4</v>
      </c>
      <c r="P259" s="1104"/>
    </row>
    <row r="260" spans="2:16" x14ac:dyDescent="0.25">
      <c r="B260" s="1099"/>
      <c r="C260" s="1102"/>
      <c r="D260" s="61" t="s">
        <v>83</v>
      </c>
      <c r="E260" s="62">
        <v>0</v>
      </c>
      <c r="F260" s="63">
        <f t="shared" si="195"/>
        <v>0</v>
      </c>
      <c r="G260" s="63">
        <v>0</v>
      </c>
      <c r="H260" s="64">
        <v>0</v>
      </c>
      <c r="I260" s="79">
        <f t="shared" si="197"/>
        <v>0</v>
      </c>
      <c r="J260" s="4">
        <f t="shared" si="190"/>
        <v>0</v>
      </c>
      <c r="K260" s="4">
        <f t="shared" si="196"/>
        <v>0</v>
      </c>
      <c r="L260" s="65" t="e">
        <f t="shared" si="192"/>
        <v>#DIV/0!</v>
      </c>
      <c r="M260" s="66">
        <v>4.8738000000000001</v>
      </c>
      <c r="N260" s="67">
        <f t="shared" si="193"/>
        <v>0</v>
      </c>
      <c r="O260" s="67">
        <f t="shared" si="198"/>
        <v>0</v>
      </c>
      <c r="P260" s="1104"/>
    </row>
    <row r="261" spans="2:16" x14ac:dyDescent="0.25">
      <c r="B261" s="1099"/>
      <c r="C261" s="173" t="s">
        <v>128</v>
      </c>
      <c r="D261" s="61" t="s">
        <v>124</v>
      </c>
      <c r="E261" s="62"/>
      <c r="F261" s="63">
        <f t="shared" si="195"/>
        <v>0</v>
      </c>
      <c r="G261" s="63">
        <v>0</v>
      </c>
      <c r="H261" s="64">
        <v>0</v>
      </c>
      <c r="I261" s="79">
        <f t="shared" si="197"/>
        <v>0</v>
      </c>
      <c r="J261" s="4">
        <f t="shared" si="190"/>
        <v>0</v>
      </c>
      <c r="K261" s="4">
        <f t="shared" si="196"/>
        <v>0</v>
      </c>
      <c r="L261" s="65"/>
      <c r="M261" s="66">
        <v>4.8738000000000001</v>
      </c>
      <c r="N261" s="67">
        <f t="shared" si="193"/>
        <v>0</v>
      </c>
      <c r="O261" s="67">
        <f t="shared" si="198"/>
        <v>0</v>
      </c>
      <c r="P261" s="1104"/>
    </row>
    <row r="262" spans="2:16" x14ac:dyDescent="0.25">
      <c r="B262" s="1099"/>
      <c r="C262" s="1102" t="s">
        <v>84</v>
      </c>
      <c r="D262" s="61" t="s">
        <v>77</v>
      </c>
      <c r="E262" s="62">
        <v>0</v>
      </c>
      <c r="F262" s="63">
        <f t="shared" si="195"/>
        <v>21700</v>
      </c>
      <c r="G262" s="63">
        <v>21300</v>
      </c>
      <c r="H262" s="64">
        <v>400</v>
      </c>
      <c r="I262" s="79">
        <f t="shared" si="197"/>
        <v>98229</v>
      </c>
      <c r="J262" s="4">
        <f t="shared" si="190"/>
        <v>96850</v>
      </c>
      <c r="K262" s="4">
        <f t="shared" si="196"/>
        <v>1379</v>
      </c>
      <c r="L262" s="65" t="e">
        <f t="shared" ref="L262:L272" si="199">+J262/E262</f>
        <v>#DIV/0!</v>
      </c>
      <c r="M262" s="66">
        <v>4.9344999999999999</v>
      </c>
      <c r="N262" s="67">
        <f t="shared" si="193"/>
        <v>105104.84999999999</v>
      </c>
      <c r="O262" s="67">
        <f t="shared" si="198"/>
        <v>477906.32500000001</v>
      </c>
      <c r="P262" s="1104"/>
    </row>
    <row r="263" spans="2:16" x14ac:dyDescent="0.25">
      <c r="B263" s="1099"/>
      <c r="C263" s="1102"/>
      <c r="D263" s="61" t="s">
        <v>135</v>
      </c>
      <c r="E263" s="62"/>
      <c r="F263" s="63">
        <f t="shared" si="195"/>
        <v>0</v>
      </c>
      <c r="G263" s="63">
        <v>0</v>
      </c>
      <c r="H263" s="64">
        <v>0</v>
      </c>
      <c r="I263" s="79">
        <f t="shared" si="197"/>
        <v>0</v>
      </c>
      <c r="J263" s="4">
        <f t="shared" si="190"/>
        <v>0</v>
      </c>
      <c r="K263" s="4">
        <f t="shared" si="196"/>
        <v>0</v>
      </c>
      <c r="L263" s="65" t="e">
        <f t="shared" si="199"/>
        <v>#DIV/0!</v>
      </c>
      <c r="M263" s="66">
        <v>4.9344999999999999</v>
      </c>
      <c r="N263" s="67">
        <f t="shared" si="193"/>
        <v>0</v>
      </c>
      <c r="O263" s="67">
        <f t="shared" si="198"/>
        <v>0</v>
      </c>
      <c r="P263" s="1104"/>
    </row>
    <row r="264" spans="2:16" x14ac:dyDescent="0.25">
      <c r="B264" s="1099"/>
      <c r="C264" s="1102"/>
      <c r="D264" s="61" t="s">
        <v>129</v>
      </c>
      <c r="E264" s="62">
        <v>0</v>
      </c>
      <c r="F264" s="63">
        <f t="shared" si="195"/>
        <v>0</v>
      </c>
      <c r="G264" s="155">
        <v>0</v>
      </c>
      <c r="H264" s="156">
        <v>0</v>
      </c>
      <c r="I264" s="157">
        <f t="shared" si="197"/>
        <v>0</v>
      </c>
      <c r="J264" s="4">
        <f t="shared" si="190"/>
        <v>0</v>
      </c>
      <c r="K264" s="4">
        <f t="shared" si="196"/>
        <v>0</v>
      </c>
      <c r="L264" s="158" t="e">
        <f t="shared" si="199"/>
        <v>#DIV/0!</v>
      </c>
      <c r="M264" s="66">
        <v>4.9344999999999999</v>
      </c>
      <c r="N264" s="159">
        <f t="shared" si="193"/>
        <v>0</v>
      </c>
      <c r="O264" s="67">
        <f>M264*J264</f>
        <v>0</v>
      </c>
      <c r="P264" s="1104"/>
    </row>
    <row r="265" spans="2:16" x14ac:dyDescent="0.25">
      <c r="B265" s="1099"/>
      <c r="C265" s="1102" t="s">
        <v>85</v>
      </c>
      <c r="D265" s="61" t="s">
        <v>77</v>
      </c>
      <c r="E265" s="62">
        <v>0</v>
      </c>
      <c r="F265" s="63">
        <f t="shared" si="195"/>
        <v>19900</v>
      </c>
      <c r="G265" s="63">
        <v>18900</v>
      </c>
      <c r="H265" s="64">
        <v>1000</v>
      </c>
      <c r="I265" s="79">
        <f t="shared" si="197"/>
        <v>67923</v>
      </c>
      <c r="J265" s="4">
        <f t="shared" si="190"/>
        <v>62550</v>
      </c>
      <c r="K265" s="4">
        <f t="shared" si="196"/>
        <v>5373</v>
      </c>
      <c r="L265" s="65" t="e">
        <f t="shared" si="199"/>
        <v>#DIV/0!</v>
      </c>
      <c r="M265" s="148">
        <v>5.5069999999999997</v>
      </c>
      <c r="N265" s="67">
        <f t="shared" si="193"/>
        <v>104082.29999999999</v>
      </c>
      <c r="O265" s="67">
        <f>M265*J265</f>
        <v>344462.85</v>
      </c>
      <c r="P265" s="1104"/>
    </row>
    <row r="266" spans="2:16" x14ac:dyDescent="0.25">
      <c r="B266" s="1099"/>
      <c r="C266" s="1102"/>
      <c r="D266" s="61" t="s">
        <v>112</v>
      </c>
      <c r="E266" s="62">
        <v>0</v>
      </c>
      <c r="F266" s="63">
        <f t="shared" si="195"/>
        <v>0</v>
      </c>
      <c r="G266" s="63">
        <v>0</v>
      </c>
      <c r="H266" s="64">
        <v>0</v>
      </c>
      <c r="I266" s="79">
        <f t="shared" si="197"/>
        <v>0</v>
      </c>
      <c r="J266" s="4">
        <f t="shared" si="190"/>
        <v>0</v>
      </c>
      <c r="K266" s="4">
        <f t="shared" si="196"/>
        <v>0</v>
      </c>
      <c r="L266" s="65" t="e">
        <f t="shared" si="199"/>
        <v>#DIV/0!</v>
      </c>
      <c r="M266" s="147">
        <v>5.6550000000000002</v>
      </c>
      <c r="N266" s="67">
        <f t="shared" si="193"/>
        <v>0</v>
      </c>
      <c r="O266" s="67">
        <f>M266*J266</f>
        <v>0</v>
      </c>
      <c r="P266" s="1104"/>
    </row>
    <row r="267" spans="2:16" x14ac:dyDescent="0.25">
      <c r="B267" s="1099"/>
      <c r="C267" s="1102"/>
      <c r="D267" s="61" t="s">
        <v>118</v>
      </c>
      <c r="E267" s="62">
        <v>0</v>
      </c>
      <c r="F267" s="63">
        <f t="shared" si="195"/>
        <v>0</v>
      </c>
      <c r="G267" s="63">
        <v>0</v>
      </c>
      <c r="H267" s="64">
        <v>0</v>
      </c>
      <c r="I267" s="79">
        <f t="shared" si="197"/>
        <v>0</v>
      </c>
      <c r="J267" s="4">
        <f t="shared" si="190"/>
        <v>0</v>
      </c>
      <c r="K267" s="4">
        <f t="shared" si="196"/>
        <v>0</v>
      </c>
      <c r="L267" s="65" t="e">
        <f t="shared" si="199"/>
        <v>#DIV/0!</v>
      </c>
      <c r="M267" s="152">
        <v>5.6550000000000002</v>
      </c>
      <c r="N267" s="67">
        <f t="shared" si="193"/>
        <v>0</v>
      </c>
      <c r="O267" s="67">
        <f>M267*J267</f>
        <v>0</v>
      </c>
      <c r="P267" s="1104"/>
    </row>
    <row r="268" spans="2:16" x14ac:dyDescent="0.25">
      <c r="B268" s="1099"/>
      <c r="C268" s="1102"/>
      <c r="D268" s="61" t="s">
        <v>121</v>
      </c>
      <c r="E268" s="62">
        <v>0</v>
      </c>
      <c r="F268" s="63">
        <f t="shared" si="195"/>
        <v>0</v>
      </c>
      <c r="G268" s="63">
        <v>0</v>
      </c>
      <c r="H268" s="64">
        <v>0</v>
      </c>
      <c r="I268" s="79">
        <f t="shared" si="197"/>
        <v>9700</v>
      </c>
      <c r="J268" s="4">
        <f t="shared" si="190"/>
        <v>8200</v>
      </c>
      <c r="K268" s="4">
        <f t="shared" si="196"/>
        <v>1500</v>
      </c>
      <c r="L268" s="65" t="e">
        <f t="shared" si="199"/>
        <v>#DIV/0!</v>
      </c>
      <c r="M268" s="66">
        <v>5.7885299999999997</v>
      </c>
      <c r="N268" s="67">
        <f>+M268*G268</f>
        <v>0</v>
      </c>
      <c r="O268" s="67">
        <f>M268*J268</f>
        <v>47465.945999999996</v>
      </c>
      <c r="P268" s="1104"/>
    </row>
    <row r="269" spans="2:16" x14ac:dyDescent="0.25">
      <c r="B269" s="1099"/>
      <c r="C269" s="1102"/>
      <c r="D269" s="61" t="s">
        <v>136</v>
      </c>
      <c r="E269" s="62">
        <v>0</v>
      </c>
      <c r="F269" s="63">
        <f t="shared" si="195"/>
        <v>0</v>
      </c>
      <c r="G269" s="63">
        <v>0</v>
      </c>
      <c r="H269" s="64">
        <v>0</v>
      </c>
      <c r="I269" s="79">
        <f t="shared" si="197"/>
        <v>0</v>
      </c>
      <c r="J269" s="4">
        <f t="shared" si="190"/>
        <v>0</v>
      </c>
      <c r="K269" s="4">
        <f t="shared" si="196"/>
        <v>0</v>
      </c>
      <c r="L269" s="65" t="e">
        <f t="shared" si="199"/>
        <v>#DIV/0!</v>
      </c>
      <c r="M269" s="152">
        <v>5.6550000000000002</v>
      </c>
      <c r="N269" s="67">
        <f t="shared" ref="N269:N271" si="200">+M269*G269</f>
        <v>0</v>
      </c>
      <c r="O269" s="67">
        <f t="shared" ref="O269:O272" si="201">M269*J269</f>
        <v>0</v>
      </c>
      <c r="P269" s="1104"/>
    </row>
    <row r="270" spans="2:16" x14ac:dyDescent="0.25">
      <c r="B270" s="1099"/>
      <c r="C270" s="173" t="s">
        <v>86</v>
      </c>
      <c r="D270" s="61" t="s">
        <v>77</v>
      </c>
      <c r="E270" s="62">
        <v>0</v>
      </c>
      <c r="F270" s="63">
        <f t="shared" si="195"/>
        <v>0</v>
      </c>
      <c r="G270" s="63">
        <v>0</v>
      </c>
      <c r="H270" s="64">
        <v>0</v>
      </c>
      <c r="I270" s="79">
        <f t="shared" si="197"/>
        <v>0</v>
      </c>
      <c r="J270" s="4">
        <f t="shared" si="190"/>
        <v>0</v>
      </c>
      <c r="K270" s="4">
        <f t="shared" si="196"/>
        <v>0</v>
      </c>
      <c r="L270" s="65" t="e">
        <f t="shared" si="199"/>
        <v>#DIV/0!</v>
      </c>
      <c r="M270" s="66">
        <v>3.2963</v>
      </c>
      <c r="N270" s="67">
        <f t="shared" si="200"/>
        <v>0</v>
      </c>
      <c r="O270" s="67">
        <f t="shared" si="201"/>
        <v>0</v>
      </c>
      <c r="P270" s="1104"/>
    </row>
    <row r="271" spans="2:16" x14ac:dyDescent="0.25">
      <c r="B271" s="1099"/>
      <c r="C271" s="173" t="s">
        <v>87</v>
      </c>
      <c r="D271" s="61" t="s">
        <v>77</v>
      </c>
      <c r="E271" s="62">
        <v>0</v>
      </c>
      <c r="F271" s="63">
        <f t="shared" si="195"/>
        <v>0</v>
      </c>
      <c r="G271" s="63">
        <v>0</v>
      </c>
      <c r="H271" s="64">
        <v>0</v>
      </c>
      <c r="I271" s="79">
        <f t="shared" si="197"/>
        <v>0</v>
      </c>
      <c r="J271" s="4">
        <f t="shared" si="190"/>
        <v>0</v>
      </c>
      <c r="K271" s="4">
        <f t="shared" si="196"/>
        <v>0</v>
      </c>
      <c r="L271" s="65" t="e">
        <f t="shared" si="199"/>
        <v>#DIV/0!</v>
      </c>
      <c r="M271" s="66">
        <v>3.2963</v>
      </c>
      <c r="N271" s="67">
        <f t="shared" si="200"/>
        <v>0</v>
      </c>
      <c r="O271" s="67">
        <f t="shared" si="201"/>
        <v>0</v>
      </c>
      <c r="P271" s="1104"/>
    </row>
    <row r="272" spans="2:16" ht="15.75" thickBot="1" x14ac:dyDescent="0.3">
      <c r="B272" s="1099"/>
      <c r="C272" s="68" t="s">
        <v>88</v>
      </c>
      <c r="D272" s="69" t="s">
        <v>89</v>
      </c>
      <c r="E272" s="70">
        <v>0</v>
      </c>
      <c r="F272" s="71">
        <f t="shared" si="195"/>
        <v>0</v>
      </c>
      <c r="G272" s="71">
        <v>0</v>
      </c>
      <c r="H272" s="72">
        <v>0</v>
      </c>
      <c r="I272" s="80">
        <f t="shared" si="197"/>
        <v>0</v>
      </c>
      <c r="J272" s="4">
        <f t="shared" si="190"/>
        <v>0</v>
      </c>
      <c r="K272" s="4">
        <f t="shared" si="196"/>
        <v>0</v>
      </c>
      <c r="L272" s="65" t="e">
        <f t="shared" si="199"/>
        <v>#DIV/0!</v>
      </c>
      <c r="M272" s="73">
        <v>2.3201000000000001</v>
      </c>
      <c r="N272" s="74">
        <f t="shared" ref="N272" si="202">M272*G272</f>
        <v>0</v>
      </c>
      <c r="O272" s="74">
        <f t="shared" si="201"/>
        <v>0</v>
      </c>
      <c r="P272" s="1105"/>
    </row>
    <row r="273" spans="2:16" ht="15.75" thickBot="1" x14ac:dyDescent="0.3">
      <c r="B273" s="1100"/>
      <c r="C273" s="1108" t="s">
        <v>99</v>
      </c>
      <c r="D273" s="1109"/>
      <c r="E273" s="1109"/>
      <c r="F273" s="1109"/>
      <c r="G273" s="1109"/>
      <c r="H273" s="1110"/>
      <c r="I273" s="116">
        <f>J273+K273</f>
        <v>277565</v>
      </c>
      <c r="J273" s="115">
        <f>SUM(J245:J272)</f>
        <v>265475</v>
      </c>
      <c r="K273" s="115">
        <f>SUM(K245:K272)</f>
        <v>12090</v>
      </c>
      <c r="L273" s="114"/>
      <c r="M273" s="113"/>
      <c r="N273" s="114"/>
      <c r="O273" s="97">
        <f>SUM(O245:O272)</f>
        <v>2105299.7009999999</v>
      </c>
      <c r="P273" s="96"/>
    </row>
    <row r="274" spans="2:16" ht="15.75" thickBot="1" x14ac:dyDescent="0.3">
      <c r="B274" s="100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2"/>
    </row>
    <row r="275" spans="2:16" ht="15.75" thickBot="1" x14ac:dyDescent="0.3">
      <c r="B275" s="1093" t="s">
        <v>100</v>
      </c>
      <c r="C275" s="1094"/>
      <c r="D275" s="1094"/>
      <c r="E275" s="1094"/>
      <c r="F275" s="1094"/>
      <c r="G275" s="1094"/>
      <c r="H275" s="1094"/>
      <c r="I275" s="1094"/>
      <c r="J275" s="1094"/>
      <c r="K275" s="1094"/>
      <c r="L275" s="1094"/>
      <c r="M275" s="1094"/>
      <c r="N275" s="1095"/>
      <c r="O275" s="103">
        <f>+O273+O244+O229</f>
        <v>5268211.0190000003</v>
      </c>
      <c r="P275" s="96"/>
    </row>
    <row r="276" spans="2:16" ht="15.75" thickBot="1" x14ac:dyDescent="0.3"/>
    <row r="277" spans="2:16" x14ac:dyDescent="0.25">
      <c r="B277" s="1127" t="s">
        <v>1</v>
      </c>
      <c r="C277" s="1129" t="s">
        <v>2</v>
      </c>
      <c r="D277" s="1132" t="s">
        <v>3</v>
      </c>
      <c r="E277" s="1135" t="s">
        <v>4</v>
      </c>
      <c r="F277" s="1136"/>
      <c r="G277" s="1136"/>
      <c r="H277" s="1136"/>
      <c r="I277" s="1136"/>
      <c r="J277" s="1136"/>
      <c r="K277" s="1136"/>
      <c r="L277" s="1137"/>
      <c r="M277" s="1138" t="s">
        <v>5</v>
      </c>
      <c r="N277" s="1139"/>
      <c r="O277" s="1140"/>
      <c r="P277" s="1132" t="s">
        <v>6</v>
      </c>
    </row>
    <row r="278" spans="2:16" x14ac:dyDescent="0.25">
      <c r="B278" s="1128"/>
      <c r="C278" s="1130"/>
      <c r="D278" s="1133"/>
      <c r="E278" s="1141" t="s">
        <v>7</v>
      </c>
      <c r="F278" s="1143" t="s">
        <v>144</v>
      </c>
      <c r="G278" s="1143"/>
      <c r="H278" s="1144"/>
      <c r="I278" s="1145" t="s">
        <v>8</v>
      </c>
      <c r="J278" s="1143"/>
      <c r="K278" s="1143"/>
      <c r="L278" s="1144" t="s">
        <v>9</v>
      </c>
      <c r="M278" s="1147" t="s">
        <v>10</v>
      </c>
      <c r="N278" s="1149" t="s">
        <v>11</v>
      </c>
      <c r="O278" s="1151" t="s">
        <v>12</v>
      </c>
      <c r="P278" s="1133"/>
    </row>
    <row r="279" spans="2:16" ht="15.75" thickBot="1" x14ac:dyDescent="0.3">
      <c r="B279" s="1128"/>
      <c r="C279" s="1131"/>
      <c r="D279" s="1134"/>
      <c r="E279" s="1142"/>
      <c r="F279" s="2" t="s">
        <v>13</v>
      </c>
      <c r="G279" s="2" t="s">
        <v>14</v>
      </c>
      <c r="H279" s="179" t="s">
        <v>15</v>
      </c>
      <c r="I279" s="142" t="s">
        <v>13</v>
      </c>
      <c r="J279" s="2" t="s">
        <v>14</v>
      </c>
      <c r="K279" s="2" t="s">
        <v>15</v>
      </c>
      <c r="L279" s="1146"/>
      <c r="M279" s="1148"/>
      <c r="N279" s="1150"/>
      <c r="O279" s="1152"/>
      <c r="P279" s="1134"/>
    </row>
    <row r="280" spans="2:16" x14ac:dyDescent="0.25">
      <c r="B280" s="1111" t="s">
        <v>53</v>
      </c>
      <c r="C280" s="29"/>
      <c r="D280" s="117" t="s">
        <v>143</v>
      </c>
      <c r="E280" s="98">
        <v>0</v>
      </c>
      <c r="F280" s="4">
        <f>+G280+H280</f>
        <v>43254</v>
      </c>
      <c r="G280" s="4">
        <v>42280</v>
      </c>
      <c r="H280" s="8">
        <v>974</v>
      </c>
      <c r="I280" s="6">
        <f>J280+K280</f>
        <v>157068</v>
      </c>
      <c r="J280" s="4">
        <f>G280+J215</f>
        <v>155120</v>
      </c>
      <c r="K280" s="4">
        <f>H280+K215</f>
        <v>1948</v>
      </c>
      <c r="L280" s="33" t="e">
        <f>+J280/E280</f>
        <v>#DIV/0!</v>
      </c>
      <c r="M280" s="104">
        <v>1.3652</v>
      </c>
      <c r="N280" s="31">
        <f>G280*M280</f>
        <v>57720.655999999995</v>
      </c>
      <c r="O280" s="86">
        <f>M280*J280</f>
        <v>211769.82399999999</v>
      </c>
      <c r="P280" s="1113"/>
    </row>
    <row r="281" spans="2:16" x14ac:dyDescent="0.25">
      <c r="B281" s="1112"/>
      <c r="C281" s="32"/>
      <c r="D281" s="118" t="s">
        <v>109</v>
      </c>
      <c r="E281" s="99">
        <v>0</v>
      </c>
      <c r="F281" s="9">
        <f>+G281+H281</f>
        <v>0</v>
      </c>
      <c r="G281" s="9">
        <v>0</v>
      </c>
      <c r="H281" s="10">
        <v>0</v>
      </c>
      <c r="I281" s="6">
        <f>J281+K281</f>
        <v>0</v>
      </c>
      <c r="J281" s="4">
        <f>+G281+J216</f>
        <v>0</v>
      </c>
      <c r="K281" s="4">
        <f>+H281+K216</f>
        <v>0</v>
      </c>
      <c r="L281" s="33"/>
      <c r="M281" s="105">
        <v>5.9917999999999996</v>
      </c>
      <c r="N281" s="34">
        <f>M281*G281</f>
        <v>0</v>
      </c>
      <c r="O281" s="87">
        <f>M281*J281</f>
        <v>0</v>
      </c>
      <c r="P281" s="1114"/>
    </row>
    <row r="282" spans="2:16" x14ac:dyDescent="0.25">
      <c r="B282" s="1112"/>
      <c r="C282" s="35"/>
      <c r="D282" s="119" t="s">
        <v>55</v>
      </c>
      <c r="E282" s="99">
        <v>0</v>
      </c>
      <c r="F282" s="9">
        <f t="shared" ref="F282:F286" si="203">+G282+H282</f>
        <v>174116</v>
      </c>
      <c r="G282" s="9">
        <f>57500+115000</f>
        <v>172500</v>
      </c>
      <c r="H282" s="10">
        <f>774+842</f>
        <v>1616</v>
      </c>
      <c r="I282" s="6">
        <f t="shared" ref="I282:I286" si="204">J282+K282</f>
        <v>931077</v>
      </c>
      <c r="J282" s="4">
        <f t="shared" ref="J282:J286" si="205">+G282+J217</f>
        <v>923250</v>
      </c>
      <c r="K282" s="4">
        <f t="shared" ref="K282:K286" si="206">+H282+K217</f>
        <v>7827</v>
      </c>
      <c r="L282" s="33" t="e">
        <f t="shared" ref="L282" si="207">+J282/E282</f>
        <v>#DIV/0!</v>
      </c>
      <c r="M282" s="106">
        <v>2.3807999999999998</v>
      </c>
      <c r="N282" s="36">
        <f>G282*M282</f>
        <v>410687.99999999994</v>
      </c>
      <c r="O282" s="88">
        <f>M282*J282</f>
        <v>2198073.5999999996</v>
      </c>
      <c r="P282" s="1114"/>
    </row>
    <row r="283" spans="2:16" x14ac:dyDescent="0.25">
      <c r="B283" s="1112"/>
      <c r="C283" s="35"/>
      <c r="D283" s="119" t="s">
        <v>56</v>
      </c>
      <c r="E283" s="99">
        <v>0</v>
      </c>
      <c r="F283" s="9">
        <f t="shared" si="203"/>
        <v>0</v>
      </c>
      <c r="G283" s="9">
        <v>0</v>
      </c>
      <c r="H283" s="10">
        <v>0</v>
      </c>
      <c r="I283" s="6">
        <f t="shared" si="204"/>
        <v>0</v>
      </c>
      <c r="J283" s="4">
        <f t="shared" si="205"/>
        <v>0</v>
      </c>
      <c r="K283" s="4">
        <f t="shared" si="206"/>
        <v>0</v>
      </c>
      <c r="L283" s="33"/>
      <c r="M283" s="106">
        <v>2.1457999999999999</v>
      </c>
      <c r="N283" s="36">
        <f t="shared" ref="N283:N286" si="208">G283*M283</f>
        <v>0</v>
      </c>
      <c r="O283" s="88">
        <f>M283*J283</f>
        <v>0</v>
      </c>
      <c r="P283" s="1114"/>
    </row>
    <row r="284" spans="2:16" x14ac:dyDescent="0.25">
      <c r="B284" s="1112"/>
      <c r="C284" s="35"/>
      <c r="D284" s="119" t="s">
        <v>106</v>
      </c>
      <c r="E284" s="99">
        <v>0</v>
      </c>
      <c r="F284" s="9">
        <f t="shared" si="203"/>
        <v>0</v>
      </c>
      <c r="G284" s="9">
        <v>0</v>
      </c>
      <c r="H284" s="10">
        <v>0</v>
      </c>
      <c r="I284" s="6">
        <f t="shared" si="204"/>
        <v>0</v>
      </c>
      <c r="J284" s="4">
        <f t="shared" si="205"/>
        <v>0</v>
      </c>
      <c r="K284" s="4">
        <f t="shared" si="206"/>
        <v>0</v>
      </c>
      <c r="L284" s="33" t="e">
        <f t="shared" ref="L284:L285" si="209">+J284/E284</f>
        <v>#DIV/0!</v>
      </c>
      <c r="M284" s="143">
        <v>4.0426000000000002</v>
      </c>
      <c r="N284" s="36">
        <f t="shared" si="208"/>
        <v>0</v>
      </c>
      <c r="O284" s="88">
        <f>M284*J284</f>
        <v>0</v>
      </c>
      <c r="P284" s="1114"/>
    </row>
    <row r="285" spans="2:16" x14ac:dyDescent="0.25">
      <c r="B285" s="1112"/>
      <c r="C285" s="35"/>
      <c r="D285" s="119" t="s">
        <v>110</v>
      </c>
      <c r="E285" s="99">
        <v>0</v>
      </c>
      <c r="F285" s="9">
        <f t="shared" si="203"/>
        <v>0</v>
      </c>
      <c r="G285" s="9">
        <v>0</v>
      </c>
      <c r="H285" s="10">
        <v>0</v>
      </c>
      <c r="I285" s="6">
        <f t="shared" si="204"/>
        <v>0</v>
      </c>
      <c r="J285" s="4">
        <f t="shared" si="205"/>
        <v>0</v>
      </c>
      <c r="K285" s="4">
        <f t="shared" si="206"/>
        <v>0</v>
      </c>
      <c r="L285" s="33" t="e">
        <f t="shared" si="209"/>
        <v>#DIV/0!</v>
      </c>
      <c r="M285" s="143">
        <v>3.8715000000000002</v>
      </c>
      <c r="N285" s="36">
        <f t="shared" si="208"/>
        <v>0</v>
      </c>
      <c r="O285" s="88">
        <f t="shared" ref="O285:O286" si="210">M285*J285</f>
        <v>0</v>
      </c>
      <c r="P285" s="1114"/>
    </row>
    <row r="286" spans="2:16" ht="15.75" thickBot="1" x14ac:dyDescent="0.3">
      <c r="B286" s="1112"/>
      <c r="C286" s="82"/>
      <c r="D286" s="120" t="s">
        <v>57</v>
      </c>
      <c r="E286" s="108">
        <v>0</v>
      </c>
      <c r="F286" s="12">
        <f t="shared" si="203"/>
        <v>0</v>
      </c>
      <c r="G286" s="12">
        <v>0</v>
      </c>
      <c r="H286" s="13">
        <v>0</v>
      </c>
      <c r="I286" s="21">
        <f t="shared" si="204"/>
        <v>0</v>
      </c>
      <c r="J286" s="4">
        <f t="shared" si="205"/>
        <v>0</v>
      </c>
      <c r="K286" s="4">
        <f t="shared" si="206"/>
        <v>0</v>
      </c>
      <c r="L286" s="81"/>
      <c r="M286" s="127">
        <v>12.284700000000001</v>
      </c>
      <c r="N286" s="36">
        <f t="shared" si="208"/>
        <v>0</v>
      </c>
      <c r="O286" s="128">
        <f t="shared" si="210"/>
        <v>0</v>
      </c>
      <c r="P286" s="1114"/>
    </row>
    <row r="287" spans="2:16" ht="15.75" thickBot="1" x14ac:dyDescent="0.3">
      <c r="B287" s="1112"/>
      <c r="C287" s="1117" t="s">
        <v>104</v>
      </c>
      <c r="D287" s="1118"/>
      <c r="E287" s="129"/>
      <c r="F287" s="130">
        <f>SUM(F280:F286)</f>
        <v>217370</v>
      </c>
      <c r="G287" s="130">
        <f>SUM(G280:G286)</f>
        <v>214780</v>
      </c>
      <c r="H287" s="131">
        <f>SUM(H280:H286)</f>
        <v>2590</v>
      </c>
      <c r="I287" s="132">
        <f>+J287+K287</f>
        <v>1088145</v>
      </c>
      <c r="J287" s="133">
        <f>SUM(J280:J286)</f>
        <v>1078370</v>
      </c>
      <c r="K287" s="133">
        <f>SUM(K280:K286)</f>
        <v>9775</v>
      </c>
      <c r="L287" s="134"/>
      <c r="M287" s="135"/>
      <c r="N287" s="136"/>
      <c r="O287" s="137">
        <f>SUM(O280:O286)</f>
        <v>2409843.4239999996</v>
      </c>
      <c r="P287" s="1115"/>
    </row>
    <row r="288" spans="2:16" x14ac:dyDescent="0.25">
      <c r="B288" s="1112"/>
      <c r="C288" s="32"/>
      <c r="D288" s="118" t="s">
        <v>58</v>
      </c>
      <c r="E288" s="98">
        <v>0</v>
      </c>
      <c r="F288" s="4">
        <f t="shared" ref="F288:F291" si="211">+G288+H288</f>
        <v>0</v>
      </c>
      <c r="G288" s="4">
        <v>0</v>
      </c>
      <c r="H288" s="8">
        <v>0</v>
      </c>
      <c r="I288" s="6">
        <f t="shared" ref="I288:I292" si="212">J288+K288</f>
        <v>0</v>
      </c>
      <c r="J288" s="4">
        <f>G288+J223</f>
        <v>0</v>
      </c>
      <c r="K288" s="4">
        <f>H288+K223</f>
        <v>0</v>
      </c>
      <c r="L288" s="33" t="e">
        <f t="shared" ref="L288" si="213">+J288/E288</f>
        <v>#DIV/0!</v>
      </c>
      <c r="M288" s="105">
        <v>12.029500000000001</v>
      </c>
      <c r="N288" s="34">
        <f>M288*G288</f>
        <v>0</v>
      </c>
      <c r="O288" s="87">
        <f t="shared" ref="O288:O290" si="214">M288*J288</f>
        <v>0</v>
      </c>
      <c r="P288" s="1114"/>
    </row>
    <row r="289" spans="2:16" x14ac:dyDescent="0.25">
      <c r="B289" s="1112"/>
      <c r="C289" s="35"/>
      <c r="D289" s="119" t="s">
        <v>59</v>
      </c>
      <c r="E289" s="99">
        <v>0</v>
      </c>
      <c r="F289" s="9">
        <f t="shared" si="211"/>
        <v>0</v>
      </c>
      <c r="G289" s="9">
        <v>0</v>
      </c>
      <c r="H289" s="10">
        <v>0</v>
      </c>
      <c r="I289" s="6">
        <f t="shared" si="212"/>
        <v>0</v>
      </c>
      <c r="J289" s="4">
        <f>G289+J224</f>
        <v>0</v>
      </c>
      <c r="K289" s="4">
        <f>H289+K224</f>
        <v>0</v>
      </c>
      <c r="L289" s="33"/>
      <c r="M289" s="106">
        <v>0</v>
      </c>
      <c r="N289" s="36"/>
      <c r="O289" s="88">
        <f t="shared" si="214"/>
        <v>0</v>
      </c>
      <c r="P289" s="1114"/>
    </row>
    <row r="290" spans="2:16" x14ac:dyDescent="0.25">
      <c r="B290" s="1112"/>
      <c r="C290" s="35"/>
      <c r="D290" s="119" t="s">
        <v>97</v>
      </c>
      <c r="E290" s="99">
        <v>0</v>
      </c>
      <c r="F290" s="9">
        <f t="shared" si="211"/>
        <v>0</v>
      </c>
      <c r="G290" s="9">
        <v>0</v>
      </c>
      <c r="H290" s="10">
        <v>0</v>
      </c>
      <c r="I290" s="6">
        <f t="shared" si="212"/>
        <v>0</v>
      </c>
      <c r="J290" s="4">
        <f t="shared" ref="J290:J292" si="215">G290+J225</f>
        <v>0</v>
      </c>
      <c r="K290" s="4">
        <f t="shared" ref="K290:K292" si="216">H290+K225</f>
        <v>0</v>
      </c>
      <c r="L290" s="33" t="e">
        <f t="shared" ref="L290:L292" si="217">+J290/E290</f>
        <v>#DIV/0!</v>
      </c>
      <c r="M290" s="106">
        <v>19.688600000000001</v>
      </c>
      <c r="N290" s="36">
        <f>M290*G290</f>
        <v>0</v>
      </c>
      <c r="O290" s="88">
        <f t="shared" si="214"/>
        <v>0</v>
      </c>
      <c r="P290" s="1114"/>
    </row>
    <row r="291" spans="2:16" x14ac:dyDescent="0.25">
      <c r="B291" s="1112"/>
      <c r="C291" s="35"/>
      <c r="D291" s="119" t="s">
        <v>61</v>
      </c>
      <c r="E291" s="99">
        <v>0</v>
      </c>
      <c r="F291" s="9">
        <f t="shared" si="211"/>
        <v>0</v>
      </c>
      <c r="G291" s="9">
        <v>0</v>
      </c>
      <c r="H291" s="10">
        <v>0</v>
      </c>
      <c r="I291" s="6">
        <f t="shared" si="212"/>
        <v>0</v>
      </c>
      <c r="J291" s="4">
        <f t="shared" si="215"/>
        <v>0</v>
      </c>
      <c r="K291" s="4">
        <f t="shared" si="216"/>
        <v>0</v>
      </c>
      <c r="L291" s="33" t="e">
        <f t="shared" si="217"/>
        <v>#DIV/0!</v>
      </c>
      <c r="M291" s="106">
        <v>1.2824</v>
      </c>
      <c r="N291" s="151">
        <f>M291*G291</f>
        <v>0</v>
      </c>
      <c r="O291" s="88">
        <f>M291*J291</f>
        <v>0</v>
      </c>
      <c r="P291" s="1114"/>
    </row>
    <row r="292" spans="2:16" ht="15.75" thickBot="1" x14ac:dyDescent="0.3">
      <c r="B292" s="1112"/>
      <c r="C292" s="82"/>
      <c r="D292" s="120" t="s">
        <v>60</v>
      </c>
      <c r="E292" s="108">
        <v>0</v>
      </c>
      <c r="F292" s="12">
        <v>0</v>
      </c>
      <c r="G292" s="12">
        <v>0</v>
      </c>
      <c r="H292" s="13">
        <v>0</v>
      </c>
      <c r="I292" s="21">
        <f t="shared" si="212"/>
        <v>0</v>
      </c>
      <c r="J292" s="4">
        <f t="shared" si="215"/>
        <v>0</v>
      </c>
      <c r="K292" s="4">
        <f t="shared" si="216"/>
        <v>0</v>
      </c>
      <c r="L292" s="81" t="e">
        <f t="shared" si="217"/>
        <v>#DIV/0!</v>
      </c>
      <c r="M292" s="107">
        <v>18.2316</v>
      </c>
      <c r="N292" s="75"/>
      <c r="O292" s="89">
        <f t="shared" ref="O292" si="218">M292*J292</f>
        <v>0</v>
      </c>
      <c r="P292" s="1116"/>
    </row>
    <row r="293" spans="2:16" ht="15.75" thickBot="1" x14ac:dyDescent="0.3">
      <c r="B293" s="1096" t="s">
        <v>105</v>
      </c>
      <c r="C293" s="1097"/>
      <c r="D293" s="1097"/>
      <c r="E293" s="124"/>
      <c r="F293" s="125">
        <f>+G293+H293</f>
        <v>0</v>
      </c>
      <c r="G293" s="125">
        <f>SUM(G288:G292)</f>
        <v>0</v>
      </c>
      <c r="H293" s="126">
        <f>SUM(H288:H292)</f>
        <v>0</v>
      </c>
      <c r="I293" s="121">
        <f>J293+K293</f>
        <v>0</v>
      </c>
      <c r="J293" s="122">
        <f>SUM(J288:J292)</f>
        <v>0</v>
      </c>
      <c r="K293" s="123">
        <f>SUM(K288:K292)</f>
        <v>0</v>
      </c>
      <c r="L293" s="138"/>
      <c r="M293" s="139"/>
      <c r="N293" s="140"/>
      <c r="O293" s="141">
        <f>SUM(O288:O292)</f>
        <v>0</v>
      </c>
      <c r="P293" s="177"/>
    </row>
    <row r="294" spans="2:16" ht="15.75" thickBot="1" x14ac:dyDescent="0.3">
      <c r="B294" s="1096" t="s">
        <v>98</v>
      </c>
      <c r="C294" s="1097"/>
      <c r="D294" s="1097"/>
      <c r="E294" s="1119"/>
      <c r="F294" s="1119"/>
      <c r="G294" s="1119"/>
      <c r="H294" s="1119"/>
      <c r="I294" s="1097"/>
      <c r="J294" s="1097"/>
      <c r="K294" s="1097"/>
      <c r="L294" s="1097"/>
      <c r="M294" s="1097"/>
      <c r="N294" s="1120"/>
      <c r="O294" s="83">
        <f>O287+O293</f>
        <v>2409843.4239999996</v>
      </c>
      <c r="P294" s="177"/>
    </row>
    <row r="295" spans="2:16" x14ac:dyDescent="0.25">
      <c r="B295" s="1111" t="s">
        <v>62</v>
      </c>
      <c r="C295" s="37" t="s">
        <v>63</v>
      </c>
      <c r="D295" s="28" t="s">
        <v>64</v>
      </c>
      <c r="E295" s="38">
        <v>0</v>
      </c>
      <c r="F295" s="14">
        <f>+G295+H295</f>
        <v>0</v>
      </c>
      <c r="G295" s="14">
        <v>0</v>
      </c>
      <c r="H295" s="5">
        <v>0</v>
      </c>
      <c r="I295" s="17">
        <f t="shared" ref="I295:I301" si="219">J295+K295</f>
        <v>0</v>
      </c>
      <c r="J295" s="4">
        <f>G295+J230</f>
        <v>0</v>
      </c>
      <c r="K295" s="4">
        <f>H295+K230</f>
        <v>0</v>
      </c>
      <c r="L295" s="30" t="e">
        <f>+J295/E295</f>
        <v>#DIV/0!</v>
      </c>
      <c r="M295" s="146">
        <v>2.2141000000000002</v>
      </c>
      <c r="N295" s="15">
        <f>+M295*G295</f>
        <v>0</v>
      </c>
      <c r="O295" s="90">
        <f>+M295*J295</f>
        <v>0</v>
      </c>
      <c r="P295" s="1122"/>
    </row>
    <row r="296" spans="2:16" x14ac:dyDescent="0.25">
      <c r="B296" s="1112"/>
      <c r="C296" s="39"/>
      <c r="D296" s="22" t="s">
        <v>65</v>
      </c>
      <c r="E296" s="3">
        <v>0</v>
      </c>
      <c r="F296" s="9">
        <f t="shared" ref="F296:F301" si="220">+G296+H296</f>
        <v>0</v>
      </c>
      <c r="G296" s="4">
        <v>0</v>
      </c>
      <c r="H296" s="8">
        <v>0</v>
      </c>
      <c r="I296" s="6">
        <f t="shared" si="219"/>
        <v>0</v>
      </c>
      <c r="J296" s="4">
        <f>+G296+J231</f>
        <v>0</v>
      </c>
      <c r="K296" s="4">
        <f>+H296+K231</f>
        <v>0</v>
      </c>
      <c r="L296" s="40" t="e">
        <f t="shared" ref="L296:L297" si="221">+J296/E296</f>
        <v>#DIV/0!</v>
      </c>
      <c r="M296" s="145">
        <v>2.4565999999999999</v>
      </c>
      <c r="N296" s="11">
        <f t="shared" ref="N296:N298" si="222">+M296*G296</f>
        <v>0</v>
      </c>
      <c r="O296" s="91">
        <f t="shared" ref="O296:O298" si="223">+M296*J296</f>
        <v>0</v>
      </c>
      <c r="P296" s="1123"/>
    </row>
    <row r="297" spans="2:16" x14ac:dyDescent="0.25">
      <c r="B297" s="1112"/>
      <c r="C297" s="39"/>
      <c r="D297" s="23" t="s">
        <v>126</v>
      </c>
      <c r="E297" s="3">
        <v>0</v>
      </c>
      <c r="F297" s="9">
        <f t="shared" si="220"/>
        <v>0</v>
      </c>
      <c r="G297" s="4">
        <v>0</v>
      </c>
      <c r="H297" s="8">
        <v>0</v>
      </c>
      <c r="I297" s="6">
        <f t="shared" si="219"/>
        <v>0</v>
      </c>
      <c r="J297" s="4">
        <f t="shared" ref="J297:J301" si="224">+G297+J232</f>
        <v>0</v>
      </c>
      <c r="K297" s="4">
        <f t="shared" ref="K297:K301" si="225">+H297+K232</f>
        <v>0</v>
      </c>
      <c r="L297" s="40" t="e">
        <f t="shared" si="221"/>
        <v>#DIV/0!</v>
      </c>
      <c r="M297" s="145">
        <v>2.2907000000000002</v>
      </c>
      <c r="N297" s="11">
        <f t="shared" si="222"/>
        <v>0</v>
      </c>
      <c r="O297" s="91">
        <f t="shared" si="223"/>
        <v>0</v>
      </c>
      <c r="P297" s="1123"/>
    </row>
    <row r="298" spans="2:16" x14ac:dyDescent="0.25">
      <c r="B298" s="1112"/>
      <c r="C298" s="39"/>
      <c r="D298" s="22" t="s">
        <v>131</v>
      </c>
      <c r="E298" s="3"/>
      <c r="F298" s="9">
        <f t="shared" si="220"/>
        <v>0</v>
      </c>
      <c r="G298" s="4">
        <v>0</v>
      </c>
      <c r="H298" s="8">
        <v>0</v>
      </c>
      <c r="I298" s="6">
        <f t="shared" si="219"/>
        <v>0</v>
      </c>
      <c r="J298" s="4">
        <f t="shared" si="224"/>
        <v>0</v>
      </c>
      <c r="K298" s="4">
        <f t="shared" si="225"/>
        <v>0</v>
      </c>
      <c r="L298" s="33"/>
      <c r="M298" s="150">
        <v>2.544</v>
      </c>
      <c r="N298" s="11">
        <f t="shared" si="222"/>
        <v>0</v>
      </c>
      <c r="O298" s="91">
        <f t="shared" si="223"/>
        <v>0</v>
      </c>
      <c r="P298" s="1123"/>
    </row>
    <row r="299" spans="2:16" x14ac:dyDescent="0.25">
      <c r="B299" s="1112"/>
      <c r="C299" s="39" t="s">
        <v>66</v>
      </c>
      <c r="D299" s="22" t="s">
        <v>133</v>
      </c>
      <c r="E299" s="3">
        <v>0</v>
      </c>
      <c r="F299" s="9">
        <f t="shared" si="220"/>
        <v>78150</v>
      </c>
      <c r="G299" s="4">
        <v>76500</v>
      </c>
      <c r="H299" s="8">
        <v>1650</v>
      </c>
      <c r="I299" s="6">
        <f t="shared" si="219"/>
        <v>172032</v>
      </c>
      <c r="J299" s="4">
        <f t="shared" si="224"/>
        <v>167250</v>
      </c>
      <c r="K299" s="4">
        <f t="shared" si="225"/>
        <v>4782</v>
      </c>
      <c r="L299" s="33" t="e">
        <f>+J299/E299</f>
        <v>#DIV/0!</v>
      </c>
      <c r="M299" s="144">
        <v>2.2141000000000002</v>
      </c>
      <c r="N299" s="7">
        <f>+M299*G299</f>
        <v>169378.65000000002</v>
      </c>
      <c r="O299" s="85">
        <f>+M299*J299</f>
        <v>370308.22500000003</v>
      </c>
      <c r="P299" s="1123"/>
    </row>
    <row r="300" spans="2:16" x14ac:dyDescent="0.25">
      <c r="B300" s="1112"/>
      <c r="C300" s="39"/>
      <c r="D300" s="22" t="s">
        <v>65</v>
      </c>
      <c r="E300" s="3">
        <v>0</v>
      </c>
      <c r="F300" s="9">
        <f t="shared" si="220"/>
        <v>0</v>
      </c>
      <c r="G300" s="4">
        <v>0</v>
      </c>
      <c r="H300" s="8">
        <v>0</v>
      </c>
      <c r="I300" s="6">
        <f t="shared" si="219"/>
        <v>0</v>
      </c>
      <c r="J300" s="4">
        <f t="shared" si="224"/>
        <v>0</v>
      </c>
      <c r="K300" s="4">
        <f t="shared" si="225"/>
        <v>0</v>
      </c>
      <c r="L300" s="40" t="e">
        <f t="shared" ref="L300:L301" si="226">+J300/E300</f>
        <v>#DIV/0!</v>
      </c>
      <c r="M300" s="145">
        <v>2.4565999999999999</v>
      </c>
      <c r="N300" s="11">
        <f t="shared" ref="N300:N301" si="227">+M300*G300</f>
        <v>0</v>
      </c>
      <c r="O300" s="91">
        <f t="shared" ref="O300" si="228">+M300*J300</f>
        <v>0</v>
      </c>
      <c r="P300" s="1123"/>
    </row>
    <row r="301" spans="2:16" ht="15.75" thickBot="1" x14ac:dyDescent="0.3">
      <c r="B301" s="1112"/>
      <c r="C301" s="39"/>
      <c r="D301" s="22" t="s">
        <v>126</v>
      </c>
      <c r="E301" s="3">
        <v>0</v>
      </c>
      <c r="F301" s="9">
        <f t="shared" si="220"/>
        <v>0</v>
      </c>
      <c r="G301" s="4">
        <v>0</v>
      </c>
      <c r="H301" s="8">
        <v>0</v>
      </c>
      <c r="I301" s="6">
        <f t="shared" si="219"/>
        <v>0</v>
      </c>
      <c r="J301" s="4">
        <f t="shared" si="224"/>
        <v>0</v>
      </c>
      <c r="K301" s="4">
        <f t="shared" si="225"/>
        <v>0</v>
      </c>
      <c r="L301" s="40" t="e">
        <f t="shared" si="226"/>
        <v>#DIV/0!</v>
      </c>
      <c r="M301" s="145">
        <v>2.2907000000000002</v>
      </c>
      <c r="N301" s="11">
        <f t="shared" si="227"/>
        <v>0</v>
      </c>
      <c r="O301" s="154">
        <f>+M301*J301</f>
        <v>0</v>
      </c>
      <c r="P301" s="1124"/>
    </row>
    <row r="302" spans="2:16" ht="15.75" thickBot="1" x14ac:dyDescent="0.3">
      <c r="B302" s="1112"/>
      <c r="C302" s="41" t="s">
        <v>29</v>
      </c>
      <c r="D302" s="27" t="str">
        <f>+C302</f>
        <v>TOTAL 1/2</v>
      </c>
      <c r="E302" s="42">
        <f>SUM(E295:E301)</f>
        <v>0</v>
      </c>
      <c r="F302" s="43">
        <f>SUM(F295:F301)</f>
        <v>78150</v>
      </c>
      <c r="G302" s="43">
        <f>SUM(G295:G301)</f>
        <v>76500</v>
      </c>
      <c r="H302" s="44">
        <f>SUM(H295:H301)</f>
        <v>1650</v>
      </c>
      <c r="I302" s="45">
        <f>SUM(I299:I301)</f>
        <v>172032</v>
      </c>
      <c r="J302" s="43">
        <f>SUM(J295:J301)</f>
        <v>167250</v>
      </c>
      <c r="K302" s="43">
        <f>SUM(K295:K301)</f>
        <v>4782</v>
      </c>
      <c r="L302" s="46" t="e">
        <f>+J302/E302</f>
        <v>#DIV/0!</v>
      </c>
      <c r="M302" s="47"/>
      <c r="N302" s="48">
        <f>SUM(N299:N301)</f>
        <v>169378.65000000002</v>
      </c>
      <c r="O302" s="49">
        <f>SUM(O295:O301)</f>
        <v>370308.22500000003</v>
      </c>
      <c r="P302" s="178"/>
    </row>
    <row r="303" spans="2:16" x14ac:dyDescent="0.25">
      <c r="B303" s="1112"/>
      <c r="C303" s="1125" t="s">
        <v>67</v>
      </c>
      <c r="D303" s="22" t="s">
        <v>64</v>
      </c>
      <c r="E303" s="3">
        <v>0</v>
      </c>
      <c r="F303" s="4">
        <f>G303+H303</f>
        <v>0</v>
      </c>
      <c r="G303" s="4">
        <v>0</v>
      </c>
      <c r="H303" s="8">
        <v>0</v>
      </c>
      <c r="I303" s="16">
        <f>J303+K303</f>
        <v>109220</v>
      </c>
      <c r="J303" s="4">
        <f>G303+J238</f>
        <v>105750</v>
      </c>
      <c r="K303" s="4">
        <f>H303+K238</f>
        <v>3470</v>
      </c>
      <c r="L303" s="50" t="e">
        <f>+J303/E303</f>
        <v>#DIV/0!</v>
      </c>
      <c r="M303" s="144">
        <v>4.1712999999999996</v>
      </c>
      <c r="N303" s="7">
        <f>+M303*G303</f>
        <v>0</v>
      </c>
      <c r="O303" s="93">
        <f>+M303*J303</f>
        <v>441114.97499999998</v>
      </c>
      <c r="P303" s="1122"/>
    </row>
    <row r="304" spans="2:16" x14ac:dyDescent="0.25">
      <c r="B304" s="1112"/>
      <c r="C304" s="1126"/>
      <c r="D304" s="22" t="s">
        <v>65</v>
      </c>
      <c r="E304" s="3">
        <v>0</v>
      </c>
      <c r="F304" s="4">
        <f>G304+H304</f>
        <v>0</v>
      </c>
      <c r="G304" s="4">
        <v>0</v>
      </c>
      <c r="H304" s="8">
        <v>0</v>
      </c>
      <c r="I304" s="6">
        <f>+R1348+F304</f>
        <v>0</v>
      </c>
      <c r="J304" s="4">
        <f>G304+J239</f>
        <v>120000</v>
      </c>
      <c r="K304" s="4">
        <f>H304+K239</f>
        <v>3230</v>
      </c>
      <c r="L304" s="51" t="e">
        <f t="shared" ref="L304:L308" si="229">+J304/E304</f>
        <v>#DIV/0!</v>
      </c>
      <c r="M304" s="145">
        <v>4.8285999999999998</v>
      </c>
      <c r="N304" s="11">
        <f t="shared" ref="N304:N306" si="230">+M304*G304</f>
        <v>0</v>
      </c>
      <c r="O304" s="94">
        <f t="shared" ref="O304:O306" si="231">+M304*J304</f>
        <v>579432</v>
      </c>
      <c r="P304" s="1123"/>
    </row>
    <row r="305" spans="2:16" x14ac:dyDescent="0.25">
      <c r="B305" s="1112"/>
      <c r="C305" s="1126"/>
      <c r="D305" s="22" t="s">
        <v>127</v>
      </c>
      <c r="E305" s="3"/>
      <c r="F305" s="4">
        <f>G305+H305</f>
        <v>0</v>
      </c>
      <c r="G305" s="4">
        <v>0</v>
      </c>
      <c r="H305" s="8">
        <v>0</v>
      </c>
      <c r="I305" s="6">
        <f>+R1349+F305</f>
        <v>0</v>
      </c>
      <c r="J305" s="4">
        <f t="shared" ref="J305:J306" si="232">G305+J240</f>
        <v>0</v>
      </c>
      <c r="K305" s="4">
        <f t="shared" ref="K305:K306" si="233">H305+K240</f>
        <v>0</v>
      </c>
      <c r="L305" s="51" t="e">
        <f t="shared" si="229"/>
        <v>#DIV/0!</v>
      </c>
      <c r="M305" s="144">
        <v>4.5023</v>
      </c>
      <c r="N305" s="11">
        <f t="shared" si="230"/>
        <v>0</v>
      </c>
      <c r="O305" s="94">
        <f t="shared" si="231"/>
        <v>0</v>
      </c>
      <c r="P305" s="1123"/>
    </row>
    <row r="306" spans="2:16" ht="15.75" thickBot="1" x14ac:dyDescent="0.3">
      <c r="B306" s="1112"/>
      <c r="C306" s="1126"/>
      <c r="D306" s="22" t="s">
        <v>111</v>
      </c>
      <c r="E306" s="3">
        <v>0</v>
      </c>
      <c r="F306" s="4">
        <f t="shared" ref="F306" si="234">G306+H306</f>
        <v>0</v>
      </c>
      <c r="G306" s="4">
        <v>0</v>
      </c>
      <c r="H306" s="8">
        <v>0</v>
      </c>
      <c r="I306" s="6">
        <f>+R1349+F306</f>
        <v>0</v>
      </c>
      <c r="J306" s="4">
        <f t="shared" si="232"/>
        <v>0</v>
      </c>
      <c r="K306" s="4">
        <f t="shared" si="233"/>
        <v>0</v>
      </c>
      <c r="L306" s="51" t="e">
        <f t="shared" si="229"/>
        <v>#DIV/0!</v>
      </c>
      <c r="M306" s="144">
        <v>4.4065000000000003</v>
      </c>
      <c r="N306" s="11">
        <f t="shared" si="230"/>
        <v>0</v>
      </c>
      <c r="O306" s="94">
        <f t="shared" si="231"/>
        <v>0</v>
      </c>
      <c r="P306" s="1123"/>
    </row>
    <row r="307" spans="2:16" ht="15.75" thickBot="1" x14ac:dyDescent="0.3">
      <c r="B307" s="1112"/>
      <c r="C307" s="41" t="s">
        <v>31</v>
      </c>
      <c r="D307" s="18" t="str">
        <f>+C307</f>
        <v>TOTAL 4/4</v>
      </c>
      <c r="E307" s="42">
        <f t="shared" ref="E307:K307" si="235">SUM(E303:E306)</f>
        <v>0</v>
      </c>
      <c r="F307" s="43">
        <f t="shared" si="235"/>
        <v>0</v>
      </c>
      <c r="G307" s="43">
        <f t="shared" si="235"/>
        <v>0</v>
      </c>
      <c r="H307" s="44">
        <f t="shared" si="235"/>
        <v>0</v>
      </c>
      <c r="I307" s="45">
        <f t="shared" si="235"/>
        <v>109220</v>
      </c>
      <c r="J307" s="43">
        <f t="shared" si="235"/>
        <v>225750</v>
      </c>
      <c r="K307" s="43">
        <f t="shared" si="235"/>
        <v>6700</v>
      </c>
      <c r="L307" s="46" t="e">
        <f t="shared" si="229"/>
        <v>#DIV/0!</v>
      </c>
      <c r="M307" s="47"/>
      <c r="N307" s="48">
        <f>SUM(N303:N306)</f>
        <v>0</v>
      </c>
      <c r="O307" s="92">
        <f>SUM(O303:O306)</f>
        <v>1020546.975</v>
      </c>
      <c r="P307" s="1124"/>
    </row>
    <row r="308" spans="2:16" ht="15.75" thickBot="1" x14ac:dyDescent="0.3">
      <c r="B308" s="1121"/>
      <c r="C308" s="41" t="s">
        <v>68</v>
      </c>
      <c r="D308" s="27" t="s">
        <v>64</v>
      </c>
      <c r="E308" s="25">
        <v>0</v>
      </c>
      <c r="F308" s="20">
        <f>G308+H308</f>
        <v>0</v>
      </c>
      <c r="G308" s="20">
        <v>0</v>
      </c>
      <c r="H308" s="24">
        <v>0</v>
      </c>
      <c r="I308" s="19">
        <f>J308+K308</f>
        <v>0</v>
      </c>
      <c r="J308" s="4">
        <f>G308+J243</f>
        <v>0</v>
      </c>
      <c r="K308" s="4">
        <f>H308+K243</f>
        <v>0</v>
      </c>
      <c r="L308" s="52" t="e">
        <f t="shared" si="229"/>
        <v>#DIV/0!</v>
      </c>
      <c r="M308" s="149">
        <v>1.4086000000000001</v>
      </c>
      <c r="N308" s="26">
        <f t="shared" ref="N308" si="236">+M308*G308</f>
        <v>0</v>
      </c>
      <c r="O308" s="95">
        <f t="shared" ref="O308" si="237">+M308*J308</f>
        <v>0</v>
      </c>
      <c r="P308" s="53"/>
    </row>
    <row r="309" spans="2:16" ht="15.75" thickBot="1" x14ac:dyDescent="0.3">
      <c r="B309" s="1096" t="s">
        <v>95</v>
      </c>
      <c r="C309" s="1097"/>
      <c r="D309" s="1097"/>
      <c r="E309" s="1097"/>
      <c r="F309" s="1097"/>
      <c r="G309" s="1097"/>
      <c r="H309" s="1097"/>
      <c r="I309" s="110">
        <f>J309+K309</f>
        <v>404482</v>
      </c>
      <c r="J309" s="110">
        <f>J302+J307+J308</f>
        <v>393000</v>
      </c>
      <c r="K309" s="110">
        <f>K302+K307+K308</f>
        <v>11482</v>
      </c>
      <c r="L309" s="111"/>
      <c r="M309" s="112"/>
      <c r="N309" s="109"/>
      <c r="O309" s="77">
        <f>+O308+O307+O302</f>
        <v>1390855.2</v>
      </c>
      <c r="P309" s="84"/>
    </row>
    <row r="310" spans="2:16" x14ac:dyDescent="0.25">
      <c r="B310" s="1098" t="s">
        <v>69</v>
      </c>
      <c r="C310" s="1101" t="s">
        <v>70</v>
      </c>
      <c r="D310" s="54" t="s">
        <v>71</v>
      </c>
      <c r="E310" s="55">
        <v>0</v>
      </c>
      <c r="F310" s="56">
        <f>G310+H310</f>
        <v>0</v>
      </c>
      <c r="G310" s="56">
        <v>0</v>
      </c>
      <c r="H310" s="57">
        <v>0</v>
      </c>
      <c r="I310" s="78">
        <f>J310+K310</f>
        <v>0</v>
      </c>
      <c r="J310" s="4">
        <f>G310+J245</f>
        <v>0</v>
      </c>
      <c r="K310" s="4">
        <f>H310+K245</f>
        <v>0</v>
      </c>
      <c r="L310" s="58" t="e">
        <f t="shared" ref="L310" si="238">+J310/E310</f>
        <v>#DIV/0!</v>
      </c>
      <c r="M310" s="59">
        <v>32.946300000000001</v>
      </c>
      <c r="N310" s="60">
        <f>+M310*G310</f>
        <v>0</v>
      </c>
      <c r="O310" s="60">
        <f>M310*J310</f>
        <v>0</v>
      </c>
      <c r="P310" s="1103"/>
    </row>
    <row r="311" spans="2:16" x14ac:dyDescent="0.25">
      <c r="B311" s="1099"/>
      <c r="C311" s="1102"/>
      <c r="D311" s="61" t="s">
        <v>72</v>
      </c>
      <c r="E311" s="62">
        <v>0</v>
      </c>
      <c r="F311" s="63">
        <f>G311+H311</f>
        <v>5070</v>
      </c>
      <c r="G311" s="63">
        <v>5000</v>
      </c>
      <c r="H311" s="64">
        <v>70</v>
      </c>
      <c r="I311" s="79">
        <f>J311+K311</f>
        <v>10150</v>
      </c>
      <c r="J311" s="4">
        <f>G311+J246</f>
        <v>10000</v>
      </c>
      <c r="K311" s="4">
        <f>H311+K246</f>
        <v>150</v>
      </c>
      <c r="L311" s="65" t="e">
        <f>+J311/E311</f>
        <v>#DIV/0!</v>
      </c>
      <c r="M311" s="66">
        <v>35.398400000000002</v>
      </c>
      <c r="N311" s="67">
        <f>+M311*G311</f>
        <v>176992</v>
      </c>
      <c r="O311" s="67">
        <f>M311*J311</f>
        <v>353984</v>
      </c>
      <c r="P311" s="1104"/>
    </row>
    <row r="312" spans="2:16" x14ac:dyDescent="0.25">
      <c r="B312" s="1099"/>
      <c r="C312" s="1102"/>
      <c r="D312" s="61" t="s">
        <v>73</v>
      </c>
      <c r="E312" s="62">
        <v>0</v>
      </c>
      <c r="F312" s="63">
        <f t="shared" ref="F312:F315" si="239">G312+H312</f>
        <v>0</v>
      </c>
      <c r="G312" s="63">
        <v>0</v>
      </c>
      <c r="H312" s="64">
        <v>0</v>
      </c>
      <c r="I312" s="79">
        <f t="shared" ref="I312:I321" si="240">J312+K312</f>
        <v>0</v>
      </c>
      <c r="J312" s="4">
        <f t="shared" ref="J312:J337" si="241">G312+J247</f>
        <v>0</v>
      </c>
      <c r="K312" s="4">
        <f t="shared" ref="K312:K316" si="242">H312+K247</f>
        <v>0</v>
      </c>
      <c r="L312" s="65" t="e">
        <f t="shared" ref="L312:L325" si="243">+J312/E312</f>
        <v>#DIV/0!</v>
      </c>
      <c r="M312" s="66">
        <v>32.946300000000001</v>
      </c>
      <c r="N312" s="67">
        <f t="shared" ref="N312:N332" si="244">+M312*G312</f>
        <v>0</v>
      </c>
      <c r="O312" s="67">
        <f t="shared" ref="O312:O320" si="245">M312*J312</f>
        <v>0</v>
      </c>
      <c r="P312" s="1104"/>
    </row>
    <row r="313" spans="2:16" x14ac:dyDescent="0.25">
      <c r="B313" s="1099"/>
      <c r="C313" s="1102" t="s">
        <v>74</v>
      </c>
      <c r="D313" s="61" t="s">
        <v>75</v>
      </c>
      <c r="E313" s="62">
        <v>0</v>
      </c>
      <c r="F313" s="63">
        <f t="shared" si="239"/>
        <v>0</v>
      </c>
      <c r="G313" s="63">
        <v>0</v>
      </c>
      <c r="H313" s="64">
        <v>0</v>
      </c>
      <c r="I313" s="79">
        <f t="shared" si="240"/>
        <v>4976</v>
      </c>
      <c r="J313" s="4">
        <f t="shared" si="241"/>
        <v>4800</v>
      </c>
      <c r="K313" s="4">
        <f t="shared" si="242"/>
        <v>176</v>
      </c>
      <c r="L313" s="65" t="e">
        <f t="shared" si="243"/>
        <v>#DIV/0!</v>
      </c>
      <c r="M313" s="66">
        <v>55.4758</v>
      </c>
      <c r="N313" s="67">
        <f t="shared" si="244"/>
        <v>0</v>
      </c>
      <c r="O313" s="67">
        <f t="shared" si="245"/>
        <v>266283.84000000003</v>
      </c>
      <c r="P313" s="1104"/>
    </row>
    <row r="314" spans="2:16" x14ac:dyDescent="0.25">
      <c r="B314" s="1099"/>
      <c r="C314" s="1102"/>
      <c r="D314" s="61" t="s">
        <v>134</v>
      </c>
      <c r="E314" s="62">
        <v>0</v>
      </c>
      <c r="F314" s="63">
        <f t="shared" si="239"/>
        <v>0</v>
      </c>
      <c r="G314" s="63">
        <v>0</v>
      </c>
      <c r="H314" s="64">
        <v>0</v>
      </c>
      <c r="I314" s="79">
        <f t="shared" si="240"/>
        <v>0</v>
      </c>
      <c r="J314" s="4">
        <f t="shared" si="241"/>
        <v>0</v>
      </c>
      <c r="K314" s="4">
        <f t="shared" si="242"/>
        <v>0</v>
      </c>
      <c r="L314" s="65" t="e">
        <f t="shared" si="243"/>
        <v>#DIV/0!</v>
      </c>
      <c r="M314" s="66">
        <v>53.515999999999998</v>
      </c>
      <c r="N314" s="67">
        <f t="shared" si="244"/>
        <v>0</v>
      </c>
      <c r="O314" s="67">
        <f t="shared" si="245"/>
        <v>0</v>
      </c>
      <c r="P314" s="1104"/>
    </row>
    <row r="315" spans="2:16" x14ac:dyDescent="0.25">
      <c r="B315" s="1099"/>
      <c r="C315" s="1102"/>
      <c r="D315" s="61" t="s">
        <v>72</v>
      </c>
      <c r="E315" s="62">
        <v>0</v>
      </c>
      <c r="F315" s="63">
        <f t="shared" si="239"/>
        <v>2440</v>
      </c>
      <c r="G315" s="63">
        <v>2400</v>
      </c>
      <c r="H315" s="64">
        <v>40</v>
      </c>
      <c r="I315" s="79">
        <f t="shared" si="240"/>
        <v>2440</v>
      </c>
      <c r="J315" s="4">
        <f t="shared" si="241"/>
        <v>2400</v>
      </c>
      <c r="K315" s="4">
        <f t="shared" si="242"/>
        <v>40</v>
      </c>
      <c r="L315" s="65" t="e">
        <f t="shared" si="243"/>
        <v>#DIV/0!</v>
      </c>
      <c r="M315" s="66">
        <v>58.836300000000001</v>
      </c>
      <c r="N315" s="67">
        <f t="shared" si="244"/>
        <v>141207.12</v>
      </c>
      <c r="O315" s="67">
        <f t="shared" si="245"/>
        <v>141207.12</v>
      </c>
      <c r="P315" s="1104"/>
    </row>
    <row r="316" spans="2:16" x14ac:dyDescent="0.25">
      <c r="B316" s="1099"/>
      <c r="C316" s="1106" t="s">
        <v>76</v>
      </c>
      <c r="D316" s="61" t="s">
        <v>77</v>
      </c>
      <c r="E316" s="62">
        <v>0</v>
      </c>
      <c r="F316" s="63">
        <f>G316+H316</f>
        <v>0</v>
      </c>
      <c r="G316" s="63">
        <v>0</v>
      </c>
      <c r="H316" s="64">
        <v>0</v>
      </c>
      <c r="I316" s="79">
        <f t="shared" si="240"/>
        <v>3675</v>
      </c>
      <c r="J316" s="4">
        <f t="shared" si="241"/>
        <v>3575</v>
      </c>
      <c r="K316" s="4">
        <f t="shared" si="242"/>
        <v>100</v>
      </c>
      <c r="L316" s="65" t="e">
        <f t="shared" si="243"/>
        <v>#DIV/0!</v>
      </c>
      <c r="M316" s="66">
        <v>25.687200000000001</v>
      </c>
      <c r="N316" s="67">
        <f t="shared" si="244"/>
        <v>0</v>
      </c>
      <c r="O316" s="67">
        <f t="shared" si="245"/>
        <v>91831.74</v>
      </c>
      <c r="P316" s="1104"/>
    </row>
    <row r="317" spans="2:16" x14ac:dyDescent="0.25">
      <c r="B317" s="1099"/>
      <c r="C317" s="1107"/>
      <c r="D317" s="61" t="s">
        <v>117</v>
      </c>
      <c r="E317" s="62">
        <v>0</v>
      </c>
      <c r="F317" s="63">
        <f>G317+H317</f>
        <v>0</v>
      </c>
      <c r="G317" s="63">
        <v>0</v>
      </c>
      <c r="H317" s="64">
        <v>0</v>
      </c>
      <c r="I317" s="79">
        <f t="shared" si="240"/>
        <v>0</v>
      </c>
      <c r="J317" s="4">
        <f t="shared" si="241"/>
        <v>0</v>
      </c>
      <c r="K317" s="4">
        <f>H317+K252</f>
        <v>0</v>
      </c>
      <c r="L317" s="65" t="e">
        <f t="shared" si="243"/>
        <v>#DIV/0!</v>
      </c>
      <c r="M317" s="66">
        <v>25.033899999999999</v>
      </c>
      <c r="N317" s="67">
        <f t="shared" si="244"/>
        <v>0</v>
      </c>
      <c r="O317" s="67">
        <f t="shared" si="245"/>
        <v>0</v>
      </c>
      <c r="P317" s="1104"/>
    </row>
    <row r="318" spans="2:16" x14ac:dyDescent="0.25">
      <c r="B318" s="1099"/>
      <c r="C318" s="1106" t="s">
        <v>78</v>
      </c>
      <c r="D318" s="61" t="s">
        <v>79</v>
      </c>
      <c r="E318" s="62">
        <v>0</v>
      </c>
      <c r="F318" s="63">
        <f t="shared" ref="F318:F337" si="246">G318+H318</f>
        <v>0</v>
      </c>
      <c r="G318" s="63">
        <v>0</v>
      </c>
      <c r="H318" s="64">
        <v>0</v>
      </c>
      <c r="I318" s="79">
        <f t="shared" si="240"/>
        <v>8113</v>
      </c>
      <c r="J318" s="4">
        <f t="shared" si="241"/>
        <v>8000</v>
      </c>
      <c r="K318" s="4">
        <f t="shared" ref="K318:K337" si="247">H318+K253</f>
        <v>113</v>
      </c>
      <c r="L318" s="65" t="e">
        <f t="shared" si="243"/>
        <v>#DIV/0!</v>
      </c>
      <c r="M318" s="66">
        <v>41.992699999999999</v>
      </c>
      <c r="N318" s="67">
        <f t="shared" si="244"/>
        <v>0</v>
      </c>
      <c r="O318" s="67">
        <f t="shared" si="245"/>
        <v>335941.6</v>
      </c>
      <c r="P318" s="1104"/>
    </row>
    <row r="319" spans="2:16" x14ac:dyDescent="0.25">
      <c r="B319" s="1099"/>
      <c r="C319" s="1107"/>
      <c r="D319" s="61" t="s">
        <v>72</v>
      </c>
      <c r="E319" s="62">
        <v>0</v>
      </c>
      <c r="F319" s="63">
        <f t="shared" si="246"/>
        <v>0</v>
      </c>
      <c r="G319" s="63">
        <v>0</v>
      </c>
      <c r="H319" s="64">
        <v>0</v>
      </c>
      <c r="I319" s="79">
        <f t="shared" si="240"/>
        <v>0</v>
      </c>
      <c r="J319" s="4">
        <f t="shared" si="241"/>
        <v>0</v>
      </c>
      <c r="K319" s="4">
        <f t="shared" si="247"/>
        <v>0</v>
      </c>
      <c r="L319" s="65" t="e">
        <f t="shared" si="243"/>
        <v>#DIV/0!</v>
      </c>
      <c r="M319" s="66">
        <v>42.283799999999999</v>
      </c>
      <c r="N319" s="67">
        <f t="shared" si="244"/>
        <v>0</v>
      </c>
      <c r="O319" s="67">
        <f t="shared" si="245"/>
        <v>0</v>
      </c>
      <c r="P319" s="1104"/>
    </row>
    <row r="320" spans="2:16" x14ac:dyDescent="0.25">
      <c r="B320" s="1099"/>
      <c r="C320" s="176" t="s">
        <v>80</v>
      </c>
      <c r="D320" s="61" t="s">
        <v>81</v>
      </c>
      <c r="E320" s="62">
        <v>0</v>
      </c>
      <c r="F320" s="63">
        <f t="shared" si="246"/>
        <v>10898</v>
      </c>
      <c r="G320" s="63">
        <v>10500</v>
      </c>
      <c r="H320" s="64">
        <v>398</v>
      </c>
      <c r="I320" s="79">
        <f t="shared" si="240"/>
        <v>10898</v>
      </c>
      <c r="J320" s="4">
        <f t="shared" si="241"/>
        <v>10500</v>
      </c>
      <c r="K320" s="4">
        <f t="shared" si="247"/>
        <v>398</v>
      </c>
      <c r="L320" s="65" t="e">
        <f t="shared" si="243"/>
        <v>#DIV/0!</v>
      </c>
      <c r="M320" s="66">
        <v>4.3535000000000004</v>
      </c>
      <c r="N320" s="67">
        <f t="shared" si="244"/>
        <v>45711.750000000007</v>
      </c>
      <c r="O320" s="67">
        <f t="shared" si="245"/>
        <v>45711.750000000007</v>
      </c>
      <c r="P320" s="1104"/>
    </row>
    <row r="321" spans="2:16" x14ac:dyDescent="0.25">
      <c r="B321" s="1099"/>
      <c r="C321" s="1102" t="s">
        <v>82</v>
      </c>
      <c r="D321" s="61" t="s">
        <v>77</v>
      </c>
      <c r="E321" s="62">
        <v>0</v>
      </c>
      <c r="F321" s="63">
        <f t="shared" si="246"/>
        <v>0</v>
      </c>
      <c r="G321" s="63">
        <v>0</v>
      </c>
      <c r="H321" s="64">
        <v>0</v>
      </c>
      <c r="I321" s="79">
        <f t="shared" si="240"/>
        <v>0</v>
      </c>
      <c r="J321" s="4">
        <f t="shared" si="241"/>
        <v>0</v>
      </c>
      <c r="K321" s="4">
        <f t="shared" si="247"/>
        <v>0</v>
      </c>
      <c r="L321" s="65" t="e">
        <f t="shared" si="243"/>
        <v>#DIV/0!</v>
      </c>
      <c r="M321" s="66">
        <v>4.6184000000000003</v>
      </c>
      <c r="N321" s="67">
        <f t="shared" si="244"/>
        <v>0</v>
      </c>
      <c r="O321" s="67">
        <f>M321*J321</f>
        <v>0</v>
      </c>
      <c r="P321" s="1104"/>
    </row>
    <row r="322" spans="2:16" x14ac:dyDescent="0.25">
      <c r="B322" s="1099"/>
      <c r="C322" s="1102"/>
      <c r="D322" s="61" t="s">
        <v>119</v>
      </c>
      <c r="E322" s="62">
        <v>0</v>
      </c>
      <c r="F322" s="63">
        <f t="shared" si="246"/>
        <v>0</v>
      </c>
      <c r="G322" s="63">
        <v>0</v>
      </c>
      <c r="H322" s="64">
        <v>0</v>
      </c>
      <c r="I322" s="79">
        <f>J322+K322</f>
        <v>0</v>
      </c>
      <c r="J322" s="4">
        <f t="shared" si="241"/>
        <v>0</v>
      </c>
      <c r="K322" s="4">
        <f t="shared" si="247"/>
        <v>0</v>
      </c>
      <c r="L322" s="65" t="e">
        <f t="shared" si="243"/>
        <v>#DIV/0!</v>
      </c>
      <c r="M322" s="153">
        <v>4.6184000000000003</v>
      </c>
      <c r="N322" s="67">
        <f t="shared" si="244"/>
        <v>0</v>
      </c>
      <c r="O322" s="67">
        <f>M322*J322</f>
        <v>0</v>
      </c>
      <c r="P322" s="1104"/>
    </row>
    <row r="323" spans="2:16" x14ac:dyDescent="0.25">
      <c r="B323" s="1099"/>
      <c r="C323" s="1102"/>
      <c r="D323" s="61" t="s">
        <v>123</v>
      </c>
      <c r="E323" s="62">
        <v>0</v>
      </c>
      <c r="F323" s="63">
        <f t="shared" si="246"/>
        <v>0</v>
      </c>
      <c r="G323" s="63">
        <v>0</v>
      </c>
      <c r="H323" s="64">
        <v>0</v>
      </c>
      <c r="I323" s="79">
        <f t="shared" ref="I323:I337" si="248">J323+K323</f>
        <v>0</v>
      </c>
      <c r="J323" s="4">
        <f t="shared" si="241"/>
        <v>0</v>
      </c>
      <c r="K323" s="4">
        <f t="shared" si="247"/>
        <v>0</v>
      </c>
      <c r="L323" s="65" t="e">
        <f t="shared" si="243"/>
        <v>#DIV/0!</v>
      </c>
      <c r="M323" s="153">
        <v>4.6184000000000003</v>
      </c>
      <c r="N323" s="67">
        <f t="shared" si="244"/>
        <v>0</v>
      </c>
      <c r="O323" s="67">
        <f t="shared" ref="O323:O328" si="249">M323*J323</f>
        <v>0</v>
      </c>
      <c r="P323" s="1104"/>
    </row>
    <row r="324" spans="2:16" x14ac:dyDescent="0.25">
      <c r="B324" s="1099"/>
      <c r="C324" s="1102"/>
      <c r="D324" s="61" t="s">
        <v>124</v>
      </c>
      <c r="E324" s="62">
        <v>0</v>
      </c>
      <c r="F324" s="63">
        <f t="shared" si="246"/>
        <v>23055</v>
      </c>
      <c r="G324" s="63">
        <v>22755</v>
      </c>
      <c r="H324" s="64">
        <v>300</v>
      </c>
      <c r="I324" s="79">
        <f t="shared" si="248"/>
        <v>102924</v>
      </c>
      <c r="J324" s="4">
        <f t="shared" si="241"/>
        <v>99255</v>
      </c>
      <c r="K324" s="4">
        <f t="shared" si="247"/>
        <v>3669</v>
      </c>
      <c r="L324" s="65" t="e">
        <f t="shared" si="243"/>
        <v>#DIV/0!</v>
      </c>
      <c r="M324" s="153">
        <v>4.7636000000000003</v>
      </c>
      <c r="N324" s="67">
        <f t="shared" si="244"/>
        <v>108395.71800000001</v>
      </c>
      <c r="O324" s="67">
        <f t="shared" si="249"/>
        <v>472811.11800000002</v>
      </c>
      <c r="P324" s="1104"/>
    </row>
    <row r="325" spans="2:16" x14ac:dyDescent="0.25">
      <c r="B325" s="1099"/>
      <c r="C325" s="1102"/>
      <c r="D325" s="61" t="s">
        <v>83</v>
      </c>
      <c r="E325" s="62">
        <v>0</v>
      </c>
      <c r="F325" s="63">
        <f t="shared" si="246"/>
        <v>0</v>
      </c>
      <c r="G325" s="63">
        <v>0</v>
      </c>
      <c r="H325" s="64">
        <v>0</v>
      </c>
      <c r="I325" s="79">
        <f t="shared" si="248"/>
        <v>0</v>
      </c>
      <c r="J325" s="4">
        <f t="shared" si="241"/>
        <v>0</v>
      </c>
      <c r="K325" s="4">
        <f t="shared" si="247"/>
        <v>0</v>
      </c>
      <c r="L325" s="65" t="e">
        <f t="shared" si="243"/>
        <v>#DIV/0!</v>
      </c>
      <c r="M325" s="66">
        <v>4.8738000000000001</v>
      </c>
      <c r="N325" s="67">
        <f t="shared" si="244"/>
        <v>0</v>
      </c>
      <c r="O325" s="67">
        <f t="shared" si="249"/>
        <v>0</v>
      </c>
      <c r="P325" s="1104"/>
    </row>
    <row r="326" spans="2:16" x14ac:dyDescent="0.25">
      <c r="B326" s="1099"/>
      <c r="C326" s="176" t="s">
        <v>128</v>
      </c>
      <c r="D326" s="61" t="s">
        <v>124</v>
      </c>
      <c r="E326" s="62"/>
      <c r="F326" s="63">
        <f t="shared" si="246"/>
        <v>0</v>
      </c>
      <c r="G326" s="63">
        <v>0</v>
      </c>
      <c r="H326" s="64">
        <v>0</v>
      </c>
      <c r="I326" s="79">
        <f t="shared" si="248"/>
        <v>0</v>
      </c>
      <c r="J326" s="4">
        <f t="shared" si="241"/>
        <v>0</v>
      </c>
      <c r="K326" s="4">
        <f t="shared" si="247"/>
        <v>0</v>
      </c>
      <c r="L326" s="65"/>
      <c r="M326" s="66">
        <v>4.8738000000000001</v>
      </c>
      <c r="N326" s="67">
        <f t="shared" si="244"/>
        <v>0</v>
      </c>
      <c r="O326" s="67">
        <f t="shared" si="249"/>
        <v>0</v>
      </c>
      <c r="P326" s="1104"/>
    </row>
    <row r="327" spans="2:16" x14ac:dyDescent="0.25">
      <c r="B327" s="1099"/>
      <c r="C327" s="1102" t="s">
        <v>84</v>
      </c>
      <c r="D327" s="61" t="s">
        <v>77</v>
      </c>
      <c r="E327" s="62">
        <v>0</v>
      </c>
      <c r="F327" s="63">
        <f t="shared" si="246"/>
        <v>0</v>
      </c>
      <c r="G327" s="63">
        <v>0</v>
      </c>
      <c r="H327" s="64">
        <v>0</v>
      </c>
      <c r="I327" s="79">
        <f t="shared" si="248"/>
        <v>98229</v>
      </c>
      <c r="J327" s="4">
        <f t="shared" si="241"/>
        <v>96850</v>
      </c>
      <c r="K327" s="4">
        <f t="shared" si="247"/>
        <v>1379</v>
      </c>
      <c r="L327" s="65" t="e">
        <f t="shared" ref="L327:L337" si="250">+J327/E327</f>
        <v>#DIV/0!</v>
      </c>
      <c r="M327" s="66">
        <v>4.9344999999999999</v>
      </c>
      <c r="N327" s="67">
        <f t="shared" si="244"/>
        <v>0</v>
      </c>
      <c r="O327" s="67">
        <f t="shared" si="249"/>
        <v>477906.32500000001</v>
      </c>
      <c r="P327" s="1104"/>
    </row>
    <row r="328" spans="2:16" x14ac:dyDescent="0.25">
      <c r="B328" s="1099"/>
      <c r="C328" s="1102"/>
      <c r="D328" s="61" t="s">
        <v>135</v>
      </c>
      <c r="E328" s="62"/>
      <c r="F328" s="63">
        <f t="shared" si="246"/>
        <v>0</v>
      </c>
      <c r="G328" s="63">
        <v>0</v>
      </c>
      <c r="H328" s="64">
        <v>0</v>
      </c>
      <c r="I328" s="79">
        <f t="shared" si="248"/>
        <v>0</v>
      </c>
      <c r="J328" s="4">
        <f t="shared" si="241"/>
        <v>0</v>
      </c>
      <c r="K328" s="4">
        <f t="shared" si="247"/>
        <v>0</v>
      </c>
      <c r="L328" s="65" t="e">
        <f t="shared" si="250"/>
        <v>#DIV/0!</v>
      </c>
      <c r="M328" s="66">
        <v>4.9344999999999999</v>
      </c>
      <c r="N328" s="67">
        <f t="shared" si="244"/>
        <v>0</v>
      </c>
      <c r="O328" s="67">
        <f t="shared" si="249"/>
        <v>0</v>
      </c>
      <c r="P328" s="1104"/>
    </row>
    <row r="329" spans="2:16" x14ac:dyDescent="0.25">
      <c r="B329" s="1099"/>
      <c r="C329" s="1102"/>
      <c r="D329" s="61" t="s">
        <v>129</v>
      </c>
      <c r="E329" s="62">
        <v>0</v>
      </c>
      <c r="F329" s="63">
        <f t="shared" si="246"/>
        <v>0</v>
      </c>
      <c r="G329" s="155">
        <v>0</v>
      </c>
      <c r="H329" s="156">
        <v>0</v>
      </c>
      <c r="I329" s="157">
        <f t="shared" si="248"/>
        <v>0</v>
      </c>
      <c r="J329" s="4">
        <f t="shared" si="241"/>
        <v>0</v>
      </c>
      <c r="K329" s="4">
        <f t="shared" si="247"/>
        <v>0</v>
      </c>
      <c r="L329" s="158" t="e">
        <f t="shared" si="250"/>
        <v>#DIV/0!</v>
      </c>
      <c r="M329" s="66">
        <v>4.9344999999999999</v>
      </c>
      <c r="N329" s="159">
        <f t="shared" si="244"/>
        <v>0</v>
      </c>
      <c r="O329" s="67">
        <f>M329*J329</f>
        <v>0</v>
      </c>
      <c r="P329" s="1104"/>
    </row>
    <row r="330" spans="2:16" x14ac:dyDescent="0.25">
      <c r="B330" s="1099"/>
      <c r="C330" s="1102" t="s">
        <v>85</v>
      </c>
      <c r="D330" s="61" t="s">
        <v>77</v>
      </c>
      <c r="E330" s="62">
        <v>0</v>
      </c>
      <c r="F330" s="63">
        <f t="shared" si="246"/>
        <v>14800</v>
      </c>
      <c r="G330" s="63">
        <v>14400</v>
      </c>
      <c r="H330" s="64">
        <v>400</v>
      </c>
      <c r="I330" s="79">
        <f t="shared" si="248"/>
        <v>82723</v>
      </c>
      <c r="J330" s="4">
        <f t="shared" si="241"/>
        <v>76950</v>
      </c>
      <c r="K330" s="4">
        <f t="shared" si="247"/>
        <v>5773</v>
      </c>
      <c r="L330" s="65" t="e">
        <f t="shared" si="250"/>
        <v>#DIV/0!</v>
      </c>
      <c r="M330" s="148">
        <v>5.5069999999999997</v>
      </c>
      <c r="N330" s="67">
        <f t="shared" si="244"/>
        <v>79300.799999999988</v>
      </c>
      <c r="O330" s="67">
        <f>M330*J330</f>
        <v>423763.64999999997</v>
      </c>
      <c r="P330" s="1104"/>
    </row>
    <row r="331" spans="2:16" x14ac:dyDescent="0.25">
      <c r="B331" s="1099"/>
      <c r="C331" s="1102"/>
      <c r="D331" s="61" t="s">
        <v>112</v>
      </c>
      <c r="E331" s="62">
        <v>0</v>
      </c>
      <c r="F331" s="63">
        <f t="shared" si="246"/>
        <v>0</v>
      </c>
      <c r="G331" s="63">
        <v>0</v>
      </c>
      <c r="H331" s="64">
        <v>0</v>
      </c>
      <c r="I331" s="79">
        <f t="shared" si="248"/>
        <v>0</v>
      </c>
      <c r="J331" s="4">
        <f t="shared" si="241"/>
        <v>0</v>
      </c>
      <c r="K331" s="4">
        <f t="shared" si="247"/>
        <v>0</v>
      </c>
      <c r="L331" s="65" t="e">
        <f t="shared" si="250"/>
        <v>#DIV/0!</v>
      </c>
      <c r="M331" s="147">
        <v>5.6550000000000002</v>
      </c>
      <c r="N331" s="67">
        <f t="shared" si="244"/>
        <v>0</v>
      </c>
      <c r="O331" s="67">
        <f>M331*J331</f>
        <v>0</v>
      </c>
      <c r="P331" s="1104"/>
    </row>
    <row r="332" spans="2:16" x14ac:dyDescent="0.25">
      <c r="B332" s="1099"/>
      <c r="C332" s="1102"/>
      <c r="D332" s="61" t="s">
        <v>118</v>
      </c>
      <c r="E332" s="62">
        <v>0</v>
      </c>
      <c r="F332" s="63">
        <f t="shared" si="246"/>
        <v>0</v>
      </c>
      <c r="G332" s="63">
        <v>0</v>
      </c>
      <c r="H332" s="64">
        <v>0</v>
      </c>
      <c r="I332" s="79">
        <f t="shared" si="248"/>
        <v>0</v>
      </c>
      <c r="J332" s="4">
        <f t="shared" si="241"/>
        <v>0</v>
      </c>
      <c r="K332" s="4">
        <f t="shared" si="247"/>
        <v>0</v>
      </c>
      <c r="L332" s="65" t="e">
        <f t="shared" si="250"/>
        <v>#DIV/0!</v>
      </c>
      <c r="M332" s="152">
        <v>5.6550000000000002</v>
      </c>
      <c r="N332" s="67">
        <f t="shared" si="244"/>
        <v>0</v>
      </c>
      <c r="O332" s="67">
        <f>M332*J332</f>
        <v>0</v>
      </c>
      <c r="P332" s="1104"/>
    </row>
    <row r="333" spans="2:16" x14ac:dyDescent="0.25">
      <c r="B333" s="1099"/>
      <c r="C333" s="1102"/>
      <c r="D333" s="61" t="s">
        <v>121</v>
      </c>
      <c r="E333" s="62">
        <v>0</v>
      </c>
      <c r="F333" s="63">
        <f t="shared" si="246"/>
        <v>0</v>
      </c>
      <c r="G333" s="63">
        <v>0</v>
      </c>
      <c r="H333" s="64">
        <v>0</v>
      </c>
      <c r="I333" s="79">
        <f t="shared" si="248"/>
        <v>9700</v>
      </c>
      <c r="J333" s="4">
        <f t="shared" si="241"/>
        <v>8200</v>
      </c>
      <c r="K333" s="4">
        <f t="shared" si="247"/>
        <v>1500</v>
      </c>
      <c r="L333" s="65" t="e">
        <f t="shared" si="250"/>
        <v>#DIV/0!</v>
      </c>
      <c r="M333" s="66">
        <v>5.7885299999999997</v>
      </c>
      <c r="N333" s="67">
        <f>+M333*G333</f>
        <v>0</v>
      </c>
      <c r="O333" s="67">
        <f>M333*J333</f>
        <v>47465.945999999996</v>
      </c>
      <c r="P333" s="1104"/>
    </row>
    <row r="334" spans="2:16" x14ac:dyDescent="0.25">
      <c r="B334" s="1099"/>
      <c r="C334" s="1102"/>
      <c r="D334" s="61" t="s">
        <v>136</v>
      </c>
      <c r="E334" s="62">
        <v>0</v>
      </c>
      <c r="F334" s="63">
        <f t="shared" si="246"/>
        <v>0</v>
      </c>
      <c r="G334" s="63">
        <v>0</v>
      </c>
      <c r="H334" s="64">
        <v>0</v>
      </c>
      <c r="I334" s="79">
        <f t="shared" si="248"/>
        <v>0</v>
      </c>
      <c r="J334" s="4">
        <f t="shared" si="241"/>
        <v>0</v>
      </c>
      <c r="K334" s="4">
        <f t="shared" si="247"/>
        <v>0</v>
      </c>
      <c r="L334" s="65" t="e">
        <f t="shared" si="250"/>
        <v>#DIV/0!</v>
      </c>
      <c r="M334" s="152">
        <v>5.6550000000000002</v>
      </c>
      <c r="N334" s="67">
        <f t="shared" ref="N334:N336" si="251">+M334*G334</f>
        <v>0</v>
      </c>
      <c r="O334" s="67">
        <f t="shared" ref="O334:O337" si="252">M334*J334</f>
        <v>0</v>
      </c>
      <c r="P334" s="1104"/>
    </row>
    <row r="335" spans="2:16" x14ac:dyDescent="0.25">
      <c r="B335" s="1099"/>
      <c r="C335" s="176" t="s">
        <v>86</v>
      </c>
      <c r="D335" s="61" t="s">
        <v>77</v>
      </c>
      <c r="E335" s="62">
        <v>0</v>
      </c>
      <c r="F335" s="63">
        <f t="shared" si="246"/>
        <v>0</v>
      </c>
      <c r="G335" s="63">
        <v>0</v>
      </c>
      <c r="H335" s="64">
        <v>0</v>
      </c>
      <c r="I335" s="79">
        <f t="shared" si="248"/>
        <v>0</v>
      </c>
      <c r="J335" s="4">
        <f t="shared" si="241"/>
        <v>0</v>
      </c>
      <c r="K335" s="4">
        <f t="shared" si="247"/>
        <v>0</v>
      </c>
      <c r="L335" s="65" t="e">
        <f t="shared" si="250"/>
        <v>#DIV/0!</v>
      </c>
      <c r="M335" s="66">
        <v>3.2963</v>
      </c>
      <c r="N335" s="67">
        <f t="shared" si="251"/>
        <v>0</v>
      </c>
      <c r="O335" s="67">
        <f t="shared" si="252"/>
        <v>0</v>
      </c>
      <c r="P335" s="1104"/>
    </row>
    <row r="336" spans="2:16" x14ac:dyDescent="0.25">
      <c r="B336" s="1099"/>
      <c r="C336" s="176" t="s">
        <v>87</v>
      </c>
      <c r="D336" s="61" t="s">
        <v>77</v>
      </c>
      <c r="E336" s="62">
        <v>0</v>
      </c>
      <c r="F336" s="63">
        <f t="shared" si="246"/>
        <v>0</v>
      </c>
      <c r="G336" s="63">
        <v>0</v>
      </c>
      <c r="H336" s="64">
        <v>0</v>
      </c>
      <c r="I336" s="79">
        <f t="shared" si="248"/>
        <v>0</v>
      </c>
      <c r="J336" s="4">
        <f t="shared" si="241"/>
        <v>0</v>
      </c>
      <c r="K336" s="4">
        <f t="shared" si="247"/>
        <v>0</v>
      </c>
      <c r="L336" s="65" t="e">
        <f t="shared" si="250"/>
        <v>#DIV/0!</v>
      </c>
      <c r="M336" s="66">
        <v>3.2963</v>
      </c>
      <c r="N336" s="67">
        <f t="shared" si="251"/>
        <v>0</v>
      </c>
      <c r="O336" s="67">
        <f t="shared" si="252"/>
        <v>0</v>
      </c>
      <c r="P336" s="1104"/>
    </row>
    <row r="337" spans="2:16" ht="15.75" thickBot="1" x14ac:dyDescent="0.3">
      <c r="B337" s="1099"/>
      <c r="C337" s="68" t="s">
        <v>88</v>
      </c>
      <c r="D337" s="69" t="s">
        <v>89</v>
      </c>
      <c r="E337" s="70">
        <v>0</v>
      </c>
      <c r="F337" s="71">
        <f t="shared" si="246"/>
        <v>0</v>
      </c>
      <c r="G337" s="71">
        <v>0</v>
      </c>
      <c r="H337" s="72">
        <v>0</v>
      </c>
      <c r="I337" s="80">
        <f t="shared" si="248"/>
        <v>0</v>
      </c>
      <c r="J337" s="4">
        <f t="shared" si="241"/>
        <v>0</v>
      </c>
      <c r="K337" s="4">
        <f t="shared" si="247"/>
        <v>0</v>
      </c>
      <c r="L337" s="65" t="e">
        <f t="shared" si="250"/>
        <v>#DIV/0!</v>
      </c>
      <c r="M337" s="73">
        <v>2.3201000000000001</v>
      </c>
      <c r="N337" s="74">
        <f t="shared" ref="N337" si="253">M337*G337</f>
        <v>0</v>
      </c>
      <c r="O337" s="74">
        <f t="shared" si="252"/>
        <v>0</v>
      </c>
      <c r="P337" s="1105"/>
    </row>
    <row r="338" spans="2:16" ht="15.75" thickBot="1" x14ac:dyDescent="0.3">
      <c r="B338" s="1100"/>
      <c r="C338" s="1108" t="s">
        <v>99</v>
      </c>
      <c r="D338" s="1109"/>
      <c r="E338" s="1109"/>
      <c r="F338" s="1109"/>
      <c r="G338" s="1109"/>
      <c r="H338" s="1110"/>
      <c r="I338" s="116">
        <f>J338+K338</f>
        <v>333828</v>
      </c>
      <c r="J338" s="115">
        <f>SUM(J310:J337)</f>
        <v>320530</v>
      </c>
      <c r="K338" s="115">
        <f>SUM(K310:K337)</f>
        <v>13298</v>
      </c>
      <c r="L338" s="114"/>
      <c r="M338" s="113"/>
      <c r="N338" s="114"/>
      <c r="O338" s="97">
        <f>SUM(O310:O337)</f>
        <v>2656907.0890000002</v>
      </c>
      <c r="P338" s="96"/>
    </row>
    <row r="339" spans="2:16" ht="15.75" thickBot="1" x14ac:dyDescent="0.3">
      <c r="B339" s="100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2"/>
    </row>
    <row r="340" spans="2:16" ht="15.75" thickBot="1" x14ac:dyDescent="0.3">
      <c r="B340" s="1093" t="s">
        <v>100</v>
      </c>
      <c r="C340" s="1094"/>
      <c r="D340" s="1094"/>
      <c r="E340" s="1094"/>
      <c r="F340" s="1094"/>
      <c r="G340" s="1094"/>
      <c r="H340" s="1094"/>
      <c r="I340" s="1094"/>
      <c r="J340" s="1094"/>
      <c r="K340" s="1094"/>
      <c r="L340" s="1094"/>
      <c r="M340" s="1094"/>
      <c r="N340" s="1095"/>
      <c r="O340" s="103">
        <f>+O338+O309+O294</f>
        <v>6457605.7129999995</v>
      </c>
      <c r="P340" s="96"/>
    </row>
    <row r="341" spans="2:16" ht="15.75" thickBot="1" x14ac:dyDescent="0.3"/>
    <row r="342" spans="2:16" x14ac:dyDescent="0.25">
      <c r="B342" s="1127" t="s">
        <v>1</v>
      </c>
      <c r="C342" s="1129" t="s">
        <v>2</v>
      </c>
      <c r="D342" s="1132" t="s">
        <v>3</v>
      </c>
      <c r="E342" s="1135" t="s">
        <v>4</v>
      </c>
      <c r="F342" s="1136"/>
      <c r="G342" s="1136"/>
      <c r="H342" s="1136"/>
      <c r="I342" s="1136"/>
      <c r="J342" s="1136"/>
      <c r="K342" s="1136"/>
      <c r="L342" s="1137"/>
      <c r="M342" s="1138" t="s">
        <v>5</v>
      </c>
      <c r="N342" s="1139"/>
      <c r="O342" s="1140"/>
      <c r="P342" s="1132" t="s">
        <v>6</v>
      </c>
    </row>
    <row r="343" spans="2:16" x14ac:dyDescent="0.25">
      <c r="B343" s="1128"/>
      <c r="C343" s="1130"/>
      <c r="D343" s="1133"/>
      <c r="E343" s="1141" t="s">
        <v>7</v>
      </c>
      <c r="F343" s="1143" t="s">
        <v>145</v>
      </c>
      <c r="G343" s="1143"/>
      <c r="H343" s="1144"/>
      <c r="I343" s="1145" t="s">
        <v>8</v>
      </c>
      <c r="J343" s="1143"/>
      <c r="K343" s="1143"/>
      <c r="L343" s="1144" t="s">
        <v>9</v>
      </c>
      <c r="M343" s="1147" t="s">
        <v>10</v>
      </c>
      <c r="N343" s="1149" t="s">
        <v>11</v>
      </c>
      <c r="O343" s="1151" t="s">
        <v>12</v>
      </c>
      <c r="P343" s="1133"/>
    </row>
    <row r="344" spans="2:16" ht="15.75" thickBot="1" x14ac:dyDescent="0.3">
      <c r="B344" s="1128"/>
      <c r="C344" s="1131"/>
      <c r="D344" s="1134"/>
      <c r="E344" s="1142"/>
      <c r="F344" s="2" t="s">
        <v>13</v>
      </c>
      <c r="G344" s="2" t="s">
        <v>14</v>
      </c>
      <c r="H344" s="183" t="s">
        <v>15</v>
      </c>
      <c r="I344" s="142" t="s">
        <v>13</v>
      </c>
      <c r="J344" s="2" t="s">
        <v>14</v>
      </c>
      <c r="K344" s="2" t="s">
        <v>15</v>
      </c>
      <c r="L344" s="1146"/>
      <c r="M344" s="1148"/>
      <c r="N344" s="1150"/>
      <c r="O344" s="1152"/>
      <c r="P344" s="1134"/>
    </row>
    <row r="345" spans="2:16" x14ac:dyDescent="0.25">
      <c r="B345" s="1111" t="s">
        <v>53</v>
      </c>
      <c r="C345" s="29"/>
      <c r="D345" s="117" t="s">
        <v>143</v>
      </c>
      <c r="E345" s="98">
        <v>0</v>
      </c>
      <c r="F345" s="4">
        <f>+G345+H345</f>
        <v>874</v>
      </c>
      <c r="G345" s="4">
        <v>0</v>
      </c>
      <c r="H345" s="8">
        <v>874</v>
      </c>
      <c r="I345" s="6">
        <f>J345+K345</f>
        <v>157942</v>
      </c>
      <c r="J345" s="4">
        <f>G345+J280</f>
        <v>155120</v>
      </c>
      <c r="K345" s="4">
        <f>H345+K280</f>
        <v>2822</v>
      </c>
      <c r="L345" s="33" t="e">
        <f>+J345/E345</f>
        <v>#DIV/0!</v>
      </c>
      <c r="M345" s="104">
        <v>1.3652</v>
      </c>
      <c r="N345" s="31">
        <f>G345*M345</f>
        <v>0</v>
      </c>
      <c r="O345" s="86">
        <f>M345*J345</f>
        <v>211769.82399999999</v>
      </c>
      <c r="P345" s="1113"/>
    </row>
    <row r="346" spans="2:16" x14ac:dyDescent="0.25">
      <c r="B346" s="1112"/>
      <c r="C346" s="32"/>
      <c r="D346" s="118" t="s">
        <v>109</v>
      </c>
      <c r="E346" s="99">
        <v>0</v>
      </c>
      <c r="F346" s="9">
        <f>+G346+H346</f>
        <v>0</v>
      </c>
      <c r="G346" s="9">
        <v>0</v>
      </c>
      <c r="H346" s="10">
        <v>0</v>
      </c>
      <c r="I346" s="6">
        <f>J346+K346</f>
        <v>0</v>
      </c>
      <c r="J346" s="4">
        <f>+G346+J281</f>
        <v>0</v>
      </c>
      <c r="K346" s="4">
        <f>+H346+K281</f>
        <v>0</v>
      </c>
      <c r="L346" s="33"/>
      <c r="M346" s="105">
        <v>5.9917999999999996</v>
      </c>
      <c r="N346" s="34">
        <f>M346*G346</f>
        <v>0</v>
      </c>
      <c r="O346" s="87">
        <f>M346*J346</f>
        <v>0</v>
      </c>
      <c r="P346" s="1114"/>
    </row>
    <row r="347" spans="2:16" x14ac:dyDescent="0.25">
      <c r="B347" s="1112"/>
      <c r="C347" s="35"/>
      <c r="D347" s="119" t="s">
        <v>55</v>
      </c>
      <c r="E347" s="99">
        <v>0</v>
      </c>
      <c r="F347" s="9">
        <f t="shared" ref="F347:F351" si="254">+G347+H347</f>
        <v>231610</v>
      </c>
      <c r="G347" s="9">
        <v>230000</v>
      </c>
      <c r="H347" s="10">
        <f>876+734</f>
        <v>1610</v>
      </c>
      <c r="I347" s="6">
        <f t="shared" ref="I347:I351" si="255">J347+K347</f>
        <v>1162687</v>
      </c>
      <c r="J347" s="4">
        <f t="shared" ref="J347:J351" si="256">+G347+J282</f>
        <v>1153250</v>
      </c>
      <c r="K347" s="4">
        <f t="shared" ref="K347:K351" si="257">+H347+K282</f>
        <v>9437</v>
      </c>
      <c r="L347" s="33" t="e">
        <f t="shared" ref="L347" si="258">+J347/E347</f>
        <v>#DIV/0!</v>
      </c>
      <c r="M347" s="106">
        <v>2.3807999999999998</v>
      </c>
      <c r="N347" s="36">
        <f>G347*M347</f>
        <v>547584</v>
      </c>
      <c r="O347" s="88">
        <f>M347*J347</f>
        <v>2745657.5999999996</v>
      </c>
      <c r="P347" s="1114"/>
    </row>
    <row r="348" spans="2:16" x14ac:dyDescent="0.25">
      <c r="B348" s="1112"/>
      <c r="C348" s="35"/>
      <c r="D348" s="119" t="s">
        <v>56</v>
      </c>
      <c r="E348" s="99">
        <v>0</v>
      </c>
      <c r="F348" s="9">
        <f t="shared" si="254"/>
        <v>0</v>
      </c>
      <c r="G348" s="9">
        <v>0</v>
      </c>
      <c r="H348" s="10">
        <v>0</v>
      </c>
      <c r="I348" s="6">
        <f t="shared" si="255"/>
        <v>0</v>
      </c>
      <c r="J348" s="4">
        <f t="shared" si="256"/>
        <v>0</v>
      </c>
      <c r="K348" s="4">
        <f t="shared" si="257"/>
        <v>0</v>
      </c>
      <c r="L348" s="33"/>
      <c r="M348" s="106">
        <v>2.1457999999999999</v>
      </c>
      <c r="N348" s="36">
        <f t="shared" ref="N348:N351" si="259">G348*M348</f>
        <v>0</v>
      </c>
      <c r="O348" s="88">
        <f>M348*J348</f>
        <v>0</v>
      </c>
      <c r="P348" s="1114"/>
    </row>
    <row r="349" spans="2:16" x14ac:dyDescent="0.25">
      <c r="B349" s="1112"/>
      <c r="C349" s="35"/>
      <c r="D349" s="119" t="s">
        <v>106</v>
      </c>
      <c r="E349" s="99">
        <v>0</v>
      </c>
      <c r="F349" s="9">
        <f t="shared" si="254"/>
        <v>0</v>
      </c>
      <c r="G349" s="9">
        <v>0</v>
      </c>
      <c r="H349" s="10">
        <v>0</v>
      </c>
      <c r="I349" s="6">
        <f t="shared" si="255"/>
        <v>0</v>
      </c>
      <c r="J349" s="4">
        <f t="shared" si="256"/>
        <v>0</v>
      </c>
      <c r="K349" s="4">
        <f t="shared" si="257"/>
        <v>0</v>
      </c>
      <c r="L349" s="33" t="e">
        <f t="shared" ref="L349:L350" si="260">+J349/E349</f>
        <v>#DIV/0!</v>
      </c>
      <c r="M349" s="143">
        <v>4.0426000000000002</v>
      </c>
      <c r="N349" s="36">
        <f t="shared" si="259"/>
        <v>0</v>
      </c>
      <c r="O349" s="88">
        <f>M349*J349</f>
        <v>0</v>
      </c>
      <c r="P349" s="1114"/>
    </row>
    <row r="350" spans="2:16" x14ac:dyDescent="0.25">
      <c r="B350" s="1112"/>
      <c r="C350" s="35"/>
      <c r="D350" s="119" t="s">
        <v>110</v>
      </c>
      <c r="E350" s="99">
        <v>0</v>
      </c>
      <c r="F350" s="9">
        <f t="shared" si="254"/>
        <v>0</v>
      </c>
      <c r="G350" s="9">
        <v>0</v>
      </c>
      <c r="H350" s="10">
        <v>0</v>
      </c>
      <c r="I350" s="6">
        <f t="shared" si="255"/>
        <v>0</v>
      </c>
      <c r="J350" s="4">
        <f t="shared" si="256"/>
        <v>0</v>
      </c>
      <c r="K350" s="4">
        <f t="shared" si="257"/>
        <v>0</v>
      </c>
      <c r="L350" s="33" t="e">
        <f t="shared" si="260"/>
        <v>#DIV/0!</v>
      </c>
      <c r="M350" s="143">
        <v>3.8715000000000002</v>
      </c>
      <c r="N350" s="36">
        <f t="shared" si="259"/>
        <v>0</v>
      </c>
      <c r="O350" s="88">
        <f t="shared" ref="O350:O351" si="261">M350*J350</f>
        <v>0</v>
      </c>
      <c r="P350" s="1114"/>
    </row>
    <row r="351" spans="2:16" ht="15.75" thickBot="1" x14ac:dyDescent="0.3">
      <c r="B351" s="1112"/>
      <c r="C351" s="82"/>
      <c r="D351" s="120" t="s">
        <v>57</v>
      </c>
      <c r="E351" s="108">
        <v>0</v>
      </c>
      <c r="F351" s="12">
        <f t="shared" si="254"/>
        <v>0</v>
      </c>
      <c r="G351" s="12">
        <v>0</v>
      </c>
      <c r="H351" s="13">
        <v>0</v>
      </c>
      <c r="I351" s="21">
        <f t="shared" si="255"/>
        <v>0</v>
      </c>
      <c r="J351" s="4">
        <f t="shared" si="256"/>
        <v>0</v>
      </c>
      <c r="K351" s="4">
        <f t="shared" si="257"/>
        <v>0</v>
      </c>
      <c r="L351" s="81"/>
      <c r="M351" s="127">
        <v>12.284700000000001</v>
      </c>
      <c r="N351" s="36">
        <f t="shared" si="259"/>
        <v>0</v>
      </c>
      <c r="O351" s="128">
        <f t="shared" si="261"/>
        <v>0</v>
      </c>
      <c r="P351" s="1114"/>
    </row>
    <row r="352" spans="2:16" ht="15.75" thickBot="1" x14ac:dyDescent="0.3">
      <c r="B352" s="1112"/>
      <c r="C352" s="1117" t="s">
        <v>104</v>
      </c>
      <c r="D352" s="1118"/>
      <c r="E352" s="129"/>
      <c r="F352" s="130">
        <f>SUM(F345:F351)</f>
        <v>232484</v>
      </c>
      <c r="G352" s="130">
        <f>SUM(G345:G351)</f>
        <v>230000</v>
      </c>
      <c r="H352" s="131">
        <f>SUM(H345:H351)</f>
        <v>2484</v>
      </c>
      <c r="I352" s="132">
        <f>+J352+K352</f>
        <v>1320629</v>
      </c>
      <c r="J352" s="133">
        <f>SUM(J345:J351)</f>
        <v>1308370</v>
      </c>
      <c r="K352" s="133">
        <f>SUM(K345:K351)</f>
        <v>12259</v>
      </c>
      <c r="L352" s="134"/>
      <c r="M352" s="135"/>
      <c r="N352" s="136"/>
      <c r="O352" s="137">
        <f>SUM(O345:O351)</f>
        <v>2957427.4239999996</v>
      </c>
      <c r="P352" s="1115"/>
    </row>
    <row r="353" spans="2:16" x14ac:dyDescent="0.25">
      <c r="B353" s="1112"/>
      <c r="C353" s="32"/>
      <c r="D353" s="118" t="s">
        <v>58</v>
      </c>
      <c r="E353" s="98">
        <v>0</v>
      </c>
      <c r="F353" s="4">
        <f t="shared" ref="F353:F356" si="262">+G353+H353</f>
        <v>0</v>
      </c>
      <c r="G353" s="4">
        <v>0</v>
      </c>
      <c r="H353" s="8">
        <v>0</v>
      </c>
      <c r="I353" s="6">
        <f t="shared" ref="I353:I357" si="263">J353+K353</f>
        <v>0</v>
      </c>
      <c r="J353" s="4">
        <f>G353+J288</f>
        <v>0</v>
      </c>
      <c r="K353" s="4">
        <f>H353+K288</f>
        <v>0</v>
      </c>
      <c r="L353" s="33" t="e">
        <f t="shared" ref="L353" si="264">+J353/E353</f>
        <v>#DIV/0!</v>
      </c>
      <c r="M353" s="105">
        <v>12.029500000000001</v>
      </c>
      <c r="N353" s="34">
        <f>M353*G353</f>
        <v>0</v>
      </c>
      <c r="O353" s="87">
        <f t="shared" ref="O353:O355" si="265">M353*J353</f>
        <v>0</v>
      </c>
      <c r="P353" s="1114"/>
    </row>
    <row r="354" spans="2:16" x14ac:dyDescent="0.25">
      <c r="B354" s="1112"/>
      <c r="C354" s="35"/>
      <c r="D354" s="119" t="s">
        <v>59</v>
      </c>
      <c r="E354" s="99">
        <v>0</v>
      </c>
      <c r="F354" s="9">
        <f t="shared" si="262"/>
        <v>0</v>
      </c>
      <c r="G354" s="9">
        <v>0</v>
      </c>
      <c r="H354" s="10">
        <v>0</v>
      </c>
      <c r="I354" s="6">
        <f t="shared" si="263"/>
        <v>0</v>
      </c>
      <c r="J354" s="4">
        <f>G354+J289</f>
        <v>0</v>
      </c>
      <c r="K354" s="4">
        <f>H354+K289</f>
        <v>0</v>
      </c>
      <c r="L354" s="33"/>
      <c r="M354" s="106">
        <v>0</v>
      </c>
      <c r="N354" s="36"/>
      <c r="O354" s="88">
        <f t="shared" si="265"/>
        <v>0</v>
      </c>
      <c r="P354" s="1114"/>
    </row>
    <row r="355" spans="2:16" x14ac:dyDescent="0.25">
      <c r="B355" s="1112"/>
      <c r="C355" s="35"/>
      <c r="D355" s="119" t="s">
        <v>97</v>
      </c>
      <c r="E355" s="99">
        <v>0</v>
      </c>
      <c r="F355" s="9">
        <f t="shared" si="262"/>
        <v>0</v>
      </c>
      <c r="G355" s="9">
        <v>0</v>
      </c>
      <c r="H355" s="10">
        <v>0</v>
      </c>
      <c r="I355" s="6">
        <f t="shared" si="263"/>
        <v>0</v>
      </c>
      <c r="J355" s="4">
        <f t="shared" ref="J355:J357" si="266">G355+J290</f>
        <v>0</v>
      </c>
      <c r="K355" s="4">
        <f t="shared" ref="K355:K357" si="267">H355+K290</f>
        <v>0</v>
      </c>
      <c r="L355" s="33" t="e">
        <f t="shared" ref="L355:L357" si="268">+J355/E355</f>
        <v>#DIV/0!</v>
      </c>
      <c r="M355" s="106">
        <v>19.688600000000001</v>
      </c>
      <c r="N355" s="36">
        <f>M355*G355</f>
        <v>0</v>
      </c>
      <c r="O355" s="88">
        <f t="shared" si="265"/>
        <v>0</v>
      </c>
      <c r="P355" s="1114"/>
    </row>
    <row r="356" spans="2:16" x14ac:dyDescent="0.25">
      <c r="B356" s="1112"/>
      <c r="C356" s="35"/>
      <c r="D356" s="119" t="s">
        <v>61</v>
      </c>
      <c r="E356" s="99">
        <v>0</v>
      </c>
      <c r="F356" s="9">
        <f t="shared" si="262"/>
        <v>0</v>
      </c>
      <c r="G356" s="9">
        <v>0</v>
      </c>
      <c r="H356" s="10">
        <v>0</v>
      </c>
      <c r="I356" s="6">
        <f t="shared" si="263"/>
        <v>0</v>
      </c>
      <c r="J356" s="4">
        <f t="shared" si="266"/>
        <v>0</v>
      </c>
      <c r="K356" s="4">
        <f t="shared" si="267"/>
        <v>0</v>
      </c>
      <c r="L356" s="33" t="e">
        <f t="shared" si="268"/>
        <v>#DIV/0!</v>
      </c>
      <c r="M356" s="106">
        <v>1.2824</v>
      </c>
      <c r="N356" s="151">
        <f>M356*G356</f>
        <v>0</v>
      </c>
      <c r="O356" s="88">
        <f>M356*J356</f>
        <v>0</v>
      </c>
      <c r="P356" s="1114"/>
    </row>
    <row r="357" spans="2:16" ht="15.75" thickBot="1" x14ac:dyDescent="0.3">
      <c r="B357" s="1112"/>
      <c r="C357" s="82"/>
      <c r="D357" s="120" t="s">
        <v>60</v>
      </c>
      <c r="E357" s="108">
        <v>0</v>
      </c>
      <c r="F357" s="12">
        <v>0</v>
      </c>
      <c r="G357" s="12">
        <v>0</v>
      </c>
      <c r="H357" s="13">
        <v>0</v>
      </c>
      <c r="I357" s="21">
        <f t="shared" si="263"/>
        <v>0</v>
      </c>
      <c r="J357" s="4">
        <f t="shared" si="266"/>
        <v>0</v>
      </c>
      <c r="K357" s="4">
        <f t="shared" si="267"/>
        <v>0</v>
      </c>
      <c r="L357" s="81" t="e">
        <f t="shared" si="268"/>
        <v>#DIV/0!</v>
      </c>
      <c r="M357" s="107">
        <v>18.2316</v>
      </c>
      <c r="N357" s="75"/>
      <c r="O357" s="89">
        <f t="shared" ref="O357" si="269">M357*J357</f>
        <v>0</v>
      </c>
      <c r="P357" s="1116"/>
    </row>
    <row r="358" spans="2:16" ht="15.75" thickBot="1" x14ac:dyDescent="0.3">
      <c r="B358" s="1096" t="s">
        <v>105</v>
      </c>
      <c r="C358" s="1097"/>
      <c r="D358" s="1097"/>
      <c r="E358" s="124"/>
      <c r="F358" s="125">
        <f>+G358+H358</f>
        <v>0</v>
      </c>
      <c r="G358" s="125">
        <f>SUM(G353:G357)</f>
        <v>0</v>
      </c>
      <c r="H358" s="126">
        <f>SUM(H353:H357)</f>
        <v>0</v>
      </c>
      <c r="I358" s="121">
        <f>J358+K358</f>
        <v>0</v>
      </c>
      <c r="J358" s="122">
        <f>SUM(J353:J357)</f>
        <v>0</v>
      </c>
      <c r="K358" s="123">
        <f>SUM(K353:K357)</f>
        <v>0</v>
      </c>
      <c r="L358" s="138"/>
      <c r="M358" s="139"/>
      <c r="N358" s="140"/>
      <c r="O358" s="141">
        <f>SUM(O353:O357)</f>
        <v>0</v>
      </c>
      <c r="P358" s="182"/>
    </row>
    <row r="359" spans="2:16" ht="15.75" thickBot="1" x14ac:dyDescent="0.3">
      <c r="B359" s="1096" t="s">
        <v>98</v>
      </c>
      <c r="C359" s="1097"/>
      <c r="D359" s="1097"/>
      <c r="E359" s="1119"/>
      <c r="F359" s="1119"/>
      <c r="G359" s="1119"/>
      <c r="H359" s="1119"/>
      <c r="I359" s="1097"/>
      <c r="J359" s="1097"/>
      <c r="K359" s="1097"/>
      <c r="L359" s="1097"/>
      <c r="M359" s="1097"/>
      <c r="N359" s="1120"/>
      <c r="O359" s="83">
        <f>O352+O358</f>
        <v>2957427.4239999996</v>
      </c>
      <c r="P359" s="182"/>
    </row>
    <row r="360" spans="2:16" x14ac:dyDescent="0.25">
      <c r="B360" s="1111" t="s">
        <v>62</v>
      </c>
      <c r="C360" s="37" t="s">
        <v>63</v>
      </c>
      <c r="D360" s="28" t="s">
        <v>64</v>
      </c>
      <c r="E360" s="38">
        <v>0</v>
      </c>
      <c r="F360" s="14">
        <f>+G360+H360</f>
        <v>0</v>
      </c>
      <c r="G360" s="14">
        <v>0</v>
      </c>
      <c r="H360" s="5">
        <v>0</v>
      </c>
      <c r="I360" s="17">
        <f t="shared" ref="I360:I366" si="270">J360+K360</f>
        <v>0</v>
      </c>
      <c r="J360" s="4">
        <f>G360+J295</f>
        <v>0</v>
      </c>
      <c r="K360" s="4">
        <f>H360+K295</f>
        <v>0</v>
      </c>
      <c r="L360" s="30" t="e">
        <f>+J360/E360</f>
        <v>#DIV/0!</v>
      </c>
      <c r="M360" s="146">
        <v>2.2141000000000002</v>
      </c>
      <c r="N360" s="15">
        <f>+M360*G360</f>
        <v>0</v>
      </c>
      <c r="O360" s="90">
        <f>+M360*J360</f>
        <v>0</v>
      </c>
      <c r="P360" s="1122"/>
    </row>
    <row r="361" spans="2:16" x14ac:dyDescent="0.25">
      <c r="B361" s="1112"/>
      <c r="C361" s="39"/>
      <c r="D361" s="22" t="s">
        <v>65</v>
      </c>
      <c r="E361" s="3">
        <v>0</v>
      </c>
      <c r="F361" s="9">
        <f t="shared" ref="F361:F366" si="271">+G361+H361</f>
        <v>0</v>
      </c>
      <c r="G361" s="4">
        <v>0</v>
      </c>
      <c r="H361" s="8">
        <v>0</v>
      </c>
      <c r="I361" s="6">
        <f t="shared" si="270"/>
        <v>0</v>
      </c>
      <c r="J361" s="4">
        <f>+G361+J296</f>
        <v>0</v>
      </c>
      <c r="K361" s="4">
        <f>+H361+K296</f>
        <v>0</v>
      </c>
      <c r="L361" s="40" t="e">
        <f t="shared" ref="L361:L362" si="272">+J361/E361</f>
        <v>#DIV/0!</v>
      </c>
      <c r="M361" s="145">
        <v>2.4565999999999999</v>
      </c>
      <c r="N361" s="11">
        <f t="shared" ref="N361:N363" si="273">+M361*G361</f>
        <v>0</v>
      </c>
      <c r="O361" s="91">
        <f t="shared" ref="O361:O363" si="274">+M361*J361</f>
        <v>0</v>
      </c>
      <c r="P361" s="1123"/>
    </row>
    <row r="362" spans="2:16" x14ac:dyDescent="0.25">
      <c r="B362" s="1112"/>
      <c r="C362" s="39"/>
      <c r="D362" s="23" t="s">
        <v>126</v>
      </c>
      <c r="E362" s="3">
        <v>0</v>
      </c>
      <c r="F362" s="9">
        <f t="shared" si="271"/>
        <v>0</v>
      </c>
      <c r="G362" s="4">
        <v>0</v>
      </c>
      <c r="H362" s="8">
        <v>0</v>
      </c>
      <c r="I362" s="6">
        <f t="shared" si="270"/>
        <v>0</v>
      </c>
      <c r="J362" s="4">
        <f t="shared" ref="J362:J366" si="275">+G362+J297</f>
        <v>0</v>
      </c>
      <c r="K362" s="4">
        <f t="shared" ref="K362:K366" si="276">+H362+K297</f>
        <v>0</v>
      </c>
      <c r="L362" s="40" t="e">
        <f t="shared" si="272"/>
        <v>#DIV/0!</v>
      </c>
      <c r="M362" s="145">
        <v>2.2907000000000002</v>
      </c>
      <c r="N362" s="11">
        <f t="shared" si="273"/>
        <v>0</v>
      </c>
      <c r="O362" s="91">
        <f t="shared" si="274"/>
        <v>0</v>
      </c>
      <c r="P362" s="1123"/>
    </row>
    <row r="363" spans="2:16" x14ac:dyDescent="0.25">
      <c r="B363" s="1112"/>
      <c r="C363" s="39"/>
      <c r="D363" s="22" t="s">
        <v>131</v>
      </c>
      <c r="E363" s="3"/>
      <c r="F363" s="9">
        <f t="shared" si="271"/>
        <v>0</v>
      </c>
      <c r="G363" s="4">
        <v>0</v>
      </c>
      <c r="H363" s="8">
        <v>0</v>
      </c>
      <c r="I363" s="6">
        <f t="shared" si="270"/>
        <v>0</v>
      </c>
      <c r="J363" s="4">
        <f t="shared" si="275"/>
        <v>0</v>
      </c>
      <c r="K363" s="4">
        <f t="shared" si="276"/>
        <v>0</v>
      </c>
      <c r="L363" s="33"/>
      <c r="M363" s="150">
        <v>2.544</v>
      </c>
      <c r="N363" s="11">
        <f t="shared" si="273"/>
        <v>0</v>
      </c>
      <c r="O363" s="91">
        <f t="shared" si="274"/>
        <v>0</v>
      </c>
      <c r="P363" s="1123"/>
    </row>
    <row r="364" spans="2:16" x14ac:dyDescent="0.25">
      <c r="B364" s="1112"/>
      <c r="C364" s="39" t="s">
        <v>66</v>
      </c>
      <c r="D364" s="22" t="s">
        <v>133</v>
      </c>
      <c r="E364" s="3">
        <v>0</v>
      </c>
      <c r="F364" s="9">
        <f t="shared" si="271"/>
        <v>91045</v>
      </c>
      <c r="G364" s="4">
        <v>89500</v>
      </c>
      <c r="H364" s="8">
        <v>1545</v>
      </c>
      <c r="I364" s="6">
        <f t="shared" si="270"/>
        <v>263077</v>
      </c>
      <c r="J364" s="4">
        <f>+G364+J299</f>
        <v>256750</v>
      </c>
      <c r="K364" s="4">
        <f t="shared" si="276"/>
        <v>6327</v>
      </c>
      <c r="L364" s="33" t="e">
        <f>+J364/E364</f>
        <v>#DIV/0!</v>
      </c>
      <c r="M364" s="144">
        <v>2.2141000000000002</v>
      </c>
      <c r="N364" s="7">
        <f>+M364*G364</f>
        <v>198161.95</v>
      </c>
      <c r="O364" s="85">
        <f>+M364*J364</f>
        <v>568470.17500000005</v>
      </c>
      <c r="P364" s="1123"/>
    </row>
    <row r="365" spans="2:16" x14ac:dyDescent="0.25">
      <c r="B365" s="1112"/>
      <c r="C365" s="39"/>
      <c r="D365" s="22" t="s">
        <v>65</v>
      </c>
      <c r="E365" s="3">
        <v>0</v>
      </c>
      <c r="F365" s="9">
        <f t="shared" si="271"/>
        <v>0</v>
      </c>
      <c r="G365" s="4">
        <v>0</v>
      </c>
      <c r="H365" s="8">
        <v>0</v>
      </c>
      <c r="I365" s="6">
        <f t="shared" si="270"/>
        <v>0</v>
      </c>
      <c r="J365" s="4">
        <f t="shared" si="275"/>
        <v>0</v>
      </c>
      <c r="K365" s="4">
        <f t="shared" si="276"/>
        <v>0</v>
      </c>
      <c r="L365" s="40" t="e">
        <f t="shared" ref="L365:L366" si="277">+J365/E365</f>
        <v>#DIV/0!</v>
      </c>
      <c r="M365" s="145">
        <v>2.4565999999999999</v>
      </c>
      <c r="N365" s="11">
        <f t="shared" ref="N365:N366" si="278">+M365*G365</f>
        <v>0</v>
      </c>
      <c r="O365" s="91">
        <f t="shared" ref="O365" si="279">+M365*J365</f>
        <v>0</v>
      </c>
      <c r="P365" s="1123"/>
    </row>
    <row r="366" spans="2:16" ht="15.75" thickBot="1" x14ac:dyDescent="0.3">
      <c r="B366" s="1112"/>
      <c r="C366" s="39"/>
      <c r="D366" s="22" t="s">
        <v>126</v>
      </c>
      <c r="E366" s="3">
        <v>0</v>
      </c>
      <c r="F366" s="9">
        <f t="shared" si="271"/>
        <v>0</v>
      </c>
      <c r="G366" s="4">
        <v>0</v>
      </c>
      <c r="H366" s="8">
        <v>0</v>
      </c>
      <c r="I366" s="6">
        <f t="shared" si="270"/>
        <v>0</v>
      </c>
      <c r="J366" s="4">
        <f t="shared" si="275"/>
        <v>0</v>
      </c>
      <c r="K366" s="4">
        <f t="shared" si="276"/>
        <v>0</v>
      </c>
      <c r="L366" s="40" t="e">
        <f t="shared" si="277"/>
        <v>#DIV/0!</v>
      </c>
      <c r="M366" s="145">
        <v>2.2907000000000002</v>
      </c>
      <c r="N366" s="11">
        <f t="shared" si="278"/>
        <v>0</v>
      </c>
      <c r="O366" s="154">
        <f>+M366*J366</f>
        <v>0</v>
      </c>
      <c r="P366" s="1124"/>
    </row>
    <row r="367" spans="2:16" ht="15.75" thickBot="1" x14ac:dyDescent="0.3">
      <c r="B367" s="1112"/>
      <c r="C367" s="41" t="s">
        <v>29</v>
      </c>
      <c r="D367" s="27" t="str">
        <f>+C367</f>
        <v>TOTAL 1/2</v>
      </c>
      <c r="E367" s="42">
        <f>SUM(E360:E366)</f>
        <v>0</v>
      </c>
      <c r="F367" s="43">
        <f>SUM(F360:F366)</f>
        <v>91045</v>
      </c>
      <c r="G367" s="43">
        <f>SUM(G360:G366)</f>
        <v>89500</v>
      </c>
      <c r="H367" s="44">
        <f>SUM(H360:H366)</f>
        <v>1545</v>
      </c>
      <c r="I367" s="45">
        <f>SUM(I364:I366)</f>
        <v>263077</v>
      </c>
      <c r="J367" s="43">
        <f>SUM(J360:J366)</f>
        <v>256750</v>
      </c>
      <c r="K367" s="43">
        <f>SUM(K360:K366)</f>
        <v>6327</v>
      </c>
      <c r="L367" s="46" t="e">
        <f>+J367/E367</f>
        <v>#DIV/0!</v>
      </c>
      <c r="M367" s="47"/>
      <c r="N367" s="48">
        <f>SUM(N364:N366)</f>
        <v>198161.95</v>
      </c>
      <c r="O367" s="49">
        <f>SUM(O360:O366)</f>
        <v>568470.17500000005</v>
      </c>
      <c r="P367" s="181"/>
    </row>
    <row r="368" spans="2:16" x14ac:dyDescent="0.25">
      <c r="B368" s="1112"/>
      <c r="C368" s="1125" t="s">
        <v>67</v>
      </c>
      <c r="D368" s="22" t="s">
        <v>64</v>
      </c>
      <c r="E368" s="3">
        <v>0</v>
      </c>
      <c r="F368" s="4">
        <f>G368+H368</f>
        <v>0</v>
      </c>
      <c r="G368" s="4">
        <v>0</v>
      </c>
      <c r="H368" s="8">
        <v>0</v>
      </c>
      <c r="I368" s="16">
        <f>J368+K368</f>
        <v>109220</v>
      </c>
      <c r="J368" s="4">
        <f>G368+J303</f>
        <v>105750</v>
      </c>
      <c r="K368" s="4">
        <f>H368+K303</f>
        <v>3470</v>
      </c>
      <c r="L368" s="50" t="e">
        <f>+J368/E368</f>
        <v>#DIV/0!</v>
      </c>
      <c r="M368" s="144">
        <v>4.1712999999999996</v>
      </c>
      <c r="N368" s="7">
        <f>+M368*G368</f>
        <v>0</v>
      </c>
      <c r="O368" s="93">
        <f>+M368*J368</f>
        <v>441114.97499999998</v>
      </c>
      <c r="P368" s="1122"/>
    </row>
    <row r="369" spans="2:16" x14ac:dyDescent="0.25">
      <c r="B369" s="1112"/>
      <c r="C369" s="1126"/>
      <c r="D369" s="22" t="s">
        <v>65</v>
      </c>
      <c r="E369" s="3">
        <v>0</v>
      </c>
      <c r="F369" s="4">
        <f>G369+H369</f>
        <v>0</v>
      </c>
      <c r="G369" s="4">
        <v>0</v>
      </c>
      <c r="H369" s="8">
        <v>0</v>
      </c>
      <c r="I369" s="6">
        <f>+R1413+F369</f>
        <v>0</v>
      </c>
      <c r="J369" s="4">
        <f>G369+J304</f>
        <v>120000</v>
      </c>
      <c r="K369" s="4">
        <f>H369+K304</f>
        <v>3230</v>
      </c>
      <c r="L369" s="51" t="e">
        <f t="shared" ref="L369:L373" si="280">+J369/E369</f>
        <v>#DIV/0!</v>
      </c>
      <c r="M369" s="145">
        <v>4.8285999999999998</v>
      </c>
      <c r="N369" s="11">
        <f t="shared" ref="N369:N371" si="281">+M369*G369</f>
        <v>0</v>
      </c>
      <c r="O369" s="94">
        <f t="shared" ref="O369:O371" si="282">+M369*J369</f>
        <v>579432</v>
      </c>
      <c r="P369" s="1123"/>
    </row>
    <row r="370" spans="2:16" x14ac:dyDescent="0.25">
      <c r="B370" s="1112"/>
      <c r="C370" s="1126"/>
      <c r="D370" s="22" t="s">
        <v>127</v>
      </c>
      <c r="E370" s="3"/>
      <c r="F370" s="4">
        <f>G370+H370</f>
        <v>0</v>
      </c>
      <c r="G370" s="4">
        <v>0</v>
      </c>
      <c r="H370" s="8">
        <v>0</v>
      </c>
      <c r="I370" s="6">
        <f>+R1414+F370</f>
        <v>0</v>
      </c>
      <c r="J370" s="4">
        <f t="shared" ref="J370:J371" si="283">G370+J305</f>
        <v>0</v>
      </c>
      <c r="K370" s="4">
        <f t="shared" ref="K370:K371" si="284">H370+K305</f>
        <v>0</v>
      </c>
      <c r="L370" s="51" t="e">
        <f t="shared" si="280"/>
        <v>#DIV/0!</v>
      </c>
      <c r="M370" s="144">
        <v>4.5023</v>
      </c>
      <c r="N370" s="11">
        <f t="shared" si="281"/>
        <v>0</v>
      </c>
      <c r="O370" s="94">
        <f t="shared" si="282"/>
        <v>0</v>
      </c>
      <c r="P370" s="1123"/>
    </row>
    <row r="371" spans="2:16" ht="15.75" thickBot="1" x14ac:dyDescent="0.3">
      <c r="B371" s="1112"/>
      <c r="C371" s="1126"/>
      <c r="D371" s="22" t="s">
        <v>111</v>
      </c>
      <c r="E371" s="3">
        <v>0</v>
      </c>
      <c r="F371" s="4">
        <f t="shared" ref="F371" si="285">G371+H371</f>
        <v>0</v>
      </c>
      <c r="G371" s="4">
        <v>0</v>
      </c>
      <c r="H371" s="8">
        <v>0</v>
      </c>
      <c r="I371" s="6">
        <f>+R1414+F371</f>
        <v>0</v>
      </c>
      <c r="J371" s="4">
        <f t="shared" si="283"/>
        <v>0</v>
      </c>
      <c r="K371" s="4">
        <f t="shared" si="284"/>
        <v>0</v>
      </c>
      <c r="L371" s="51" t="e">
        <f t="shared" si="280"/>
        <v>#DIV/0!</v>
      </c>
      <c r="M371" s="144">
        <v>4.4065000000000003</v>
      </c>
      <c r="N371" s="11">
        <f t="shared" si="281"/>
        <v>0</v>
      </c>
      <c r="O371" s="94">
        <f t="shared" si="282"/>
        <v>0</v>
      </c>
      <c r="P371" s="1123"/>
    </row>
    <row r="372" spans="2:16" ht="15.75" thickBot="1" x14ac:dyDescent="0.3">
      <c r="B372" s="1112"/>
      <c r="C372" s="41" t="s">
        <v>31</v>
      </c>
      <c r="D372" s="18" t="str">
        <f>+C372</f>
        <v>TOTAL 4/4</v>
      </c>
      <c r="E372" s="42">
        <f t="shared" ref="E372:K372" si="286">SUM(E368:E371)</f>
        <v>0</v>
      </c>
      <c r="F372" s="43">
        <f t="shared" si="286"/>
        <v>0</v>
      </c>
      <c r="G372" s="43">
        <f t="shared" si="286"/>
        <v>0</v>
      </c>
      <c r="H372" s="44">
        <f t="shared" si="286"/>
        <v>0</v>
      </c>
      <c r="I372" s="45">
        <f t="shared" si="286"/>
        <v>109220</v>
      </c>
      <c r="J372" s="43">
        <f t="shared" si="286"/>
        <v>225750</v>
      </c>
      <c r="K372" s="43">
        <f t="shared" si="286"/>
        <v>6700</v>
      </c>
      <c r="L372" s="46" t="e">
        <f t="shared" si="280"/>
        <v>#DIV/0!</v>
      </c>
      <c r="M372" s="47"/>
      <c r="N372" s="48">
        <f>SUM(N368:N371)</f>
        <v>0</v>
      </c>
      <c r="O372" s="92">
        <f>SUM(O368:O371)</f>
        <v>1020546.975</v>
      </c>
      <c r="P372" s="1124"/>
    </row>
    <row r="373" spans="2:16" ht="15.75" thickBot="1" x14ac:dyDescent="0.3">
      <c r="B373" s="1121"/>
      <c r="C373" s="41" t="s">
        <v>68</v>
      </c>
      <c r="D373" s="27" t="s">
        <v>64</v>
      </c>
      <c r="E373" s="25">
        <v>0</v>
      </c>
      <c r="F373" s="20">
        <f>G373+H373</f>
        <v>0</v>
      </c>
      <c r="G373" s="20">
        <v>0</v>
      </c>
      <c r="H373" s="24">
        <v>0</v>
      </c>
      <c r="I373" s="19">
        <f>J373+K373</f>
        <v>0</v>
      </c>
      <c r="J373" s="4">
        <f>G373+J308</f>
        <v>0</v>
      </c>
      <c r="K373" s="4">
        <f>H373+K308</f>
        <v>0</v>
      </c>
      <c r="L373" s="52" t="e">
        <f t="shared" si="280"/>
        <v>#DIV/0!</v>
      </c>
      <c r="M373" s="149">
        <v>1.4086000000000001</v>
      </c>
      <c r="N373" s="26">
        <f t="shared" ref="N373" si="287">+M373*G373</f>
        <v>0</v>
      </c>
      <c r="O373" s="95">
        <f t="shared" ref="O373" si="288">+M373*J373</f>
        <v>0</v>
      </c>
      <c r="P373" s="53"/>
    </row>
    <row r="374" spans="2:16" ht="15.75" thickBot="1" x14ac:dyDescent="0.3">
      <c r="B374" s="1096" t="s">
        <v>95</v>
      </c>
      <c r="C374" s="1097"/>
      <c r="D374" s="1097"/>
      <c r="E374" s="1097"/>
      <c r="F374" s="1097"/>
      <c r="G374" s="1097"/>
      <c r="H374" s="1097"/>
      <c r="I374" s="110">
        <f>J374+K374</f>
        <v>495527</v>
      </c>
      <c r="J374" s="110">
        <f>J367+J372+J373</f>
        <v>482500</v>
      </c>
      <c r="K374" s="110">
        <f>K367+K372+K373</f>
        <v>13027</v>
      </c>
      <c r="L374" s="111"/>
      <c r="M374" s="112"/>
      <c r="N374" s="109"/>
      <c r="O374" s="77">
        <f>+O373+O372+O367</f>
        <v>1589017.15</v>
      </c>
      <c r="P374" s="84"/>
    </row>
    <row r="375" spans="2:16" x14ac:dyDescent="0.25">
      <c r="B375" s="1098" t="s">
        <v>69</v>
      </c>
      <c r="C375" s="1101" t="s">
        <v>70</v>
      </c>
      <c r="D375" s="54" t="s">
        <v>71</v>
      </c>
      <c r="E375" s="55">
        <v>0</v>
      </c>
      <c r="F375" s="56">
        <f>G375+H375</f>
        <v>0</v>
      </c>
      <c r="G375" s="56">
        <v>0</v>
      </c>
      <c r="H375" s="57">
        <v>0</v>
      </c>
      <c r="I375" s="78">
        <f>J375+K375</f>
        <v>0</v>
      </c>
      <c r="J375" s="4">
        <f>G375+J310</f>
        <v>0</v>
      </c>
      <c r="K375" s="4">
        <f>H375+K310</f>
        <v>0</v>
      </c>
      <c r="L375" s="58" t="e">
        <f t="shared" ref="L375" si="289">+J375/E375</f>
        <v>#DIV/0!</v>
      </c>
      <c r="M375" s="59">
        <v>32.946300000000001</v>
      </c>
      <c r="N375" s="60">
        <f>+M375*G375</f>
        <v>0</v>
      </c>
      <c r="O375" s="60">
        <f>M375*J375</f>
        <v>0</v>
      </c>
      <c r="P375" s="1103"/>
    </row>
    <row r="376" spans="2:16" x14ac:dyDescent="0.25">
      <c r="B376" s="1099"/>
      <c r="C376" s="1102"/>
      <c r="D376" s="61" t="s">
        <v>72</v>
      </c>
      <c r="E376" s="62">
        <v>0</v>
      </c>
      <c r="F376" s="63">
        <f>G376+H376</f>
        <v>10145</v>
      </c>
      <c r="G376" s="63">
        <v>10000</v>
      </c>
      <c r="H376" s="64">
        <v>145</v>
      </c>
      <c r="I376" s="79">
        <f>J376+K376</f>
        <v>20295</v>
      </c>
      <c r="J376" s="4">
        <f>G376+J311</f>
        <v>20000</v>
      </c>
      <c r="K376" s="4">
        <f>H376+K311</f>
        <v>295</v>
      </c>
      <c r="L376" s="65" t="e">
        <f>+J376/E376</f>
        <v>#DIV/0!</v>
      </c>
      <c r="M376" s="66">
        <v>35.398400000000002</v>
      </c>
      <c r="N376" s="67">
        <f>+M376*G376</f>
        <v>353984</v>
      </c>
      <c r="O376" s="67">
        <f>M376*J376</f>
        <v>707968</v>
      </c>
      <c r="P376" s="1104"/>
    </row>
    <row r="377" spans="2:16" x14ac:dyDescent="0.25">
      <c r="B377" s="1099"/>
      <c r="C377" s="1102"/>
      <c r="D377" s="61" t="s">
        <v>73</v>
      </c>
      <c r="E377" s="62">
        <v>0</v>
      </c>
      <c r="F377" s="63">
        <f t="shared" ref="F377:F380" si="290">G377+H377</f>
        <v>0</v>
      </c>
      <c r="G377" s="63">
        <v>0</v>
      </c>
      <c r="H377" s="64">
        <v>0</v>
      </c>
      <c r="I377" s="79">
        <f t="shared" ref="I377:I386" si="291">J377+K377</f>
        <v>0</v>
      </c>
      <c r="J377" s="4">
        <f t="shared" ref="J377:J402" si="292">G377+J312</f>
        <v>0</v>
      </c>
      <c r="K377" s="4">
        <f t="shared" ref="K377:K381" si="293">H377+K312</f>
        <v>0</v>
      </c>
      <c r="L377" s="65" t="e">
        <f t="shared" ref="L377:L390" si="294">+J377/E377</f>
        <v>#DIV/0!</v>
      </c>
      <c r="M377" s="66">
        <v>32.946300000000001</v>
      </c>
      <c r="N377" s="67">
        <f t="shared" ref="N377:N397" si="295">+M377*G377</f>
        <v>0</v>
      </c>
      <c r="O377" s="67">
        <f t="shared" ref="O377:O385" si="296">M377*J377</f>
        <v>0</v>
      </c>
      <c r="P377" s="1104"/>
    </row>
    <row r="378" spans="2:16" x14ac:dyDescent="0.25">
      <c r="B378" s="1099"/>
      <c r="C378" s="1102" t="s">
        <v>74</v>
      </c>
      <c r="D378" s="61" t="s">
        <v>75</v>
      </c>
      <c r="E378" s="62">
        <v>0</v>
      </c>
      <c r="F378" s="63">
        <f t="shared" si="290"/>
        <v>0</v>
      </c>
      <c r="G378" s="63">
        <v>0</v>
      </c>
      <c r="H378" s="64">
        <v>0</v>
      </c>
      <c r="I378" s="79">
        <f t="shared" si="291"/>
        <v>4976</v>
      </c>
      <c r="J378" s="4">
        <f t="shared" si="292"/>
        <v>4800</v>
      </c>
      <c r="K378" s="4">
        <f t="shared" si="293"/>
        <v>176</v>
      </c>
      <c r="L378" s="65" t="e">
        <f t="shared" si="294"/>
        <v>#DIV/0!</v>
      </c>
      <c r="M378" s="66">
        <v>55.4758</v>
      </c>
      <c r="N378" s="67">
        <f t="shared" si="295"/>
        <v>0</v>
      </c>
      <c r="O378" s="67">
        <f t="shared" si="296"/>
        <v>266283.84000000003</v>
      </c>
      <c r="P378" s="1104"/>
    </row>
    <row r="379" spans="2:16" x14ac:dyDescent="0.25">
      <c r="B379" s="1099"/>
      <c r="C379" s="1102"/>
      <c r="D379" s="61" t="s">
        <v>134</v>
      </c>
      <c r="E379" s="62">
        <v>0</v>
      </c>
      <c r="F379" s="63">
        <f t="shared" si="290"/>
        <v>0</v>
      </c>
      <c r="G379" s="63">
        <v>0</v>
      </c>
      <c r="H379" s="64">
        <v>0</v>
      </c>
      <c r="I379" s="79">
        <f t="shared" si="291"/>
        <v>0</v>
      </c>
      <c r="J379" s="4">
        <f t="shared" si="292"/>
        <v>0</v>
      </c>
      <c r="K379" s="4">
        <f t="shared" si="293"/>
        <v>0</v>
      </c>
      <c r="L379" s="65" t="e">
        <f t="shared" si="294"/>
        <v>#DIV/0!</v>
      </c>
      <c r="M379" s="66">
        <v>53.515999999999998</v>
      </c>
      <c r="N379" s="67">
        <f t="shared" si="295"/>
        <v>0</v>
      </c>
      <c r="O379" s="67">
        <f t="shared" si="296"/>
        <v>0</v>
      </c>
      <c r="P379" s="1104"/>
    </row>
    <row r="380" spans="2:16" x14ac:dyDescent="0.25">
      <c r="B380" s="1099"/>
      <c r="C380" s="1102"/>
      <c r="D380" s="61" t="s">
        <v>72</v>
      </c>
      <c r="E380" s="62">
        <v>0</v>
      </c>
      <c r="F380" s="63">
        <f t="shared" si="290"/>
        <v>4885</v>
      </c>
      <c r="G380" s="63">
        <v>4800</v>
      </c>
      <c r="H380" s="64">
        <v>85</v>
      </c>
      <c r="I380" s="79">
        <f t="shared" si="291"/>
        <v>7325</v>
      </c>
      <c r="J380" s="4">
        <f t="shared" si="292"/>
        <v>7200</v>
      </c>
      <c r="K380" s="4">
        <f t="shared" si="293"/>
        <v>125</v>
      </c>
      <c r="L380" s="65" t="e">
        <f t="shared" si="294"/>
        <v>#DIV/0!</v>
      </c>
      <c r="M380" s="66">
        <v>58.836300000000001</v>
      </c>
      <c r="N380" s="67">
        <f t="shared" si="295"/>
        <v>282414.24</v>
      </c>
      <c r="O380" s="67">
        <f t="shared" si="296"/>
        <v>423621.36</v>
      </c>
      <c r="P380" s="1104"/>
    </row>
    <row r="381" spans="2:16" x14ac:dyDescent="0.25">
      <c r="B381" s="1099"/>
      <c r="C381" s="1106" t="s">
        <v>76</v>
      </c>
      <c r="D381" s="61" t="s">
        <v>77</v>
      </c>
      <c r="E381" s="62">
        <v>0</v>
      </c>
      <c r="F381" s="63">
        <f>G381+H381</f>
        <v>0</v>
      </c>
      <c r="G381" s="63">
        <v>0</v>
      </c>
      <c r="H381" s="64">
        <v>0</v>
      </c>
      <c r="I381" s="79">
        <f t="shared" si="291"/>
        <v>3675</v>
      </c>
      <c r="J381" s="4">
        <f t="shared" si="292"/>
        <v>3575</v>
      </c>
      <c r="K381" s="4">
        <f t="shared" si="293"/>
        <v>100</v>
      </c>
      <c r="L381" s="65" t="e">
        <f t="shared" si="294"/>
        <v>#DIV/0!</v>
      </c>
      <c r="M381" s="66">
        <v>25.687200000000001</v>
      </c>
      <c r="N381" s="67">
        <f t="shared" si="295"/>
        <v>0</v>
      </c>
      <c r="O381" s="67">
        <f t="shared" si="296"/>
        <v>91831.74</v>
      </c>
      <c r="P381" s="1104"/>
    </row>
    <row r="382" spans="2:16" x14ac:dyDescent="0.25">
      <c r="B382" s="1099"/>
      <c r="C382" s="1107"/>
      <c r="D382" s="61" t="s">
        <v>117</v>
      </c>
      <c r="E382" s="62">
        <v>0</v>
      </c>
      <c r="F382" s="63">
        <f>G382+H382</f>
        <v>0</v>
      </c>
      <c r="G382" s="63">
        <v>0</v>
      </c>
      <c r="H382" s="64">
        <v>0</v>
      </c>
      <c r="I382" s="79">
        <f t="shared" si="291"/>
        <v>0</v>
      </c>
      <c r="J382" s="4">
        <f t="shared" si="292"/>
        <v>0</v>
      </c>
      <c r="K382" s="4">
        <f>H382+K317</f>
        <v>0</v>
      </c>
      <c r="L382" s="65" t="e">
        <f t="shared" si="294"/>
        <v>#DIV/0!</v>
      </c>
      <c r="M382" s="66">
        <v>25.033899999999999</v>
      </c>
      <c r="N382" s="67">
        <f t="shared" si="295"/>
        <v>0</v>
      </c>
      <c r="O382" s="67">
        <f t="shared" si="296"/>
        <v>0</v>
      </c>
      <c r="P382" s="1104"/>
    </row>
    <row r="383" spans="2:16" x14ac:dyDescent="0.25">
      <c r="B383" s="1099"/>
      <c r="C383" s="1106" t="s">
        <v>78</v>
      </c>
      <c r="D383" s="61" t="s">
        <v>79</v>
      </c>
      <c r="E383" s="62">
        <v>0</v>
      </c>
      <c r="F383" s="63">
        <f t="shared" ref="F383:F402" si="297">G383+H383</f>
        <v>0</v>
      </c>
      <c r="G383" s="63">
        <v>0</v>
      </c>
      <c r="H383" s="64">
        <v>0</v>
      </c>
      <c r="I383" s="79">
        <f t="shared" si="291"/>
        <v>8113</v>
      </c>
      <c r="J383" s="4">
        <f t="shared" si="292"/>
        <v>8000</v>
      </c>
      <c r="K383" s="4">
        <f t="shared" ref="K383:K402" si="298">H383+K318</f>
        <v>113</v>
      </c>
      <c r="L383" s="65" t="e">
        <f t="shared" si="294"/>
        <v>#DIV/0!</v>
      </c>
      <c r="M383" s="66">
        <v>41.992699999999999</v>
      </c>
      <c r="N383" s="67">
        <f t="shared" si="295"/>
        <v>0</v>
      </c>
      <c r="O383" s="67">
        <f t="shared" si="296"/>
        <v>335941.6</v>
      </c>
      <c r="P383" s="1104"/>
    </row>
    <row r="384" spans="2:16" x14ac:dyDescent="0.25">
      <c r="B384" s="1099"/>
      <c r="C384" s="1107"/>
      <c r="D384" s="61" t="s">
        <v>72</v>
      </c>
      <c r="E384" s="62">
        <v>0</v>
      </c>
      <c r="F384" s="63">
        <f t="shared" si="297"/>
        <v>0</v>
      </c>
      <c r="G384" s="63">
        <v>0</v>
      </c>
      <c r="H384" s="64">
        <v>0</v>
      </c>
      <c r="I384" s="79">
        <f t="shared" si="291"/>
        <v>0</v>
      </c>
      <c r="J384" s="4">
        <f t="shared" si="292"/>
        <v>0</v>
      </c>
      <c r="K384" s="4">
        <f t="shared" si="298"/>
        <v>0</v>
      </c>
      <c r="L384" s="65" t="e">
        <f t="shared" si="294"/>
        <v>#DIV/0!</v>
      </c>
      <c r="M384" s="66">
        <v>42.283799999999999</v>
      </c>
      <c r="N384" s="67">
        <f t="shared" si="295"/>
        <v>0</v>
      </c>
      <c r="O384" s="67">
        <f t="shared" si="296"/>
        <v>0</v>
      </c>
      <c r="P384" s="1104"/>
    </row>
    <row r="385" spans="2:16" x14ac:dyDescent="0.25">
      <c r="B385" s="1099"/>
      <c r="C385" s="180" t="s">
        <v>80</v>
      </c>
      <c r="D385" s="61" t="s">
        <v>81</v>
      </c>
      <c r="E385" s="62">
        <v>0</v>
      </c>
      <c r="F385" s="63">
        <f t="shared" si="297"/>
        <v>0</v>
      </c>
      <c r="G385" s="63">
        <v>0</v>
      </c>
      <c r="H385" s="64">
        <v>0</v>
      </c>
      <c r="I385" s="79">
        <f t="shared" si="291"/>
        <v>10898</v>
      </c>
      <c r="J385" s="4">
        <f t="shared" si="292"/>
        <v>10500</v>
      </c>
      <c r="K385" s="4">
        <f t="shared" si="298"/>
        <v>398</v>
      </c>
      <c r="L385" s="65" t="e">
        <f t="shared" si="294"/>
        <v>#DIV/0!</v>
      </c>
      <c r="M385" s="66">
        <v>4.3535000000000004</v>
      </c>
      <c r="N385" s="67">
        <f t="shared" si="295"/>
        <v>0</v>
      </c>
      <c r="O385" s="67">
        <f t="shared" si="296"/>
        <v>45711.750000000007</v>
      </c>
      <c r="P385" s="1104"/>
    </row>
    <row r="386" spans="2:16" x14ac:dyDescent="0.25">
      <c r="B386" s="1099"/>
      <c r="C386" s="1102" t="s">
        <v>82</v>
      </c>
      <c r="D386" s="61" t="s">
        <v>77</v>
      </c>
      <c r="E386" s="62">
        <v>0</v>
      </c>
      <c r="F386" s="63">
        <f t="shared" si="297"/>
        <v>0</v>
      </c>
      <c r="G386" s="63">
        <v>0</v>
      </c>
      <c r="H386" s="64">
        <v>0</v>
      </c>
      <c r="I386" s="79">
        <f t="shared" si="291"/>
        <v>0</v>
      </c>
      <c r="J386" s="4">
        <f t="shared" si="292"/>
        <v>0</v>
      </c>
      <c r="K386" s="4">
        <f t="shared" si="298"/>
        <v>0</v>
      </c>
      <c r="L386" s="65" t="e">
        <f t="shared" si="294"/>
        <v>#DIV/0!</v>
      </c>
      <c r="M386" s="66">
        <v>4.6184000000000003</v>
      </c>
      <c r="N386" s="67">
        <f t="shared" si="295"/>
        <v>0</v>
      </c>
      <c r="O386" s="67">
        <f>M386*J386</f>
        <v>0</v>
      </c>
      <c r="P386" s="1104"/>
    </row>
    <row r="387" spans="2:16" x14ac:dyDescent="0.25">
      <c r="B387" s="1099"/>
      <c r="C387" s="1102"/>
      <c r="D387" s="61" t="s">
        <v>119</v>
      </c>
      <c r="E387" s="62">
        <v>0</v>
      </c>
      <c r="F387" s="63">
        <f t="shared" si="297"/>
        <v>0</v>
      </c>
      <c r="G387" s="63">
        <v>0</v>
      </c>
      <c r="H387" s="64">
        <v>0</v>
      </c>
      <c r="I387" s="79">
        <f>J387+K387</f>
        <v>0</v>
      </c>
      <c r="J387" s="4">
        <f t="shared" si="292"/>
        <v>0</v>
      </c>
      <c r="K387" s="4">
        <f t="shared" si="298"/>
        <v>0</v>
      </c>
      <c r="L387" s="65" t="e">
        <f t="shared" si="294"/>
        <v>#DIV/0!</v>
      </c>
      <c r="M387" s="153">
        <v>4.6184000000000003</v>
      </c>
      <c r="N387" s="67">
        <f t="shared" si="295"/>
        <v>0</v>
      </c>
      <c r="O387" s="67">
        <f>M387*J387</f>
        <v>0</v>
      </c>
      <c r="P387" s="1104"/>
    </row>
    <row r="388" spans="2:16" x14ac:dyDescent="0.25">
      <c r="B388" s="1099"/>
      <c r="C388" s="1102"/>
      <c r="D388" s="61" t="s">
        <v>123</v>
      </c>
      <c r="E388" s="62">
        <v>0</v>
      </c>
      <c r="F388" s="63">
        <f t="shared" si="297"/>
        <v>0</v>
      </c>
      <c r="G388" s="63">
        <v>0</v>
      </c>
      <c r="H388" s="64">
        <v>0</v>
      </c>
      <c r="I388" s="79">
        <f t="shared" ref="I388:I402" si="299">J388+K388</f>
        <v>0</v>
      </c>
      <c r="J388" s="4">
        <f t="shared" si="292"/>
        <v>0</v>
      </c>
      <c r="K388" s="4">
        <f t="shared" si="298"/>
        <v>0</v>
      </c>
      <c r="L388" s="65" t="e">
        <f t="shared" si="294"/>
        <v>#DIV/0!</v>
      </c>
      <c r="M388" s="153">
        <v>4.6184000000000003</v>
      </c>
      <c r="N388" s="67">
        <f t="shared" si="295"/>
        <v>0</v>
      </c>
      <c r="O388" s="67">
        <f t="shared" ref="O388:O393" si="300">M388*J388</f>
        <v>0</v>
      </c>
      <c r="P388" s="1104"/>
    </row>
    <row r="389" spans="2:16" x14ac:dyDescent="0.25">
      <c r="B389" s="1099"/>
      <c r="C389" s="1102"/>
      <c r="D389" s="61" t="s">
        <v>124</v>
      </c>
      <c r="E389" s="62">
        <v>0</v>
      </c>
      <c r="F389" s="63">
        <f t="shared" si="297"/>
        <v>24600</v>
      </c>
      <c r="G389" s="63">
        <v>24200</v>
      </c>
      <c r="H389" s="64">
        <v>400</v>
      </c>
      <c r="I389" s="79">
        <f t="shared" si="299"/>
        <v>127524</v>
      </c>
      <c r="J389" s="4">
        <f t="shared" si="292"/>
        <v>123455</v>
      </c>
      <c r="K389" s="4">
        <f t="shared" si="298"/>
        <v>4069</v>
      </c>
      <c r="L389" s="65" t="e">
        <f t="shared" si="294"/>
        <v>#DIV/0!</v>
      </c>
      <c r="M389" s="153">
        <v>4.7636000000000003</v>
      </c>
      <c r="N389" s="67">
        <f t="shared" si="295"/>
        <v>115279.12000000001</v>
      </c>
      <c r="O389" s="67">
        <f t="shared" si="300"/>
        <v>588090.23800000001</v>
      </c>
      <c r="P389" s="1104"/>
    </row>
    <row r="390" spans="2:16" x14ac:dyDescent="0.25">
      <c r="B390" s="1099"/>
      <c r="C390" s="1102"/>
      <c r="D390" s="61" t="s">
        <v>83</v>
      </c>
      <c r="E390" s="62">
        <v>0</v>
      </c>
      <c r="F390" s="63">
        <f t="shared" si="297"/>
        <v>0</v>
      </c>
      <c r="G390" s="63">
        <v>0</v>
      </c>
      <c r="H390" s="64">
        <v>0</v>
      </c>
      <c r="I390" s="79">
        <f t="shared" si="299"/>
        <v>0</v>
      </c>
      <c r="J390" s="4">
        <f t="shared" si="292"/>
        <v>0</v>
      </c>
      <c r="K390" s="4">
        <f t="shared" si="298"/>
        <v>0</v>
      </c>
      <c r="L390" s="65" t="e">
        <f t="shared" si="294"/>
        <v>#DIV/0!</v>
      </c>
      <c r="M390" s="66">
        <v>4.8738000000000001</v>
      </c>
      <c r="N390" s="67">
        <f t="shared" si="295"/>
        <v>0</v>
      </c>
      <c r="O390" s="67">
        <f t="shared" si="300"/>
        <v>0</v>
      </c>
      <c r="P390" s="1104"/>
    </row>
    <row r="391" spans="2:16" x14ac:dyDescent="0.25">
      <c r="B391" s="1099"/>
      <c r="C391" s="180" t="s">
        <v>128</v>
      </c>
      <c r="D391" s="61" t="s">
        <v>124</v>
      </c>
      <c r="E391" s="62"/>
      <c r="F391" s="63">
        <f t="shared" si="297"/>
        <v>0</v>
      </c>
      <c r="G391" s="63">
        <v>0</v>
      </c>
      <c r="H391" s="64">
        <v>0</v>
      </c>
      <c r="I391" s="79">
        <f t="shared" si="299"/>
        <v>0</v>
      </c>
      <c r="J391" s="4">
        <f t="shared" si="292"/>
        <v>0</v>
      </c>
      <c r="K391" s="4">
        <f t="shared" si="298"/>
        <v>0</v>
      </c>
      <c r="L391" s="65"/>
      <c r="M391" s="66">
        <v>4.8738000000000001</v>
      </c>
      <c r="N391" s="67">
        <f t="shared" si="295"/>
        <v>0</v>
      </c>
      <c r="O391" s="67">
        <f t="shared" si="300"/>
        <v>0</v>
      </c>
      <c r="P391" s="1104"/>
    </row>
    <row r="392" spans="2:16" x14ac:dyDescent="0.25">
      <c r="B392" s="1099"/>
      <c r="C392" s="1102" t="s">
        <v>84</v>
      </c>
      <c r="D392" s="61" t="s">
        <v>77</v>
      </c>
      <c r="E392" s="62">
        <v>0</v>
      </c>
      <c r="F392" s="63">
        <f t="shared" si="297"/>
        <v>32250</v>
      </c>
      <c r="G392" s="63">
        <v>31950</v>
      </c>
      <c r="H392" s="64">
        <v>300</v>
      </c>
      <c r="I392" s="79">
        <f t="shared" si="299"/>
        <v>130479</v>
      </c>
      <c r="J392" s="4">
        <f t="shared" si="292"/>
        <v>128800</v>
      </c>
      <c r="K392" s="4">
        <f t="shared" si="298"/>
        <v>1679</v>
      </c>
      <c r="L392" s="65" t="e">
        <f t="shared" ref="L392:L402" si="301">+J392/E392</f>
        <v>#DIV/0!</v>
      </c>
      <c r="M392" s="66">
        <v>4.9344999999999999</v>
      </c>
      <c r="N392" s="67">
        <f t="shared" si="295"/>
        <v>157657.27499999999</v>
      </c>
      <c r="O392" s="67">
        <f t="shared" si="300"/>
        <v>635563.6</v>
      </c>
      <c r="P392" s="1104"/>
    </row>
    <row r="393" spans="2:16" x14ac:dyDescent="0.25">
      <c r="B393" s="1099"/>
      <c r="C393" s="1102"/>
      <c r="D393" s="61" t="s">
        <v>135</v>
      </c>
      <c r="E393" s="62"/>
      <c r="F393" s="63">
        <f t="shared" si="297"/>
        <v>0</v>
      </c>
      <c r="G393" s="63">
        <v>0</v>
      </c>
      <c r="H393" s="64">
        <v>0</v>
      </c>
      <c r="I393" s="79">
        <f t="shared" si="299"/>
        <v>0</v>
      </c>
      <c r="J393" s="4">
        <f t="shared" si="292"/>
        <v>0</v>
      </c>
      <c r="K393" s="4">
        <f t="shared" si="298"/>
        <v>0</v>
      </c>
      <c r="L393" s="65" t="e">
        <f t="shared" si="301"/>
        <v>#DIV/0!</v>
      </c>
      <c r="M393" s="66">
        <v>4.9344999999999999</v>
      </c>
      <c r="N393" s="67">
        <f t="shared" si="295"/>
        <v>0</v>
      </c>
      <c r="O393" s="67">
        <f t="shared" si="300"/>
        <v>0</v>
      </c>
      <c r="P393" s="1104"/>
    </row>
    <row r="394" spans="2:16" x14ac:dyDescent="0.25">
      <c r="B394" s="1099"/>
      <c r="C394" s="1102"/>
      <c r="D394" s="61" t="s">
        <v>129</v>
      </c>
      <c r="E394" s="62">
        <v>0</v>
      </c>
      <c r="F394" s="63">
        <f t="shared" si="297"/>
        <v>0</v>
      </c>
      <c r="G394" s="155">
        <v>0</v>
      </c>
      <c r="H394" s="156">
        <v>0</v>
      </c>
      <c r="I394" s="157">
        <f t="shared" si="299"/>
        <v>0</v>
      </c>
      <c r="J394" s="4">
        <f t="shared" si="292"/>
        <v>0</v>
      </c>
      <c r="K394" s="4">
        <f t="shared" si="298"/>
        <v>0</v>
      </c>
      <c r="L394" s="158" t="e">
        <f t="shared" si="301"/>
        <v>#DIV/0!</v>
      </c>
      <c r="M394" s="66">
        <v>4.9344999999999999</v>
      </c>
      <c r="N394" s="159">
        <f t="shared" si="295"/>
        <v>0</v>
      </c>
      <c r="O394" s="67">
        <f>M394*J394</f>
        <v>0</v>
      </c>
      <c r="P394" s="1104"/>
    </row>
    <row r="395" spans="2:16" x14ac:dyDescent="0.25">
      <c r="B395" s="1099"/>
      <c r="C395" s="1102" t="s">
        <v>85</v>
      </c>
      <c r="D395" s="61" t="s">
        <v>77</v>
      </c>
      <c r="E395" s="62">
        <v>0</v>
      </c>
      <c r="F395" s="63">
        <f t="shared" si="297"/>
        <v>29400</v>
      </c>
      <c r="G395" s="63">
        <v>29000</v>
      </c>
      <c r="H395" s="64">
        <v>400</v>
      </c>
      <c r="I395" s="79">
        <f t="shared" si="299"/>
        <v>112123</v>
      </c>
      <c r="J395" s="4">
        <f t="shared" si="292"/>
        <v>105950</v>
      </c>
      <c r="K395" s="4">
        <f t="shared" si="298"/>
        <v>6173</v>
      </c>
      <c r="L395" s="65" t="e">
        <f t="shared" si="301"/>
        <v>#DIV/0!</v>
      </c>
      <c r="M395" s="148">
        <v>5.5069999999999997</v>
      </c>
      <c r="N395" s="67">
        <f t="shared" si="295"/>
        <v>159703</v>
      </c>
      <c r="O395" s="67">
        <f>M395*J395</f>
        <v>583466.65</v>
      </c>
      <c r="P395" s="1104"/>
    </row>
    <row r="396" spans="2:16" x14ac:dyDescent="0.25">
      <c r="B396" s="1099"/>
      <c r="C396" s="1102"/>
      <c r="D396" s="61" t="s">
        <v>112</v>
      </c>
      <c r="E396" s="62">
        <v>0</v>
      </c>
      <c r="F396" s="63">
        <f t="shared" si="297"/>
        <v>0</v>
      </c>
      <c r="G396" s="63">
        <v>0</v>
      </c>
      <c r="H396" s="64">
        <v>0</v>
      </c>
      <c r="I396" s="79">
        <f t="shared" si="299"/>
        <v>0</v>
      </c>
      <c r="J396" s="4">
        <f t="shared" si="292"/>
        <v>0</v>
      </c>
      <c r="K396" s="4">
        <f t="shared" si="298"/>
        <v>0</v>
      </c>
      <c r="L396" s="65" t="e">
        <f t="shared" si="301"/>
        <v>#DIV/0!</v>
      </c>
      <c r="M396" s="147">
        <v>5.6550000000000002</v>
      </c>
      <c r="N396" s="67">
        <f t="shared" si="295"/>
        <v>0</v>
      </c>
      <c r="O396" s="67">
        <f>M396*J396</f>
        <v>0</v>
      </c>
      <c r="P396" s="1104"/>
    </row>
    <row r="397" spans="2:16" x14ac:dyDescent="0.25">
      <c r="B397" s="1099"/>
      <c r="C397" s="1102"/>
      <c r="D397" s="61" t="s">
        <v>118</v>
      </c>
      <c r="E397" s="62">
        <v>0</v>
      </c>
      <c r="F397" s="63">
        <f t="shared" si="297"/>
        <v>0</v>
      </c>
      <c r="G397" s="63">
        <v>0</v>
      </c>
      <c r="H397" s="64">
        <v>0</v>
      </c>
      <c r="I397" s="79">
        <f t="shared" si="299"/>
        <v>0</v>
      </c>
      <c r="J397" s="4">
        <f t="shared" si="292"/>
        <v>0</v>
      </c>
      <c r="K397" s="4">
        <f t="shared" si="298"/>
        <v>0</v>
      </c>
      <c r="L397" s="65" t="e">
        <f t="shared" si="301"/>
        <v>#DIV/0!</v>
      </c>
      <c r="M397" s="152">
        <v>5.6550000000000002</v>
      </c>
      <c r="N397" s="67">
        <f t="shared" si="295"/>
        <v>0</v>
      </c>
      <c r="O397" s="67">
        <f>M397*J397</f>
        <v>0</v>
      </c>
      <c r="P397" s="1104"/>
    </row>
    <row r="398" spans="2:16" x14ac:dyDescent="0.25">
      <c r="B398" s="1099"/>
      <c r="C398" s="1102"/>
      <c r="D398" s="61" t="s">
        <v>121</v>
      </c>
      <c r="E398" s="62">
        <v>0</v>
      </c>
      <c r="F398" s="63">
        <f t="shared" si="297"/>
        <v>2700</v>
      </c>
      <c r="G398" s="63">
        <v>2700</v>
      </c>
      <c r="H398" s="64">
        <v>0</v>
      </c>
      <c r="I398" s="79">
        <f t="shared" si="299"/>
        <v>12400</v>
      </c>
      <c r="J398" s="4">
        <f t="shared" si="292"/>
        <v>10900</v>
      </c>
      <c r="K398" s="4">
        <f t="shared" si="298"/>
        <v>1500</v>
      </c>
      <c r="L398" s="65" t="e">
        <f t="shared" si="301"/>
        <v>#DIV/0!</v>
      </c>
      <c r="M398" s="66">
        <v>5.7885299999999997</v>
      </c>
      <c r="N398" s="67">
        <f>+M398*G398</f>
        <v>15629.030999999999</v>
      </c>
      <c r="O398" s="67">
        <f>M398*J398</f>
        <v>63094.976999999999</v>
      </c>
      <c r="P398" s="1104"/>
    </row>
    <row r="399" spans="2:16" x14ac:dyDescent="0.25">
      <c r="B399" s="1099"/>
      <c r="C399" s="1102"/>
      <c r="D399" s="61" t="s">
        <v>136</v>
      </c>
      <c r="E399" s="62">
        <v>0</v>
      </c>
      <c r="F399" s="63">
        <f t="shared" si="297"/>
        <v>0</v>
      </c>
      <c r="G399" s="63">
        <v>0</v>
      </c>
      <c r="H399" s="64">
        <v>0</v>
      </c>
      <c r="I399" s="79">
        <f t="shared" si="299"/>
        <v>0</v>
      </c>
      <c r="J399" s="4">
        <f t="shared" si="292"/>
        <v>0</v>
      </c>
      <c r="K399" s="4">
        <f t="shared" si="298"/>
        <v>0</v>
      </c>
      <c r="L399" s="65" t="e">
        <f t="shared" si="301"/>
        <v>#DIV/0!</v>
      </c>
      <c r="M399" s="152">
        <v>5.6550000000000002</v>
      </c>
      <c r="N399" s="67">
        <f t="shared" ref="N399:N401" si="302">+M399*G399</f>
        <v>0</v>
      </c>
      <c r="O399" s="67">
        <f t="shared" ref="O399:O402" si="303">M399*J399</f>
        <v>0</v>
      </c>
      <c r="P399" s="1104"/>
    </row>
    <row r="400" spans="2:16" x14ac:dyDescent="0.25">
      <c r="B400" s="1099"/>
      <c r="C400" s="180" t="s">
        <v>86</v>
      </c>
      <c r="D400" s="61" t="s">
        <v>77</v>
      </c>
      <c r="E400" s="62">
        <v>0</v>
      </c>
      <c r="F400" s="63">
        <f t="shared" si="297"/>
        <v>0</v>
      </c>
      <c r="G400" s="63">
        <v>0</v>
      </c>
      <c r="H400" s="64">
        <v>0</v>
      </c>
      <c r="I400" s="79">
        <f t="shared" si="299"/>
        <v>0</v>
      </c>
      <c r="J400" s="4">
        <f t="shared" si="292"/>
        <v>0</v>
      </c>
      <c r="K400" s="4">
        <f t="shared" si="298"/>
        <v>0</v>
      </c>
      <c r="L400" s="65" t="e">
        <f t="shared" si="301"/>
        <v>#DIV/0!</v>
      </c>
      <c r="M400" s="66">
        <v>3.2963</v>
      </c>
      <c r="N400" s="67">
        <f t="shared" si="302"/>
        <v>0</v>
      </c>
      <c r="O400" s="67">
        <f t="shared" si="303"/>
        <v>0</v>
      </c>
      <c r="P400" s="1104"/>
    </row>
    <row r="401" spans="2:16" x14ac:dyDescent="0.25">
      <c r="B401" s="1099"/>
      <c r="C401" s="180" t="s">
        <v>87</v>
      </c>
      <c r="D401" s="61" t="s">
        <v>77</v>
      </c>
      <c r="E401" s="62">
        <v>0</v>
      </c>
      <c r="F401" s="63">
        <f t="shared" si="297"/>
        <v>0</v>
      </c>
      <c r="G401" s="63">
        <v>0</v>
      </c>
      <c r="H401" s="64">
        <v>0</v>
      </c>
      <c r="I401" s="79">
        <f t="shared" si="299"/>
        <v>0</v>
      </c>
      <c r="J401" s="4">
        <f t="shared" si="292"/>
        <v>0</v>
      </c>
      <c r="K401" s="4">
        <f t="shared" si="298"/>
        <v>0</v>
      </c>
      <c r="L401" s="65" t="e">
        <f t="shared" si="301"/>
        <v>#DIV/0!</v>
      </c>
      <c r="M401" s="66">
        <v>3.2963</v>
      </c>
      <c r="N401" s="67">
        <f t="shared" si="302"/>
        <v>0</v>
      </c>
      <c r="O401" s="67">
        <f t="shared" si="303"/>
        <v>0</v>
      </c>
      <c r="P401" s="1104"/>
    </row>
    <row r="402" spans="2:16" ht="15.75" thickBot="1" x14ac:dyDescent="0.3">
      <c r="B402" s="1099"/>
      <c r="C402" s="68" t="s">
        <v>88</v>
      </c>
      <c r="D402" s="69" t="s">
        <v>89</v>
      </c>
      <c r="E402" s="70">
        <v>0</v>
      </c>
      <c r="F402" s="71">
        <f t="shared" si="297"/>
        <v>65030</v>
      </c>
      <c r="G402" s="71">
        <v>65000</v>
      </c>
      <c r="H402" s="72">
        <v>30</v>
      </c>
      <c r="I402" s="80">
        <f t="shared" si="299"/>
        <v>65030</v>
      </c>
      <c r="J402" s="4">
        <f t="shared" si="292"/>
        <v>65000</v>
      </c>
      <c r="K402" s="4">
        <f t="shared" si="298"/>
        <v>30</v>
      </c>
      <c r="L402" s="65" t="e">
        <f t="shared" si="301"/>
        <v>#DIV/0!</v>
      </c>
      <c r="M402" s="73">
        <v>2.3201000000000001</v>
      </c>
      <c r="N402" s="74">
        <f t="shared" ref="N402" si="304">M402*G402</f>
        <v>150806.5</v>
      </c>
      <c r="O402" s="74">
        <f t="shared" si="303"/>
        <v>150806.5</v>
      </c>
      <c r="P402" s="1105"/>
    </row>
    <row r="403" spans="2:16" ht="15.75" thickBot="1" x14ac:dyDescent="0.3">
      <c r="B403" s="1100"/>
      <c r="C403" s="1108" t="s">
        <v>99</v>
      </c>
      <c r="D403" s="1109"/>
      <c r="E403" s="1109"/>
      <c r="F403" s="1109"/>
      <c r="G403" s="1109"/>
      <c r="H403" s="1110"/>
      <c r="I403" s="116">
        <f>J403+K403</f>
        <v>502838</v>
      </c>
      <c r="J403" s="115">
        <f>SUM(J375:J402)</f>
        <v>488180</v>
      </c>
      <c r="K403" s="115">
        <f>SUM(K375:K402)</f>
        <v>14658</v>
      </c>
      <c r="L403" s="114"/>
      <c r="M403" s="113"/>
      <c r="N403" s="114"/>
      <c r="O403" s="97">
        <f>SUM(O375:O402)</f>
        <v>3892380.2549999999</v>
      </c>
      <c r="P403" s="96"/>
    </row>
    <row r="404" spans="2:16" ht="15.75" thickBot="1" x14ac:dyDescent="0.3">
      <c r="B404" s="100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2"/>
    </row>
    <row r="405" spans="2:16" ht="15.75" thickBot="1" x14ac:dyDescent="0.3">
      <c r="B405" s="1093" t="s">
        <v>100</v>
      </c>
      <c r="C405" s="1094"/>
      <c r="D405" s="1094"/>
      <c r="E405" s="1094"/>
      <c r="F405" s="1094"/>
      <c r="G405" s="1094"/>
      <c r="H405" s="1094"/>
      <c r="I405" s="1094"/>
      <c r="J405" s="1094"/>
      <c r="K405" s="1094"/>
      <c r="L405" s="1094"/>
      <c r="M405" s="1094"/>
      <c r="N405" s="1095"/>
      <c r="O405" s="103">
        <f>+O403+O374+O359</f>
        <v>8438824.8289999999</v>
      </c>
      <c r="P405" s="96"/>
    </row>
    <row r="406" spans="2:16" ht="15.75" thickBot="1" x14ac:dyDescent="0.3"/>
    <row r="407" spans="2:16" x14ac:dyDescent="0.25">
      <c r="B407" s="1127" t="s">
        <v>1</v>
      </c>
      <c r="C407" s="1129" t="s">
        <v>2</v>
      </c>
      <c r="D407" s="1132" t="s">
        <v>3</v>
      </c>
      <c r="E407" s="1135" t="s">
        <v>4</v>
      </c>
      <c r="F407" s="1136"/>
      <c r="G407" s="1136"/>
      <c r="H407" s="1136"/>
      <c r="I407" s="1136"/>
      <c r="J407" s="1136"/>
      <c r="K407" s="1136"/>
      <c r="L407" s="1137"/>
      <c r="M407" s="1138" t="s">
        <v>5</v>
      </c>
      <c r="N407" s="1139"/>
      <c r="O407" s="1140"/>
      <c r="P407" s="1132" t="s">
        <v>6</v>
      </c>
    </row>
    <row r="408" spans="2:16" x14ac:dyDescent="0.25">
      <c r="B408" s="1128"/>
      <c r="C408" s="1130"/>
      <c r="D408" s="1133"/>
      <c r="E408" s="1141" t="s">
        <v>7</v>
      </c>
      <c r="F408" s="1143" t="s">
        <v>146</v>
      </c>
      <c r="G408" s="1143"/>
      <c r="H408" s="1144"/>
      <c r="I408" s="1145" t="s">
        <v>8</v>
      </c>
      <c r="J408" s="1143"/>
      <c r="K408" s="1143"/>
      <c r="L408" s="1144" t="s">
        <v>9</v>
      </c>
      <c r="M408" s="1147" t="s">
        <v>10</v>
      </c>
      <c r="N408" s="1149" t="s">
        <v>11</v>
      </c>
      <c r="O408" s="1151" t="s">
        <v>12</v>
      </c>
      <c r="P408" s="1133"/>
    </row>
    <row r="409" spans="2:16" ht="15.75" thickBot="1" x14ac:dyDescent="0.3">
      <c r="B409" s="1128"/>
      <c r="C409" s="1131"/>
      <c r="D409" s="1134"/>
      <c r="E409" s="1142"/>
      <c r="F409" s="2" t="s">
        <v>13</v>
      </c>
      <c r="G409" s="2" t="s">
        <v>14</v>
      </c>
      <c r="H409" s="187" t="s">
        <v>15</v>
      </c>
      <c r="I409" s="142" t="s">
        <v>13</v>
      </c>
      <c r="J409" s="2" t="s">
        <v>14</v>
      </c>
      <c r="K409" s="2" t="s">
        <v>15</v>
      </c>
      <c r="L409" s="1146"/>
      <c r="M409" s="1148"/>
      <c r="N409" s="1150"/>
      <c r="O409" s="1152"/>
      <c r="P409" s="1134"/>
    </row>
    <row r="410" spans="2:16" x14ac:dyDescent="0.25">
      <c r="B410" s="1111" t="s">
        <v>53</v>
      </c>
      <c r="C410" s="29"/>
      <c r="D410" s="117" t="s">
        <v>143</v>
      </c>
      <c r="E410" s="98">
        <v>0</v>
      </c>
      <c r="F410" s="4">
        <f>+G410+H410</f>
        <v>66760</v>
      </c>
      <c r="G410" s="4">
        <v>65520</v>
      </c>
      <c r="H410" s="8">
        <v>1240</v>
      </c>
      <c r="I410" s="6">
        <f>J410+K410</f>
        <v>224702</v>
      </c>
      <c r="J410" s="4">
        <f>G410+J345</f>
        <v>220640</v>
      </c>
      <c r="K410" s="4">
        <f>H410+K345</f>
        <v>4062</v>
      </c>
      <c r="L410" s="33" t="e">
        <f>+J410/E410</f>
        <v>#DIV/0!</v>
      </c>
      <c r="M410" s="104">
        <v>1.3652</v>
      </c>
      <c r="N410" s="31">
        <f>G410*M410</f>
        <v>89447.903999999995</v>
      </c>
      <c r="O410" s="86">
        <f>M410*J410</f>
        <v>301217.728</v>
      </c>
      <c r="P410" s="1113"/>
    </row>
    <row r="411" spans="2:16" x14ac:dyDescent="0.25">
      <c r="B411" s="1112"/>
      <c r="C411" s="32"/>
      <c r="D411" s="118" t="s">
        <v>109</v>
      </c>
      <c r="E411" s="99">
        <v>0</v>
      </c>
      <c r="F411" s="9">
        <f>+G411+H411</f>
        <v>0</v>
      </c>
      <c r="G411" s="9">
        <v>0</v>
      </c>
      <c r="H411" s="10">
        <v>0</v>
      </c>
      <c r="I411" s="6">
        <f>J411+K411</f>
        <v>0</v>
      </c>
      <c r="J411" s="4">
        <f>+G411+J346</f>
        <v>0</v>
      </c>
      <c r="K411" s="4">
        <f>+H411+K346</f>
        <v>0</v>
      </c>
      <c r="L411" s="33"/>
      <c r="M411" s="105">
        <v>5.9917999999999996</v>
      </c>
      <c r="N411" s="34">
        <f>M411*G411</f>
        <v>0</v>
      </c>
      <c r="O411" s="87">
        <f>M411*J411</f>
        <v>0</v>
      </c>
      <c r="P411" s="1114"/>
    </row>
    <row r="412" spans="2:16" x14ac:dyDescent="0.25">
      <c r="B412" s="1112"/>
      <c r="C412" s="35"/>
      <c r="D412" s="119" t="s">
        <v>55</v>
      </c>
      <c r="E412" s="99">
        <v>0</v>
      </c>
      <c r="F412" s="9">
        <f t="shared" ref="F412:F416" si="305">+G412+H412</f>
        <v>173896</v>
      </c>
      <c r="G412" s="9">
        <f>57500+115000</f>
        <v>172500</v>
      </c>
      <c r="H412" s="10">
        <f>534+862</f>
        <v>1396</v>
      </c>
      <c r="I412" s="6">
        <f t="shared" ref="I412:I416" si="306">J412+K412</f>
        <v>1336583</v>
      </c>
      <c r="J412" s="4">
        <f t="shared" ref="J412:J416" si="307">+G412+J347</f>
        <v>1325750</v>
      </c>
      <c r="K412" s="4">
        <f t="shared" ref="K412:K416" si="308">+H412+K347</f>
        <v>10833</v>
      </c>
      <c r="L412" s="33" t="e">
        <f t="shared" ref="L412" si="309">+J412/E412</f>
        <v>#DIV/0!</v>
      </c>
      <c r="M412" s="106">
        <v>2.3807999999999998</v>
      </c>
      <c r="N412" s="36">
        <f>G412*M412</f>
        <v>410687.99999999994</v>
      </c>
      <c r="O412" s="88">
        <f>M412*J412</f>
        <v>3156345.5999999996</v>
      </c>
      <c r="P412" s="1114"/>
    </row>
    <row r="413" spans="2:16" x14ac:dyDescent="0.25">
      <c r="B413" s="1112"/>
      <c r="C413" s="35"/>
      <c r="D413" s="119" t="s">
        <v>56</v>
      </c>
      <c r="E413" s="99">
        <v>0</v>
      </c>
      <c r="F413" s="9">
        <f t="shared" si="305"/>
        <v>0</v>
      </c>
      <c r="G413" s="9">
        <v>0</v>
      </c>
      <c r="H413" s="10">
        <v>0</v>
      </c>
      <c r="I413" s="6">
        <f t="shared" si="306"/>
        <v>0</v>
      </c>
      <c r="J413" s="4">
        <f t="shared" si="307"/>
        <v>0</v>
      </c>
      <c r="K413" s="4">
        <f t="shared" si="308"/>
        <v>0</v>
      </c>
      <c r="L413" s="33"/>
      <c r="M413" s="106">
        <v>2.1457999999999999</v>
      </c>
      <c r="N413" s="36">
        <f t="shared" ref="N413:N416" si="310">G413*M413</f>
        <v>0</v>
      </c>
      <c r="O413" s="88">
        <f>M413*J413</f>
        <v>0</v>
      </c>
      <c r="P413" s="1114"/>
    </row>
    <row r="414" spans="2:16" x14ac:dyDescent="0.25">
      <c r="B414" s="1112"/>
      <c r="C414" s="35"/>
      <c r="D414" s="119" t="s">
        <v>106</v>
      </c>
      <c r="E414" s="99">
        <v>0</v>
      </c>
      <c r="F414" s="9">
        <f t="shared" si="305"/>
        <v>0</v>
      </c>
      <c r="G414" s="9">
        <v>0</v>
      </c>
      <c r="H414" s="10">
        <v>0</v>
      </c>
      <c r="I414" s="6">
        <f t="shared" si="306"/>
        <v>0</v>
      </c>
      <c r="J414" s="4">
        <f t="shared" si="307"/>
        <v>0</v>
      </c>
      <c r="K414" s="4">
        <f t="shared" si="308"/>
        <v>0</v>
      </c>
      <c r="L414" s="33" t="e">
        <f t="shared" ref="L414:L415" si="311">+J414/E414</f>
        <v>#DIV/0!</v>
      </c>
      <c r="M414" s="143">
        <v>4.0426000000000002</v>
      </c>
      <c r="N414" s="36">
        <f t="shared" si="310"/>
        <v>0</v>
      </c>
      <c r="O414" s="88">
        <f>M414*J414</f>
        <v>0</v>
      </c>
      <c r="P414" s="1114"/>
    </row>
    <row r="415" spans="2:16" x14ac:dyDescent="0.25">
      <c r="B415" s="1112"/>
      <c r="C415" s="35"/>
      <c r="D415" s="119" t="s">
        <v>110</v>
      </c>
      <c r="E415" s="99">
        <v>0</v>
      </c>
      <c r="F415" s="9">
        <f t="shared" si="305"/>
        <v>0</v>
      </c>
      <c r="G415" s="9">
        <v>0</v>
      </c>
      <c r="H415" s="10">
        <v>0</v>
      </c>
      <c r="I415" s="6">
        <f t="shared" si="306"/>
        <v>0</v>
      </c>
      <c r="J415" s="4">
        <f t="shared" si="307"/>
        <v>0</v>
      </c>
      <c r="K415" s="4">
        <f t="shared" si="308"/>
        <v>0</v>
      </c>
      <c r="L415" s="33" t="e">
        <f t="shared" si="311"/>
        <v>#DIV/0!</v>
      </c>
      <c r="M415" s="143">
        <v>3.8715000000000002</v>
      </c>
      <c r="N415" s="36">
        <f t="shared" si="310"/>
        <v>0</v>
      </c>
      <c r="O415" s="88">
        <f t="shared" ref="O415:O416" si="312">M415*J415</f>
        <v>0</v>
      </c>
      <c r="P415" s="1114"/>
    </row>
    <row r="416" spans="2:16" ht="15.75" thickBot="1" x14ac:dyDescent="0.3">
      <c r="B416" s="1112"/>
      <c r="C416" s="82"/>
      <c r="D416" s="120" t="s">
        <v>57</v>
      </c>
      <c r="E416" s="108">
        <v>0</v>
      </c>
      <c r="F416" s="12">
        <f t="shared" si="305"/>
        <v>0</v>
      </c>
      <c r="G416" s="12">
        <v>0</v>
      </c>
      <c r="H416" s="13">
        <v>0</v>
      </c>
      <c r="I416" s="21">
        <f t="shared" si="306"/>
        <v>0</v>
      </c>
      <c r="J416" s="4">
        <f t="shared" si="307"/>
        <v>0</v>
      </c>
      <c r="K416" s="4">
        <f t="shared" si="308"/>
        <v>0</v>
      </c>
      <c r="L416" s="81"/>
      <c r="M416" s="127">
        <v>12.284700000000001</v>
      </c>
      <c r="N416" s="36">
        <f t="shared" si="310"/>
        <v>0</v>
      </c>
      <c r="O416" s="128">
        <f t="shared" si="312"/>
        <v>0</v>
      </c>
      <c r="P416" s="1114"/>
    </row>
    <row r="417" spans="2:16" ht="15.75" thickBot="1" x14ac:dyDescent="0.3">
      <c r="B417" s="1112"/>
      <c r="C417" s="1117" t="s">
        <v>104</v>
      </c>
      <c r="D417" s="1118"/>
      <c r="E417" s="129"/>
      <c r="F417" s="130">
        <f>SUM(F410:F416)</f>
        <v>240656</v>
      </c>
      <c r="G417" s="130">
        <f>SUM(G410:G416)</f>
        <v>238020</v>
      </c>
      <c r="H417" s="131">
        <f>SUM(H410:H416)</f>
        <v>2636</v>
      </c>
      <c r="I417" s="132">
        <f>+J417+K417</f>
        <v>1561285</v>
      </c>
      <c r="J417" s="133">
        <f>SUM(J410:J416)</f>
        <v>1546390</v>
      </c>
      <c r="K417" s="133">
        <f>SUM(K410:K416)</f>
        <v>14895</v>
      </c>
      <c r="L417" s="134"/>
      <c r="M417" s="135"/>
      <c r="N417" s="136"/>
      <c r="O417" s="137">
        <f>SUM(O410:O416)</f>
        <v>3457563.3279999997</v>
      </c>
      <c r="P417" s="1115"/>
    </row>
    <row r="418" spans="2:16" x14ac:dyDescent="0.25">
      <c r="B418" s="1112"/>
      <c r="C418" s="32"/>
      <c r="D418" s="118" t="s">
        <v>58</v>
      </c>
      <c r="E418" s="98">
        <v>0</v>
      </c>
      <c r="F418" s="4">
        <f t="shared" ref="F418:F421" si="313">+G418+H418</f>
        <v>0</v>
      </c>
      <c r="G418" s="4">
        <v>0</v>
      </c>
      <c r="H418" s="8">
        <v>0</v>
      </c>
      <c r="I418" s="6">
        <f t="shared" ref="I418:I422" si="314">J418+K418</f>
        <v>0</v>
      </c>
      <c r="J418" s="4">
        <f>G418+J353</f>
        <v>0</v>
      </c>
      <c r="K418" s="4">
        <f>H418+K353</f>
        <v>0</v>
      </c>
      <c r="L418" s="33" t="e">
        <f t="shared" ref="L418" si="315">+J418/E418</f>
        <v>#DIV/0!</v>
      </c>
      <c r="M418" s="105">
        <v>12.029500000000001</v>
      </c>
      <c r="N418" s="34">
        <f>M418*G418</f>
        <v>0</v>
      </c>
      <c r="O418" s="87">
        <f t="shared" ref="O418:O420" si="316">M418*J418</f>
        <v>0</v>
      </c>
      <c r="P418" s="1114"/>
    </row>
    <row r="419" spans="2:16" x14ac:dyDescent="0.25">
      <c r="B419" s="1112"/>
      <c r="C419" s="35"/>
      <c r="D419" s="119" t="s">
        <v>59</v>
      </c>
      <c r="E419" s="99">
        <v>0</v>
      </c>
      <c r="F419" s="9">
        <f t="shared" si="313"/>
        <v>0</v>
      </c>
      <c r="G419" s="9">
        <v>0</v>
      </c>
      <c r="H419" s="10">
        <v>0</v>
      </c>
      <c r="I419" s="6">
        <f t="shared" si="314"/>
        <v>0</v>
      </c>
      <c r="J419" s="4">
        <f>G419+J354</f>
        <v>0</v>
      </c>
      <c r="K419" s="4">
        <f>H419+K354</f>
        <v>0</v>
      </c>
      <c r="L419" s="33"/>
      <c r="M419" s="106">
        <v>0</v>
      </c>
      <c r="N419" s="36"/>
      <c r="O419" s="88">
        <f t="shared" si="316"/>
        <v>0</v>
      </c>
      <c r="P419" s="1114"/>
    </row>
    <row r="420" spans="2:16" x14ac:dyDescent="0.25">
      <c r="B420" s="1112"/>
      <c r="C420" s="35"/>
      <c r="D420" s="119" t="s">
        <v>97</v>
      </c>
      <c r="E420" s="99">
        <v>0</v>
      </c>
      <c r="F420" s="9">
        <f t="shared" si="313"/>
        <v>0</v>
      </c>
      <c r="G420" s="9">
        <v>0</v>
      </c>
      <c r="H420" s="10">
        <v>0</v>
      </c>
      <c r="I420" s="6">
        <f t="shared" si="314"/>
        <v>0</v>
      </c>
      <c r="J420" s="4">
        <f t="shared" ref="J420:J422" si="317">G420+J355</f>
        <v>0</v>
      </c>
      <c r="K420" s="4">
        <f t="shared" ref="K420:K422" si="318">H420+K355</f>
        <v>0</v>
      </c>
      <c r="L420" s="33" t="e">
        <f t="shared" ref="L420:L422" si="319">+J420/E420</f>
        <v>#DIV/0!</v>
      </c>
      <c r="M420" s="106">
        <v>19.688600000000001</v>
      </c>
      <c r="N420" s="36">
        <f>M420*G420</f>
        <v>0</v>
      </c>
      <c r="O420" s="88">
        <f t="shared" si="316"/>
        <v>0</v>
      </c>
      <c r="P420" s="1114"/>
    </row>
    <row r="421" spans="2:16" x14ac:dyDescent="0.25">
      <c r="B421" s="1112"/>
      <c r="C421" s="35"/>
      <c r="D421" s="119" t="s">
        <v>61</v>
      </c>
      <c r="E421" s="99">
        <v>0</v>
      </c>
      <c r="F421" s="9">
        <f t="shared" si="313"/>
        <v>0</v>
      </c>
      <c r="G421" s="9">
        <v>0</v>
      </c>
      <c r="H421" s="10">
        <v>0</v>
      </c>
      <c r="I421" s="6">
        <f t="shared" si="314"/>
        <v>0</v>
      </c>
      <c r="J421" s="4">
        <f t="shared" si="317"/>
        <v>0</v>
      </c>
      <c r="K421" s="4">
        <f t="shared" si="318"/>
        <v>0</v>
      </c>
      <c r="L421" s="33" t="e">
        <f t="shared" si="319"/>
        <v>#DIV/0!</v>
      </c>
      <c r="M421" s="106">
        <v>1.2824</v>
      </c>
      <c r="N421" s="151">
        <f>M421*G421</f>
        <v>0</v>
      </c>
      <c r="O421" s="88">
        <f>M421*J421</f>
        <v>0</v>
      </c>
      <c r="P421" s="1114"/>
    </row>
    <row r="422" spans="2:16" ht="15.75" thickBot="1" x14ac:dyDescent="0.3">
      <c r="B422" s="1112"/>
      <c r="C422" s="82"/>
      <c r="D422" s="120" t="s">
        <v>60</v>
      </c>
      <c r="E422" s="108">
        <v>0</v>
      </c>
      <c r="F422" s="12">
        <v>0</v>
      </c>
      <c r="G422" s="12">
        <v>8640</v>
      </c>
      <c r="H422" s="13">
        <v>174</v>
      </c>
      <c r="I422" s="21">
        <f t="shared" si="314"/>
        <v>8814</v>
      </c>
      <c r="J422" s="4">
        <f t="shared" si="317"/>
        <v>8640</v>
      </c>
      <c r="K422" s="4">
        <f t="shared" si="318"/>
        <v>174</v>
      </c>
      <c r="L422" s="81" t="e">
        <f t="shared" si="319"/>
        <v>#DIV/0!</v>
      </c>
      <c r="M422" s="107">
        <v>18.2316</v>
      </c>
      <c r="N422" s="75"/>
      <c r="O422" s="89">
        <f t="shared" ref="O422" si="320">M422*J422</f>
        <v>157521.024</v>
      </c>
      <c r="P422" s="1116"/>
    </row>
    <row r="423" spans="2:16" ht="15.75" thickBot="1" x14ac:dyDescent="0.3">
      <c r="B423" s="1096" t="s">
        <v>105</v>
      </c>
      <c r="C423" s="1097"/>
      <c r="D423" s="1097"/>
      <c r="E423" s="124"/>
      <c r="F423" s="125">
        <f>+G423+H423</f>
        <v>8814</v>
      </c>
      <c r="G423" s="125">
        <f>SUM(G418:G422)</f>
        <v>8640</v>
      </c>
      <c r="H423" s="126">
        <f>SUM(H418:H422)</f>
        <v>174</v>
      </c>
      <c r="I423" s="121">
        <f>J423+K423</f>
        <v>8814</v>
      </c>
      <c r="J423" s="122">
        <f>SUM(J418:J422)</f>
        <v>8640</v>
      </c>
      <c r="K423" s="123">
        <f>SUM(K418:K422)</f>
        <v>174</v>
      </c>
      <c r="L423" s="138"/>
      <c r="M423" s="139"/>
      <c r="N423" s="140"/>
      <c r="O423" s="141">
        <f>SUM(O418:O422)</f>
        <v>157521.024</v>
      </c>
      <c r="P423" s="185"/>
    </row>
    <row r="424" spans="2:16" ht="15.75" thickBot="1" x14ac:dyDescent="0.3">
      <c r="B424" s="1096" t="s">
        <v>98</v>
      </c>
      <c r="C424" s="1097"/>
      <c r="D424" s="1097"/>
      <c r="E424" s="1119"/>
      <c r="F424" s="1119"/>
      <c r="G424" s="1119"/>
      <c r="H424" s="1119"/>
      <c r="I424" s="1097"/>
      <c r="J424" s="1097"/>
      <c r="K424" s="1097"/>
      <c r="L424" s="1097"/>
      <c r="M424" s="1097"/>
      <c r="N424" s="1120"/>
      <c r="O424" s="83">
        <f>O417+O423</f>
        <v>3615084.352</v>
      </c>
      <c r="P424" s="185"/>
    </row>
    <row r="425" spans="2:16" x14ac:dyDescent="0.25">
      <c r="B425" s="1111" t="s">
        <v>62</v>
      </c>
      <c r="C425" s="37" t="s">
        <v>63</v>
      </c>
      <c r="D425" s="28" t="s">
        <v>64</v>
      </c>
      <c r="E425" s="38">
        <v>0</v>
      </c>
      <c r="F425" s="14">
        <f>+G425+H425</f>
        <v>0</v>
      </c>
      <c r="G425" s="14">
        <v>0</v>
      </c>
      <c r="H425" s="5">
        <v>0</v>
      </c>
      <c r="I425" s="17">
        <f t="shared" ref="I425:I431" si="321">J425+K425</f>
        <v>0</v>
      </c>
      <c r="J425" s="4">
        <f>G425+J360</f>
        <v>0</v>
      </c>
      <c r="K425" s="4">
        <f>H425+K360</f>
        <v>0</v>
      </c>
      <c r="L425" s="30" t="e">
        <f>+J425/E425</f>
        <v>#DIV/0!</v>
      </c>
      <c r="M425" s="146">
        <v>2.2141000000000002</v>
      </c>
      <c r="N425" s="15">
        <f>+M425*G425</f>
        <v>0</v>
      </c>
      <c r="O425" s="90">
        <f>+M425*J425</f>
        <v>0</v>
      </c>
      <c r="P425" s="1122"/>
    </row>
    <row r="426" spans="2:16" x14ac:dyDescent="0.25">
      <c r="B426" s="1112"/>
      <c r="C426" s="39"/>
      <c r="D426" s="22" t="s">
        <v>65</v>
      </c>
      <c r="E426" s="3">
        <v>0</v>
      </c>
      <c r="F426" s="9">
        <f t="shared" ref="F426:F431" si="322">+G426+H426</f>
        <v>0</v>
      </c>
      <c r="G426" s="4">
        <v>0</v>
      </c>
      <c r="H426" s="8">
        <v>0</v>
      </c>
      <c r="I426" s="6">
        <f t="shared" si="321"/>
        <v>0</v>
      </c>
      <c r="J426" s="4">
        <f>+G426+J361</f>
        <v>0</v>
      </c>
      <c r="K426" s="4">
        <f>+H426+K361</f>
        <v>0</v>
      </c>
      <c r="L426" s="40" t="e">
        <f t="shared" ref="L426:L427" si="323">+J426/E426</f>
        <v>#DIV/0!</v>
      </c>
      <c r="M426" s="145">
        <v>2.4565999999999999</v>
      </c>
      <c r="N426" s="11">
        <f t="shared" ref="N426:N428" si="324">+M426*G426</f>
        <v>0</v>
      </c>
      <c r="O426" s="91">
        <f t="shared" ref="O426:O428" si="325">+M426*J426</f>
        <v>0</v>
      </c>
      <c r="P426" s="1123"/>
    </row>
    <row r="427" spans="2:16" x14ac:dyDescent="0.25">
      <c r="B427" s="1112"/>
      <c r="C427" s="39"/>
      <c r="D427" s="23" t="s">
        <v>126</v>
      </c>
      <c r="E427" s="3">
        <v>0</v>
      </c>
      <c r="F427" s="9">
        <f t="shared" si="322"/>
        <v>0</v>
      </c>
      <c r="G427" s="4">
        <v>0</v>
      </c>
      <c r="H427" s="8">
        <v>0</v>
      </c>
      <c r="I427" s="6">
        <f t="shared" si="321"/>
        <v>0</v>
      </c>
      <c r="J427" s="4">
        <f t="shared" ref="J427:J428" si="326">+G427+J362</f>
        <v>0</v>
      </c>
      <c r="K427" s="4">
        <f t="shared" ref="K427:K431" si="327">+H427+K362</f>
        <v>0</v>
      </c>
      <c r="L427" s="40" t="e">
        <f t="shared" si="323"/>
        <v>#DIV/0!</v>
      </c>
      <c r="M427" s="145">
        <v>2.2907000000000002</v>
      </c>
      <c r="N427" s="11">
        <f t="shared" si="324"/>
        <v>0</v>
      </c>
      <c r="O427" s="91">
        <f t="shared" si="325"/>
        <v>0</v>
      </c>
      <c r="P427" s="1123"/>
    </row>
    <row r="428" spans="2:16" x14ac:dyDescent="0.25">
      <c r="B428" s="1112"/>
      <c r="C428" s="39"/>
      <c r="D428" s="22" t="s">
        <v>131</v>
      </c>
      <c r="E428" s="3"/>
      <c r="F428" s="9">
        <f t="shared" si="322"/>
        <v>0</v>
      </c>
      <c r="G428" s="4">
        <v>0</v>
      </c>
      <c r="H428" s="8">
        <v>0</v>
      </c>
      <c r="I428" s="6">
        <f t="shared" si="321"/>
        <v>0</v>
      </c>
      <c r="J428" s="4">
        <f t="shared" si="326"/>
        <v>0</v>
      </c>
      <c r="K428" s="4">
        <f t="shared" si="327"/>
        <v>0</v>
      </c>
      <c r="L428" s="33"/>
      <c r="M428" s="150">
        <v>2.544</v>
      </c>
      <c r="N428" s="11">
        <f t="shared" si="324"/>
        <v>0</v>
      </c>
      <c r="O428" s="91">
        <f t="shared" si="325"/>
        <v>0</v>
      </c>
      <c r="P428" s="1123"/>
    </row>
    <row r="429" spans="2:16" x14ac:dyDescent="0.25">
      <c r="B429" s="1112"/>
      <c r="C429" s="39" t="s">
        <v>66</v>
      </c>
      <c r="D429" s="22" t="s">
        <v>133</v>
      </c>
      <c r="E429" s="3">
        <v>0</v>
      </c>
      <c r="F429" s="9">
        <f t="shared" si="322"/>
        <v>98540</v>
      </c>
      <c r="G429" s="4">
        <v>97000</v>
      </c>
      <c r="H429" s="8">
        <v>1540</v>
      </c>
      <c r="I429" s="6">
        <f t="shared" si="321"/>
        <v>361617</v>
      </c>
      <c r="J429" s="4">
        <f>+G429+J364</f>
        <v>353750</v>
      </c>
      <c r="K429" s="4">
        <f t="shared" si="327"/>
        <v>7867</v>
      </c>
      <c r="L429" s="33" t="e">
        <f>+J429/E429</f>
        <v>#DIV/0!</v>
      </c>
      <c r="M429" s="144">
        <v>2.2141000000000002</v>
      </c>
      <c r="N429" s="7">
        <f>+M429*G429</f>
        <v>214767.7</v>
      </c>
      <c r="O429" s="85">
        <f>+M429*J429</f>
        <v>783237.87500000012</v>
      </c>
      <c r="P429" s="1123"/>
    </row>
    <row r="430" spans="2:16" x14ac:dyDescent="0.25">
      <c r="B430" s="1112"/>
      <c r="C430" s="39"/>
      <c r="D430" s="22" t="s">
        <v>65</v>
      </c>
      <c r="E430" s="3">
        <v>0</v>
      </c>
      <c r="F430" s="9">
        <f t="shared" si="322"/>
        <v>0</v>
      </c>
      <c r="G430" s="4">
        <v>0</v>
      </c>
      <c r="H430" s="8">
        <v>0</v>
      </c>
      <c r="I430" s="6">
        <f t="shared" si="321"/>
        <v>0</v>
      </c>
      <c r="J430" s="4">
        <f t="shared" ref="J430:J431" si="328">+G430+J365</f>
        <v>0</v>
      </c>
      <c r="K430" s="4">
        <f t="shared" si="327"/>
        <v>0</v>
      </c>
      <c r="L430" s="40" t="e">
        <f t="shared" ref="L430:L431" si="329">+J430/E430</f>
        <v>#DIV/0!</v>
      </c>
      <c r="M430" s="145">
        <v>2.4565999999999999</v>
      </c>
      <c r="N430" s="11">
        <f t="shared" ref="N430:N431" si="330">+M430*G430</f>
        <v>0</v>
      </c>
      <c r="O430" s="91">
        <f t="shared" ref="O430" si="331">+M430*J430</f>
        <v>0</v>
      </c>
      <c r="P430" s="1123"/>
    </row>
    <row r="431" spans="2:16" ht="15.75" thickBot="1" x14ac:dyDescent="0.3">
      <c r="B431" s="1112"/>
      <c r="C431" s="39"/>
      <c r="D431" s="22" t="s">
        <v>126</v>
      </c>
      <c r="E431" s="3">
        <v>0</v>
      </c>
      <c r="F431" s="9">
        <f t="shared" si="322"/>
        <v>0</v>
      </c>
      <c r="G431" s="4">
        <v>0</v>
      </c>
      <c r="H431" s="8">
        <v>0</v>
      </c>
      <c r="I431" s="6">
        <f t="shared" si="321"/>
        <v>0</v>
      </c>
      <c r="J431" s="4">
        <f t="shared" si="328"/>
        <v>0</v>
      </c>
      <c r="K431" s="4">
        <f t="shared" si="327"/>
        <v>0</v>
      </c>
      <c r="L431" s="40" t="e">
        <f t="shared" si="329"/>
        <v>#DIV/0!</v>
      </c>
      <c r="M431" s="145">
        <v>2.2907000000000002</v>
      </c>
      <c r="N431" s="11">
        <f t="shared" si="330"/>
        <v>0</v>
      </c>
      <c r="O431" s="154">
        <f>+M431*J431</f>
        <v>0</v>
      </c>
      <c r="P431" s="1124"/>
    </row>
    <row r="432" spans="2:16" ht="15.75" thickBot="1" x14ac:dyDescent="0.3">
      <c r="B432" s="1112"/>
      <c r="C432" s="41" t="s">
        <v>29</v>
      </c>
      <c r="D432" s="27" t="str">
        <f>+C432</f>
        <v>TOTAL 1/2</v>
      </c>
      <c r="E432" s="42">
        <f>SUM(E425:E431)</f>
        <v>0</v>
      </c>
      <c r="F432" s="43">
        <f>SUM(F425:F431)</f>
        <v>98540</v>
      </c>
      <c r="G432" s="43">
        <f>SUM(G425:G431)</f>
        <v>97000</v>
      </c>
      <c r="H432" s="44">
        <f>SUM(H425:H431)</f>
        <v>1540</v>
      </c>
      <c r="I432" s="45">
        <f>SUM(I429:I431)</f>
        <v>361617</v>
      </c>
      <c r="J432" s="43">
        <f>SUM(J425:J431)</f>
        <v>353750</v>
      </c>
      <c r="K432" s="43">
        <f>SUM(K425:K431)</f>
        <v>7867</v>
      </c>
      <c r="L432" s="46" t="e">
        <f>+J432/E432</f>
        <v>#DIV/0!</v>
      </c>
      <c r="M432" s="47"/>
      <c r="N432" s="48">
        <f>SUM(N429:N431)</f>
        <v>214767.7</v>
      </c>
      <c r="O432" s="49">
        <f>SUM(O425:O431)</f>
        <v>783237.87500000012</v>
      </c>
      <c r="P432" s="186"/>
    </row>
    <row r="433" spans="2:16" x14ac:dyDescent="0.25">
      <c r="B433" s="1112"/>
      <c r="C433" s="1125" t="s">
        <v>67</v>
      </c>
      <c r="D433" s="22" t="s">
        <v>64</v>
      </c>
      <c r="E433" s="3">
        <v>0</v>
      </c>
      <c r="F433" s="4">
        <f>G433+H433</f>
        <v>0</v>
      </c>
      <c r="G433" s="4">
        <v>0</v>
      </c>
      <c r="H433" s="8">
        <v>0</v>
      </c>
      <c r="I433" s="16">
        <f>J433+K433</f>
        <v>109220</v>
      </c>
      <c r="J433" s="4">
        <f>G433+J368</f>
        <v>105750</v>
      </c>
      <c r="K433" s="4">
        <f>H433+K368</f>
        <v>3470</v>
      </c>
      <c r="L433" s="50" t="e">
        <f>+J433/E433</f>
        <v>#DIV/0!</v>
      </c>
      <c r="M433" s="144">
        <v>4.1712999999999996</v>
      </c>
      <c r="N433" s="7">
        <f>+M433*G433</f>
        <v>0</v>
      </c>
      <c r="O433" s="93">
        <f>+M433*J433</f>
        <v>441114.97499999998</v>
      </c>
      <c r="P433" s="1122"/>
    </row>
    <row r="434" spans="2:16" x14ac:dyDescent="0.25">
      <c r="B434" s="1112"/>
      <c r="C434" s="1126"/>
      <c r="D434" s="22" t="s">
        <v>65</v>
      </c>
      <c r="E434" s="3">
        <v>0</v>
      </c>
      <c r="F434" s="4">
        <f>G434+H434</f>
        <v>0</v>
      </c>
      <c r="G434" s="4">
        <v>0</v>
      </c>
      <c r="H434" s="8">
        <v>0</v>
      </c>
      <c r="I434" s="6">
        <f>+R1478+F434</f>
        <v>0</v>
      </c>
      <c r="J434" s="4">
        <f>G434+J369</f>
        <v>120000</v>
      </c>
      <c r="K434" s="4">
        <f>H434+K369</f>
        <v>3230</v>
      </c>
      <c r="L434" s="51" t="e">
        <f t="shared" ref="L434:L438" si="332">+J434/E434</f>
        <v>#DIV/0!</v>
      </c>
      <c r="M434" s="145">
        <v>4.8285999999999998</v>
      </c>
      <c r="N434" s="11">
        <f t="shared" ref="N434:N436" si="333">+M434*G434</f>
        <v>0</v>
      </c>
      <c r="O434" s="94">
        <f t="shared" ref="O434:O436" si="334">+M434*J434</f>
        <v>579432</v>
      </c>
      <c r="P434" s="1123"/>
    </row>
    <row r="435" spans="2:16" x14ac:dyDescent="0.25">
      <c r="B435" s="1112"/>
      <c r="C435" s="1126"/>
      <c r="D435" s="22" t="s">
        <v>127</v>
      </c>
      <c r="E435" s="3"/>
      <c r="F435" s="4">
        <f>G435+H435</f>
        <v>0</v>
      </c>
      <c r="G435" s="4">
        <v>0</v>
      </c>
      <c r="H435" s="8">
        <v>0</v>
      </c>
      <c r="I435" s="6">
        <f>+R1479+F435</f>
        <v>0</v>
      </c>
      <c r="J435" s="4">
        <f t="shared" ref="J435:J436" si="335">G435+J370</f>
        <v>0</v>
      </c>
      <c r="K435" s="4">
        <f t="shared" ref="K435:K436" si="336">H435+K370</f>
        <v>0</v>
      </c>
      <c r="L435" s="51" t="e">
        <f t="shared" si="332"/>
        <v>#DIV/0!</v>
      </c>
      <c r="M435" s="144">
        <v>4.5023</v>
      </c>
      <c r="N435" s="11">
        <f t="shared" si="333"/>
        <v>0</v>
      </c>
      <c r="O435" s="94">
        <f t="shared" si="334"/>
        <v>0</v>
      </c>
      <c r="P435" s="1123"/>
    </row>
    <row r="436" spans="2:16" ht="15.75" thickBot="1" x14ac:dyDescent="0.3">
      <c r="B436" s="1112"/>
      <c r="C436" s="1126"/>
      <c r="D436" s="22" t="s">
        <v>111</v>
      </c>
      <c r="E436" s="3">
        <v>0</v>
      </c>
      <c r="F436" s="4">
        <f t="shared" ref="F436" si="337">G436+H436</f>
        <v>0</v>
      </c>
      <c r="G436" s="4">
        <v>0</v>
      </c>
      <c r="H436" s="8">
        <v>0</v>
      </c>
      <c r="I436" s="6">
        <f>+R1479+F436</f>
        <v>0</v>
      </c>
      <c r="J436" s="4">
        <f t="shared" si="335"/>
        <v>0</v>
      </c>
      <c r="K436" s="4">
        <f t="shared" si="336"/>
        <v>0</v>
      </c>
      <c r="L436" s="51" t="e">
        <f t="shared" si="332"/>
        <v>#DIV/0!</v>
      </c>
      <c r="M436" s="144">
        <v>4.4065000000000003</v>
      </c>
      <c r="N436" s="11">
        <f t="shared" si="333"/>
        <v>0</v>
      </c>
      <c r="O436" s="94">
        <f t="shared" si="334"/>
        <v>0</v>
      </c>
      <c r="P436" s="1123"/>
    </row>
    <row r="437" spans="2:16" ht="15.75" thickBot="1" x14ac:dyDescent="0.3">
      <c r="B437" s="1112"/>
      <c r="C437" s="41" t="s">
        <v>31</v>
      </c>
      <c r="D437" s="18" t="str">
        <f>+C437</f>
        <v>TOTAL 4/4</v>
      </c>
      <c r="E437" s="42">
        <f t="shared" ref="E437:K437" si="338">SUM(E433:E436)</f>
        <v>0</v>
      </c>
      <c r="F437" s="43">
        <f t="shared" si="338"/>
        <v>0</v>
      </c>
      <c r="G437" s="43">
        <f t="shared" si="338"/>
        <v>0</v>
      </c>
      <c r="H437" s="44">
        <f t="shared" si="338"/>
        <v>0</v>
      </c>
      <c r="I437" s="45">
        <f t="shared" si="338"/>
        <v>109220</v>
      </c>
      <c r="J437" s="43">
        <f t="shared" si="338"/>
        <v>225750</v>
      </c>
      <c r="K437" s="43">
        <f t="shared" si="338"/>
        <v>6700</v>
      </c>
      <c r="L437" s="46" t="e">
        <f t="shared" si="332"/>
        <v>#DIV/0!</v>
      </c>
      <c r="M437" s="47"/>
      <c r="N437" s="48">
        <f>SUM(N433:N436)</f>
        <v>0</v>
      </c>
      <c r="O437" s="92">
        <f>SUM(O433:O436)</f>
        <v>1020546.975</v>
      </c>
      <c r="P437" s="1124"/>
    </row>
    <row r="438" spans="2:16" ht="15.75" thickBot="1" x14ac:dyDescent="0.3">
      <c r="B438" s="1121"/>
      <c r="C438" s="41" t="s">
        <v>68</v>
      </c>
      <c r="D438" s="27" t="s">
        <v>64</v>
      </c>
      <c r="E438" s="25">
        <v>0</v>
      </c>
      <c r="F438" s="20">
        <f>G438+H438</f>
        <v>0</v>
      </c>
      <c r="G438" s="20">
        <v>0</v>
      </c>
      <c r="H438" s="24">
        <v>0</v>
      </c>
      <c r="I438" s="19">
        <f>J438+K438</f>
        <v>0</v>
      </c>
      <c r="J438" s="4">
        <f>G438+J373</f>
        <v>0</v>
      </c>
      <c r="K438" s="4">
        <f>H438+K373</f>
        <v>0</v>
      </c>
      <c r="L438" s="52" t="e">
        <f t="shared" si="332"/>
        <v>#DIV/0!</v>
      </c>
      <c r="M438" s="149">
        <v>1.4086000000000001</v>
      </c>
      <c r="N438" s="26">
        <f t="shared" ref="N438" si="339">+M438*G438</f>
        <v>0</v>
      </c>
      <c r="O438" s="95">
        <f t="shared" ref="O438" si="340">+M438*J438</f>
        <v>0</v>
      </c>
      <c r="P438" s="53"/>
    </row>
    <row r="439" spans="2:16" ht="15.75" thickBot="1" x14ac:dyDescent="0.3">
      <c r="B439" s="1096" t="s">
        <v>95</v>
      </c>
      <c r="C439" s="1097"/>
      <c r="D439" s="1097"/>
      <c r="E439" s="1097"/>
      <c r="F439" s="1097"/>
      <c r="G439" s="1097"/>
      <c r="H439" s="1097"/>
      <c r="I439" s="110">
        <f>J439+K439</f>
        <v>594067</v>
      </c>
      <c r="J439" s="110">
        <f>J432+J437+J438</f>
        <v>579500</v>
      </c>
      <c r="K439" s="110">
        <f>K432+K437+K438</f>
        <v>14567</v>
      </c>
      <c r="L439" s="111"/>
      <c r="M439" s="112"/>
      <c r="N439" s="109"/>
      <c r="O439" s="77">
        <f>+O438+O437+O432</f>
        <v>1803784.85</v>
      </c>
      <c r="P439" s="84"/>
    </row>
    <row r="440" spans="2:16" x14ac:dyDescent="0.25">
      <c r="B440" s="1098" t="s">
        <v>69</v>
      </c>
      <c r="C440" s="1101" t="s">
        <v>70</v>
      </c>
      <c r="D440" s="54" t="s">
        <v>71</v>
      </c>
      <c r="E440" s="55">
        <v>0</v>
      </c>
      <c r="F440" s="56">
        <f>G440+H440</f>
        <v>0</v>
      </c>
      <c r="G440" s="56">
        <v>0</v>
      </c>
      <c r="H440" s="57">
        <v>0</v>
      </c>
      <c r="I440" s="78">
        <f>J440+K440</f>
        <v>0</v>
      </c>
      <c r="J440" s="4">
        <f>G440+J375</f>
        <v>0</v>
      </c>
      <c r="K440" s="4">
        <f>H440+K375</f>
        <v>0</v>
      </c>
      <c r="L440" s="58" t="e">
        <f t="shared" ref="L440" si="341">+J440/E440</f>
        <v>#DIV/0!</v>
      </c>
      <c r="M440" s="59">
        <v>32.946300000000001</v>
      </c>
      <c r="N440" s="60">
        <f>+M440*G440</f>
        <v>0</v>
      </c>
      <c r="O440" s="60">
        <f>M440*J440</f>
        <v>0</v>
      </c>
      <c r="P440" s="1103"/>
    </row>
    <row r="441" spans="2:16" x14ac:dyDescent="0.25">
      <c r="B441" s="1099"/>
      <c r="C441" s="1102"/>
      <c r="D441" s="61" t="s">
        <v>72</v>
      </c>
      <c r="E441" s="62">
        <v>0</v>
      </c>
      <c r="F441" s="63">
        <f>G441+H441</f>
        <v>0</v>
      </c>
      <c r="G441" s="63">
        <v>0</v>
      </c>
      <c r="H441" s="64">
        <v>0</v>
      </c>
      <c r="I441" s="79">
        <f>J441+K441</f>
        <v>20295</v>
      </c>
      <c r="J441" s="4">
        <f>G441+J376</f>
        <v>20000</v>
      </c>
      <c r="K441" s="4">
        <f>H441+K376</f>
        <v>295</v>
      </c>
      <c r="L441" s="65" t="e">
        <f>+J441/E441</f>
        <v>#DIV/0!</v>
      </c>
      <c r="M441" s="66">
        <v>35.398400000000002</v>
      </c>
      <c r="N441" s="67">
        <f>+M441*G441</f>
        <v>0</v>
      </c>
      <c r="O441" s="67">
        <f>M441*J441</f>
        <v>707968</v>
      </c>
      <c r="P441" s="1104"/>
    </row>
    <row r="442" spans="2:16" x14ac:dyDescent="0.25">
      <c r="B442" s="1099"/>
      <c r="C442" s="1102"/>
      <c r="D442" s="61" t="s">
        <v>73</v>
      </c>
      <c r="E442" s="62">
        <v>0</v>
      </c>
      <c r="F442" s="63">
        <f t="shared" ref="F442:F445" si="342">G442+H442</f>
        <v>0</v>
      </c>
      <c r="G442" s="63">
        <v>0</v>
      </c>
      <c r="H442" s="64">
        <v>0</v>
      </c>
      <c r="I442" s="79">
        <f t="shared" ref="I442:I451" si="343">J442+K442</f>
        <v>0</v>
      </c>
      <c r="J442" s="4">
        <f t="shared" ref="J442:J467" si="344">G442+J377</f>
        <v>0</v>
      </c>
      <c r="K442" s="4">
        <f t="shared" ref="K442:K446" si="345">H442+K377</f>
        <v>0</v>
      </c>
      <c r="L442" s="65" t="e">
        <f t="shared" ref="L442:L455" si="346">+J442/E442</f>
        <v>#DIV/0!</v>
      </c>
      <c r="M442" s="66">
        <v>32.946300000000001</v>
      </c>
      <c r="N442" s="67">
        <f t="shared" ref="N442:N462" si="347">+M442*G442</f>
        <v>0</v>
      </c>
      <c r="O442" s="67">
        <f t="shared" ref="O442:O450" si="348">M442*J442</f>
        <v>0</v>
      </c>
      <c r="P442" s="1104"/>
    </row>
    <row r="443" spans="2:16" x14ac:dyDescent="0.25">
      <c r="B443" s="1099"/>
      <c r="C443" s="1102" t="s">
        <v>74</v>
      </c>
      <c r="D443" s="61" t="s">
        <v>75</v>
      </c>
      <c r="E443" s="62">
        <v>0</v>
      </c>
      <c r="F443" s="63">
        <f t="shared" si="342"/>
        <v>4903</v>
      </c>
      <c r="G443" s="63">
        <v>4800</v>
      </c>
      <c r="H443" s="64">
        <v>103</v>
      </c>
      <c r="I443" s="79">
        <f t="shared" si="343"/>
        <v>9879</v>
      </c>
      <c r="J443" s="4">
        <f t="shared" si="344"/>
        <v>9600</v>
      </c>
      <c r="K443" s="4">
        <f t="shared" si="345"/>
        <v>279</v>
      </c>
      <c r="L443" s="65" t="e">
        <f t="shared" si="346"/>
        <v>#DIV/0!</v>
      </c>
      <c r="M443" s="66">
        <v>55.4758</v>
      </c>
      <c r="N443" s="67">
        <f t="shared" si="347"/>
        <v>266283.84000000003</v>
      </c>
      <c r="O443" s="67">
        <f t="shared" si="348"/>
        <v>532567.68000000005</v>
      </c>
      <c r="P443" s="1104"/>
    </row>
    <row r="444" spans="2:16" x14ac:dyDescent="0.25">
      <c r="B444" s="1099"/>
      <c r="C444" s="1102"/>
      <c r="D444" s="61" t="s">
        <v>134</v>
      </c>
      <c r="E444" s="62">
        <v>0</v>
      </c>
      <c r="F444" s="63">
        <f t="shared" si="342"/>
        <v>0</v>
      </c>
      <c r="G444" s="63">
        <v>0</v>
      </c>
      <c r="H444" s="64">
        <v>0</v>
      </c>
      <c r="I444" s="79">
        <f t="shared" si="343"/>
        <v>0</v>
      </c>
      <c r="J444" s="4">
        <f t="shared" si="344"/>
        <v>0</v>
      </c>
      <c r="K444" s="4">
        <f t="shared" si="345"/>
        <v>0</v>
      </c>
      <c r="L444" s="65" t="e">
        <f t="shared" si="346"/>
        <v>#DIV/0!</v>
      </c>
      <c r="M444" s="66">
        <v>53.515999999999998</v>
      </c>
      <c r="N444" s="67">
        <f t="shared" si="347"/>
        <v>0</v>
      </c>
      <c r="O444" s="67">
        <f t="shared" si="348"/>
        <v>0</v>
      </c>
      <c r="P444" s="1104"/>
    </row>
    <row r="445" spans="2:16" x14ac:dyDescent="0.25">
      <c r="B445" s="1099"/>
      <c r="C445" s="1102"/>
      <c r="D445" s="61" t="s">
        <v>72</v>
      </c>
      <c r="E445" s="62">
        <v>0</v>
      </c>
      <c r="F445" s="63">
        <f t="shared" si="342"/>
        <v>2479</v>
      </c>
      <c r="G445" s="63">
        <v>2400</v>
      </c>
      <c r="H445" s="64">
        <v>79</v>
      </c>
      <c r="I445" s="79">
        <f t="shared" si="343"/>
        <v>9804</v>
      </c>
      <c r="J445" s="4">
        <f t="shared" si="344"/>
        <v>9600</v>
      </c>
      <c r="K445" s="4">
        <f t="shared" si="345"/>
        <v>204</v>
      </c>
      <c r="L445" s="65" t="e">
        <f t="shared" si="346"/>
        <v>#DIV/0!</v>
      </c>
      <c r="M445" s="66">
        <v>58.836300000000001</v>
      </c>
      <c r="N445" s="67">
        <f t="shared" si="347"/>
        <v>141207.12</v>
      </c>
      <c r="O445" s="67">
        <f t="shared" si="348"/>
        <v>564828.48</v>
      </c>
      <c r="P445" s="1104"/>
    </row>
    <row r="446" spans="2:16" x14ac:dyDescent="0.25">
      <c r="B446" s="1099"/>
      <c r="C446" s="1106" t="s">
        <v>76</v>
      </c>
      <c r="D446" s="61" t="s">
        <v>77</v>
      </c>
      <c r="E446" s="62">
        <v>0</v>
      </c>
      <c r="F446" s="63">
        <f>G446+H446</f>
        <v>0</v>
      </c>
      <c r="G446" s="63">
        <v>0</v>
      </c>
      <c r="H446" s="64">
        <v>0</v>
      </c>
      <c r="I446" s="79">
        <f t="shared" si="343"/>
        <v>3675</v>
      </c>
      <c r="J446" s="4">
        <f t="shared" si="344"/>
        <v>3575</v>
      </c>
      <c r="K446" s="4">
        <f t="shared" si="345"/>
        <v>100</v>
      </c>
      <c r="L446" s="65" t="e">
        <f t="shared" si="346"/>
        <v>#DIV/0!</v>
      </c>
      <c r="M446" s="66">
        <v>25.687200000000001</v>
      </c>
      <c r="N446" s="67">
        <f t="shared" si="347"/>
        <v>0</v>
      </c>
      <c r="O446" s="67">
        <f t="shared" si="348"/>
        <v>91831.74</v>
      </c>
      <c r="P446" s="1104"/>
    </row>
    <row r="447" spans="2:16" x14ac:dyDescent="0.25">
      <c r="B447" s="1099"/>
      <c r="C447" s="1107"/>
      <c r="D447" s="61" t="s">
        <v>117</v>
      </c>
      <c r="E447" s="62">
        <v>0</v>
      </c>
      <c r="F447" s="63">
        <f>G447+H447</f>
        <v>0</v>
      </c>
      <c r="G447" s="63">
        <v>0</v>
      </c>
      <c r="H447" s="64">
        <v>0</v>
      </c>
      <c r="I447" s="79">
        <f t="shared" si="343"/>
        <v>0</v>
      </c>
      <c r="J447" s="4">
        <f t="shared" si="344"/>
        <v>0</v>
      </c>
      <c r="K447" s="4">
        <f>H447+K382</f>
        <v>0</v>
      </c>
      <c r="L447" s="65" t="e">
        <f t="shared" si="346"/>
        <v>#DIV/0!</v>
      </c>
      <c r="M447" s="66">
        <v>25.033899999999999</v>
      </c>
      <c r="N447" s="67">
        <f t="shared" si="347"/>
        <v>0</v>
      </c>
      <c r="O447" s="67">
        <f t="shared" si="348"/>
        <v>0</v>
      </c>
      <c r="P447" s="1104"/>
    </row>
    <row r="448" spans="2:16" x14ac:dyDescent="0.25">
      <c r="B448" s="1099"/>
      <c r="C448" s="1106" t="s">
        <v>78</v>
      </c>
      <c r="D448" s="61" t="s">
        <v>79</v>
      </c>
      <c r="E448" s="62">
        <v>0</v>
      </c>
      <c r="F448" s="63">
        <f t="shared" ref="F448:F467" si="349">G448+H448</f>
        <v>0</v>
      </c>
      <c r="G448" s="63">
        <v>0</v>
      </c>
      <c r="H448" s="64">
        <v>0</v>
      </c>
      <c r="I448" s="79">
        <f t="shared" si="343"/>
        <v>8113</v>
      </c>
      <c r="J448" s="4">
        <f t="shared" si="344"/>
        <v>8000</v>
      </c>
      <c r="K448" s="4">
        <f t="shared" ref="K448:K467" si="350">H448+K383</f>
        <v>113</v>
      </c>
      <c r="L448" s="65" t="e">
        <f t="shared" si="346"/>
        <v>#DIV/0!</v>
      </c>
      <c r="M448" s="66">
        <v>41.992699999999999</v>
      </c>
      <c r="N448" s="67">
        <f t="shared" si="347"/>
        <v>0</v>
      </c>
      <c r="O448" s="67">
        <f t="shared" si="348"/>
        <v>335941.6</v>
      </c>
      <c r="P448" s="1104"/>
    </row>
    <row r="449" spans="2:16" x14ac:dyDescent="0.25">
      <c r="B449" s="1099"/>
      <c r="C449" s="1107"/>
      <c r="D449" s="61" t="s">
        <v>72</v>
      </c>
      <c r="E449" s="62">
        <v>0</v>
      </c>
      <c r="F449" s="63">
        <f t="shared" si="349"/>
        <v>0</v>
      </c>
      <c r="G449" s="63">
        <v>0</v>
      </c>
      <c r="H449" s="64">
        <v>0</v>
      </c>
      <c r="I449" s="79">
        <f t="shared" si="343"/>
        <v>0</v>
      </c>
      <c r="J449" s="4">
        <f t="shared" si="344"/>
        <v>0</v>
      </c>
      <c r="K449" s="4">
        <f t="shared" si="350"/>
        <v>0</v>
      </c>
      <c r="L449" s="65" t="e">
        <f t="shared" si="346"/>
        <v>#DIV/0!</v>
      </c>
      <c r="M449" s="66">
        <v>42.283799999999999</v>
      </c>
      <c r="N449" s="67">
        <f t="shared" si="347"/>
        <v>0</v>
      </c>
      <c r="O449" s="67">
        <f t="shared" si="348"/>
        <v>0</v>
      </c>
      <c r="P449" s="1104"/>
    </row>
    <row r="450" spans="2:16" x14ac:dyDescent="0.25">
      <c r="B450" s="1099"/>
      <c r="C450" s="184" t="s">
        <v>80</v>
      </c>
      <c r="D450" s="61" t="s">
        <v>81</v>
      </c>
      <c r="E450" s="62">
        <v>0</v>
      </c>
      <c r="F450" s="63">
        <f t="shared" si="349"/>
        <v>0</v>
      </c>
      <c r="G450" s="63">
        <v>0</v>
      </c>
      <c r="H450" s="64">
        <v>0</v>
      </c>
      <c r="I450" s="79">
        <f t="shared" si="343"/>
        <v>10898</v>
      </c>
      <c r="J450" s="4">
        <f t="shared" si="344"/>
        <v>10500</v>
      </c>
      <c r="K450" s="4">
        <f t="shared" si="350"/>
        <v>398</v>
      </c>
      <c r="L450" s="65" t="e">
        <f t="shared" si="346"/>
        <v>#DIV/0!</v>
      </c>
      <c r="M450" s="66">
        <v>4.3535000000000004</v>
      </c>
      <c r="N450" s="67">
        <f t="shared" si="347"/>
        <v>0</v>
      </c>
      <c r="O450" s="67">
        <f t="shared" si="348"/>
        <v>45711.750000000007</v>
      </c>
      <c r="P450" s="1104"/>
    </row>
    <row r="451" spans="2:16" x14ac:dyDescent="0.25">
      <c r="B451" s="1099"/>
      <c r="C451" s="1102" t="s">
        <v>82</v>
      </c>
      <c r="D451" s="61" t="s">
        <v>77</v>
      </c>
      <c r="E451" s="62">
        <v>0</v>
      </c>
      <c r="F451" s="63">
        <f t="shared" si="349"/>
        <v>0</v>
      </c>
      <c r="G451" s="63">
        <v>0</v>
      </c>
      <c r="H451" s="64">
        <v>0</v>
      </c>
      <c r="I451" s="79">
        <f t="shared" si="343"/>
        <v>0</v>
      </c>
      <c r="J451" s="4">
        <f t="shared" si="344"/>
        <v>0</v>
      </c>
      <c r="K451" s="4">
        <f t="shared" si="350"/>
        <v>0</v>
      </c>
      <c r="L451" s="65" t="e">
        <f t="shared" si="346"/>
        <v>#DIV/0!</v>
      </c>
      <c r="M451" s="66">
        <v>4.6184000000000003</v>
      </c>
      <c r="N451" s="67">
        <f t="shared" si="347"/>
        <v>0</v>
      </c>
      <c r="O451" s="67">
        <f>M451*J451</f>
        <v>0</v>
      </c>
      <c r="P451" s="1104"/>
    </row>
    <row r="452" spans="2:16" x14ac:dyDescent="0.25">
      <c r="B452" s="1099"/>
      <c r="C452" s="1102"/>
      <c r="D452" s="61" t="s">
        <v>119</v>
      </c>
      <c r="E452" s="62">
        <v>0</v>
      </c>
      <c r="F452" s="63">
        <f t="shared" si="349"/>
        <v>0</v>
      </c>
      <c r="G452" s="63">
        <v>0</v>
      </c>
      <c r="H452" s="64">
        <v>0</v>
      </c>
      <c r="I452" s="79">
        <f>J452+K452</f>
        <v>0</v>
      </c>
      <c r="J452" s="4">
        <f t="shared" si="344"/>
        <v>0</v>
      </c>
      <c r="K452" s="4">
        <f t="shared" si="350"/>
        <v>0</v>
      </c>
      <c r="L452" s="65" t="e">
        <f t="shared" si="346"/>
        <v>#DIV/0!</v>
      </c>
      <c r="M452" s="153">
        <v>4.6184000000000003</v>
      </c>
      <c r="N452" s="67">
        <f t="shared" si="347"/>
        <v>0</v>
      </c>
      <c r="O452" s="67">
        <f>M452*J452</f>
        <v>0</v>
      </c>
      <c r="P452" s="1104"/>
    </row>
    <row r="453" spans="2:16" x14ac:dyDescent="0.25">
      <c r="B453" s="1099"/>
      <c r="C453" s="1102"/>
      <c r="D453" s="61" t="s">
        <v>123</v>
      </c>
      <c r="E453" s="62">
        <v>0</v>
      </c>
      <c r="F453" s="63">
        <f t="shared" si="349"/>
        <v>0</v>
      </c>
      <c r="G453" s="63">
        <v>0</v>
      </c>
      <c r="H453" s="64">
        <v>0</v>
      </c>
      <c r="I453" s="79">
        <f t="shared" ref="I453:I467" si="351">J453+K453</f>
        <v>0</v>
      </c>
      <c r="J453" s="4">
        <f t="shared" si="344"/>
        <v>0</v>
      </c>
      <c r="K453" s="4">
        <f t="shared" si="350"/>
        <v>0</v>
      </c>
      <c r="L453" s="65" t="e">
        <f t="shared" si="346"/>
        <v>#DIV/0!</v>
      </c>
      <c r="M453" s="153">
        <v>4.6184000000000003</v>
      </c>
      <c r="N453" s="67">
        <f t="shared" si="347"/>
        <v>0</v>
      </c>
      <c r="O453" s="67">
        <f t="shared" ref="O453:O458" si="352">M453*J453</f>
        <v>0</v>
      </c>
      <c r="P453" s="1104"/>
    </row>
    <row r="454" spans="2:16" x14ac:dyDescent="0.25">
      <c r="B454" s="1099"/>
      <c r="C454" s="1102"/>
      <c r="D454" s="61" t="s">
        <v>124</v>
      </c>
      <c r="E454" s="62">
        <v>0</v>
      </c>
      <c r="F454" s="63">
        <f t="shared" si="349"/>
        <v>24589</v>
      </c>
      <c r="G454" s="63">
        <v>24200</v>
      </c>
      <c r="H454" s="64">
        <v>389</v>
      </c>
      <c r="I454" s="79">
        <f t="shared" si="351"/>
        <v>152113</v>
      </c>
      <c r="J454" s="4">
        <f t="shared" si="344"/>
        <v>147655</v>
      </c>
      <c r="K454" s="4">
        <f t="shared" si="350"/>
        <v>4458</v>
      </c>
      <c r="L454" s="65" t="e">
        <f t="shared" si="346"/>
        <v>#DIV/0!</v>
      </c>
      <c r="M454" s="153">
        <v>4.7636000000000003</v>
      </c>
      <c r="N454" s="67">
        <f t="shared" si="347"/>
        <v>115279.12000000001</v>
      </c>
      <c r="O454" s="67">
        <f t="shared" si="352"/>
        <v>703369.35800000001</v>
      </c>
      <c r="P454" s="1104"/>
    </row>
    <row r="455" spans="2:16" x14ac:dyDescent="0.25">
      <c r="B455" s="1099"/>
      <c r="C455" s="1102"/>
      <c r="D455" s="61" t="s">
        <v>83</v>
      </c>
      <c r="E455" s="62">
        <v>0</v>
      </c>
      <c r="F455" s="63">
        <f t="shared" si="349"/>
        <v>0</v>
      </c>
      <c r="G455" s="63">
        <v>0</v>
      </c>
      <c r="H455" s="64">
        <v>0</v>
      </c>
      <c r="I455" s="79">
        <f t="shared" si="351"/>
        <v>0</v>
      </c>
      <c r="J455" s="4">
        <f t="shared" si="344"/>
        <v>0</v>
      </c>
      <c r="K455" s="4">
        <f t="shared" si="350"/>
        <v>0</v>
      </c>
      <c r="L455" s="65" t="e">
        <f t="shared" si="346"/>
        <v>#DIV/0!</v>
      </c>
      <c r="M455" s="66">
        <v>4.8738000000000001</v>
      </c>
      <c r="N455" s="67">
        <f t="shared" si="347"/>
        <v>0</v>
      </c>
      <c r="O455" s="67">
        <f t="shared" si="352"/>
        <v>0</v>
      </c>
      <c r="P455" s="1104"/>
    </row>
    <row r="456" spans="2:16" x14ac:dyDescent="0.25">
      <c r="B456" s="1099"/>
      <c r="C456" s="184" t="s">
        <v>128</v>
      </c>
      <c r="D456" s="61" t="s">
        <v>124</v>
      </c>
      <c r="E456" s="62"/>
      <c r="F456" s="63">
        <f t="shared" si="349"/>
        <v>0</v>
      </c>
      <c r="G456" s="63">
        <v>0</v>
      </c>
      <c r="H456" s="64">
        <v>0</v>
      </c>
      <c r="I456" s="79">
        <f t="shared" si="351"/>
        <v>0</v>
      </c>
      <c r="J456" s="4">
        <f t="shared" si="344"/>
        <v>0</v>
      </c>
      <c r="K456" s="4">
        <f t="shared" si="350"/>
        <v>0</v>
      </c>
      <c r="L456" s="65"/>
      <c r="M456" s="66">
        <v>4.8738000000000001</v>
      </c>
      <c r="N456" s="67">
        <f t="shared" si="347"/>
        <v>0</v>
      </c>
      <c r="O456" s="67">
        <f t="shared" si="352"/>
        <v>0</v>
      </c>
      <c r="P456" s="1104"/>
    </row>
    <row r="457" spans="2:16" x14ac:dyDescent="0.25">
      <c r="B457" s="1099"/>
      <c r="C457" s="1102" t="s">
        <v>84</v>
      </c>
      <c r="D457" s="61" t="s">
        <v>77</v>
      </c>
      <c r="E457" s="62">
        <v>0</v>
      </c>
      <c r="F457" s="63">
        <f t="shared" si="349"/>
        <v>9848</v>
      </c>
      <c r="G457" s="63">
        <v>9750</v>
      </c>
      <c r="H457" s="64">
        <v>98</v>
      </c>
      <c r="I457" s="79">
        <f t="shared" si="351"/>
        <v>140327</v>
      </c>
      <c r="J457" s="4">
        <f t="shared" si="344"/>
        <v>138550</v>
      </c>
      <c r="K457" s="4">
        <f t="shared" si="350"/>
        <v>1777</v>
      </c>
      <c r="L457" s="65" t="e">
        <f t="shared" ref="L457:L467" si="353">+J457/E457</f>
        <v>#DIV/0!</v>
      </c>
      <c r="M457" s="66">
        <v>4.9344999999999999</v>
      </c>
      <c r="N457" s="67">
        <f t="shared" si="347"/>
        <v>48111.375</v>
      </c>
      <c r="O457" s="67">
        <f t="shared" si="352"/>
        <v>683674.97499999998</v>
      </c>
      <c r="P457" s="1104"/>
    </row>
    <row r="458" spans="2:16" x14ac:dyDescent="0.25">
      <c r="B458" s="1099"/>
      <c r="C458" s="1102"/>
      <c r="D458" s="61" t="s">
        <v>135</v>
      </c>
      <c r="E458" s="62"/>
      <c r="F458" s="63">
        <f t="shared" si="349"/>
        <v>0</v>
      </c>
      <c r="G458" s="63">
        <v>0</v>
      </c>
      <c r="H458" s="64">
        <v>0</v>
      </c>
      <c r="I458" s="79">
        <f t="shared" si="351"/>
        <v>0</v>
      </c>
      <c r="J458" s="4">
        <f t="shared" si="344"/>
        <v>0</v>
      </c>
      <c r="K458" s="4">
        <f t="shared" si="350"/>
        <v>0</v>
      </c>
      <c r="L458" s="65" t="e">
        <f t="shared" si="353"/>
        <v>#DIV/0!</v>
      </c>
      <c r="M458" s="66">
        <v>4.9344999999999999</v>
      </c>
      <c r="N458" s="67">
        <f t="shared" si="347"/>
        <v>0</v>
      </c>
      <c r="O458" s="67">
        <f t="shared" si="352"/>
        <v>0</v>
      </c>
      <c r="P458" s="1104"/>
    </row>
    <row r="459" spans="2:16" x14ac:dyDescent="0.25">
      <c r="B459" s="1099"/>
      <c r="C459" s="1102"/>
      <c r="D459" s="61" t="s">
        <v>129</v>
      </c>
      <c r="E459" s="62">
        <v>0</v>
      </c>
      <c r="F459" s="63">
        <f t="shared" si="349"/>
        <v>0</v>
      </c>
      <c r="G459" s="155">
        <v>0</v>
      </c>
      <c r="H459" s="156">
        <v>0</v>
      </c>
      <c r="I459" s="157">
        <f t="shared" si="351"/>
        <v>0</v>
      </c>
      <c r="J459" s="4">
        <f t="shared" si="344"/>
        <v>0</v>
      </c>
      <c r="K459" s="4">
        <f t="shared" si="350"/>
        <v>0</v>
      </c>
      <c r="L459" s="158" t="e">
        <f t="shared" si="353"/>
        <v>#DIV/0!</v>
      </c>
      <c r="M459" s="66">
        <v>4.9344999999999999</v>
      </c>
      <c r="N459" s="159">
        <f t="shared" si="347"/>
        <v>0</v>
      </c>
      <c r="O459" s="67">
        <f>M459*J459</f>
        <v>0</v>
      </c>
      <c r="P459" s="1104"/>
    </row>
    <row r="460" spans="2:16" x14ac:dyDescent="0.25">
      <c r="B460" s="1099"/>
      <c r="C460" s="1102" t="s">
        <v>85</v>
      </c>
      <c r="D460" s="61" t="s">
        <v>77</v>
      </c>
      <c r="E460" s="62">
        <v>0</v>
      </c>
      <c r="F460" s="63">
        <f t="shared" si="349"/>
        <v>1392</v>
      </c>
      <c r="G460" s="63">
        <v>1000</v>
      </c>
      <c r="H460" s="64">
        <v>392</v>
      </c>
      <c r="I460" s="79">
        <f t="shared" si="351"/>
        <v>113515</v>
      </c>
      <c r="J460" s="4">
        <f t="shared" si="344"/>
        <v>106950</v>
      </c>
      <c r="K460" s="4">
        <f t="shared" si="350"/>
        <v>6565</v>
      </c>
      <c r="L460" s="65" t="e">
        <f t="shared" si="353"/>
        <v>#DIV/0!</v>
      </c>
      <c r="M460" s="148">
        <v>5.5069999999999997</v>
      </c>
      <c r="N460" s="67">
        <f t="shared" si="347"/>
        <v>5507</v>
      </c>
      <c r="O460" s="67">
        <f>M460*J460</f>
        <v>588973.64999999991</v>
      </c>
      <c r="P460" s="1104"/>
    </row>
    <row r="461" spans="2:16" x14ac:dyDescent="0.25">
      <c r="B461" s="1099"/>
      <c r="C461" s="1102"/>
      <c r="D461" s="61" t="s">
        <v>112</v>
      </c>
      <c r="E461" s="62">
        <v>0</v>
      </c>
      <c r="F461" s="63">
        <f t="shared" si="349"/>
        <v>10950</v>
      </c>
      <c r="G461" s="63">
        <v>10900</v>
      </c>
      <c r="H461" s="64">
        <v>50</v>
      </c>
      <c r="I461" s="79">
        <f t="shared" si="351"/>
        <v>10950</v>
      </c>
      <c r="J461" s="4">
        <f t="shared" si="344"/>
        <v>10900</v>
      </c>
      <c r="K461" s="4">
        <f t="shared" si="350"/>
        <v>50</v>
      </c>
      <c r="L461" s="65" t="e">
        <f t="shared" si="353"/>
        <v>#DIV/0!</v>
      </c>
      <c r="M461" s="147">
        <v>5.6550000000000002</v>
      </c>
      <c r="N461" s="67">
        <f t="shared" si="347"/>
        <v>61639.5</v>
      </c>
      <c r="O461" s="67">
        <f>M461*J461</f>
        <v>61639.5</v>
      </c>
      <c r="P461" s="1104"/>
    </row>
    <row r="462" spans="2:16" x14ac:dyDescent="0.25">
      <c r="B462" s="1099"/>
      <c r="C462" s="1102"/>
      <c r="D462" s="61" t="s">
        <v>118</v>
      </c>
      <c r="E462" s="62">
        <v>0</v>
      </c>
      <c r="F462" s="63">
        <f t="shared" si="349"/>
        <v>0</v>
      </c>
      <c r="G462" s="63">
        <v>0</v>
      </c>
      <c r="H462" s="64">
        <v>0</v>
      </c>
      <c r="I462" s="79">
        <f t="shared" si="351"/>
        <v>0</v>
      </c>
      <c r="J462" s="4">
        <f t="shared" si="344"/>
        <v>0</v>
      </c>
      <c r="K462" s="4">
        <f t="shared" si="350"/>
        <v>0</v>
      </c>
      <c r="L462" s="65" t="e">
        <f t="shared" si="353"/>
        <v>#DIV/0!</v>
      </c>
      <c r="M462" s="152">
        <v>5.6550000000000002</v>
      </c>
      <c r="N462" s="67">
        <f t="shared" si="347"/>
        <v>0</v>
      </c>
      <c r="O462" s="67">
        <f>M462*J462</f>
        <v>0</v>
      </c>
      <c r="P462" s="1104"/>
    </row>
    <row r="463" spans="2:16" x14ac:dyDescent="0.25">
      <c r="B463" s="1099"/>
      <c r="C463" s="1102"/>
      <c r="D463" s="61" t="s">
        <v>121</v>
      </c>
      <c r="E463" s="62">
        <v>0</v>
      </c>
      <c r="F463" s="63">
        <f t="shared" si="349"/>
        <v>0</v>
      </c>
      <c r="G463" s="63">
        <v>0</v>
      </c>
      <c r="H463" s="64">
        <v>0</v>
      </c>
      <c r="I463" s="79">
        <f t="shared" si="351"/>
        <v>12400</v>
      </c>
      <c r="J463" s="4">
        <f t="shared" si="344"/>
        <v>10900</v>
      </c>
      <c r="K463" s="4">
        <f t="shared" si="350"/>
        <v>1500</v>
      </c>
      <c r="L463" s="65" t="e">
        <f t="shared" si="353"/>
        <v>#DIV/0!</v>
      </c>
      <c r="M463" s="66">
        <v>5.7885299999999997</v>
      </c>
      <c r="N463" s="67">
        <f>+M463*G463</f>
        <v>0</v>
      </c>
      <c r="O463" s="67">
        <f>M463*J463</f>
        <v>63094.976999999999</v>
      </c>
      <c r="P463" s="1104"/>
    </row>
    <row r="464" spans="2:16" x14ac:dyDescent="0.25">
      <c r="B464" s="1099"/>
      <c r="C464" s="1102"/>
      <c r="D464" s="61" t="s">
        <v>136</v>
      </c>
      <c r="E464" s="62">
        <v>0</v>
      </c>
      <c r="F464" s="63">
        <f t="shared" si="349"/>
        <v>0</v>
      </c>
      <c r="G464" s="63">
        <v>0</v>
      </c>
      <c r="H464" s="64">
        <v>0</v>
      </c>
      <c r="I464" s="79">
        <f t="shared" si="351"/>
        <v>0</v>
      </c>
      <c r="J464" s="4">
        <f t="shared" si="344"/>
        <v>0</v>
      </c>
      <c r="K464" s="4">
        <f t="shared" si="350"/>
        <v>0</v>
      </c>
      <c r="L464" s="65" t="e">
        <f t="shared" si="353"/>
        <v>#DIV/0!</v>
      </c>
      <c r="M464" s="152">
        <v>5.6550000000000002</v>
      </c>
      <c r="N464" s="67">
        <f t="shared" ref="N464:N466" si="354">+M464*G464</f>
        <v>0</v>
      </c>
      <c r="O464" s="67">
        <f t="shared" ref="O464:O467" si="355">M464*J464</f>
        <v>0</v>
      </c>
      <c r="P464" s="1104"/>
    </row>
    <row r="465" spans="2:16" x14ac:dyDescent="0.25">
      <c r="B465" s="1099"/>
      <c r="C465" s="184" t="s">
        <v>86</v>
      </c>
      <c r="D465" s="61" t="s">
        <v>77</v>
      </c>
      <c r="E465" s="62">
        <v>0</v>
      </c>
      <c r="F465" s="63">
        <f t="shared" si="349"/>
        <v>0</v>
      </c>
      <c r="G465" s="63">
        <v>0</v>
      </c>
      <c r="H465" s="64">
        <v>0</v>
      </c>
      <c r="I465" s="79">
        <f t="shared" si="351"/>
        <v>0</v>
      </c>
      <c r="J465" s="4">
        <f t="shared" si="344"/>
        <v>0</v>
      </c>
      <c r="K465" s="4">
        <f t="shared" si="350"/>
        <v>0</v>
      </c>
      <c r="L465" s="65" t="e">
        <f t="shared" si="353"/>
        <v>#DIV/0!</v>
      </c>
      <c r="M465" s="66">
        <v>3.2963</v>
      </c>
      <c r="N465" s="67">
        <f t="shared" si="354"/>
        <v>0</v>
      </c>
      <c r="O465" s="67">
        <f t="shared" si="355"/>
        <v>0</v>
      </c>
      <c r="P465" s="1104"/>
    </row>
    <row r="466" spans="2:16" x14ac:dyDescent="0.25">
      <c r="B466" s="1099"/>
      <c r="C466" s="184" t="s">
        <v>87</v>
      </c>
      <c r="D466" s="61" t="s">
        <v>77</v>
      </c>
      <c r="E466" s="62">
        <v>0</v>
      </c>
      <c r="F466" s="63">
        <f t="shared" si="349"/>
        <v>0</v>
      </c>
      <c r="G466" s="63">
        <v>0</v>
      </c>
      <c r="H466" s="64">
        <v>0</v>
      </c>
      <c r="I466" s="79">
        <f t="shared" si="351"/>
        <v>0</v>
      </c>
      <c r="J466" s="4">
        <f t="shared" si="344"/>
        <v>0</v>
      </c>
      <c r="K466" s="4">
        <f t="shared" si="350"/>
        <v>0</v>
      </c>
      <c r="L466" s="65" t="e">
        <f t="shared" si="353"/>
        <v>#DIV/0!</v>
      </c>
      <c r="M466" s="66">
        <v>3.2963</v>
      </c>
      <c r="N466" s="67">
        <f t="shared" si="354"/>
        <v>0</v>
      </c>
      <c r="O466" s="67">
        <f t="shared" si="355"/>
        <v>0</v>
      </c>
      <c r="P466" s="1104"/>
    </row>
    <row r="467" spans="2:16" ht="15.75" thickBot="1" x14ac:dyDescent="0.3">
      <c r="B467" s="1099"/>
      <c r="C467" s="68" t="s">
        <v>88</v>
      </c>
      <c r="D467" s="69" t="s">
        <v>89</v>
      </c>
      <c r="E467" s="70">
        <v>0</v>
      </c>
      <c r="F467" s="71">
        <f t="shared" si="349"/>
        <v>0</v>
      </c>
      <c r="G467" s="71">
        <v>0</v>
      </c>
      <c r="H467" s="72">
        <v>0</v>
      </c>
      <c r="I467" s="80">
        <f t="shared" si="351"/>
        <v>65030</v>
      </c>
      <c r="J467" s="4">
        <f t="shared" si="344"/>
        <v>65000</v>
      </c>
      <c r="K467" s="4">
        <f t="shared" si="350"/>
        <v>30</v>
      </c>
      <c r="L467" s="65" t="e">
        <f t="shared" si="353"/>
        <v>#DIV/0!</v>
      </c>
      <c r="M467" s="73">
        <v>2.3201000000000001</v>
      </c>
      <c r="N467" s="74">
        <f t="shared" ref="N467" si="356">M467*G467</f>
        <v>0</v>
      </c>
      <c r="O467" s="74">
        <f t="shared" si="355"/>
        <v>150806.5</v>
      </c>
      <c r="P467" s="1105"/>
    </row>
    <row r="468" spans="2:16" ht="15.75" thickBot="1" x14ac:dyDescent="0.3">
      <c r="B468" s="1100"/>
      <c r="C468" s="1108" t="s">
        <v>99</v>
      </c>
      <c r="D468" s="1109"/>
      <c r="E468" s="1109"/>
      <c r="F468" s="1109"/>
      <c r="G468" s="1109"/>
      <c r="H468" s="1110"/>
      <c r="I468" s="116">
        <f>J468+K468</f>
        <v>556999</v>
      </c>
      <c r="J468" s="115">
        <f>SUM(J440:J467)</f>
        <v>541230</v>
      </c>
      <c r="K468" s="115">
        <f>SUM(K440:K467)</f>
        <v>15769</v>
      </c>
      <c r="L468" s="114"/>
      <c r="M468" s="113"/>
      <c r="N468" s="114"/>
      <c r="O468" s="97">
        <f>SUM(O440:O467)</f>
        <v>4530408.21</v>
      </c>
      <c r="P468" s="96"/>
    </row>
    <row r="469" spans="2:16" ht="15.75" thickBot="1" x14ac:dyDescent="0.3">
      <c r="B469" s="100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2"/>
    </row>
    <row r="470" spans="2:16" ht="15.75" thickBot="1" x14ac:dyDescent="0.3">
      <c r="B470" s="1093" t="s">
        <v>100</v>
      </c>
      <c r="C470" s="1094"/>
      <c r="D470" s="1094"/>
      <c r="E470" s="1094"/>
      <c r="F470" s="1094"/>
      <c r="G470" s="1094"/>
      <c r="H470" s="1094"/>
      <c r="I470" s="1094"/>
      <c r="J470" s="1094"/>
      <c r="K470" s="1094"/>
      <c r="L470" s="1094"/>
      <c r="M470" s="1094"/>
      <c r="N470" s="1095"/>
      <c r="O470" s="103">
        <f>+O468+O439+O424</f>
        <v>9949277.4120000005</v>
      </c>
      <c r="P470" s="96"/>
    </row>
    <row r="471" spans="2:16" ht="15.75" thickBot="1" x14ac:dyDescent="0.3"/>
    <row r="472" spans="2:16" x14ac:dyDescent="0.25">
      <c r="B472" s="1127" t="s">
        <v>1</v>
      </c>
      <c r="C472" s="1129" t="s">
        <v>2</v>
      </c>
      <c r="D472" s="1132" t="s">
        <v>3</v>
      </c>
      <c r="E472" s="1135" t="s">
        <v>4</v>
      </c>
      <c r="F472" s="1136"/>
      <c r="G472" s="1136"/>
      <c r="H472" s="1136"/>
      <c r="I472" s="1136"/>
      <c r="J472" s="1136"/>
      <c r="K472" s="1136"/>
      <c r="L472" s="1137"/>
      <c r="M472" s="1138" t="s">
        <v>5</v>
      </c>
      <c r="N472" s="1139"/>
      <c r="O472" s="1140"/>
      <c r="P472" s="1132" t="s">
        <v>6</v>
      </c>
    </row>
    <row r="473" spans="2:16" x14ac:dyDescent="0.25">
      <c r="B473" s="1128"/>
      <c r="C473" s="1130"/>
      <c r="D473" s="1133"/>
      <c r="E473" s="1141" t="s">
        <v>7</v>
      </c>
      <c r="F473" s="1143" t="s">
        <v>147</v>
      </c>
      <c r="G473" s="1143"/>
      <c r="H473" s="1144"/>
      <c r="I473" s="1145" t="s">
        <v>8</v>
      </c>
      <c r="J473" s="1143"/>
      <c r="K473" s="1143"/>
      <c r="L473" s="1144" t="s">
        <v>9</v>
      </c>
      <c r="M473" s="1147" t="s">
        <v>10</v>
      </c>
      <c r="N473" s="1149" t="s">
        <v>11</v>
      </c>
      <c r="O473" s="1151" t="s">
        <v>12</v>
      </c>
      <c r="P473" s="1133"/>
    </row>
    <row r="474" spans="2:16" ht="15.75" thickBot="1" x14ac:dyDescent="0.3">
      <c r="B474" s="1128"/>
      <c r="C474" s="1131"/>
      <c r="D474" s="1134"/>
      <c r="E474" s="1142"/>
      <c r="F474" s="2" t="s">
        <v>13</v>
      </c>
      <c r="G474" s="2" t="s">
        <v>14</v>
      </c>
      <c r="H474" s="187" t="s">
        <v>15</v>
      </c>
      <c r="I474" s="142" t="s">
        <v>13</v>
      </c>
      <c r="J474" s="2" t="s">
        <v>14</v>
      </c>
      <c r="K474" s="2" t="s">
        <v>15</v>
      </c>
      <c r="L474" s="1146"/>
      <c r="M474" s="1148"/>
      <c r="N474" s="1150"/>
      <c r="O474" s="1152"/>
      <c r="P474" s="1134"/>
    </row>
    <row r="475" spans="2:16" x14ac:dyDescent="0.25">
      <c r="B475" s="1111" t="s">
        <v>53</v>
      </c>
      <c r="C475" s="29"/>
      <c r="D475" s="117" t="s">
        <v>143</v>
      </c>
      <c r="E475" s="98">
        <v>0</v>
      </c>
      <c r="F475" s="4">
        <f>+G475+H475</f>
        <v>0</v>
      </c>
      <c r="G475" s="4">
        <v>0</v>
      </c>
      <c r="H475" s="8">
        <v>0</v>
      </c>
      <c r="I475" s="6">
        <f>J475+K475</f>
        <v>224702</v>
      </c>
      <c r="J475" s="4">
        <f>G475+J410</f>
        <v>220640</v>
      </c>
      <c r="K475" s="4">
        <f>H475+K410</f>
        <v>4062</v>
      </c>
      <c r="L475" s="33" t="e">
        <f>+J475/E475</f>
        <v>#DIV/0!</v>
      </c>
      <c r="M475" s="104">
        <v>1.3652</v>
      </c>
      <c r="N475" s="31">
        <f>G475*M475</f>
        <v>0</v>
      </c>
      <c r="O475" s="86">
        <f>M475*J475</f>
        <v>301217.728</v>
      </c>
      <c r="P475" s="1113"/>
    </row>
    <row r="476" spans="2:16" x14ac:dyDescent="0.25">
      <c r="B476" s="1112"/>
      <c r="C476" s="32"/>
      <c r="D476" s="118" t="s">
        <v>109</v>
      </c>
      <c r="E476" s="99">
        <v>0</v>
      </c>
      <c r="F476" s="9">
        <f>+G476+H476</f>
        <v>0</v>
      </c>
      <c r="G476" s="9">
        <v>0</v>
      </c>
      <c r="H476" s="10">
        <v>0</v>
      </c>
      <c r="I476" s="6">
        <f>J476+K476</f>
        <v>0</v>
      </c>
      <c r="J476" s="4">
        <f>+G476+J411</f>
        <v>0</v>
      </c>
      <c r="K476" s="4">
        <f>+H476+K411</f>
        <v>0</v>
      </c>
      <c r="L476" s="33"/>
      <c r="M476" s="105">
        <v>5.9917999999999996</v>
      </c>
      <c r="N476" s="34">
        <f>M476*G476</f>
        <v>0</v>
      </c>
      <c r="O476" s="87">
        <f>M476*J476</f>
        <v>0</v>
      </c>
      <c r="P476" s="1114"/>
    </row>
    <row r="477" spans="2:16" x14ac:dyDescent="0.25">
      <c r="B477" s="1112"/>
      <c r="C477" s="35"/>
      <c r="D477" s="119" t="s">
        <v>55</v>
      </c>
      <c r="E477" s="99">
        <v>0</v>
      </c>
      <c r="F477" s="9">
        <f t="shared" ref="F477:F481" si="357">+G477+H477</f>
        <v>0</v>
      </c>
      <c r="G477" s="9">
        <v>0</v>
      </c>
      <c r="H477" s="10">
        <v>0</v>
      </c>
      <c r="I477" s="6">
        <f t="shared" ref="I477:I481" si="358">J477+K477</f>
        <v>1336583</v>
      </c>
      <c r="J477" s="4">
        <f t="shared" ref="J477:J481" si="359">+G477+J412</f>
        <v>1325750</v>
      </c>
      <c r="K477" s="4">
        <f t="shared" ref="K477:K481" si="360">+H477+K412</f>
        <v>10833</v>
      </c>
      <c r="L477" s="33" t="e">
        <f t="shared" ref="L477" si="361">+J477/E477</f>
        <v>#DIV/0!</v>
      </c>
      <c r="M477" s="106">
        <v>2.3807999999999998</v>
      </c>
      <c r="N477" s="36">
        <f>G477*M477</f>
        <v>0</v>
      </c>
      <c r="O477" s="88">
        <f>M477*J477</f>
        <v>3156345.5999999996</v>
      </c>
      <c r="P477" s="1114"/>
    </row>
    <row r="478" spans="2:16" x14ac:dyDescent="0.25">
      <c r="B478" s="1112"/>
      <c r="C478" s="35"/>
      <c r="D478" s="119" t="s">
        <v>56</v>
      </c>
      <c r="E478" s="99">
        <v>0</v>
      </c>
      <c r="F478" s="9">
        <f t="shared" si="357"/>
        <v>0</v>
      </c>
      <c r="G478" s="9">
        <v>0</v>
      </c>
      <c r="H478" s="10">
        <v>0</v>
      </c>
      <c r="I478" s="6">
        <f t="shared" si="358"/>
        <v>0</v>
      </c>
      <c r="J478" s="4">
        <f t="shared" si="359"/>
        <v>0</v>
      </c>
      <c r="K478" s="4">
        <f t="shared" si="360"/>
        <v>0</v>
      </c>
      <c r="L478" s="33"/>
      <c r="M478" s="106">
        <v>2.1457999999999999</v>
      </c>
      <c r="N478" s="36">
        <f t="shared" ref="N478:N481" si="362">G478*M478</f>
        <v>0</v>
      </c>
      <c r="O478" s="88">
        <f>M478*J478</f>
        <v>0</v>
      </c>
      <c r="P478" s="1114"/>
    </row>
    <row r="479" spans="2:16" x14ac:dyDescent="0.25">
      <c r="B479" s="1112"/>
      <c r="C479" s="35"/>
      <c r="D479" s="119" t="s">
        <v>106</v>
      </c>
      <c r="E479" s="99">
        <v>0</v>
      </c>
      <c r="F479" s="9">
        <f t="shared" si="357"/>
        <v>0</v>
      </c>
      <c r="G479" s="9">
        <v>0</v>
      </c>
      <c r="H479" s="10">
        <v>0</v>
      </c>
      <c r="I479" s="6">
        <f t="shared" si="358"/>
        <v>0</v>
      </c>
      <c r="J479" s="4">
        <f t="shared" si="359"/>
        <v>0</v>
      </c>
      <c r="K479" s="4">
        <f t="shared" si="360"/>
        <v>0</v>
      </c>
      <c r="L479" s="33" t="e">
        <f t="shared" ref="L479:L480" si="363">+J479/E479</f>
        <v>#DIV/0!</v>
      </c>
      <c r="M479" s="143">
        <v>4.0426000000000002</v>
      </c>
      <c r="N479" s="36">
        <f t="shared" si="362"/>
        <v>0</v>
      </c>
      <c r="O479" s="88">
        <f>M479*J479</f>
        <v>0</v>
      </c>
      <c r="P479" s="1114"/>
    </row>
    <row r="480" spans="2:16" x14ac:dyDescent="0.25">
      <c r="B480" s="1112"/>
      <c r="C480" s="35"/>
      <c r="D480" s="119" t="s">
        <v>110</v>
      </c>
      <c r="E480" s="99">
        <v>0</v>
      </c>
      <c r="F480" s="9">
        <f t="shared" si="357"/>
        <v>0</v>
      </c>
      <c r="G480" s="9">
        <v>0</v>
      </c>
      <c r="H480" s="10">
        <v>0</v>
      </c>
      <c r="I480" s="6">
        <f t="shared" si="358"/>
        <v>0</v>
      </c>
      <c r="J480" s="4">
        <f t="shared" si="359"/>
        <v>0</v>
      </c>
      <c r="K480" s="4">
        <f t="shared" si="360"/>
        <v>0</v>
      </c>
      <c r="L480" s="33" t="e">
        <f t="shared" si="363"/>
        <v>#DIV/0!</v>
      </c>
      <c r="M480" s="143">
        <v>3.8715000000000002</v>
      </c>
      <c r="N480" s="36">
        <f t="shared" si="362"/>
        <v>0</v>
      </c>
      <c r="O480" s="88">
        <f t="shared" ref="O480:O481" si="364">M480*J480</f>
        <v>0</v>
      </c>
      <c r="P480" s="1114"/>
    </row>
    <row r="481" spans="2:16" ht="15.75" thickBot="1" x14ac:dyDescent="0.3">
      <c r="B481" s="1112"/>
      <c r="C481" s="82"/>
      <c r="D481" s="120" t="s">
        <v>57</v>
      </c>
      <c r="E481" s="108">
        <v>0</v>
      </c>
      <c r="F481" s="12">
        <f t="shared" si="357"/>
        <v>0</v>
      </c>
      <c r="G481" s="12">
        <v>0</v>
      </c>
      <c r="H481" s="13">
        <v>0</v>
      </c>
      <c r="I481" s="21">
        <f t="shared" si="358"/>
        <v>0</v>
      </c>
      <c r="J481" s="4">
        <f t="shared" si="359"/>
        <v>0</v>
      </c>
      <c r="K481" s="4">
        <f t="shared" si="360"/>
        <v>0</v>
      </c>
      <c r="L481" s="81"/>
      <c r="M481" s="127">
        <v>12.284700000000001</v>
      </c>
      <c r="N481" s="36">
        <f t="shared" si="362"/>
        <v>0</v>
      </c>
      <c r="O481" s="128">
        <f t="shared" si="364"/>
        <v>0</v>
      </c>
      <c r="P481" s="1114"/>
    </row>
    <row r="482" spans="2:16" ht="15.75" thickBot="1" x14ac:dyDescent="0.3">
      <c r="B482" s="1112"/>
      <c r="C482" s="1117" t="s">
        <v>104</v>
      </c>
      <c r="D482" s="1118"/>
      <c r="E482" s="129"/>
      <c r="F482" s="130">
        <f>SUM(F475:F481)</f>
        <v>0</v>
      </c>
      <c r="G482" s="130">
        <f>SUM(G475:G481)</f>
        <v>0</v>
      </c>
      <c r="H482" s="131">
        <f>SUM(H475:H481)</f>
        <v>0</v>
      </c>
      <c r="I482" s="132">
        <f>+J482+K482</f>
        <v>1561285</v>
      </c>
      <c r="J482" s="133">
        <f>SUM(J475:J481)</f>
        <v>1546390</v>
      </c>
      <c r="K482" s="133">
        <f>SUM(K475:K481)</f>
        <v>14895</v>
      </c>
      <c r="L482" s="134"/>
      <c r="M482" s="135"/>
      <c r="N482" s="136"/>
      <c r="O482" s="137">
        <f>SUM(O475:O481)</f>
        <v>3457563.3279999997</v>
      </c>
      <c r="P482" s="1115"/>
    </row>
    <row r="483" spans="2:16" x14ac:dyDescent="0.25">
      <c r="B483" s="1112"/>
      <c r="C483" s="32"/>
      <c r="D483" s="118" t="s">
        <v>58</v>
      </c>
      <c r="E483" s="98">
        <v>0</v>
      </c>
      <c r="F483" s="4">
        <f t="shared" ref="F483:F486" si="365">+G483+H483</f>
        <v>0</v>
      </c>
      <c r="G483" s="4">
        <v>0</v>
      </c>
      <c r="H483" s="8">
        <v>0</v>
      </c>
      <c r="I483" s="6">
        <f t="shared" ref="I483:I487" si="366">J483+K483</f>
        <v>0</v>
      </c>
      <c r="J483" s="4">
        <f>G483+J418</f>
        <v>0</v>
      </c>
      <c r="K483" s="4">
        <f>H483+K418</f>
        <v>0</v>
      </c>
      <c r="L483" s="33" t="e">
        <f t="shared" ref="L483" si="367">+J483/E483</f>
        <v>#DIV/0!</v>
      </c>
      <c r="M483" s="105">
        <v>12.029500000000001</v>
      </c>
      <c r="N483" s="34">
        <f>M483*G483</f>
        <v>0</v>
      </c>
      <c r="O483" s="87">
        <f t="shared" ref="O483:O485" si="368">M483*J483</f>
        <v>0</v>
      </c>
      <c r="P483" s="1114"/>
    </row>
    <row r="484" spans="2:16" x14ac:dyDescent="0.25">
      <c r="B484" s="1112"/>
      <c r="C484" s="35"/>
      <c r="D484" s="119" t="s">
        <v>59</v>
      </c>
      <c r="E484" s="99">
        <v>0</v>
      </c>
      <c r="F484" s="9">
        <f t="shared" si="365"/>
        <v>0</v>
      </c>
      <c r="G484" s="9">
        <v>0</v>
      </c>
      <c r="H484" s="10">
        <v>0</v>
      </c>
      <c r="I484" s="6">
        <f t="shared" si="366"/>
        <v>0</v>
      </c>
      <c r="J484" s="4">
        <f>G484+J419</f>
        <v>0</v>
      </c>
      <c r="K484" s="4">
        <f>H484+K419</f>
        <v>0</v>
      </c>
      <c r="L484" s="33"/>
      <c r="M484" s="106">
        <v>0</v>
      </c>
      <c r="N484" s="36"/>
      <c r="O484" s="88">
        <f t="shared" si="368"/>
        <v>0</v>
      </c>
      <c r="P484" s="1114"/>
    </row>
    <row r="485" spans="2:16" x14ac:dyDescent="0.25">
      <c r="B485" s="1112"/>
      <c r="C485" s="35"/>
      <c r="D485" s="119" t="s">
        <v>97</v>
      </c>
      <c r="E485" s="99">
        <v>0</v>
      </c>
      <c r="F485" s="9">
        <f t="shared" si="365"/>
        <v>0</v>
      </c>
      <c r="G485" s="9">
        <v>0</v>
      </c>
      <c r="H485" s="10">
        <v>0</v>
      </c>
      <c r="I485" s="6">
        <f t="shared" si="366"/>
        <v>0</v>
      </c>
      <c r="J485" s="4">
        <f t="shared" ref="J485:J487" si="369">G485+J420</f>
        <v>0</v>
      </c>
      <c r="K485" s="4">
        <f t="shared" ref="K485:K487" si="370">H485+K420</f>
        <v>0</v>
      </c>
      <c r="L485" s="33" t="e">
        <f t="shared" ref="L485:L487" si="371">+J485/E485</f>
        <v>#DIV/0!</v>
      </c>
      <c r="M485" s="106">
        <v>19.688600000000001</v>
      </c>
      <c r="N485" s="36">
        <f>M485*G485</f>
        <v>0</v>
      </c>
      <c r="O485" s="88">
        <f t="shared" si="368"/>
        <v>0</v>
      </c>
      <c r="P485" s="1114"/>
    </row>
    <row r="486" spans="2:16" x14ac:dyDescent="0.25">
      <c r="B486" s="1112"/>
      <c r="C486" s="35"/>
      <c r="D486" s="119" t="s">
        <v>61</v>
      </c>
      <c r="E486" s="99">
        <v>0</v>
      </c>
      <c r="F486" s="9">
        <f t="shared" si="365"/>
        <v>0</v>
      </c>
      <c r="G486" s="9">
        <v>0</v>
      </c>
      <c r="H486" s="10">
        <v>0</v>
      </c>
      <c r="I486" s="6">
        <f t="shared" si="366"/>
        <v>0</v>
      </c>
      <c r="J486" s="4">
        <f t="shared" si="369"/>
        <v>0</v>
      </c>
      <c r="K486" s="4">
        <f t="shared" si="370"/>
        <v>0</v>
      </c>
      <c r="L486" s="33" t="e">
        <f t="shared" si="371"/>
        <v>#DIV/0!</v>
      </c>
      <c r="M486" s="106">
        <v>1.2824</v>
      </c>
      <c r="N486" s="151">
        <f>M486*G486</f>
        <v>0</v>
      </c>
      <c r="O486" s="88">
        <f>M486*J486</f>
        <v>0</v>
      </c>
      <c r="P486" s="1114"/>
    </row>
    <row r="487" spans="2:16" ht="15.75" thickBot="1" x14ac:dyDescent="0.3">
      <c r="B487" s="1112"/>
      <c r="C487" s="82"/>
      <c r="D487" s="120" t="s">
        <v>60</v>
      </c>
      <c r="E487" s="108">
        <v>0</v>
      </c>
      <c r="F487" s="12">
        <v>0</v>
      </c>
      <c r="G487" s="12">
        <v>0</v>
      </c>
      <c r="H487" s="13">
        <v>0</v>
      </c>
      <c r="I487" s="21">
        <f t="shared" si="366"/>
        <v>8814</v>
      </c>
      <c r="J487" s="4">
        <f t="shared" si="369"/>
        <v>8640</v>
      </c>
      <c r="K487" s="4">
        <f t="shared" si="370"/>
        <v>174</v>
      </c>
      <c r="L487" s="81" t="e">
        <f t="shared" si="371"/>
        <v>#DIV/0!</v>
      </c>
      <c r="M487" s="107">
        <v>18.2316</v>
      </c>
      <c r="N487" s="75"/>
      <c r="O487" s="89">
        <f t="shared" ref="O487" si="372">M487*J487</f>
        <v>157521.024</v>
      </c>
      <c r="P487" s="1116"/>
    </row>
    <row r="488" spans="2:16" ht="15.75" thickBot="1" x14ac:dyDescent="0.3">
      <c r="B488" s="1096" t="s">
        <v>105</v>
      </c>
      <c r="C488" s="1097"/>
      <c r="D488" s="1097"/>
      <c r="E488" s="124"/>
      <c r="F488" s="125">
        <f>+G488+H488</f>
        <v>0</v>
      </c>
      <c r="G488" s="125">
        <f>SUM(G483:G487)</f>
        <v>0</v>
      </c>
      <c r="H488" s="126">
        <f>SUM(H483:H487)</f>
        <v>0</v>
      </c>
      <c r="I488" s="121">
        <f>J488+K488</f>
        <v>8814</v>
      </c>
      <c r="J488" s="122">
        <f>SUM(J483:J487)</f>
        <v>8640</v>
      </c>
      <c r="K488" s="123">
        <f>SUM(K483:K487)</f>
        <v>174</v>
      </c>
      <c r="L488" s="138"/>
      <c r="M488" s="139"/>
      <c r="N488" s="140"/>
      <c r="O488" s="141">
        <f>SUM(O483:O487)</f>
        <v>157521.024</v>
      </c>
      <c r="P488" s="185"/>
    </row>
    <row r="489" spans="2:16" ht="15.75" thickBot="1" x14ac:dyDescent="0.3">
      <c r="B489" s="1096" t="s">
        <v>98</v>
      </c>
      <c r="C489" s="1097"/>
      <c r="D489" s="1097"/>
      <c r="E489" s="1119"/>
      <c r="F489" s="1119"/>
      <c r="G489" s="1119"/>
      <c r="H489" s="1119"/>
      <c r="I489" s="1097"/>
      <c r="J489" s="1097"/>
      <c r="K489" s="1097"/>
      <c r="L489" s="1097"/>
      <c r="M489" s="1097"/>
      <c r="N489" s="1120"/>
      <c r="O489" s="83">
        <f>O482+O488</f>
        <v>3615084.352</v>
      </c>
      <c r="P489" s="185"/>
    </row>
    <row r="490" spans="2:16" x14ac:dyDescent="0.25">
      <c r="B490" s="1111" t="s">
        <v>62</v>
      </c>
      <c r="C490" s="37" t="s">
        <v>63</v>
      </c>
      <c r="D490" s="28" t="s">
        <v>64</v>
      </c>
      <c r="E490" s="38">
        <v>0</v>
      </c>
      <c r="F490" s="14">
        <f>+G490+H490</f>
        <v>0</v>
      </c>
      <c r="G490" s="14">
        <v>0</v>
      </c>
      <c r="H490" s="5">
        <v>0</v>
      </c>
      <c r="I490" s="17">
        <f t="shared" ref="I490:I496" si="373">J490+K490</f>
        <v>0</v>
      </c>
      <c r="J490" s="4">
        <f>G490+J425</f>
        <v>0</v>
      </c>
      <c r="K490" s="4">
        <f>H490+K425</f>
        <v>0</v>
      </c>
      <c r="L490" s="30" t="e">
        <f>+J490/E490</f>
        <v>#DIV/0!</v>
      </c>
      <c r="M490" s="146">
        <v>2.2141000000000002</v>
      </c>
      <c r="N490" s="15">
        <f>+M490*G490</f>
        <v>0</v>
      </c>
      <c r="O490" s="90">
        <f>+M490*J490</f>
        <v>0</v>
      </c>
      <c r="P490" s="1122"/>
    </row>
    <row r="491" spans="2:16" x14ac:dyDescent="0.25">
      <c r="B491" s="1112"/>
      <c r="C491" s="39"/>
      <c r="D491" s="22" t="s">
        <v>65</v>
      </c>
      <c r="E491" s="3">
        <v>0</v>
      </c>
      <c r="F491" s="9">
        <f t="shared" ref="F491:F496" si="374">+G491+H491</f>
        <v>0</v>
      </c>
      <c r="G491" s="4">
        <v>0</v>
      </c>
      <c r="H491" s="8">
        <v>0</v>
      </c>
      <c r="I491" s="6">
        <f t="shared" si="373"/>
        <v>0</v>
      </c>
      <c r="J491" s="4">
        <f>+G491+J426</f>
        <v>0</v>
      </c>
      <c r="K491" s="4">
        <f>+H491+K426</f>
        <v>0</v>
      </c>
      <c r="L491" s="40" t="e">
        <f t="shared" ref="L491:L492" si="375">+J491/E491</f>
        <v>#DIV/0!</v>
      </c>
      <c r="M491" s="145">
        <v>2.4565999999999999</v>
      </c>
      <c r="N491" s="11">
        <f t="shared" ref="N491:N493" si="376">+M491*G491</f>
        <v>0</v>
      </c>
      <c r="O491" s="91">
        <f t="shared" ref="O491:O493" si="377">+M491*J491</f>
        <v>0</v>
      </c>
      <c r="P491" s="1123"/>
    </row>
    <row r="492" spans="2:16" x14ac:dyDescent="0.25">
      <c r="B492" s="1112"/>
      <c r="C492" s="39"/>
      <c r="D492" s="23" t="s">
        <v>126</v>
      </c>
      <c r="E492" s="3">
        <v>0</v>
      </c>
      <c r="F492" s="9">
        <f t="shared" si="374"/>
        <v>0</v>
      </c>
      <c r="G492" s="4">
        <v>0</v>
      </c>
      <c r="H492" s="8">
        <v>0</v>
      </c>
      <c r="I492" s="6">
        <f t="shared" si="373"/>
        <v>0</v>
      </c>
      <c r="J492" s="4">
        <f t="shared" ref="J492:J493" si="378">+G492+J427</f>
        <v>0</v>
      </c>
      <c r="K492" s="4">
        <f t="shared" ref="K492:K496" si="379">+H492+K427</f>
        <v>0</v>
      </c>
      <c r="L492" s="40" t="e">
        <f t="shared" si="375"/>
        <v>#DIV/0!</v>
      </c>
      <c r="M492" s="145">
        <v>2.2907000000000002</v>
      </c>
      <c r="N492" s="11">
        <f t="shared" si="376"/>
        <v>0</v>
      </c>
      <c r="O492" s="91">
        <f t="shared" si="377"/>
        <v>0</v>
      </c>
      <c r="P492" s="1123"/>
    </row>
    <row r="493" spans="2:16" x14ac:dyDescent="0.25">
      <c r="B493" s="1112"/>
      <c r="C493" s="39"/>
      <c r="D493" s="22" t="s">
        <v>131</v>
      </c>
      <c r="E493" s="3"/>
      <c r="F493" s="9">
        <f t="shared" si="374"/>
        <v>0</v>
      </c>
      <c r="G493" s="4">
        <v>0</v>
      </c>
      <c r="H493" s="8">
        <v>0</v>
      </c>
      <c r="I493" s="6">
        <f t="shared" si="373"/>
        <v>0</v>
      </c>
      <c r="J493" s="4">
        <f t="shared" si="378"/>
        <v>0</v>
      </c>
      <c r="K493" s="4">
        <f t="shared" si="379"/>
        <v>0</v>
      </c>
      <c r="L493" s="33"/>
      <c r="M493" s="150">
        <v>2.544</v>
      </c>
      <c r="N493" s="11">
        <f t="shared" si="376"/>
        <v>0</v>
      </c>
      <c r="O493" s="91">
        <f t="shared" si="377"/>
        <v>0</v>
      </c>
      <c r="P493" s="1123"/>
    </row>
    <row r="494" spans="2:16" x14ac:dyDescent="0.25">
      <c r="B494" s="1112"/>
      <c r="C494" s="39" t="s">
        <v>66</v>
      </c>
      <c r="D494" s="22" t="s">
        <v>133</v>
      </c>
      <c r="E494" s="3">
        <v>0</v>
      </c>
      <c r="F494" s="9">
        <f t="shared" si="374"/>
        <v>0</v>
      </c>
      <c r="G494" s="4">
        <v>0</v>
      </c>
      <c r="H494" s="8">
        <v>0</v>
      </c>
      <c r="I494" s="6">
        <f t="shared" si="373"/>
        <v>361617</v>
      </c>
      <c r="J494" s="4">
        <f>+G494+J429</f>
        <v>353750</v>
      </c>
      <c r="K494" s="4">
        <f t="shared" si="379"/>
        <v>7867</v>
      </c>
      <c r="L494" s="33" t="e">
        <f>+J494/E494</f>
        <v>#DIV/0!</v>
      </c>
      <c r="M494" s="144">
        <v>2.2141000000000002</v>
      </c>
      <c r="N494" s="7">
        <f>+M494*G494</f>
        <v>0</v>
      </c>
      <c r="O494" s="85">
        <f>+M494*J494</f>
        <v>783237.87500000012</v>
      </c>
      <c r="P494" s="1123"/>
    </row>
    <row r="495" spans="2:16" x14ac:dyDescent="0.25">
      <c r="B495" s="1112"/>
      <c r="C495" s="39"/>
      <c r="D495" s="22" t="s">
        <v>65</v>
      </c>
      <c r="E495" s="3">
        <v>0</v>
      </c>
      <c r="F495" s="9">
        <f t="shared" si="374"/>
        <v>0</v>
      </c>
      <c r="G495" s="4">
        <v>0</v>
      </c>
      <c r="H495" s="8">
        <v>0</v>
      </c>
      <c r="I495" s="6">
        <f t="shared" si="373"/>
        <v>0</v>
      </c>
      <c r="J495" s="4">
        <f t="shared" ref="J495:J496" si="380">+G495+J430</f>
        <v>0</v>
      </c>
      <c r="K495" s="4">
        <f t="shared" si="379"/>
        <v>0</v>
      </c>
      <c r="L495" s="40" t="e">
        <f t="shared" ref="L495:L496" si="381">+J495/E495</f>
        <v>#DIV/0!</v>
      </c>
      <c r="M495" s="145">
        <v>2.4565999999999999</v>
      </c>
      <c r="N495" s="11">
        <f t="shared" ref="N495:N496" si="382">+M495*G495</f>
        <v>0</v>
      </c>
      <c r="O495" s="91">
        <f t="shared" ref="O495" si="383">+M495*J495</f>
        <v>0</v>
      </c>
      <c r="P495" s="1123"/>
    </row>
    <row r="496" spans="2:16" ht="15.75" thickBot="1" x14ac:dyDescent="0.3">
      <c r="B496" s="1112"/>
      <c r="C496" s="39"/>
      <c r="D496" s="22" t="s">
        <v>126</v>
      </c>
      <c r="E496" s="3">
        <v>0</v>
      </c>
      <c r="F496" s="9">
        <f t="shared" si="374"/>
        <v>0</v>
      </c>
      <c r="G496" s="4">
        <v>0</v>
      </c>
      <c r="H496" s="8">
        <v>0</v>
      </c>
      <c r="I496" s="6">
        <f t="shared" si="373"/>
        <v>0</v>
      </c>
      <c r="J496" s="4">
        <f t="shared" si="380"/>
        <v>0</v>
      </c>
      <c r="K496" s="4">
        <f t="shared" si="379"/>
        <v>0</v>
      </c>
      <c r="L496" s="40" t="e">
        <f t="shared" si="381"/>
        <v>#DIV/0!</v>
      </c>
      <c r="M496" s="145">
        <v>2.2907000000000002</v>
      </c>
      <c r="N496" s="11">
        <f t="shared" si="382"/>
        <v>0</v>
      </c>
      <c r="O496" s="154">
        <f>+M496*J496</f>
        <v>0</v>
      </c>
      <c r="P496" s="1124"/>
    </row>
    <row r="497" spans="2:16" ht="15.75" thickBot="1" x14ac:dyDescent="0.3">
      <c r="B497" s="1112"/>
      <c r="C497" s="41" t="s">
        <v>29</v>
      </c>
      <c r="D497" s="27" t="str">
        <f>+C497</f>
        <v>TOTAL 1/2</v>
      </c>
      <c r="E497" s="42">
        <f>SUM(E490:E496)</f>
        <v>0</v>
      </c>
      <c r="F497" s="43">
        <f>SUM(F490:F496)</f>
        <v>0</v>
      </c>
      <c r="G497" s="43">
        <f>SUM(G490:G496)</f>
        <v>0</v>
      </c>
      <c r="H497" s="44">
        <f>SUM(H490:H496)</f>
        <v>0</v>
      </c>
      <c r="I497" s="45">
        <f>SUM(I494:I496)</f>
        <v>361617</v>
      </c>
      <c r="J497" s="43">
        <f>SUM(J490:J496)</f>
        <v>353750</v>
      </c>
      <c r="K497" s="43">
        <f>SUM(K490:K496)</f>
        <v>7867</v>
      </c>
      <c r="L497" s="46" t="e">
        <f>+J497/E497</f>
        <v>#DIV/0!</v>
      </c>
      <c r="M497" s="47"/>
      <c r="N497" s="48">
        <f>SUM(N494:N496)</f>
        <v>0</v>
      </c>
      <c r="O497" s="49">
        <f>SUM(O490:O496)</f>
        <v>783237.87500000012</v>
      </c>
      <c r="P497" s="186"/>
    </row>
    <row r="498" spans="2:16" x14ac:dyDescent="0.25">
      <c r="B498" s="1112"/>
      <c r="C498" s="1125" t="s">
        <v>67</v>
      </c>
      <c r="D498" s="22" t="s">
        <v>64</v>
      </c>
      <c r="E498" s="3">
        <v>0</v>
      </c>
      <c r="F498" s="4">
        <f>G498+H498</f>
        <v>0</v>
      </c>
      <c r="G498" s="4">
        <v>0</v>
      </c>
      <c r="H498" s="8">
        <v>0</v>
      </c>
      <c r="I498" s="16">
        <f>J498+K498</f>
        <v>109220</v>
      </c>
      <c r="J498" s="4">
        <f>G498+J433</f>
        <v>105750</v>
      </c>
      <c r="K498" s="4">
        <f>H498+K433</f>
        <v>3470</v>
      </c>
      <c r="L498" s="50" t="e">
        <f>+J498/E498</f>
        <v>#DIV/0!</v>
      </c>
      <c r="M498" s="144">
        <v>4.1712999999999996</v>
      </c>
      <c r="N498" s="7">
        <f>+M498*G498</f>
        <v>0</v>
      </c>
      <c r="O498" s="93">
        <f>+M498*J498</f>
        <v>441114.97499999998</v>
      </c>
      <c r="P498" s="1122"/>
    </row>
    <row r="499" spans="2:16" x14ac:dyDescent="0.25">
      <c r="B499" s="1112"/>
      <c r="C499" s="1126"/>
      <c r="D499" s="22" t="s">
        <v>65</v>
      </c>
      <c r="E499" s="3">
        <v>0</v>
      </c>
      <c r="F499" s="4">
        <f>G499+H499</f>
        <v>0</v>
      </c>
      <c r="G499" s="4">
        <v>0</v>
      </c>
      <c r="H499" s="8">
        <v>0</v>
      </c>
      <c r="I499" s="6">
        <f>+R1543+F499</f>
        <v>0</v>
      </c>
      <c r="J499" s="4">
        <f>G499+J434</f>
        <v>120000</v>
      </c>
      <c r="K499" s="4">
        <f>H499+K434</f>
        <v>3230</v>
      </c>
      <c r="L499" s="51" t="e">
        <f t="shared" ref="L499:L503" si="384">+J499/E499</f>
        <v>#DIV/0!</v>
      </c>
      <c r="M499" s="145">
        <v>4.8285999999999998</v>
      </c>
      <c r="N499" s="11">
        <f t="shared" ref="N499:N501" si="385">+M499*G499</f>
        <v>0</v>
      </c>
      <c r="O499" s="94">
        <f t="shared" ref="O499:O501" si="386">+M499*J499</f>
        <v>579432</v>
      </c>
      <c r="P499" s="1123"/>
    </row>
    <row r="500" spans="2:16" x14ac:dyDescent="0.25">
      <c r="B500" s="1112"/>
      <c r="C500" s="1126"/>
      <c r="D500" s="22" t="s">
        <v>127</v>
      </c>
      <c r="E500" s="3"/>
      <c r="F500" s="4">
        <f>G500+H500</f>
        <v>0</v>
      </c>
      <c r="G500" s="4">
        <v>0</v>
      </c>
      <c r="H500" s="8">
        <v>0</v>
      </c>
      <c r="I500" s="6">
        <f>+R1544+F500</f>
        <v>0</v>
      </c>
      <c r="J500" s="4">
        <f t="shared" ref="J500:J501" si="387">G500+J435</f>
        <v>0</v>
      </c>
      <c r="K500" s="4">
        <f t="shared" ref="K500:K501" si="388">H500+K435</f>
        <v>0</v>
      </c>
      <c r="L500" s="51" t="e">
        <f t="shared" si="384"/>
        <v>#DIV/0!</v>
      </c>
      <c r="M500" s="144">
        <v>4.5023</v>
      </c>
      <c r="N500" s="11">
        <f t="shared" si="385"/>
        <v>0</v>
      </c>
      <c r="O500" s="94">
        <f t="shared" si="386"/>
        <v>0</v>
      </c>
      <c r="P500" s="1123"/>
    </row>
    <row r="501" spans="2:16" ht="15.75" thickBot="1" x14ac:dyDescent="0.3">
      <c r="B501" s="1112"/>
      <c r="C501" s="1126"/>
      <c r="D501" s="22" t="s">
        <v>111</v>
      </c>
      <c r="E501" s="3">
        <v>0</v>
      </c>
      <c r="F501" s="4">
        <f t="shared" ref="F501" si="389">G501+H501</f>
        <v>0</v>
      </c>
      <c r="G501" s="4">
        <v>0</v>
      </c>
      <c r="H501" s="8">
        <v>0</v>
      </c>
      <c r="I501" s="6">
        <f>+R1544+F501</f>
        <v>0</v>
      </c>
      <c r="J501" s="4">
        <f t="shared" si="387"/>
        <v>0</v>
      </c>
      <c r="K501" s="4">
        <f t="shared" si="388"/>
        <v>0</v>
      </c>
      <c r="L501" s="51" t="e">
        <f t="shared" si="384"/>
        <v>#DIV/0!</v>
      </c>
      <c r="M501" s="144">
        <v>4.4065000000000003</v>
      </c>
      <c r="N501" s="11">
        <f t="shared" si="385"/>
        <v>0</v>
      </c>
      <c r="O501" s="94">
        <f t="shared" si="386"/>
        <v>0</v>
      </c>
      <c r="P501" s="1123"/>
    </row>
    <row r="502" spans="2:16" ht="15.75" thickBot="1" x14ac:dyDescent="0.3">
      <c r="B502" s="1112"/>
      <c r="C502" s="41" t="s">
        <v>31</v>
      </c>
      <c r="D502" s="18" t="str">
        <f>+C502</f>
        <v>TOTAL 4/4</v>
      </c>
      <c r="E502" s="42">
        <f t="shared" ref="E502:K502" si="390">SUM(E498:E501)</f>
        <v>0</v>
      </c>
      <c r="F502" s="43">
        <f t="shared" si="390"/>
        <v>0</v>
      </c>
      <c r="G502" s="43">
        <f t="shared" si="390"/>
        <v>0</v>
      </c>
      <c r="H502" s="44">
        <f t="shared" si="390"/>
        <v>0</v>
      </c>
      <c r="I502" s="45">
        <f t="shared" si="390"/>
        <v>109220</v>
      </c>
      <c r="J502" s="43">
        <f t="shared" si="390"/>
        <v>225750</v>
      </c>
      <c r="K502" s="43">
        <f t="shared" si="390"/>
        <v>6700</v>
      </c>
      <c r="L502" s="46" t="e">
        <f t="shared" si="384"/>
        <v>#DIV/0!</v>
      </c>
      <c r="M502" s="47"/>
      <c r="N502" s="48">
        <f>SUM(N498:N501)</f>
        <v>0</v>
      </c>
      <c r="O502" s="92">
        <f>SUM(O498:O501)</f>
        <v>1020546.975</v>
      </c>
      <c r="P502" s="1124"/>
    </row>
    <row r="503" spans="2:16" ht="15.75" thickBot="1" x14ac:dyDescent="0.3">
      <c r="B503" s="1121"/>
      <c r="C503" s="41" t="s">
        <v>68</v>
      </c>
      <c r="D503" s="27" t="s">
        <v>64</v>
      </c>
      <c r="E503" s="25">
        <v>0</v>
      </c>
      <c r="F503" s="20">
        <f>G503+H503</f>
        <v>0</v>
      </c>
      <c r="G503" s="20">
        <v>0</v>
      </c>
      <c r="H503" s="24">
        <v>0</v>
      </c>
      <c r="I503" s="19">
        <f>J503+K503</f>
        <v>0</v>
      </c>
      <c r="J503" s="4">
        <f>G503+J438</f>
        <v>0</v>
      </c>
      <c r="K503" s="4">
        <f>H503+K438</f>
        <v>0</v>
      </c>
      <c r="L503" s="52" t="e">
        <f t="shared" si="384"/>
        <v>#DIV/0!</v>
      </c>
      <c r="M503" s="149">
        <v>1.4086000000000001</v>
      </c>
      <c r="N503" s="26">
        <f t="shared" ref="N503" si="391">+M503*G503</f>
        <v>0</v>
      </c>
      <c r="O503" s="95">
        <f t="shared" ref="O503" si="392">+M503*J503</f>
        <v>0</v>
      </c>
      <c r="P503" s="53"/>
    </row>
    <row r="504" spans="2:16" ht="15.75" thickBot="1" x14ac:dyDescent="0.3">
      <c r="B504" s="1096" t="s">
        <v>95</v>
      </c>
      <c r="C504" s="1097"/>
      <c r="D504" s="1097"/>
      <c r="E504" s="1097"/>
      <c r="F504" s="1097"/>
      <c r="G504" s="1097"/>
      <c r="H504" s="1097"/>
      <c r="I504" s="110">
        <f>J504+K504</f>
        <v>594067</v>
      </c>
      <c r="J504" s="110">
        <f>J497+J502+J503</f>
        <v>579500</v>
      </c>
      <c r="K504" s="110">
        <f>K497+K502+K503</f>
        <v>14567</v>
      </c>
      <c r="L504" s="111"/>
      <c r="M504" s="112"/>
      <c r="N504" s="109"/>
      <c r="O504" s="77">
        <f>+O503+O502+O497</f>
        <v>1803784.85</v>
      </c>
      <c r="P504" s="84"/>
    </row>
    <row r="505" spans="2:16" x14ac:dyDescent="0.25">
      <c r="B505" s="1098" t="s">
        <v>69</v>
      </c>
      <c r="C505" s="1101" t="s">
        <v>70</v>
      </c>
      <c r="D505" s="54" t="s">
        <v>71</v>
      </c>
      <c r="E505" s="55">
        <v>0</v>
      </c>
      <c r="F505" s="56">
        <f>G505+H505</f>
        <v>0</v>
      </c>
      <c r="G505" s="56">
        <v>0</v>
      </c>
      <c r="H505" s="57">
        <v>0</v>
      </c>
      <c r="I505" s="78">
        <f>J505+K505</f>
        <v>0</v>
      </c>
      <c r="J505" s="4">
        <f>G505+J440</f>
        <v>0</v>
      </c>
      <c r="K505" s="4">
        <f>H505+K440</f>
        <v>0</v>
      </c>
      <c r="L505" s="58" t="e">
        <f t="shared" ref="L505" si="393">+J505/E505</f>
        <v>#DIV/0!</v>
      </c>
      <c r="M505" s="59">
        <v>32.946300000000001</v>
      </c>
      <c r="N505" s="60">
        <f>+M505*G505</f>
        <v>0</v>
      </c>
      <c r="O505" s="60">
        <f>M505*J505</f>
        <v>0</v>
      </c>
      <c r="P505" s="1103"/>
    </row>
    <row r="506" spans="2:16" x14ac:dyDescent="0.25">
      <c r="B506" s="1099"/>
      <c r="C506" s="1102"/>
      <c r="D506" s="61" t="s">
        <v>72</v>
      </c>
      <c r="E506" s="62">
        <v>0</v>
      </c>
      <c r="F506" s="63">
        <f>G506+H506</f>
        <v>0</v>
      </c>
      <c r="G506" s="63">
        <v>0</v>
      </c>
      <c r="H506" s="64">
        <v>0</v>
      </c>
      <c r="I506" s="79">
        <f>J506+K506</f>
        <v>20295</v>
      </c>
      <c r="J506" s="4">
        <f>G506+J441</f>
        <v>20000</v>
      </c>
      <c r="K506" s="4">
        <f>H506+K441</f>
        <v>295</v>
      </c>
      <c r="L506" s="65" t="e">
        <f>+J506/E506</f>
        <v>#DIV/0!</v>
      </c>
      <c r="M506" s="66">
        <v>35.398400000000002</v>
      </c>
      <c r="N506" s="67">
        <f>+M506*G506</f>
        <v>0</v>
      </c>
      <c r="O506" s="67">
        <f>M506*J506</f>
        <v>707968</v>
      </c>
      <c r="P506" s="1104"/>
    </row>
    <row r="507" spans="2:16" x14ac:dyDescent="0.25">
      <c r="B507" s="1099"/>
      <c r="C507" s="1102"/>
      <c r="D507" s="61" t="s">
        <v>73</v>
      </c>
      <c r="E507" s="62">
        <v>0</v>
      </c>
      <c r="F507" s="63">
        <f t="shared" ref="F507:F510" si="394">G507+H507</f>
        <v>0</v>
      </c>
      <c r="G507" s="63">
        <v>0</v>
      </c>
      <c r="H507" s="64">
        <v>0</v>
      </c>
      <c r="I507" s="79">
        <f t="shared" ref="I507:I516" si="395">J507+K507</f>
        <v>0</v>
      </c>
      <c r="J507" s="4">
        <f t="shared" ref="J507:J532" si="396">G507+J442</f>
        <v>0</v>
      </c>
      <c r="K507" s="4">
        <f t="shared" ref="K507:K511" si="397">H507+K442</f>
        <v>0</v>
      </c>
      <c r="L507" s="65" t="e">
        <f t="shared" ref="L507:L520" si="398">+J507/E507</f>
        <v>#DIV/0!</v>
      </c>
      <c r="M507" s="66">
        <v>32.946300000000001</v>
      </c>
      <c r="N507" s="67">
        <f t="shared" ref="N507:N527" si="399">+M507*G507</f>
        <v>0</v>
      </c>
      <c r="O507" s="67">
        <f t="shared" ref="O507:O515" si="400">M507*J507</f>
        <v>0</v>
      </c>
      <c r="P507" s="1104"/>
    </row>
    <row r="508" spans="2:16" x14ac:dyDescent="0.25">
      <c r="B508" s="1099"/>
      <c r="C508" s="1102" t="s">
        <v>74</v>
      </c>
      <c r="D508" s="61" t="s">
        <v>75</v>
      </c>
      <c r="E508" s="62">
        <v>0</v>
      </c>
      <c r="F508" s="63">
        <f t="shared" si="394"/>
        <v>0</v>
      </c>
      <c r="G508" s="63">
        <v>0</v>
      </c>
      <c r="H508" s="64">
        <v>0</v>
      </c>
      <c r="I508" s="79">
        <f t="shared" si="395"/>
        <v>9879</v>
      </c>
      <c r="J508" s="4">
        <f t="shared" si="396"/>
        <v>9600</v>
      </c>
      <c r="K508" s="4">
        <f t="shared" si="397"/>
        <v>279</v>
      </c>
      <c r="L508" s="65" t="e">
        <f t="shared" si="398"/>
        <v>#DIV/0!</v>
      </c>
      <c r="M508" s="66">
        <v>55.4758</v>
      </c>
      <c r="N508" s="67">
        <f t="shared" si="399"/>
        <v>0</v>
      </c>
      <c r="O508" s="67">
        <f t="shared" si="400"/>
        <v>532567.68000000005</v>
      </c>
      <c r="P508" s="1104"/>
    </row>
    <row r="509" spans="2:16" x14ac:dyDescent="0.25">
      <c r="B509" s="1099"/>
      <c r="C509" s="1102"/>
      <c r="D509" s="61" t="s">
        <v>134</v>
      </c>
      <c r="E509" s="62">
        <v>0</v>
      </c>
      <c r="F509" s="63">
        <f t="shared" si="394"/>
        <v>0</v>
      </c>
      <c r="G509" s="63">
        <v>0</v>
      </c>
      <c r="H509" s="64">
        <v>0</v>
      </c>
      <c r="I509" s="79">
        <f t="shared" si="395"/>
        <v>0</v>
      </c>
      <c r="J509" s="4">
        <f t="shared" si="396"/>
        <v>0</v>
      </c>
      <c r="K509" s="4">
        <f t="shared" si="397"/>
        <v>0</v>
      </c>
      <c r="L509" s="65" t="e">
        <f t="shared" si="398"/>
        <v>#DIV/0!</v>
      </c>
      <c r="M509" s="66">
        <v>53.515999999999998</v>
      </c>
      <c r="N509" s="67">
        <f t="shared" si="399"/>
        <v>0</v>
      </c>
      <c r="O509" s="67">
        <f t="shared" si="400"/>
        <v>0</v>
      </c>
      <c r="P509" s="1104"/>
    </row>
    <row r="510" spans="2:16" x14ac:dyDescent="0.25">
      <c r="B510" s="1099"/>
      <c r="C510" s="1102"/>
      <c r="D510" s="61" t="s">
        <v>72</v>
      </c>
      <c r="E510" s="62">
        <v>0</v>
      </c>
      <c r="F510" s="63">
        <f t="shared" si="394"/>
        <v>0</v>
      </c>
      <c r="G510" s="63">
        <v>0</v>
      </c>
      <c r="H510" s="64">
        <v>0</v>
      </c>
      <c r="I510" s="79">
        <f t="shared" si="395"/>
        <v>9804</v>
      </c>
      <c r="J510" s="4">
        <f t="shared" si="396"/>
        <v>9600</v>
      </c>
      <c r="K510" s="4">
        <f t="shared" si="397"/>
        <v>204</v>
      </c>
      <c r="L510" s="65" t="e">
        <f t="shared" si="398"/>
        <v>#DIV/0!</v>
      </c>
      <c r="M510" s="66">
        <v>58.836300000000001</v>
      </c>
      <c r="N510" s="67">
        <f t="shared" si="399"/>
        <v>0</v>
      </c>
      <c r="O510" s="67">
        <f t="shared" si="400"/>
        <v>564828.48</v>
      </c>
      <c r="P510" s="1104"/>
    </row>
    <row r="511" spans="2:16" x14ac:dyDescent="0.25">
      <c r="B511" s="1099"/>
      <c r="C511" s="1106" t="s">
        <v>76</v>
      </c>
      <c r="D511" s="61" t="s">
        <v>77</v>
      </c>
      <c r="E511" s="62">
        <v>0</v>
      </c>
      <c r="F511" s="63">
        <f>G511+H511</f>
        <v>0</v>
      </c>
      <c r="G511" s="63">
        <v>0</v>
      </c>
      <c r="H511" s="64">
        <v>0</v>
      </c>
      <c r="I511" s="79">
        <f t="shared" si="395"/>
        <v>3675</v>
      </c>
      <c r="J511" s="4">
        <f t="shared" si="396"/>
        <v>3575</v>
      </c>
      <c r="K511" s="4">
        <f t="shared" si="397"/>
        <v>100</v>
      </c>
      <c r="L511" s="65" t="e">
        <f t="shared" si="398"/>
        <v>#DIV/0!</v>
      </c>
      <c r="M511" s="66">
        <v>25.687200000000001</v>
      </c>
      <c r="N511" s="67">
        <f t="shared" si="399"/>
        <v>0</v>
      </c>
      <c r="O511" s="67">
        <f t="shared" si="400"/>
        <v>91831.74</v>
      </c>
      <c r="P511" s="1104"/>
    </row>
    <row r="512" spans="2:16" x14ac:dyDescent="0.25">
      <c r="B512" s="1099"/>
      <c r="C512" s="1107"/>
      <c r="D512" s="61" t="s">
        <v>117</v>
      </c>
      <c r="E512" s="62">
        <v>0</v>
      </c>
      <c r="F512" s="63">
        <f>G512+H512</f>
        <v>0</v>
      </c>
      <c r="G512" s="63">
        <v>0</v>
      </c>
      <c r="H512" s="64">
        <v>0</v>
      </c>
      <c r="I512" s="79">
        <f t="shared" si="395"/>
        <v>0</v>
      </c>
      <c r="J512" s="4">
        <f t="shared" si="396"/>
        <v>0</v>
      </c>
      <c r="K512" s="4">
        <f>H512+K447</f>
        <v>0</v>
      </c>
      <c r="L512" s="65" t="e">
        <f t="shared" si="398"/>
        <v>#DIV/0!</v>
      </c>
      <c r="M512" s="66">
        <v>25.033899999999999</v>
      </c>
      <c r="N512" s="67">
        <f t="shared" si="399"/>
        <v>0</v>
      </c>
      <c r="O512" s="67">
        <f t="shared" si="400"/>
        <v>0</v>
      </c>
      <c r="P512" s="1104"/>
    </row>
    <row r="513" spans="2:16" x14ac:dyDescent="0.25">
      <c r="B513" s="1099"/>
      <c r="C513" s="1106" t="s">
        <v>78</v>
      </c>
      <c r="D513" s="61" t="s">
        <v>79</v>
      </c>
      <c r="E513" s="62">
        <v>0</v>
      </c>
      <c r="F513" s="63">
        <f t="shared" ref="F513:F532" si="401">G513+H513</f>
        <v>0</v>
      </c>
      <c r="G513" s="63">
        <v>0</v>
      </c>
      <c r="H513" s="64">
        <v>0</v>
      </c>
      <c r="I513" s="79">
        <f t="shared" si="395"/>
        <v>8113</v>
      </c>
      <c r="J513" s="4">
        <f t="shared" si="396"/>
        <v>8000</v>
      </c>
      <c r="K513" s="4">
        <f t="shared" ref="K513:K532" si="402">H513+K448</f>
        <v>113</v>
      </c>
      <c r="L513" s="65" t="e">
        <f t="shared" si="398"/>
        <v>#DIV/0!</v>
      </c>
      <c r="M513" s="66">
        <v>41.992699999999999</v>
      </c>
      <c r="N513" s="67">
        <f t="shared" si="399"/>
        <v>0</v>
      </c>
      <c r="O513" s="67">
        <f t="shared" si="400"/>
        <v>335941.6</v>
      </c>
      <c r="P513" s="1104"/>
    </row>
    <row r="514" spans="2:16" x14ac:dyDescent="0.25">
      <c r="B514" s="1099"/>
      <c r="C514" s="1107"/>
      <c r="D514" s="61" t="s">
        <v>72</v>
      </c>
      <c r="E514" s="62">
        <v>0</v>
      </c>
      <c r="F514" s="63">
        <f t="shared" si="401"/>
        <v>0</v>
      </c>
      <c r="G514" s="63">
        <v>0</v>
      </c>
      <c r="H514" s="64">
        <v>0</v>
      </c>
      <c r="I514" s="79">
        <f t="shared" si="395"/>
        <v>0</v>
      </c>
      <c r="J514" s="4">
        <f t="shared" si="396"/>
        <v>0</v>
      </c>
      <c r="K514" s="4">
        <f t="shared" si="402"/>
        <v>0</v>
      </c>
      <c r="L514" s="65" t="e">
        <f t="shared" si="398"/>
        <v>#DIV/0!</v>
      </c>
      <c r="M514" s="66">
        <v>42.283799999999999</v>
      </c>
      <c r="N514" s="67">
        <f t="shared" si="399"/>
        <v>0</v>
      </c>
      <c r="O514" s="67">
        <f t="shared" si="400"/>
        <v>0</v>
      </c>
      <c r="P514" s="1104"/>
    </row>
    <row r="515" spans="2:16" x14ac:dyDescent="0.25">
      <c r="B515" s="1099"/>
      <c r="C515" s="184" t="s">
        <v>80</v>
      </c>
      <c r="D515" s="61" t="s">
        <v>81</v>
      </c>
      <c r="E515" s="62">
        <v>0</v>
      </c>
      <c r="F515" s="63">
        <f t="shared" si="401"/>
        <v>0</v>
      </c>
      <c r="G515" s="63">
        <v>0</v>
      </c>
      <c r="H515" s="64">
        <v>0</v>
      </c>
      <c r="I515" s="79">
        <f t="shared" si="395"/>
        <v>10898</v>
      </c>
      <c r="J515" s="4">
        <f t="shared" si="396"/>
        <v>10500</v>
      </c>
      <c r="K515" s="4">
        <f t="shared" si="402"/>
        <v>398</v>
      </c>
      <c r="L515" s="65" t="e">
        <f t="shared" si="398"/>
        <v>#DIV/0!</v>
      </c>
      <c r="M515" s="66">
        <v>4.3535000000000004</v>
      </c>
      <c r="N515" s="67">
        <f t="shared" si="399"/>
        <v>0</v>
      </c>
      <c r="O515" s="67">
        <f t="shared" si="400"/>
        <v>45711.750000000007</v>
      </c>
      <c r="P515" s="1104"/>
    </row>
    <row r="516" spans="2:16" x14ac:dyDescent="0.25">
      <c r="B516" s="1099"/>
      <c r="C516" s="1102" t="s">
        <v>82</v>
      </c>
      <c r="D516" s="61" t="s">
        <v>77</v>
      </c>
      <c r="E516" s="62">
        <v>0</v>
      </c>
      <c r="F516" s="63">
        <f t="shared" si="401"/>
        <v>0</v>
      </c>
      <c r="G516" s="63">
        <v>0</v>
      </c>
      <c r="H516" s="64">
        <v>0</v>
      </c>
      <c r="I516" s="79">
        <f t="shared" si="395"/>
        <v>0</v>
      </c>
      <c r="J516" s="4">
        <f t="shared" si="396"/>
        <v>0</v>
      </c>
      <c r="K516" s="4">
        <f t="shared" si="402"/>
        <v>0</v>
      </c>
      <c r="L516" s="65" t="e">
        <f t="shared" si="398"/>
        <v>#DIV/0!</v>
      </c>
      <c r="M516" s="66">
        <v>4.6184000000000003</v>
      </c>
      <c r="N516" s="67">
        <f t="shared" si="399"/>
        <v>0</v>
      </c>
      <c r="O516" s="67">
        <f>M516*J516</f>
        <v>0</v>
      </c>
      <c r="P516" s="1104"/>
    </row>
    <row r="517" spans="2:16" x14ac:dyDescent="0.25">
      <c r="B517" s="1099"/>
      <c r="C517" s="1102"/>
      <c r="D517" s="61" t="s">
        <v>119</v>
      </c>
      <c r="E517" s="62">
        <v>0</v>
      </c>
      <c r="F517" s="63">
        <f t="shared" si="401"/>
        <v>0</v>
      </c>
      <c r="G517" s="63">
        <v>0</v>
      </c>
      <c r="H517" s="64">
        <v>0</v>
      </c>
      <c r="I517" s="79">
        <f>J517+K517</f>
        <v>0</v>
      </c>
      <c r="J517" s="4">
        <f t="shared" si="396"/>
        <v>0</v>
      </c>
      <c r="K517" s="4">
        <f t="shared" si="402"/>
        <v>0</v>
      </c>
      <c r="L517" s="65" t="e">
        <f t="shared" si="398"/>
        <v>#DIV/0!</v>
      </c>
      <c r="M517" s="153">
        <v>4.6184000000000003</v>
      </c>
      <c r="N517" s="67">
        <f t="shared" si="399"/>
        <v>0</v>
      </c>
      <c r="O517" s="67">
        <f>M517*J517</f>
        <v>0</v>
      </c>
      <c r="P517" s="1104"/>
    </row>
    <row r="518" spans="2:16" x14ac:dyDescent="0.25">
      <c r="B518" s="1099"/>
      <c r="C518" s="1102"/>
      <c r="D518" s="61" t="s">
        <v>123</v>
      </c>
      <c r="E518" s="62">
        <v>0</v>
      </c>
      <c r="F518" s="63">
        <f t="shared" si="401"/>
        <v>0</v>
      </c>
      <c r="G518" s="63">
        <v>0</v>
      </c>
      <c r="H518" s="64">
        <v>0</v>
      </c>
      <c r="I518" s="79">
        <f t="shared" ref="I518:I532" si="403">J518+K518</f>
        <v>0</v>
      </c>
      <c r="J518" s="4">
        <f t="shared" si="396"/>
        <v>0</v>
      </c>
      <c r="K518" s="4">
        <f t="shared" si="402"/>
        <v>0</v>
      </c>
      <c r="L518" s="65" t="e">
        <f t="shared" si="398"/>
        <v>#DIV/0!</v>
      </c>
      <c r="M518" s="153">
        <v>4.6184000000000003</v>
      </c>
      <c r="N518" s="67">
        <f t="shared" si="399"/>
        <v>0</v>
      </c>
      <c r="O518" s="67">
        <f t="shared" ref="O518:O523" si="404">M518*J518</f>
        <v>0</v>
      </c>
      <c r="P518" s="1104"/>
    </row>
    <row r="519" spans="2:16" x14ac:dyDescent="0.25">
      <c r="B519" s="1099"/>
      <c r="C519" s="1102"/>
      <c r="D519" s="61" t="s">
        <v>124</v>
      </c>
      <c r="E519" s="62">
        <v>0</v>
      </c>
      <c r="F519" s="63">
        <f t="shared" si="401"/>
        <v>7029</v>
      </c>
      <c r="G519" s="63">
        <v>6600</v>
      </c>
      <c r="H519" s="64">
        <v>429</v>
      </c>
      <c r="I519" s="79">
        <f t="shared" si="403"/>
        <v>159142</v>
      </c>
      <c r="J519" s="4">
        <f t="shared" si="396"/>
        <v>154255</v>
      </c>
      <c r="K519" s="4">
        <f t="shared" si="402"/>
        <v>4887</v>
      </c>
      <c r="L519" s="65" t="e">
        <f t="shared" si="398"/>
        <v>#DIV/0!</v>
      </c>
      <c r="M519" s="153">
        <v>4.7636000000000003</v>
      </c>
      <c r="N519" s="67">
        <f t="shared" si="399"/>
        <v>31439.760000000002</v>
      </c>
      <c r="O519" s="67">
        <f t="shared" si="404"/>
        <v>734809.11800000002</v>
      </c>
      <c r="P519" s="1104"/>
    </row>
    <row r="520" spans="2:16" x14ac:dyDescent="0.25">
      <c r="B520" s="1099"/>
      <c r="C520" s="1102"/>
      <c r="D520" s="61" t="s">
        <v>83</v>
      </c>
      <c r="E520" s="62">
        <v>0</v>
      </c>
      <c r="F520" s="63">
        <f t="shared" si="401"/>
        <v>0</v>
      </c>
      <c r="G520" s="63">
        <v>0</v>
      </c>
      <c r="H520" s="64">
        <v>0</v>
      </c>
      <c r="I520" s="79">
        <f t="shared" si="403"/>
        <v>0</v>
      </c>
      <c r="J520" s="4">
        <f t="shared" si="396"/>
        <v>0</v>
      </c>
      <c r="K520" s="4">
        <f t="shared" si="402"/>
        <v>0</v>
      </c>
      <c r="L520" s="65" t="e">
        <f t="shared" si="398"/>
        <v>#DIV/0!</v>
      </c>
      <c r="M520" s="66">
        <v>4.8738000000000001</v>
      </c>
      <c r="N520" s="67">
        <f t="shared" si="399"/>
        <v>0</v>
      </c>
      <c r="O520" s="67">
        <f t="shared" si="404"/>
        <v>0</v>
      </c>
      <c r="P520" s="1104"/>
    </row>
    <row r="521" spans="2:16" x14ac:dyDescent="0.25">
      <c r="B521" s="1099"/>
      <c r="C521" s="184" t="s">
        <v>128</v>
      </c>
      <c r="D521" s="61" t="s">
        <v>124</v>
      </c>
      <c r="E521" s="62"/>
      <c r="F521" s="63">
        <f t="shared" si="401"/>
        <v>0</v>
      </c>
      <c r="G521" s="63">
        <v>0</v>
      </c>
      <c r="H521" s="64">
        <v>0</v>
      </c>
      <c r="I521" s="79">
        <f t="shared" si="403"/>
        <v>0</v>
      </c>
      <c r="J521" s="4">
        <f t="shared" si="396"/>
        <v>0</v>
      </c>
      <c r="K521" s="4">
        <f t="shared" si="402"/>
        <v>0</v>
      </c>
      <c r="L521" s="65"/>
      <c r="M521" s="66">
        <v>4.8738000000000001</v>
      </c>
      <c r="N521" s="67">
        <f t="shared" si="399"/>
        <v>0</v>
      </c>
      <c r="O521" s="67">
        <f t="shared" si="404"/>
        <v>0</v>
      </c>
      <c r="P521" s="1104"/>
    </row>
    <row r="522" spans="2:16" x14ac:dyDescent="0.25">
      <c r="B522" s="1099"/>
      <c r="C522" s="1102" t="s">
        <v>84</v>
      </c>
      <c r="D522" s="61" t="s">
        <v>77</v>
      </c>
      <c r="E522" s="62">
        <v>0</v>
      </c>
      <c r="F522" s="63">
        <f t="shared" si="401"/>
        <v>12042</v>
      </c>
      <c r="G522" s="63">
        <v>11950</v>
      </c>
      <c r="H522" s="64">
        <v>92</v>
      </c>
      <c r="I522" s="79">
        <f t="shared" si="403"/>
        <v>152369</v>
      </c>
      <c r="J522" s="4">
        <f t="shared" si="396"/>
        <v>150500</v>
      </c>
      <c r="K522" s="4">
        <f t="shared" si="402"/>
        <v>1869</v>
      </c>
      <c r="L522" s="65" t="e">
        <f t="shared" ref="L522:L532" si="405">+J522/E522</f>
        <v>#DIV/0!</v>
      </c>
      <c r="M522" s="66">
        <v>4.9344999999999999</v>
      </c>
      <c r="N522" s="67">
        <f t="shared" si="399"/>
        <v>58967.275000000001</v>
      </c>
      <c r="O522" s="67">
        <f t="shared" si="404"/>
        <v>742642.25</v>
      </c>
      <c r="P522" s="1104"/>
    </row>
    <row r="523" spans="2:16" x14ac:dyDescent="0.25">
      <c r="B523" s="1099"/>
      <c r="C523" s="1102"/>
      <c r="D523" s="61" t="s">
        <v>135</v>
      </c>
      <c r="E523" s="62"/>
      <c r="F523" s="63">
        <f t="shared" si="401"/>
        <v>0</v>
      </c>
      <c r="G523" s="63">
        <v>0</v>
      </c>
      <c r="H523" s="64">
        <v>0</v>
      </c>
      <c r="I523" s="79">
        <f t="shared" si="403"/>
        <v>0</v>
      </c>
      <c r="J523" s="4">
        <f t="shared" si="396"/>
        <v>0</v>
      </c>
      <c r="K523" s="4">
        <f t="shared" si="402"/>
        <v>0</v>
      </c>
      <c r="L523" s="65" t="e">
        <f t="shared" si="405"/>
        <v>#DIV/0!</v>
      </c>
      <c r="M523" s="66">
        <v>4.9344999999999999</v>
      </c>
      <c r="N523" s="67">
        <f t="shared" si="399"/>
        <v>0</v>
      </c>
      <c r="O523" s="67">
        <f t="shared" si="404"/>
        <v>0</v>
      </c>
      <c r="P523" s="1104"/>
    </row>
    <row r="524" spans="2:16" x14ac:dyDescent="0.25">
      <c r="B524" s="1099"/>
      <c r="C524" s="1102"/>
      <c r="D524" s="61" t="s">
        <v>129</v>
      </c>
      <c r="E524" s="62">
        <v>0</v>
      </c>
      <c r="F524" s="63">
        <f t="shared" si="401"/>
        <v>0</v>
      </c>
      <c r="G524" s="155">
        <v>0</v>
      </c>
      <c r="H524" s="156">
        <v>0</v>
      </c>
      <c r="I524" s="157">
        <f t="shared" si="403"/>
        <v>0</v>
      </c>
      <c r="J524" s="4">
        <f t="shared" si="396"/>
        <v>0</v>
      </c>
      <c r="K524" s="4">
        <f t="shared" si="402"/>
        <v>0</v>
      </c>
      <c r="L524" s="158" t="e">
        <f t="shared" si="405"/>
        <v>#DIV/0!</v>
      </c>
      <c r="M524" s="66">
        <v>4.9344999999999999</v>
      </c>
      <c r="N524" s="159">
        <f t="shared" si="399"/>
        <v>0</v>
      </c>
      <c r="O524" s="67">
        <f>M524*J524</f>
        <v>0</v>
      </c>
      <c r="P524" s="1104"/>
    </row>
    <row r="525" spans="2:16" x14ac:dyDescent="0.25">
      <c r="B525" s="1099"/>
      <c r="C525" s="1102" t="s">
        <v>85</v>
      </c>
      <c r="D525" s="61" t="s">
        <v>77</v>
      </c>
      <c r="E525" s="62">
        <v>0</v>
      </c>
      <c r="F525" s="63">
        <f t="shared" si="401"/>
        <v>0</v>
      </c>
      <c r="G525" s="63">
        <v>0</v>
      </c>
      <c r="H525" s="64">
        <v>0</v>
      </c>
      <c r="I525" s="79">
        <f t="shared" si="403"/>
        <v>113515</v>
      </c>
      <c r="J525" s="4">
        <f t="shared" si="396"/>
        <v>106950</v>
      </c>
      <c r="K525" s="4">
        <f t="shared" si="402"/>
        <v>6565</v>
      </c>
      <c r="L525" s="65" t="e">
        <f t="shared" si="405"/>
        <v>#DIV/0!</v>
      </c>
      <c r="M525" s="148">
        <v>5.5069999999999997</v>
      </c>
      <c r="N525" s="67">
        <f t="shared" si="399"/>
        <v>0</v>
      </c>
      <c r="O525" s="67">
        <f>M525*J525</f>
        <v>588973.64999999991</v>
      </c>
      <c r="P525" s="1104"/>
    </row>
    <row r="526" spans="2:16" x14ac:dyDescent="0.25">
      <c r="B526" s="1099"/>
      <c r="C526" s="1102"/>
      <c r="D526" s="61" t="s">
        <v>112</v>
      </c>
      <c r="E526" s="62">
        <v>0</v>
      </c>
      <c r="F526" s="63">
        <f t="shared" si="401"/>
        <v>0</v>
      </c>
      <c r="G526" s="63">
        <v>0</v>
      </c>
      <c r="H526" s="64">
        <v>0</v>
      </c>
      <c r="I526" s="79">
        <f t="shared" si="403"/>
        <v>10950</v>
      </c>
      <c r="J526" s="4">
        <f t="shared" si="396"/>
        <v>10900</v>
      </c>
      <c r="K526" s="4">
        <f t="shared" si="402"/>
        <v>50</v>
      </c>
      <c r="L526" s="65" t="e">
        <f t="shared" si="405"/>
        <v>#DIV/0!</v>
      </c>
      <c r="M526" s="147">
        <v>5.6550000000000002</v>
      </c>
      <c r="N526" s="67">
        <f t="shared" si="399"/>
        <v>0</v>
      </c>
      <c r="O526" s="67">
        <f>M526*J526</f>
        <v>61639.5</v>
      </c>
      <c r="P526" s="1104"/>
    </row>
    <row r="527" spans="2:16" x14ac:dyDescent="0.25">
      <c r="B527" s="1099"/>
      <c r="C527" s="1102"/>
      <c r="D527" s="61" t="s">
        <v>118</v>
      </c>
      <c r="E527" s="62">
        <v>0</v>
      </c>
      <c r="F527" s="63">
        <f t="shared" si="401"/>
        <v>0</v>
      </c>
      <c r="G527" s="63">
        <v>0</v>
      </c>
      <c r="H527" s="64">
        <v>0</v>
      </c>
      <c r="I527" s="79">
        <f t="shared" si="403"/>
        <v>0</v>
      </c>
      <c r="J527" s="4">
        <f t="shared" si="396"/>
        <v>0</v>
      </c>
      <c r="K527" s="4">
        <f t="shared" si="402"/>
        <v>0</v>
      </c>
      <c r="L527" s="65" t="e">
        <f t="shared" si="405"/>
        <v>#DIV/0!</v>
      </c>
      <c r="M527" s="152">
        <v>5.6550000000000002</v>
      </c>
      <c r="N527" s="67">
        <f t="shared" si="399"/>
        <v>0</v>
      </c>
      <c r="O527" s="67">
        <f>M527*J527</f>
        <v>0</v>
      </c>
      <c r="P527" s="1104"/>
    </row>
    <row r="528" spans="2:16" x14ac:dyDescent="0.25">
      <c r="B528" s="1099"/>
      <c r="C528" s="1102"/>
      <c r="D528" s="61" t="s">
        <v>121</v>
      </c>
      <c r="E528" s="62">
        <v>0</v>
      </c>
      <c r="F528" s="63">
        <f t="shared" si="401"/>
        <v>0</v>
      </c>
      <c r="G528" s="63">
        <v>0</v>
      </c>
      <c r="H528" s="64">
        <v>0</v>
      </c>
      <c r="I528" s="79">
        <f t="shared" si="403"/>
        <v>12400</v>
      </c>
      <c r="J528" s="4">
        <f t="shared" si="396"/>
        <v>10900</v>
      </c>
      <c r="K528" s="4">
        <f t="shared" si="402"/>
        <v>1500</v>
      </c>
      <c r="L528" s="65" t="e">
        <f t="shared" si="405"/>
        <v>#DIV/0!</v>
      </c>
      <c r="M528" s="66">
        <v>5.7885299999999997</v>
      </c>
      <c r="N528" s="67">
        <f>+M528*G528</f>
        <v>0</v>
      </c>
      <c r="O528" s="67">
        <f>M528*J528</f>
        <v>63094.976999999999</v>
      </c>
      <c r="P528" s="1104"/>
    </row>
    <row r="529" spans="2:16" x14ac:dyDescent="0.25">
      <c r="B529" s="1099"/>
      <c r="C529" s="1102"/>
      <c r="D529" s="61" t="s">
        <v>136</v>
      </c>
      <c r="E529" s="62">
        <v>0</v>
      </c>
      <c r="F529" s="63">
        <f t="shared" si="401"/>
        <v>0</v>
      </c>
      <c r="G529" s="63">
        <v>0</v>
      </c>
      <c r="H529" s="64">
        <v>0</v>
      </c>
      <c r="I529" s="79">
        <f t="shared" si="403"/>
        <v>0</v>
      </c>
      <c r="J529" s="4">
        <f t="shared" si="396"/>
        <v>0</v>
      </c>
      <c r="K529" s="4">
        <f t="shared" si="402"/>
        <v>0</v>
      </c>
      <c r="L529" s="65" t="e">
        <f t="shared" si="405"/>
        <v>#DIV/0!</v>
      </c>
      <c r="M529" s="152">
        <v>5.6550000000000002</v>
      </c>
      <c r="N529" s="67">
        <f t="shared" ref="N529:N531" si="406">+M529*G529</f>
        <v>0</v>
      </c>
      <c r="O529" s="67">
        <f t="shared" ref="O529:O532" si="407">M529*J529</f>
        <v>0</v>
      </c>
      <c r="P529" s="1104"/>
    </row>
    <row r="530" spans="2:16" x14ac:dyDescent="0.25">
      <c r="B530" s="1099"/>
      <c r="C530" s="184" t="s">
        <v>86</v>
      </c>
      <c r="D530" s="61" t="s">
        <v>77</v>
      </c>
      <c r="E530" s="62">
        <v>0</v>
      </c>
      <c r="F530" s="63">
        <f t="shared" si="401"/>
        <v>0</v>
      </c>
      <c r="G530" s="63">
        <v>0</v>
      </c>
      <c r="H530" s="64">
        <v>0</v>
      </c>
      <c r="I530" s="79">
        <f t="shared" si="403"/>
        <v>0</v>
      </c>
      <c r="J530" s="4">
        <f t="shared" si="396"/>
        <v>0</v>
      </c>
      <c r="K530" s="4">
        <f t="shared" si="402"/>
        <v>0</v>
      </c>
      <c r="L530" s="65" t="e">
        <f t="shared" si="405"/>
        <v>#DIV/0!</v>
      </c>
      <c r="M530" s="66">
        <v>3.2963</v>
      </c>
      <c r="N530" s="67">
        <f t="shared" si="406"/>
        <v>0</v>
      </c>
      <c r="O530" s="67">
        <f t="shared" si="407"/>
        <v>0</v>
      </c>
      <c r="P530" s="1104"/>
    </row>
    <row r="531" spans="2:16" x14ac:dyDescent="0.25">
      <c r="B531" s="1099"/>
      <c r="C531" s="184" t="s">
        <v>87</v>
      </c>
      <c r="D531" s="61" t="s">
        <v>77</v>
      </c>
      <c r="E531" s="62">
        <v>0</v>
      </c>
      <c r="F531" s="63">
        <f t="shared" si="401"/>
        <v>0</v>
      </c>
      <c r="G531" s="63">
        <v>0</v>
      </c>
      <c r="H531" s="64">
        <v>0</v>
      </c>
      <c r="I531" s="79">
        <f t="shared" si="403"/>
        <v>0</v>
      </c>
      <c r="J531" s="4">
        <f t="shared" si="396"/>
        <v>0</v>
      </c>
      <c r="K531" s="4">
        <f t="shared" si="402"/>
        <v>0</v>
      </c>
      <c r="L531" s="65" t="e">
        <f t="shared" si="405"/>
        <v>#DIV/0!</v>
      </c>
      <c r="M531" s="66">
        <v>3.2963</v>
      </c>
      <c r="N531" s="67">
        <f t="shared" si="406"/>
        <v>0</v>
      </c>
      <c r="O531" s="67">
        <f t="shared" si="407"/>
        <v>0</v>
      </c>
      <c r="P531" s="1104"/>
    </row>
    <row r="532" spans="2:16" ht="15.75" thickBot="1" x14ac:dyDescent="0.3">
      <c r="B532" s="1099"/>
      <c r="C532" s="68" t="s">
        <v>88</v>
      </c>
      <c r="D532" s="69" t="s">
        <v>89</v>
      </c>
      <c r="E532" s="70">
        <v>0</v>
      </c>
      <c r="F532" s="71">
        <f t="shared" si="401"/>
        <v>0</v>
      </c>
      <c r="G532" s="71">
        <v>0</v>
      </c>
      <c r="H532" s="72">
        <v>0</v>
      </c>
      <c r="I532" s="80">
        <f t="shared" si="403"/>
        <v>65030</v>
      </c>
      <c r="J532" s="4">
        <f t="shared" si="396"/>
        <v>65000</v>
      </c>
      <c r="K532" s="4">
        <f t="shared" si="402"/>
        <v>30</v>
      </c>
      <c r="L532" s="65" t="e">
        <f t="shared" si="405"/>
        <v>#DIV/0!</v>
      </c>
      <c r="M532" s="73">
        <v>2.3201000000000001</v>
      </c>
      <c r="N532" s="74">
        <f t="shared" ref="N532" si="408">M532*G532</f>
        <v>0</v>
      </c>
      <c r="O532" s="74">
        <f t="shared" si="407"/>
        <v>150806.5</v>
      </c>
      <c r="P532" s="1105"/>
    </row>
    <row r="533" spans="2:16" ht="15.75" thickBot="1" x14ac:dyDescent="0.3">
      <c r="B533" s="1100"/>
      <c r="C533" s="1108" t="s">
        <v>99</v>
      </c>
      <c r="D533" s="1109"/>
      <c r="E533" s="1109"/>
      <c r="F533" s="1109"/>
      <c r="G533" s="1109"/>
      <c r="H533" s="1110"/>
      <c r="I533" s="116">
        <f>J533+K533</f>
        <v>576070</v>
      </c>
      <c r="J533" s="115">
        <f>SUM(J505:J532)</f>
        <v>559780</v>
      </c>
      <c r="K533" s="115">
        <f>SUM(K505:K532)</f>
        <v>16290</v>
      </c>
      <c r="L533" s="114"/>
      <c r="M533" s="113"/>
      <c r="N533" s="114"/>
      <c r="O533" s="97">
        <f>SUM(O505:O532)</f>
        <v>4620815.2449999992</v>
      </c>
      <c r="P533" s="96"/>
    </row>
    <row r="534" spans="2:16" ht="15.75" thickBot="1" x14ac:dyDescent="0.3">
      <c r="B534" s="100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2"/>
    </row>
    <row r="535" spans="2:16" ht="15.75" thickBot="1" x14ac:dyDescent="0.3">
      <c r="B535" s="1093" t="s">
        <v>100</v>
      </c>
      <c r="C535" s="1094"/>
      <c r="D535" s="1094"/>
      <c r="E535" s="1094"/>
      <c r="F535" s="1094"/>
      <c r="G535" s="1094"/>
      <c r="H535" s="1094"/>
      <c r="I535" s="1094"/>
      <c r="J535" s="1094"/>
      <c r="K535" s="1094"/>
      <c r="L535" s="1094"/>
      <c r="M535" s="1094"/>
      <c r="N535" s="1095"/>
      <c r="O535" s="103">
        <f>+O533+O504+O489</f>
        <v>10039684.446999999</v>
      </c>
      <c r="P535" s="96"/>
    </row>
    <row r="536" spans="2:16" ht="15.75" thickBot="1" x14ac:dyDescent="0.3"/>
    <row r="537" spans="2:16" x14ac:dyDescent="0.25">
      <c r="B537" s="1127" t="s">
        <v>1</v>
      </c>
      <c r="C537" s="1129" t="s">
        <v>2</v>
      </c>
      <c r="D537" s="1132" t="s">
        <v>3</v>
      </c>
      <c r="E537" s="1135" t="s">
        <v>4</v>
      </c>
      <c r="F537" s="1136"/>
      <c r="G537" s="1136"/>
      <c r="H537" s="1136"/>
      <c r="I537" s="1136"/>
      <c r="J537" s="1136"/>
      <c r="K537" s="1136"/>
      <c r="L537" s="1137"/>
      <c r="M537" s="1138" t="s">
        <v>5</v>
      </c>
      <c r="N537" s="1139"/>
      <c r="O537" s="1140"/>
      <c r="P537" s="1132" t="s">
        <v>6</v>
      </c>
    </row>
    <row r="538" spans="2:16" x14ac:dyDescent="0.25">
      <c r="B538" s="1128"/>
      <c r="C538" s="1130"/>
      <c r="D538" s="1133"/>
      <c r="E538" s="1141" t="s">
        <v>7</v>
      </c>
      <c r="F538" s="1143" t="s">
        <v>148</v>
      </c>
      <c r="G538" s="1143"/>
      <c r="H538" s="1144"/>
      <c r="I538" s="1145" t="s">
        <v>8</v>
      </c>
      <c r="J538" s="1143"/>
      <c r="K538" s="1143"/>
      <c r="L538" s="1144" t="s">
        <v>9</v>
      </c>
      <c r="M538" s="1147" t="s">
        <v>10</v>
      </c>
      <c r="N538" s="1149" t="s">
        <v>11</v>
      </c>
      <c r="O538" s="1151" t="s">
        <v>12</v>
      </c>
      <c r="P538" s="1133"/>
    </row>
    <row r="539" spans="2:16" ht="15.75" thickBot="1" x14ac:dyDescent="0.3">
      <c r="B539" s="1128"/>
      <c r="C539" s="1131"/>
      <c r="D539" s="1134"/>
      <c r="E539" s="1142"/>
      <c r="F539" s="2" t="s">
        <v>13</v>
      </c>
      <c r="G539" s="2" t="s">
        <v>14</v>
      </c>
      <c r="H539" s="191" t="s">
        <v>15</v>
      </c>
      <c r="I539" s="142" t="s">
        <v>13</v>
      </c>
      <c r="J539" s="2" t="s">
        <v>14</v>
      </c>
      <c r="K539" s="2" t="s">
        <v>15</v>
      </c>
      <c r="L539" s="1146"/>
      <c r="M539" s="1148"/>
      <c r="N539" s="1150"/>
      <c r="O539" s="1152"/>
      <c r="P539" s="1134"/>
    </row>
    <row r="540" spans="2:16" x14ac:dyDescent="0.25">
      <c r="B540" s="1111" t="s">
        <v>53</v>
      </c>
      <c r="C540" s="29"/>
      <c r="D540" s="117" t="s">
        <v>143</v>
      </c>
      <c r="E540" s="98">
        <v>0</v>
      </c>
      <c r="F540" s="4">
        <f>+G540+H540</f>
        <v>60564</v>
      </c>
      <c r="G540" s="4">
        <v>59360</v>
      </c>
      <c r="H540" s="8">
        <v>1204</v>
      </c>
      <c r="I540" s="6">
        <f>J540+K540</f>
        <v>285266</v>
      </c>
      <c r="J540" s="4">
        <f>G540+J475</f>
        <v>280000</v>
      </c>
      <c r="K540" s="4">
        <f>H540+K475</f>
        <v>5266</v>
      </c>
      <c r="L540" s="33" t="e">
        <f>+J540/E540</f>
        <v>#DIV/0!</v>
      </c>
      <c r="M540" s="104">
        <v>1.3652</v>
      </c>
      <c r="N540" s="31">
        <f>G540*M540</f>
        <v>81038.271999999997</v>
      </c>
      <c r="O540" s="86">
        <f>M540*J540</f>
        <v>382256</v>
      </c>
      <c r="P540" s="1113"/>
    </row>
    <row r="541" spans="2:16" x14ac:dyDescent="0.25">
      <c r="B541" s="1112"/>
      <c r="C541" s="32"/>
      <c r="D541" s="118" t="s">
        <v>109</v>
      </c>
      <c r="E541" s="99">
        <v>0</v>
      </c>
      <c r="F541" s="9">
        <f>+G541+H541</f>
        <v>0</v>
      </c>
      <c r="G541" s="9">
        <v>0</v>
      </c>
      <c r="H541" s="10">
        <v>0</v>
      </c>
      <c r="I541" s="6">
        <f>J541+K541</f>
        <v>0</v>
      </c>
      <c r="J541" s="4">
        <f>+G541+J476</f>
        <v>0</v>
      </c>
      <c r="K541" s="4">
        <f>+H541+K476</f>
        <v>0</v>
      </c>
      <c r="L541" s="33"/>
      <c r="M541" s="105">
        <v>5.9917999999999996</v>
      </c>
      <c r="N541" s="34">
        <f>M541*G541</f>
        <v>0</v>
      </c>
      <c r="O541" s="87">
        <f>M541*J541</f>
        <v>0</v>
      </c>
      <c r="P541" s="1114"/>
    </row>
    <row r="542" spans="2:16" x14ac:dyDescent="0.25">
      <c r="B542" s="1112"/>
      <c r="C542" s="35"/>
      <c r="D542" s="119" t="s">
        <v>55</v>
      </c>
      <c r="E542" s="99">
        <v>0</v>
      </c>
      <c r="F542" s="9">
        <f t="shared" ref="F542:F546" si="409">+G542+H542</f>
        <v>231616</v>
      </c>
      <c r="G542" s="9">
        <v>230000</v>
      </c>
      <c r="H542" s="10">
        <v>1616</v>
      </c>
      <c r="I542" s="6">
        <f t="shared" ref="I542:I546" si="410">J542+K542</f>
        <v>1568199</v>
      </c>
      <c r="J542" s="4">
        <f t="shared" ref="J542:J546" si="411">+G542+J477</f>
        <v>1555750</v>
      </c>
      <c r="K542" s="4">
        <f t="shared" ref="K542:K546" si="412">+H542+K477</f>
        <v>12449</v>
      </c>
      <c r="L542" s="33" t="e">
        <f t="shared" ref="L542" si="413">+J542/E542</f>
        <v>#DIV/0!</v>
      </c>
      <c r="M542" s="106">
        <v>2.3807999999999998</v>
      </c>
      <c r="N542" s="36">
        <f>G542*M542</f>
        <v>547584</v>
      </c>
      <c r="O542" s="88">
        <f>M542*J542</f>
        <v>3703929.5999999996</v>
      </c>
      <c r="P542" s="1114"/>
    </row>
    <row r="543" spans="2:16" x14ac:dyDescent="0.25">
      <c r="B543" s="1112"/>
      <c r="C543" s="35"/>
      <c r="D543" s="119" t="s">
        <v>56</v>
      </c>
      <c r="E543" s="99">
        <v>0</v>
      </c>
      <c r="F543" s="9">
        <f t="shared" si="409"/>
        <v>0</v>
      </c>
      <c r="G543" s="9">
        <v>0</v>
      </c>
      <c r="H543" s="10">
        <v>0</v>
      </c>
      <c r="I543" s="6">
        <f t="shared" si="410"/>
        <v>0</v>
      </c>
      <c r="J543" s="4">
        <f t="shared" si="411"/>
        <v>0</v>
      </c>
      <c r="K543" s="4">
        <f t="shared" si="412"/>
        <v>0</v>
      </c>
      <c r="L543" s="33"/>
      <c r="M543" s="106">
        <v>2.1457999999999999</v>
      </c>
      <c r="N543" s="36">
        <f t="shared" ref="N543:N546" si="414">G543*M543</f>
        <v>0</v>
      </c>
      <c r="O543" s="88">
        <f>M543*J543</f>
        <v>0</v>
      </c>
      <c r="P543" s="1114"/>
    </row>
    <row r="544" spans="2:16" x14ac:dyDescent="0.25">
      <c r="B544" s="1112"/>
      <c r="C544" s="35"/>
      <c r="D544" s="119" t="s">
        <v>106</v>
      </c>
      <c r="E544" s="99">
        <v>0</v>
      </c>
      <c r="F544" s="9">
        <f t="shared" si="409"/>
        <v>0</v>
      </c>
      <c r="G544" s="9">
        <v>0</v>
      </c>
      <c r="H544" s="10">
        <v>0</v>
      </c>
      <c r="I544" s="6">
        <f t="shared" si="410"/>
        <v>0</v>
      </c>
      <c r="J544" s="4">
        <f t="shared" si="411"/>
        <v>0</v>
      </c>
      <c r="K544" s="4">
        <f t="shared" si="412"/>
        <v>0</v>
      </c>
      <c r="L544" s="33" t="e">
        <f t="shared" ref="L544:L545" si="415">+J544/E544</f>
        <v>#DIV/0!</v>
      </c>
      <c r="M544" s="143">
        <v>4.0426000000000002</v>
      </c>
      <c r="N544" s="36">
        <f t="shared" si="414"/>
        <v>0</v>
      </c>
      <c r="O544" s="88">
        <f>M544*J544</f>
        <v>0</v>
      </c>
      <c r="P544" s="1114"/>
    </row>
    <row r="545" spans="2:16" x14ac:dyDescent="0.25">
      <c r="B545" s="1112"/>
      <c r="C545" s="35"/>
      <c r="D545" s="119" t="s">
        <v>110</v>
      </c>
      <c r="E545" s="99">
        <v>0</v>
      </c>
      <c r="F545" s="9">
        <f t="shared" si="409"/>
        <v>0</v>
      </c>
      <c r="G545" s="9">
        <v>0</v>
      </c>
      <c r="H545" s="10">
        <v>0</v>
      </c>
      <c r="I545" s="6">
        <f t="shared" si="410"/>
        <v>0</v>
      </c>
      <c r="J545" s="4">
        <f t="shared" si="411"/>
        <v>0</v>
      </c>
      <c r="K545" s="4">
        <f t="shared" si="412"/>
        <v>0</v>
      </c>
      <c r="L545" s="33" t="e">
        <f t="shared" si="415"/>
        <v>#DIV/0!</v>
      </c>
      <c r="M545" s="143">
        <v>3.8715000000000002</v>
      </c>
      <c r="N545" s="36">
        <f t="shared" si="414"/>
        <v>0</v>
      </c>
      <c r="O545" s="88">
        <f t="shared" ref="O545:O546" si="416">M545*J545</f>
        <v>0</v>
      </c>
      <c r="P545" s="1114"/>
    </row>
    <row r="546" spans="2:16" ht="15.75" thickBot="1" x14ac:dyDescent="0.3">
      <c r="B546" s="1112"/>
      <c r="C546" s="82"/>
      <c r="D546" s="120" t="s">
        <v>57</v>
      </c>
      <c r="E546" s="108">
        <v>0</v>
      </c>
      <c r="F546" s="12">
        <f t="shared" si="409"/>
        <v>0</v>
      </c>
      <c r="G546" s="12">
        <v>0</v>
      </c>
      <c r="H546" s="13">
        <v>0</v>
      </c>
      <c r="I546" s="21">
        <f t="shared" si="410"/>
        <v>0</v>
      </c>
      <c r="J546" s="4">
        <f t="shared" si="411"/>
        <v>0</v>
      </c>
      <c r="K546" s="4">
        <f t="shared" si="412"/>
        <v>0</v>
      </c>
      <c r="L546" s="81"/>
      <c r="M546" s="127">
        <v>12.284700000000001</v>
      </c>
      <c r="N546" s="36">
        <f t="shared" si="414"/>
        <v>0</v>
      </c>
      <c r="O546" s="128">
        <f t="shared" si="416"/>
        <v>0</v>
      </c>
      <c r="P546" s="1114"/>
    </row>
    <row r="547" spans="2:16" ht="15.75" thickBot="1" x14ac:dyDescent="0.3">
      <c r="B547" s="1112"/>
      <c r="C547" s="1117" t="s">
        <v>104</v>
      </c>
      <c r="D547" s="1118"/>
      <c r="E547" s="129"/>
      <c r="F547" s="130">
        <f>SUM(F540:F546)</f>
        <v>292180</v>
      </c>
      <c r="G547" s="130">
        <f>SUM(G540:G546)</f>
        <v>289360</v>
      </c>
      <c r="H547" s="131">
        <f>SUM(H540:H546)</f>
        <v>2820</v>
      </c>
      <c r="I547" s="132">
        <f>+J547+K547</f>
        <v>1853465</v>
      </c>
      <c r="J547" s="133">
        <f>SUM(J540:J546)</f>
        <v>1835750</v>
      </c>
      <c r="K547" s="133">
        <f>SUM(K540:K546)</f>
        <v>17715</v>
      </c>
      <c r="L547" s="134"/>
      <c r="M547" s="135"/>
      <c r="N547" s="136"/>
      <c r="O547" s="137">
        <f>SUM(O540:O546)</f>
        <v>4086185.5999999996</v>
      </c>
      <c r="P547" s="1115"/>
    </row>
    <row r="548" spans="2:16" x14ac:dyDescent="0.25">
      <c r="B548" s="1112"/>
      <c r="C548" s="32"/>
      <c r="D548" s="118" t="s">
        <v>58</v>
      </c>
      <c r="E548" s="98">
        <v>0</v>
      </c>
      <c r="F548" s="4">
        <f t="shared" ref="F548:F551" si="417">+G548+H548</f>
        <v>0</v>
      </c>
      <c r="G548" s="4">
        <v>0</v>
      </c>
      <c r="H548" s="8">
        <v>0</v>
      </c>
      <c r="I548" s="6">
        <f t="shared" ref="I548:I552" si="418">J548+K548</f>
        <v>0</v>
      </c>
      <c r="J548" s="4">
        <f>G548+J483</f>
        <v>0</v>
      </c>
      <c r="K548" s="4">
        <f>H548+K483</f>
        <v>0</v>
      </c>
      <c r="L548" s="33" t="e">
        <f t="shared" ref="L548" si="419">+J548/E548</f>
        <v>#DIV/0!</v>
      </c>
      <c r="M548" s="105">
        <v>12.029500000000001</v>
      </c>
      <c r="N548" s="34">
        <f>M548*G548</f>
        <v>0</v>
      </c>
      <c r="O548" s="87">
        <f t="shared" ref="O548:O550" si="420">M548*J548</f>
        <v>0</v>
      </c>
      <c r="P548" s="1114"/>
    </row>
    <row r="549" spans="2:16" x14ac:dyDescent="0.25">
      <c r="B549" s="1112"/>
      <c r="C549" s="35"/>
      <c r="D549" s="119" t="s">
        <v>59</v>
      </c>
      <c r="E549" s="99">
        <v>0</v>
      </c>
      <c r="F549" s="9">
        <f t="shared" si="417"/>
        <v>0</v>
      </c>
      <c r="G549" s="9">
        <v>0</v>
      </c>
      <c r="H549" s="10">
        <v>0</v>
      </c>
      <c r="I549" s="6">
        <f t="shared" si="418"/>
        <v>0</v>
      </c>
      <c r="J549" s="4">
        <f>G549+J484</f>
        <v>0</v>
      </c>
      <c r="K549" s="4">
        <f>H549+K484</f>
        <v>0</v>
      </c>
      <c r="L549" s="33"/>
      <c r="M549" s="106">
        <v>0</v>
      </c>
      <c r="N549" s="36"/>
      <c r="O549" s="88">
        <f t="shared" si="420"/>
        <v>0</v>
      </c>
      <c r="P549" s="1114"/>
    </row>
    <row r="550" spans="2:16" x14ac:dyDescent="0.25">
      <c r="B550" s="1112"/>
      <c r="C550" s="35"/>
      <c r="D550" s="119" t="s">
        <v>97</v>
      </c>
      <c r="E550" s="99">
        <v>0</v>
      </c>
      <c r="F550" s="9">
        <f t="shared" si="417"/>
        <v>0</v>
      </c>
      <c r="G550" s="9">
        <v>0</v>
      </c>
      <c r="H550" s="10">
        <v>0</v>
      </c>
      <c r="I550" s="6">
        <f t="shared" si="418"/>
        <v>0</v>
      </c>
      <c r="J550" s="4">
        <f t="shared" ref="J550:J552" si="421">G550+J485</f>
        <v>0</v>
      </c>
      <c r="K550" s="4">
        <f t="shared" ref="K550:K552" si="422">H550+K485</f>
        <v>0</v>
      </c>
      <c r="L550" s="33" t="e">
        <f t="shared" ref="L550:L552" si="423">+J550/E550</f>
        <v>#DIV/0!</v>
      </c>
      <c r="M550" s="106">
        <v>19.688600000000001</v>
      </c>
      <c r="N550" s="36">
        <f>M550*G550</f>
        <v>0</v>
      </c>
      <c r="O550" s="88">
        <f t="shared" si="420"/>
        <v>0</v>
      </c>
      <c r="P550" s="1114"/>
    </row>
    <row r="551" spans="2:16" x14ac:dyDescent="0.25">
      <c r="B551" s="1112"/>
      <c r="C551" s="35"/>
      <c r="D551" s="119" t="s">
        <v>61</v>
      </c>
      <c r="E551" s="99">
        <v>0</v>
      </c>
      <c r="F551" s="9">
        <f t="shared" si="417"/>
        <v>0</v>
      </c>
      <c r="G551" s="9">
        <v>0</v>
      </c>
      <c r="H551" s="10">
        <v>0</v>
      </c>
      <c r="I551" s="6">
        <f t="shared" si="418"/>
        <v>0</v>
      </c>
      <c r="J551" s="4">
        <f t="shared" si="421"/>
        <v>0</v>
      </c>
      <c r="K551" s="4">
        <f t="shared" si="422"/>
        <v>0</v>
      </c>
      <c r="L551" s="33" t="e">
        <f t="shared" si="423"/>
        <v>#DIV/0!</v>
      </c>
      <c r="M551" s="106">
        <v>1.2824</v>
      </c>
      <c r="N551" s="151">
        <f>M551*G551</f>
        <v>0</v>
      </c>
      <c r="O551" s="88">
        <f>M551*J551</f>
        <v>0</v>
      </c>
      <c r="P551" s="1114"/>
    </row>
    <row r="552" spans="2:16" ht="15.75" thickBot="1" x14ac:dyDescent="0.3">
      <c r="B552" s="1112"/>
      <c r="C552" s="82"/>
      <c r="D552" s="120" t="s">
        <v>60</v>
      </c>
      <c r="E552" s="108">
        <v>0</v>
      </c>
      <c r="F552" s="12">
        <v>0</v>
      </c>
      <c r="G552" s="12">
        <v>0</v>
      </c>
      <c r="H552" s="13">
        <v>0</v>
      </c>
      <c r="I552" s="21">
        <f t="shared" si="418"/>
        <v>8814</v>
      </c>
      <c r="J552" s="4">
        <f t="shared" si="421"/>
        <v>8640</v>
      </c>
      <c r="K552" s="4">
        <f t="shared" si="422"/>
        <v>174</v>
      </c>
      <c r="L552" s="81" t="e">
        <f t="shared" si="423"/>
        <v>#DIV/0!</v>
      </c>
      <c r="M552" s="107">
        <v>18.2316</v>
      </c>
      <c r="N552" s="75"/>
      <c r="O552" s="89">
        <f t="shared" ref="O552" si="424">M552*J552</f>
        <v>157521.024</v>
      </c>
      <c r="P552" s="1116"/>
    </row>
    <row r="553" spans="2:16" ht="15.75" thickBot="1" x14ac:dyDescent="0.3">
      <c r="B553" s="1096" t="s">
        <v>105</v>
      </c>
      <c r="C553" s="1097"/>
      <c r="D553" s="1097"/>
      <c r="E553" s="124"/>
      <c r="F553" s="125">
        <f>+G553+H553</f>
        <v>0</v>
      </c>
      <c r="G553" s="125">
        <f>SUM(G548:G552)</f>
        <v>0</v>
      </c>
      <c r="H553" s="126">
        <f>SUM(H548:H552)</f>
        <v>0</v>
      </c>
      <c r="I553" s="121">
        <f>J553+K553</f>
        <v>8814</v>
      </c>
      <c r="J553" s="122">
        <f>SUM(J548:J552)</f>
        <v>8640</v>
      </c>
      <c r="K553" s="123">
        <f>SUM(K548:K552)</f>
        <v>174</v>
      </c>
      <c r="L553" s="138"/>
      <c r="M553" s="139"/>
      <c r="N553" s="140"/>
      <c r="O553" s="141">
        <f>SUM(O548:O552)</f>
        <v>157521.024</v>
      </c>
      <c r="P553" s="189"/>
    </row>
    <row r="554" spans="2:16" ht="15.75" thickBot="1" x14ac:dyDescent="0.3">
      <c r="B554" s="1096" t="s">
        <v>98</v>
      </c>
      <c r="C554" s="1097"/>
      <c r="D554" s="1097"/>
      <c r="E554" s="1119"/>
      <c r="F554" s="1119"/>
      <c r="G554" s="1119"/>
      <c r="H554" s="1119"/>
      <c r="I554" s="1097"/>
      <c r="J554" s="1097"/>
      <c r="K554" s="1097"/>
      <c r="L554" s="1097"/>
      <c r="M554" s="1097"/>
      <c r="N554" s="1120"/>
      <c r="O554" s="83">
        <f>O547+O553</f>
        <v>4243706.6239999998</v>
      </c>
      <c r="P554" s="189"/>
    </row>
    <row r="555" spans="2:16" x14ac:dyDescent="0.25">
      <c r="B555" s="1111" t="s">
        <v>62</v>
      </c>
      <c r="C555" s="37" t="s">
        <v>63</v>
      </c>
      <c r="D555" s="28" t="s">
        <v>64</v>
      </c>
      <c r="E555" s="38">
        <v>0</v>
      </c>
      <c r="F555" s="14">
        <f>+G555+H555</f>
        <v>0</v>
      </c>
      <c r="G555" s="14">
        <v>0</v>
      </c>
      <c r="H555" s="5">
        <v>0</v>
      </c>
      <c r="I555" s="17">
        <f t="shared" ref="I555:I561" si="425">J555+K555</f>
        <v>0</v>
      </c>
      <c r="J555" s="4">
        <f>G555+J490</f>
        <v>0</v>
      </c>
      <c r="K555" s="4">
        <f>H555+K490</f>
        <v>0</v>
      </c>
      <c r="L555" s="30" t="e">
        <f>+J555/E555</f>
        <v>#DIV/0!</v>
      </c>
      <c r="M555" s="146">
        <v>2.2141000000000002</v>
      </c>
      <c r="N555" s="15">
        <f>+M555*G555</f>
        <v>0</v>
      </c>
      <c r="O555" s="90">
        <f>+M555*J555</f>
        <v>0</v>
      </c>
      <c r="P555" s="1122"/>
    </row>
    <row r="556" spans="2:16" x14ac:dyDescent="0.25">
      <c r="B556" s="1112"/>
      <c r="C556" s="39"/>
      <c r="D556" s="22" t="s">
        <v>65</v>
      </c>
      <c r="E556" s="3">
        <v>0</v>
      </c>
      <c r="F556" s="9">
        <f t="shared" ref="F556:F561" si="426">+G556+H556</f>
        <v>0</v>
      </c>
      <c r="G556" s="4">
        <v>0</v>
      </c>
      <c r="H556" s="8">
        <v>0</v>
      </c>
      <c r="I556" s="6">
        <f t="shared" si="425"/>
        <v>0</v>
      </c>
      <c r="J556" s="4">
        <f>+G556+J491</f>
        <v>0</v>
      </c>
      <c r="K556" s="4">
        <f>+H556+K491</f>
        <v>0</v>
      </c>
      <c r="L556" s="40" t="e">
        <f t="shared" ref="L556:L557" si="427">+J556/E556</f>
        <v>#DIV/0!</v>
      </c>
      <c r="M556" s="145">
        <v>2.4565999999999999</v>
      </c>
      <c r="N556" s="11">
        <f t="shared" ref="N556:N558" si="428">+M556*G556</f>
        <v>0</v>
      </c>
      <c r="O556" s="91">
        <f t="shared" ref="O556:O558" si="429">+M556*J556</f>
        <v>0</v>
      </c>
      <c r="P556" s="1123"/>
    </row>
    <row r="557" spans="2:16" x14ac:dyDescent="0.25">
      <c r="B557" s="1112"/>
      <c r="C557" s="39"/>
      <c r="D557" s="23" t="s">
        <v>126</v>
      </c>
      <c r="E557" s="3">
        <v>0</v>
      </c>
      <c r="F557" s="9">
        <f t="shared" si="426"/>
        <v>0</v>
      </c>
      <c r="G557" s="4">
        <v>0</v>
      </c>
      <c r="H557" s="8">
        <v>0</v>
      </c>
      <c r="I557" s="6">
        <f t="shared" si="425"/>
        <v>0</v>
      </c>
      <c r="J557" s="4">
        <f t="shared" ref="J557:J558" si="430">+G557+J492</f>
        <v>0</v>
      </c>
      <c r="K557" s="4">
        <f t="shared" ref="K557:K561" si="431">+H557+K492</f>
        <v>0</v>
      </c>
      <c r="L557" s="40" t="e">
        <f t="shared" si="427"/>
        <v>#DIV/0!</v>
      </c>
      <c r="M557" s="145">
        <v>2.2907000000000002</v>
      </c>
      <c r="N557" s="11">
        <f t="shared" si="428"/>
        <v>0</v>
      </c>
      <c r="O557" s="91">
        <f t="shared" si="429"/>
        <v>0</v>
      </c>
      <c r="P557" s="1123"/>
    </row>
    <row r="558" spans="2:16" x14ac:dyDescent="0.25">
      <c r="B558" s="1112"/>
      <c r="C558" s="39"/>
      <c r="D558" s="22" t="s">
        <v>131</v>
      </c>
      <c r="E558" s="3"/>
      <c r="F558" s="9">
        <f t="shared" si="426"/>
        <v>0</v>
      </c>
      <c r="G558" s="4">
        <v>0</v>
      </c>
      <c r="H558" s="8">
        <v>0</v>
      </c>
      <c r="I558" s="6">
        <f t="shared" si="425"/>
        <v>0</v>
      </c>
      <c r="J558" s="4">
        <f t="shared" si="430"/>
        <v>0</v>
      </c>
      <c r="K558" s="4">
        <f t="shared" si="431"/>
        <v>0</v>
      </c>
      <c r="L558" s="33"/>
      <c r="M558" s="150">
        <v>2.544</v>
      </c>
      <c r="N558" s="11">
        <f t="shared" si="428"/>
        <v>0</v>
      </c>
      <c r="O558" s="91">
        <f t="shared" si="429"/>
        <v>0</v>
      </c>
      <c r="P558" s="1123"/>
    </row>
    <row r="559" spans="2:16" x14ac:dyDescent="0.25">
      <c r="B559" s="1112"/>
      <c r="C559" s="39" t="s">
        <v>66</v>
      </c>
      <c r="D559" s="22" t="s">
        <v>133</v>
      </c>
      <c r="E559" s="3">
        <v>0</v>
      </c>
      <c r="F559" s="9">
        <f t="shared" si="426"/>
        <v>45515</v>
      </c>
      <c r="G559" s="4">
        <v>44000</v>
      </c>
      <c r="H559" s="8">
        <v>1515</v>
      </c>
      <c r="I559" s="6">
        <f t="shared" si="425"/>
        <v>407132</v>
      </c>
      <c r="J559" s="4">
        <f>+G559+J494</f>
        <v>397750</v>
      </c>
      <c r="K559" s="4">
        <f t="shared" si="431"/>
        <v>9382</v>
      </c>
      <c r="L559" s="33" t="e">
        <f>+J559/E559</f>
        <v>#DIV/0!</v>
      </c>
      <c r="M559" s="144">
        <v>2.2141000000000002</v>
      </c>
      <c r="N559" s="7">
        <f>+M559*G559</f>
        <v>97420.400000000009</v>
      </c>
      <c r="O559" s="85">
        <f>+M559*J559</f>
        <v>880658.27500000002</v>
      </c>
      <c r="P559" s="1123"/>
    </row>
    <row r="560" spans="2:16" x14ac:dyDescent="0.25">
      <c r="B560" s="1112"/>
      <c r="C560" s="39"/>
      <c r="D560" s="22" t="s">
        <v>65</v>
      </c>
      <c r="E560" s="3">
        <v>0</v>
      </c>
      <c r="F560" s="9">
        <f t="shared" si="426"/>
        <v>0</v>
      </c>
      <c r="G560" s="4">
        <v>0</v>
      </c>
      <c r="H560" s="8">
        <v>0</v>
      </c>
      <c r="I560" s="6">
        <f t="shared" si="425"/>
        <v>0</v>
      </c>
      <c r="J560" s="4">
        <f t="shared" ref="J560:J561" si="432">+G560+J495</f>
        <v>0</v>
      </c>
      <c r="K560" s="4">
        <f t="shared" si="431"/>
        <v>0</v>
      </c>
      <c r="L560" s="40" t="e">
        <f t="shared" ref="L560:L561" si="433">+J560/E560</f>
        <v>#DIV/0!</v>
      </c>
      <c r="M560" s="145">
        <v>2.4565999999999999</v>
      </c>
      <c r="N560" s="11">
        <f t="shared" ref="N560:N561" si="434">+M560*G560</f>
        <v>0</v>
      </c>
      <c r="O560" s="91">
        <f t="shared" ref="O560" si="435">+M560*J560</f>
        <v>0</v>
      </c>
      <c r="P560" s="1123"/>
    </row>
    <row r="561" spans="2:16" ht="15.75" thickBot="1" x14ac:dyDescent="0.3">
      <c r="B561" s="1112"/>
      <c r="C561" s="39"/>
      <c r="D561" s="22" t="s">
        <v>126</v>
      </c>
      <c r="E561" s="3">
        <v>0</v>
      </c>
      <c r="F561" s="9">
        <f t="shared" si="426"/>
        <v>0</v>
      </c>
      <c r="G561" s="4">
        <v>0</v>
      </c>
      <c r="H561" s="8">
        <v>0</v>
      </c>
      <c r="I561" s="6">
        <f t="shared" si="425"/>
        <v>0</v>
      </c>
      <c r="J561" s="4">
        <f t="shared" si="432"/>
        <v>0</v>
      </c>
      <c r="K561" s="4">
        <f t="shared" si="431"/>
        <v>0</v>
      </c>
      <c r="L561" s="40" t="e">
        <f t="shared" si="433"/>
        <v>#DIV/0!</v>
      </c>
      <c r="M561" s="145">
        <v>2.2907000000000002</v>
      </c>
      <c r="N561" s="11">
        <f t="shared" si="434"/>
        <v>0</v>
      </c>
      <c r="O561" s="154">
        <f>+M561*J561</f>
        <v>0</v>
      </c>
      <c r="P561" s="1124"/>
    </row>
    <row r="562" spans="2:16" ht="15.75" thickBot="1" x14ac:dyDescent="0.3">
      <c r="B562" s="1112"/>
      <c r="C562" s="41" t="s">
        <v>29</v>
      </c>
      <c r="D562" s="27" t="str">
        <f>+C562</f>
        <v>TOTAL 1/2</v>
      </c>
      <c r="E562" s="42">
        <f>SUM(E555:E561)</f>
        <v>0</v>
      </c>
      <c r="F562" s="43">
        <f>SUM(F555:F561)</f>
        <v>45515</v>
      </c>
      <c r="G562" s="43">
        <f>SUM(G555:G561)</f>
        <v>44000</v>
      </c>
      <c r="H562" s="44">
        <f>SUM(H555:H561)</f>
        <v>1515</v>
      </c>
      <c r="I562" s="45">
        <f>SUM(I559:I561)</f>
        <v>407132</v>
      </c>
      <c r="J562" s="43">
        <f>SUM(J555:J561)</f>
        <v>397750</v>
      </c>
      <c r="K562" s="43">
        <f>SUM(K555:K561)</f>
        <v>9382</v>
      </c>
      <c r="L562" s="46" t="e">
        <f>+J562/E562</f>
        <v>#DIV/0!</v>
      </c>
      <c r="M562" s="47"/>
      <c r="N562" s="48">
        <f>SUM(N559:N561)</f>
        <v>97420.400000000009</v>
      </c>
      <c r="O562" s="49">
        <f>SUM(O555:O561)</f>
        <v>880658.27500000002</v>
      </c>
      <c r="P562" s="190"/>
    </row>
    <row r="563" spans="2:16" x14ac:dyDescent="0.25">
      <c r="B563" s="1112"/>
      <c r="C563" s="1125" t="s">
        <v>67</v>
      </c>
      <c r="D563" s="22" t="s">
        <v>64</v>
      </c>
      <c r="E563" s="3">
        <v>0</v>
      </c>
      <c r="F563" s="4">
        <f>G563+H563</f>
        <v>0</v>
      </c>
      <c r="G563" s="4">
        <v>0</v>
      </c>
      <c r="H563" s="8">
        <v>0</v>
      </c>
      <c r="I563" s="16">
        <f>J563+K563</f>
        <v>109220</v>
      </c>
      <c r="J563" s="4">
        <f>G563+J498</f>
        <v>105750</v>
      </c>
      <c r="K563" s="4">
        <f>H563+K498</f>
        <v>3470</v>
      </c>
      <c r="L563" s="50" t="e">
        <f>+J563/E563</f>
        <v>#DIV/0!</v>
      </c>
      <c r="M563" s="144">
        <v>4.1712999999999996</v>
      </c>
      <c r="N563" s="7">
        <f>+M563*G563</f>
        <v>0</v>
      </c>
      <c r="O563" s="93">
        <f>+M563*J563</f>
        <v>441114.97499999998</v>
      </c>
      <c r="P563" s="1122"/>
    </row>
    <row r="564" spans="2:16" x14ac:dyDescent="0.25">
      <c r="B564" s="1112"/>
      <c r="C564" s="1126"/>
      <c r="D564" s="22" t="s">
        <v>65</v>
      </c>
      <c r="E564" s="3">
        <v>0</v>
      </c>
      <c r="F564" s="4">
        <f>G564+H564</f>
        <v>0</v>
      </c>
      <c r="G564" s="4">
        <v>0</v>
      </c>
      <c r="H564" s="8">
        <v>0</v>
      </c>
      <c r="I564" s="6">
        <f>+R1608+F564</f>
        <v>0</v>
      </c>
      <c r="J564" s="4">
        <f>G564+J499</f>
        <v>120000</v>
      </c>
      <c r="K564" s="4">
        <f>H564+K499</f>
        <v>3230</v>
      </c>
      <c r="L564" s="51" t="e">
        <f t="shared" ref="L564:L568" si="436">+J564/E564</f>
        <v>#DIV/0!</v>
      </c>
      <c r="M564" s="145">
        <v>4.8285999999999998</v>
      </c>
      <c r="N564" s="11">
        <f t="shared" ref="N564:N566" si="437">+M564*G564</f>
        <v>0</v>
      </c>
      <c r="O564" s="94">
        <f t="shared" ref="O564:O566" si="438">+M564*J564</f>
        <v>579432</v>
      </c>
      <c r="P564" s="1123"/>
    </row>
    <row r="565" spans="2:16" x14ac:dyDescent="0.25">
      <c r="B565" s="1112"/>
      <c r="C565" s="1126"/>
      <c r="D565" s="22" t="s">
        <v>127</v>
      </c>
      <c r="E565" s="3"/>
      <c r="F565" s="4">
        <f>G565+H565</f>
        <v>0</v>
      </c>
      <c r="G565" s="4">
        <v>0</v>
      </c>
      <c r="H565" s="8">
        <v>0</v>
      </c>
      <c r="I565" s="6">
        <f>+R1609+F565</f>
        <v>0</v>
      </c>
      <c r="J565" s="4">
        <f t="shared" ref="J565:J566" si="439">G565+J500</f>
        <v>0</v>
      </c>
      <c r="K565" s="4">
        <f t="shared" ref="K565:K566" si="440">H565+K500</f>
        <v>0</v>
      </c>
      <c r="L565" s="51" t="e">
        <f t="shared" si="436"/>
        <v>#DIV/0!</v>
      </c>
      <c r="M565" s="144">
        <v>4.5023</v>
      </c>
      <c r="N565" s="11">
        <f t="shared" si="437"/>
        <v>0</v>
      </c>
      <c r="O565" s="94">
        <f t="shared" si="438"/>
        <v>0</v>
      </c>
      <c r="P565" s="1123"/>
    </row>
    <row r="566" spans="2:16" ht="15.75" thickBot="1" x14ac:dyDescent="0.3">
      <c r="B566" s="1112"/>
      <c r="C566" s="1126"/>
      <c r="D566" s="22" t="s">
        <v>111</v>
      </c>
      <c r="E566" s="3">
        <v>0</v>
      </c>
      <c r="F566" s="4">
        <f t="shared" ref="F566" si="441">G566+H566</f>
        <v>0</v>
      </c>
      <c r="G566" s="4">
        <v>0</v>
      </c>
      <c r="H566" s="8">
        <v>0</v>
      </c>
      <c r="I566" s="6">
        <f>+R1609+F566</f>
        <v>0</v>
      </c>
      <c r="J566" s="4">
        <f t="shared" si="439"/>
        <v>0</v>
      </c>
      <c r="K566" s="4">
        <f t="shared" si="440"/>
        <v>0</v>
      </c>
      <c r="L566" s="51" t="e">
        <f t="shared" si="436"/>
        <v>#DIV/0!</v>
      </c>
      <c r="M566" s="144">
        <v>4.4065000000000003</v>
      </c>
      <c r="N566" s="11">
        <f t="shared" si="437"/>
        <v>0</v>
      </c>
      <c r="O566" s="94">
        <f t="shared" si="438"/>
        <v>0</v>
      </c>
      <c r="P566" s="1123"/>
    </row>
    <row r="567" spans="2:16" ht="15.75" thickBot="1" x14ac:dyDescent="0.3">
      <c r="B567" s="1112"/>
      <c r="C567" s="41" t="s">
        <v>31</v>
      </c>
      <c r="D567" s="18" t="str">
        <f>+C567</f>
        <v>TOTAL 4/4</v>
      </c>
      <c r="E567" s="42">
        <f t="shared" ref="E567:K567" si="442">SUM(E563:E566)</f>
        <v>0</v>
      </c>
      <c r="F567" s="43">
        <f t="shared" si="442"/>
        <v>0</v>
      </c>
      <c r="G567" s="43">
        <f t="shared" si="442"/>
        <v>0</v>
      </c>
      <c r="H567" s="44">
        <f t="shared" si="442"/>
        <v>0</v>
      </c>
      <c r="I567" s="45">
        <f t="shared" si="442"/>
        <v>109220</v>
      </c>
      <c r="J567" s="43">
        <f t="shared" si="442"/>
        <v>225750</v>
      </c>
      <c r="K567" s="43">
        <f t="shared" si="442"/>
        <v>6700</v>
      </c>
      <c r="L567" s="46" t="e">
        <f t="shared" si="436"/>
        <v>#DIV/0!</v>
      </c>
      <c r="M567" s="47"/>
      <c r="N567" s="48">
        <f>SUM(N563:N566)</f>
        <v>0</v>
      </c>
      <c r="O567" s="92">
        <f>SUM(O563:O566)</f>
        <v>1020546.975</v>
      </c>
      <c r="P567" s="1124"/>
    </row>
    <row r="568" spans="2:16" ht="15.75" thickBot="1" x14ac:dyDescent="0.3">
      <c r="B568" s="1121"/>
      <c r="C568" s="41" t="s">
        <v>68</v>
      </c>
      <c r="D568" s="27" t="s">
        <v>64</v>
      </c>
      <c r="E568" s="25">
        <v>0</v>
      </c>
      <c r="F568" s="20">
        <f>G568+H568</f>
        <v>0</v>
      </c>
      <c r="G568" s="20">
        <v>0</v>
      </c>
      <c r="H568" s="24">
        <v>0</v>
      </c>
      <c r="I568" s="19">
        <f>J568+K568</f>
        <v>0</v>
      </c>
      <c r="J568" s="4">
        <f>G568+J503</f>
        <v>0</v>
      </c>
      <c r="K568" s="4">
        <f>H568+K503</f>
        <v>0</v>
      </c>
      <c r="L568" s="52" t="e">
        <f t="shared" si="436"/>
        <v>#DIV/0!</v>
      </c>
      <c r="M568" s="149">
        <v>1.4086000000000001</v>
      </c>
      <c r="N568" s="26">
        <f t="shared" ref="N568" si="443">+M568*G568</f>
        <v>0</v>
      </c>
      <c r="O568" s="95">
        <f t="shared" ref="O568" si="444">+M568*J568</f>
        <v>0</v>
      </c>
      <c r="P568" s="53"/>
    </row>
    <row r="569" spans="2:16" ht="15.75" thickBot="1" x14ac:dyDescent="0.3">
      <c r="B569" s="1096" t="s">
        <v>95</v>
      </c>
      <c r="C569" s="1097"/>
      <c r="D569" s="1097"/>
      <c r="E569" s="1097"/>
      <c r="F569" s="1097"/>
      <c r="G569" s="1097"/>
      <c r="H569" s="1097"/>
      <c r="I569" s="110">
        <f>J569+K569</f>
        <v>639582</v>
      </c>
      <c r="J569" s="110">
        <f>J562+J567+J568</f>
        <v>623500</v>
      </c>
      <c r="K569" s="110">
        <f>K562+K567+K568</f>
        <v>16082</v>
      </c>
      <c r="L569" s="111"/>
      <c r="M569" s="112"/>
      <c r="N569" s="109"/>
      <c r="O569" s="77">
        <f>+O568+O567+O562</f>
        <v>1901205.25</v>
      </c>
      <c r="P569" s="84"/>
    </row>
    <row r="570" spans="2:16" x14ac:dyDescent="0.25">
      <c r="B570" s="1098" t="s">
        <v>69</v>
      </c>
      <c r="C570" s="1101" t="s">
        <v>70</v>
      </c>
      <c r="D570" s="54" t="s">
        <v>71</v>
      </c>
      <c r="E570" s="55">
        <v>0</v>
      </c>
      <c r="F570" s="56">
        <f>G570+H570</f>
        <v>0</v>
      </c>
      <c r="G570" s="56">
        <v>0</v>
      </c>
      <c r="H570" s="57">
        <v>0</v>
      </c>
      <c r="I570" s="78">
        <f>J570+K570</f>
        <v>0</v>
      </c>
      <c r="J570" s="4">
        <f>G570+J505</f>
        <v>0</v>
      </c>
      <c r="K570" s="4">
        <f>H570+K505</f>
        <v>0</v>
      </c>
      <c r="L570" s="58" t="e">
        <f t="shared" ref="L570" si="445">+J570/E570</f>
        <v>#DIV/0!</v>
      </c>
      <c r="M570" s="59">
        <v>32.946300000000001</v>
      </c>
      <c r="N570" s="60">
        <f>+M570*G570</f>
        <v>0</v>
      </c>
      <c r="O570" s="60">
        <f>M570*J570</f>
        <v>0</v>
      </c>
      <c r="P570" s="1103"/>
    </row>
    <row r="571" spans="2:16" x14ac:dyDescent="0.25">
      <c r="B571" s="1099"/>
      <c r="C571" s="1102"/>
      <c r="D571" s="61" t="s">
        <v>72</v>
      </c>
      <c r="E571" s="62">
        <v>0</v>
      </c>
      <c r="F571" s="63">
        <f>G571+H571</f>
        <v>5077</v>
      </c>
      <c r="G571" s="63">
        <v>5000</v>
      </c>
      <c r="H571" s="64">
        <v>77</v>
      </c>
      <c r="I571" s="79">
        <f>J571+K571</f>
        <v>25372</v>
      </c>
      <c r="J571" s="4">
        <f>G571+J506</f>
        <v>25000</v>
      </c>
      <c r="K571" s="4">
        <f>H571+K506</f>
        <v>372</v>
      </c>
      <c r="L571" s="65" t="e">
        <f>+J571/E571</f>
        <v>#DIV/0!</v>
      </c>
      <c r="M571" s="66">
        <v>35.398400000000002</v>
      </c>
      <c r="N571" s="67">
        <f>+M571*G571</f>
        <v>176992</v>
      </c>
      <c r="O571" s="67">
        <f>M571*J571</f>
        <v>884960</v>
      </c>
      <c r="P571" s="1104"/>
    </row>
    <row r="572" spans="2:16" x14ac:dyDescent="0.25">
      <c r="B572" s="1099"/>
      <c r="C572" s="1102"/>
      <c r="D572" s="61" t="s">
        <v>73</v>
      </c>
      <c r="E572" s="62">
        <v>0</v>
      </c>
      <c r="F572" s="63">
        <f t="shared" ref="F572:F575" si="446">G572+H572</f>
        <v>0</v>
      </c>
      <c r="G572" s="63">
        <v>0</v>
      </c>
      <c r="H572" s="64">
        <v>0</v>
      </c>
      <c r="I572" s="79">
        <f t="shared" ref="I572:I581" si="447">J572+K572</f>
        <v>0</v>
      </c>
      <c r="J572" s="4">
        <f t="shared" ref="J572:J597" si="448">G572+J507</f>
        <v>0</v>
      </c>
      <c r="K572" s="4">
        <f t="shared" ref="K572:K576" si="449">H572+K507</f>
        <v>0</v>
      </c>
      <c r="L572" s="65" t="e">
        <f t="shared" ref="L572:L585" si="450">+J572/E572</f>
        <v>#DIV/0!</v>
      </c>
      <c r="M572" s="66">
        <v>32.946300000000001</v>
      </c>
      <c r="N572" s="67">
        <f t="shared" ref="N572:N592" si="451">+M572*G572</f>
        <v>0</v>
      </c>
      <c r="O572" s="67">
        <f t="shared" ref="O572:O580" si="452">M572*J572</f>
        <v>0</v>
      </c>
      <c r="P572" s="1104"/>
    </row>
    <row r="573" spans="2:16" x14ac:dyDescent="0.25">
      <c r="B573" s="1099"/>
      <c r="C573" s="1102" t="s">
        <v>74</v>
      </c>
      <c r="D573" s="61" t="s">
        <v>75</v>
      </c>
      <c r="E573" s="62">
        <v>0</v>
      </c>
      <c r="F573" s="63">
        <f t="shared" si="446"/>
        <v>2400</v>
      </c>
      <c r="G573" s="63">
        <v>2400</v>
      </c>
      <c r="H573" s="64">
        <v>0</v>
      </c>
      <c r="I573" s="79">
        <f t="shared" si="447"/>
        <v>12279</v>
      </c>
      <c r="J573" s="4">
        <f t="shared" si="448"/>
        <v>12000</v>
      </c>
      <c r="K573" s="4">
        <f t="shared" si="449"/>
        <v>279</v>
      </c>
      <c r="L573" s="65" t="e">
        <f t="shared" si="450"/>
        <v>#DIV/0!</v>
      </c>
      <c r="M573" s="66">
        <v>55.4758</v>
      </c>
      <c r="N573" s="67">
        <f t="shared" si="451"/>
        <v>133141.92000000001</v>
      </c>
      <c r="O573" s="67">
        <f t="shared" si="452"/>
        <v>665709.6</v>
      </c>
      <c r="P573" s="1104"/>
    </row>
    <row r="574" spans="2:16" x14ac:dyDescent="0.25">
      <c r="B574" s="1099"/>
      <c r="C574" s="1102"/>
      <c r="D574" s="61" t="s">
        <v>134</v>
      </c>
      <c r="E574" s="62">
        <v>0</v>
      </c>
      <c r="F574" s="63">
        <f t="shared" si="446"/>
        <v>0</v>
      </c>
      <c r="G574" s="63">
        <v>0</v>
      </c>
      <c r="H574" s="64">
        <v>0</v>
      </c>
      <c r="I574" s="79">
        <f t="shared" si="447"/>
        <v>0</v>
      </c>
      <c r="J574" s="4">
        <f t="shared" si="448"/>
        <v>0</v>
      </c>
      <c r="K574" s="4">
        <f t="shared" si="449"/>
        <v>0</v>
      </c>
      <c r="L574" s="65" t="e">
        <f t="shared" si="450"/>
        <v>#DIV/0!</v>
      </c>
      <c r="M574" s="66">
        <v>53.515999999999998</v>
      </c>
      <c r="N574" s="67">
        <f t="shared" si="451"/>
        <v>0</v>
      </c>
      <c r="O574" s="67">
        <f t="shared" si="452"/>
        <v>0</v>
      </c>
      <c r="P574" s="1104"/>
    </row>
    <row r="575" spans="2:16" x14ac:dyDescent="0.25">
      <c r="B575" s="1099"/>
      <c r="C575" s="1102"/>
      <c r="D575" s="61" t="s">
        <v>72</v>
      </c>
      <c r="E575" s="62">
        <v>0</v>
      </c>
      <c r="F575" s="63">
        <f t="shared" si="446"/>
        <v>0</v>
      </c>
      <c r="G575" s="63">
        <v>0</v>
      </c>
      <c r="H575" s="64">
        <v>0</v>
      </c>
      <c r="I575" s="79">
        <f t="shared" si="447"/>
        <v>9804</v>
      </c>
      <c r="J575" s="4">
        <f t="shared" si="448"/>
        <v>9600</v>
      </c>
      <c r="K575" s="4">
        <f t="shared" si="449"/>
        <v>204</v>
      </c>
      <c r="L575" s="65" t="e">
        <f t="shared" si="450"/>
        <v>#DIV/0!</v>
      </c>
      <c r="M575" s="66">
        <v>58.836300000000001</v>
      </c>
      <c r="N575" s="67">
        <f t="shared" si="451"/>
        <v>0</v>
      </c>
      <c r="O575" s="67">
        <f t="shared" si="452"/>
        <v>564828.48</v>
      </c>
      <c r="P575" s="1104"/>
    </row>
    <row r="576" spans="2:16" x14ac:dyDescent="0.25">
      <c r="B576" s="1099"/>
      <c r="C576" s="1106" t="s">
        <v>76</v>
      </c>
      <c r="D576" s="61" t="s">
        <v>77</v>
      </c>
      <c r="E576" s="62">
        <v>0</v>
      </c>
      <c r="F576" s="63">
        <f>G576+H576</f>
        <v>0</v>
      </c>
      <c r="G576" s="63">
        <v>0</v>
      </c>
      <c r="H576" s="64">
        <v>0</v>
      </c>
      <c r="I576" s="79">
        <f t="shared" si="447"/>
        <v>3675</v>
      </c>
      <c r="J576" s="4">
        <f t="shared" si="448"/>
        <v>3575</v>
      </c>
      <c r="K576" s="4">
        <f t="shared" si="449"/>
        <v>100</v>
      </c>
      <c r="L576" s="65" t="e">
        <f t="shared" si="450"/>
        <v>#DIV/0!</v>
      </c>
      <c r="M576" s="66">
        <v>25.687200000000001</v>
      </c>
      <c r="N576" s="67">
        <f t="shared" si="451"/>
        <v>0</v>
      </c>
      <c r="O576" s="67">
        <f t="shared" si="452"/>
        <v>91831.74</v>
      </c>
      <c r="P576" s="1104"/>
    </row>
    <row r="577" spans="2:16" x14ac:dyDescent="0.25">
      <c r="B577" s="1099"/>
      <c r="C577" s="1107"/>
      <c r="D577" s="61" t="s">
        <v>117</v>
      </c>
      <c r="E577" s="62">
        <v>0</v>
      </c>
      <c r="F577" s="63">
        <f>G577+H577</f>
        <v>0</v>
      </c>
      <c r="G577" s="63">
        <v>0</v>
      </c>
      <c r="H577" s="64">
        <v>0</v>
      </c>
      <c r="I577" s="79">
        <f t="shared" si="447"/>
        <v>0</v>
      </c>
      <c r="J577" s="4">
        <f t="shared" si="448"/>
        <v>0</v>
      </c>
      <c r="K577" s="4">
        <f>H577+K512</f>
        <v>0</v>
      </c>
      <c r="L577" s="65" t="e">
        <f t="shared" si="450"/>
        <v>#DIV/0!</v>
      </c>
      <c r="M577" s="66">
        <v>25.033899999999999</v>
      </c>
      <c r="N577" s="67">
        <f t="shared" si="451"/>
        <v>0</v>
      </c>
      <c r="O577" s="67">
        <f t="shared" si="452"/>
        <v>0</v>
      </c>
      <c r="P577" s="1104"/>
    </row>
    <row r="578" spans="2:16" x14ac:dyDescent="0.25">
      <c r="B578" s="1099"/>
      <c r="C578" s="1106" t="s">
        <v>78</v>
      </c>
      <c r="D578" s="61" t="s">
        <v>79</v>
      </c>
      <c r="E578" s="62">
        <v>0</v>
      </c>
      <c r="F578" s="63">
        <f t="shared" ref="F578:F597" si="453">G578+H578</f>
        <v>0</v>
      </c>
      <c r="G578" s="63">
        <v>0</v>
      </c>
      <c r="H578" s="64">
        <v>0</v>
      </c>
      <c r="I578" s="79">
        <f t="shared" si="447"/>
        <v>8113</v>
      </c>
      <c r="J578" s="4">
        <f t="shared" si="448"/>
        <v>8000</v>
      </c>
      <c r="K578" s="4">
        <f t="shared" ref="K578:K597" si="454">H578+K513</f>
        <v>113</v>
      </c>
      <c r="L578" s="65" t="e">
        <f t="shared" si="450"/>
        <v>#DIV/0!</v>
      </c>
      <c r="M578" s="66">
        <v>41.992699999999999</v>
      </c>
      <c r="N578" s="67">
        <f t="shared" si="451"/>
        <v>0</v>
      </c>
      <c r="O578" s="67">
        <f t="shared" si="452"/>
        <v>335941.6</v>
      </c>
      <c r="P578" s="1104"/>
    </row>
    <row r="579" spans="2:16" x14ac:dyDescent="0.25">
      <c r="B579" s="1099"/>
      <c r="C579" s="1107"/>
      <c r="D579" s="61" t="s">
        <v>72</v>
      </c>
      <c r="E579" s="62">
        <v>0</v>
      </c>
      <c r="F579" s="63">
        <f t="shared" si="453"/>
        <v>0</v>
      </c>
      <c r="G579" s="63">
        <v>0</v>
      </c>
      <c r="H579" s="64">
        <v>0</v>
      </c>
      <c r="I579" s="79">
        <f t="shared" si="447"/>
        <v>0</v>
      </c>
      <c r="J579" s="4">
        <f t="shared" si="448"/>
        <v>0</v>
      </c>
      <c r="K579" s="4">
        <f t="shared" si="454"/>
        <v>0</v>
      </c>
      <c r="L579" s="65" t="e">
        <f t="shared" si="450"/>
        <v>#DIV/0!</v>
      </c>
      <c r="M579" s="66">
        <v>42.283799999999999</v>
      </c>
      <c r="N579" s="67">
        <f t="shared" si="451"/>
        <v>0</v>
      </c>
      <c r="O579" s="67">
        <f t="shared" si="452"/>
        <v>0</v>
      </c>
      <c r="P579" s="1104"/>
    </row>
    <row r="580" spans="2:16" x14ac:dyDescent="0.25">
      <c r="B580" s="1099"/>
      <c r="C580" s="188" t="s">
        <v>80</v>
      </c>
      <c r="D580" s="61" t="s">
        <v>81</v>
      </c>
      <c r="E580" s="62">
        <v>0</v>
      </c>
      <c r="F580" s="63">
        <f t="shared" si="453"/>
        <v>0</v>
      </c>
      <c r="G580" s="63">
        <v>0</v>
      </c>
      <c r="H580" s="64">
        <v>0</v>
      </c>
      <c r="I580" s="79">
        <f t="shared" si="447"/>
        <v>10898</v>
      </c>
      <c r="J580" s="4">
        <f t="shared" si="448"/>
        <v>10500</v>
      </c>
      <c r="K580" s="4">
        <f t="shared" si="454"/>
        <v>398</v>
      </c>
      <c r="L580" s="65" t="e">
        <f t="shared" si="450"/>
        <v>#DIV/0!</v>
      </c>
      <c r="M580" s="66">
        <v>4.3535000000000004</v>
      </c>
      <c r="N580" s="67">
        <f t="shared" si="451"/>
        <v>0</v>
      </c>
      <c r="O580" s="67">
        <f t="shared" si="452"/>
        <v>45711.750000000007</v>
      </c>
      <c r="P580" s="1104"/>
    </row>
    <row r="581" spans="2:16" x14ac:dyDescent="0.25">
      <c r="B581" s="1099"/>
      <c r="C581" s="1102" t="s">
        <v>82</v>
      </c>
      <c r="D581" s="61" t="s">
        <v>77</v>
      </c>
      <c r="E581" s="62">
        <v>0</v>
      </c>
      <c r="F581" s="63">
        <f t="shared" si="453"/>
        <v>0</v>
      </c>
      <c r="G581" s="63">
        <v>0</v>
      </c>
      <c r="H581" s="64">
        <v>0</v>
      </c>
      <c r="I581" s="79">
        <f t="shared" si="447"/>
        <v>0</v>
      </c>
      <c r="J581" s="4">
        <f t="shared" si="448"/>
        <v>0</v>
      </c>
      <c r="K581" s="4">
        <f t="shared" si="454"/>
        <v>0</v>
      </c>
      <c r="L581" s="65" t="e">
        <f t="shared" si="450"/>
        <v>#DIV/0!</v>
      </c>
      <c r="M581" s="66">
        <v>4.6184000000000003</v>
      </c>
      <c r="N581" s="67">
        <f t="shared" si="451"/>
        <v>0</v>
      </c>
      <c r="O581" s="67">
        <f>M581*J581</f>
        <v>0</v>
      </c>
      <c r="P581" s="1104"/>
    </row>
    <row r="582" spans="2:16" x14ac:dyDescent="0.25">
      <c r="B582" s="1099"/>
      <c r="C582" s="1102"/>
      <c r="D582" s="61" t="s">
        <v>119</v>
      </c>
      <c r="E582" s="62">
        <v>0</v>
      </c>
      <c r="F582" s="63">
        <f t="shared" si="453"/>
        <v>0</v>
      </c>
      <c r="G582" s="63">
        <v>0</v>
      </c>
      <c r="H582" s="64">
        <v>0</v>
      </c>
      <c r="I582" s="79">
        <f>J582+K582</f>
        <v>0</v>
      </c>
      <c r="J582" s="4">
        <f t="shared" si="448"/>
        <v>0</v>
      </c>
      <c r="K582" s="4">
        <f t="shared" si="454"/>
        <v>0</v>
      </c>
      <c r="L582" s="65" t="e">
        <f t="shared" si="450"/>
        <v>#DIV/0!</v>
      </c>
      <c r="M582" s="153">
        <v>4.6184000000000003</v>
      </c>
      <c r="N582" s="67">
        <f t="shared" si="451"/>
        <v>0</v>
      </c>
      <c r="O582" s="67">
        <f>M582*J582</f>
        <v>0</v>
      </c>
      <c r="P582" s="1104"/>
    </row>
    <row r="583" spans="2:16" x14ac:dyDescent="0.25">
      <c r="B583" s="1099"/>
      <c r="C583" s="1102"/>
      <c r="D583" s="61" t="s">
        <v>123</v>
      </c>
      <c r="E583" s="62">
        <v>0</v>
      </c>
      <c r="F583" s="63">
        <f t="shared" si="453"/>
        <v>0</v>
      </c>
      <c r="G583" s="63">
        <v>0</v>
      </c>
      <c r="H583" s="64">
        <v>0</v>
      </c>
      <c r="I583" s="79">
        <f t="shared" ref="I583:I597" si="455">J583+K583</f>
        <v>0</v>
      </c>
      <c r="J583" s="4">
        <f t="shared" si="448"/>
        <v>0</v>
      </c>
      <c r="K583" s="4">
        <f t="shared" si="454"/>
        <v>0</v>
      </c>
      <c r="L583" s="65" t="e">
        <f t="shared" si="450"/>
        <v>#DIV/0!</v>
      </c>
      <c r="M583" s="153">
        <v>4.6184000000000003</v>
      </c>
      <c r="N583" s="67">
        <f t="shared" si="451"/>
        <v>0</v>
      </c>
      <c r="O583" s="67">
        <f t="shared" ref="O583:O588" si="456">M583*J583</f>
        <v>0</v>
      </c>
      <c r="P583" s="1104"/>
    </row>
    <row r="584" spans="2:16" x14ac:dyDescent="0.25">
      <c r="B584" s="1099"/>
      <c r="C584" s="1102"/>
      <c r="D584" s="61" t="s">
        <v>124</v>
      </c>
      <c r="E584" s="62">
        <v>0</v>
      </c>
      <c r="F584" s="63">
        <f t="shared" si="453"/>
        <v>13658</v>
      </c>
      <c r="G584" s="63">
        <v>13200</v>
      </c>
      <c r="H584" s="64">
        <v>458</v>
      </c>
      <c r="I584" s="79">
        <f t="shared" si="455"/>
        <v>172800</v>
      </c>
      <c r="J584" s="4">
        <f t="shared" si="448"/>
        <v>167455</v>
      </c>
      <c r="K584" s="4">
        <f t="shared" si="454"/>
        <v>5345</v>
      </c>
      <c r="L584" s="65" t="e">
        <f t="shared" si="450"/>
        <v>#DIV/0!</v>
      </c>
      <c r="M584" s="153">
        <v>4.7636000000000003</v>
      </c>
      <c r="N584" s="67">
        <f t="shared" si="451"/>
        <v>62879.520000000004</v>
      </c>
      <c r="O584" s="67">
        <f t="shared" si="456"/>
        <v>797688.63800000004</v>
      </c>
      <c r="P584" s="1104"/>
    </row>
    <row r="585" spans="2:16" x14ac:dyDescent="0.25">
      <c r="B585" s="1099"/>
      <c r="C585" s="1102"/>
      <c r="D585" s="61" t="s">
        <v>83</v>
      </c>
      <c r="E585" s="62">
        <v>0</v>
      </c>
      <c r="F585" s="63">
        <f t="shared" si="453"/>
        <v>0</v>
      </c>
      <c r="G585" s="63">
        <v>0</v>
      </c>
      <c r="H585" s="64">
        <v>0</v>
      </c>
      <c r="I585" s="79">
        <f t="shared" si="455"/>
        <v>0</v>
      </c>
      <c r="J585" s="4">
        <f t="shared" si="448"/>
        <v>0</v>
      </c>
      <c r="K585" s="4">
        <f t="shared" si="454"/>
        <v>0</v>
      </c>
      <c r="L585" s="65" t="e">
        <f t="shared" si="450"/>
        <v>#DIV/0!</v>
      </c>
      <c r="M585" s="66">
        <v>4.8738000000000001</v>
      </c>
      <c r="N585" s="67">
        <f t="shared" si="451"/>
        <v>0</v>
      </c>
      <c r="O585" s="67">
        <f t="shared" si="456"/>
        <v>0</v>
      </c>
      <c r="P585" s="1104"/>
    </row>
    <row r="586" spans="2:16" x14ac:dyDescent="0.25">
      <c r="B586" s="1099"/>
      <c r="C586" s="188" t="s">
        <v>128</v>
      </c>
      <c r="D586" s="61" t="s">
        <v>124</v>
      </c>
      <c r="E586" s="62"/>
      <c r="F586" s="63">
        <f t="shared" si="453"/>
        <v>0</v>
      </c>
      <c r="G586" s="63">
        <v>0</v>
      </c>
      <c r="H586" s="64">
        <v>0</v>
      </c>
      <c r="I586" s="79">
        <f t="shared" si="455"/>
        <v>0</v>
      </c>
      <c r="J586" s="4">
        <f t="shared" si="448"/>
        <v>0</v>
      </c>
      <c r="K586" s="4">
        <f t="shared" si="454"/>
        <v>0</v>
      </c>
      <c r="L586" s="65"/>
      <c r="M586" s="66">
        <v>4.8738000000000001</v>
      </c>
      <c r="N586" s="67">
        <f t="shared" si="451"/>
        <v>0</v>
      </c>
      <c r="O586" s="67">
        <f t="shared" si="456"/>
        <v>0</v>
      </c>
      <c r="P586" s="1104"/>
    </row>
    <row r="587" spans="2:16" x14ac:dyDescent="0.25">
      <c r="B587" s="1099"/>
      <c r="C587" s="1102" t="s">
        <v>84</v>
      </c>
      <c r="D587" s="61" t="s">
        <v>77</v>
      </c>
      <c r="E587" s="62">
        <v>0</v>
      </c>
      <c r="F587" s="63">
        <f t="shared" si="453"/>
        <v>20489</v>
      </c>
      <c r="G587" s="63">
        <v>20400</v>
      </c>
      <c r="H587" s="64">
        <v>89</v>
      </c>
      <c r="I587" s="79">
        <f t="shared" si="455"/>
        <v>172858</v>
      </c>
      <c r="J587" s="4">
        <f t="shared" si="448"/>
        <v>170900</v>
      </c>
      <c r="K587" s="4">
        <f t="shared" si="454"/>
        <v>1958</v>
      </c>
      <c r="L587" s="65" t="e">
        <f t="shared" ref="L587:L597" si="457">+J587/E587</f>
        <v>#DIV/0!</v>
      </c>
      <c r="M587" s="66">
        <v>4.9344999999999999</v>
      </c>
      <c r="N587" s="67">
        <f t="shared" si="451"/>
        <v>100663.8</v>
      </c>
      <c r="O587" s="67">
        <f t="shared" si="456"/>
        <v>843306.04999999993</v>
      </c>
      <c r="P587" s="1104"/>
    </row>
    <row r="588" spans="2:16" x14ac:dyDescent="0.25">
      <c r="B588" s="1099"/>
      <c r="C588" s="1102"/>
      <c r="D588" s="61" t="s">
        <v>135</v>
      </c>
      <c r="E588" s="62"/>
      <c r="F588" s="63">
        <f t="shared" si="453"/>
        <v>0</v>
      </c>
      <c r="G588" s="63">
        <v>0</v>
      </c>
      <c r="H588" s="64">
        <v>0</v>
      </c>
      <c r="I588" s="79">
        <f t="shared" si="455"/>
        <v>0</v>
      </c>
      <c r="J588" s="4">
        <f t="shared" si="448"/>
        <v>0</v>
      </c>
      <c r="K588" s="4">
        <f t="shared" si="454"/>
        <v>0</v>
      </c>
      <c r="L588" s="65" t="e">
        <f t="shared" si="457"/>
        <v>#DIV/0!</v>
      </c>
      <c r="M588" s="66">
        <v>4.9344999999999999</v>
      </c>
      <c r="N588" s="67">
        <f t="shared" si="451"/>
        <v>0</v>
      </c>
      <c r="O588" s="67">
        <f t="shared" si="456"/>
        <v>0</v>
      </c>
      <c r="P588" s="1104"/>
    </row>
    <row r="589" spans="2:16" x14ac:dyDescent="0.25">
      <c r="B589" s="1099"/>
      <c r="C589" s="1102"/>
      <c r="D589" s="61" t="s">
        <v>129</v>
      </c>
      <c r="E589" s="62">
        <v>0</v>
      </c>
      <c r="F589" s="63">
        <f t="shared" si="453"/>
        <v>0</v>
      </c>
      <c r="G589" s="155">
        <v>0</v>
      </c>
      <c r="H589" s="156">
        <v>0</v>
      </c>
      <c r="I589" s="157">
        <f t="shared" si="455"/>
        <v>0</v>
      </c>
      <c r="J589" s="4">
        <f t="shared" si="448"/>
        <v>0</v>
      </c>
      <c r="K589" s="4">
        <f t="shared" si="454"/>
        <v>0</v>
      </c>
      <c r="L589" s="158" t="e">
        <f t="shared" si="457"/>
        <v>#DIV/0!</v>
      </c>
      <c r="M589" s="66">
        <v>4.9344999999999999</v>
      </c>
      <c r="N589" s="159">
        <f t="shared" si="451"/>
        <v>0</v>
      </c>
      <c r="O589" s="67">
        <f>M589*J589</f>
        <v>0</v>
      </c>
      <c r="P589" s="1104"/>
    </row>
    <row r="590" spans="2:16" x14ac:dyDescent="0.25">
      <c r="B590" s="1099"/>
      <c r="C590" s="1102" t="s">
        <v>85</v>
      </c>
      <c r="D590" s="61" t="s">
        <v>77</v>
      </c>
      <c r="E590" s="62">
        <v>0</v>
      </c>
      <c r="F590" s="63">
        <f t="shared" si="453"/>
        <v>24761</v>
      </c>
      <c r="G590" s="63">
        <v>24000</v>
      </c>
      <c r="H590" s="64">
        <v>761</v>
      </c>
      <c r="I590" s="79">
        <f t="shared" si="455"/>
        <v>138276</v>
      </c>
      <c r="J590" s="4">
        <f t="shared" si="448"/>
        <v>130950</v>
      </c>
      <c r="K590" s="4">
        <f t="shared" si="454"/>
        <v>7326</v>
      </c>
      <c r="L590" s="65" t="e">
        <f t="shared" si="457"/>
        <v>#DIV/0!</v>
      </c>
      <c r="M590" s="148">
        <v>5.5069999999999997</v>
      </c>
      <c r="N590" s="67">
        <f t="shared" si="451"/>
        <v>132168</v>
      </c>
      <c r="O590" s="67">
        <f>M590*J590</f>
        <v>721141.64999999991</v>
      </c>
      <c r="P590" s="1104"/>
    </row>
    <row r="591" spans="2:16" x14ac:dyDescent="0.25">
      <c r="B591" s="1099"/>
      <c r="C591" s="1102"/>
      <c r="D591" s="61" t="s">
        <v>112</v>
      </c>
      <c r="E591" s="62">
        <v>0</v>
      </c>
      <c r="F591" s="63">
        <f t="shared" si="453"/>
        <v>14889</v>
      </c>
      <c r="G591" s="63">
        <v>14400</v>
      </c>
      <c r="H591" s="64">
        <v>489</v>
      </c>
      <c r="I591" s="79">
        <f t="shared" si="455"/>
        <v>25839</v>
      </c>
      <c r="J591" s="4">
        <f t="shared" si="448"/>
        <v>25300</v>
      </c>
      <c r="K591" s="4">
        <f t="shared" si="454"/>
        <v>539</v>
      </c>
      <c r="L591" s="65" t="e">
        <f t="shared" si="457"/>
        <v>#DIV/0!</v>
      </c>
      <c r="M591" s="147">
        <v>5.6550000000000002</v>
      </c>
      <c r="N591" s="67">
        <f t="shared" si="451"/>
        <v>81432</v>
      </c>
      <c r="O591" s="67">
        <f>M591*J591</f>
        <v>143071.5</v>
      </c>
      <c r="P591" s="1104"/>
    </row>
    <row r="592" spans="2:16" x14ac:dyDescent="0.25">
      <c r="B592" s="1099"/>
      <c r="C592" s="1102"/>
      <c r="D592" s="61" t="s">
        <v>118</v>
      </c>
      <c r="E592" s="62">
        <v>0</v>
      </c>
      <c r="F592" s="63">
        <f t="shared" si="453"/>
        <v>0</v>
      </c>
      <c r="G592" s="63">
        <v>0</v>
      </c>
      <c r="H592" s="64">
        <v>0</v>
      </c>
      <c r="I592" s="79">
        <f t="shared" si="455"/>
        <v>0</v>
      </c>
      <c r="J592" s="4">
        <f t="shared" si="448"/>
        <v>0</v>
      </c>
      <c r="K592" s="4">
        <f t="shared" si="454"/>
        <v>0</v>
      </c>
      <c r="L592" s="65" t="e">
        <f t="shared" si="457"/>
        <v>#DIV/0!</v>
      </c>
      <c r="M592" s="152">
        <v>5.6550000000000002</v>
      </c>
      <c r="N592" s="67">
        <f t="shared" si="451"/>
        <v>0</v>
      </c>
      <c r="O592" s="67">
        <f>M592*J592</f>
        <v>0</v>
      </c>
      <c r="P592" s="1104"/>
    </row>
    <row r="593" spans="2:16" x14ac:dyDescent="0.25">
      <c r="B593" s="1099"/>
      <c r="C593" s="1102"/>
      <c r="D593" s="61" t="s">
        <v>121</v>
      </c>
      <c r="E593" s="62">
        <v>0</v>
      </c>
      <c r="F593" s="63">
        <f t="shared" si="453"/>
        <v>4264</v>
      </c>
      <c r="G593" s="63">
        <v>4200</v>
      </c>
      <c r="H593" s="64">
        <v>64</v>
      </c>
      <c r="I593" s="79">
        <f t="shared" si="455"/>
        <v>16664</v>
      </c>
      <c r="J593" s="4">
        <f t="shared" si="448"/>
        <v>15100</v>
      </c>
      <c r="K593" s="4">
        <f t="shared" si="454"/>
        <v>1564</v>
      </c>
      <c r="L593" s="65" t="e">
        <f t="shared" si="457"/>
        <v>#DIV/0!</v>
      </c>
      <c r="M593" s="66">
        <v>5.7885299999999997</v>
      </c>
      <c r="N593" s="67">
        <f>+M593*G593</f>
        <v>24311.825999999997</v>
      </c>
      <c r="O593" s="67">
        <f>M593*J593</f>
        <v>87406.803</v>
      </c>
      <c r="P593" s="1104"/>
    </row>
    <row r="594" spans="2:16" x14ac:dyDescent="0.25">
      <c r="B594" s="1099"/>
      <c r="C594" s="1102"/>
      <c r="D594" s="61" t="s">
        <v>136</v>
      </c>
      <c r="E594" s="62">
        <v>0</v>
      </c>
      <c r="F594" s="63">
        <f t="shared" si="453"/>
        <v>0</v>
      </c>
      <c r="G594" s="63">
        <v>0</v>
      </c>
      <c r="H594" s="64">
        <v>0</v>
      </c>
      <c r="I594" s="79">
        <f t="shared" si="455"/>
        <v>0</v>
      </c>
      <c r="J594" s="4">
        <f t="shared" si="448"/>
        <v>0</v>
      </c>
      <c r="K594" s="4">
        <f t="shared" si="454"/>
        <v>0</v>
      </c>
      <c r="L594" s="65" t="e">
        <f t="shared" si="457"/>
        <v>#DIV/0!</v>
      </c>
      <c r="M594" s="152">
        <v>5.6550000000000002</v>
      </c>
      <c r="N594" s="67">
        <f t="shared" ref="N594:N596" si="458">+M594*G594</f>
        <v>0</v>
      </c>
      <c r="O594" s="67">
        <f t="shared" ref="O594:O597" si="459">M594*J594</f>
        <v>0</v>
      </c>
      <c r="P594" s="1104"/>
    </row>
    <row r="595" spans="2:16" x14ac:dyDescent="0.25">
      <c r="B595" s="1099"/>
      <c r="C595" s="188" t="s">
        <v>86</v>
      </c>
      <c r="D595" s="61" t="s">
        <v>77</v>
      </c>
      <c r="E595" s="62">
        <v>0</v>
      </c>
      <c r="F595" s="63">
        <f t="shared" si="453"/>
        <v>0</v>
      </c>
      <c r="G595" s="63">
        <v>0</v>
      </c>
      <c r="H595" s="64">
        <v>0</v>
      </c>
      <c r="I595" s="79">
        <f t="shared" si="455"/>
        <v>0</v>
      </c>
      <c r="J595" s="4">
        <f t="shared" si="448"/>
        <v>0</v>
      </c>
      <c r="K595" s="4">
        <f t="shared" si="454"/>
        <v>0</v>
      </c>
      <c r="L595" s="65" t="e">
        <f t="shared" si="457"/>
        <v>#DIV/0!</v>
      </c>
      <c r="M595" s="66">
        <v>3.2963</v>
      </c>
      <c r="N595" s="67">
        <f t="shared" si="458"/>
        <v>0</v>
      </c>
      <c r="O595" s="67">
        <f t="shared" si="459"/>
        <v>0</v>
      </c>
      <c r="P595" s="1104"/>
    </row>
    <row r="596" spans="2:16" x14ac:dyDescent="0.25">
      <c r="B596" s="1099"/>
      <c r="C596" s="188" t="s">
        <v>87</v>
      </c>
      <c r="D596" s="61" t="s">
        <v>77</v>
      </c>
      <c r="E596" s="62">
        <v>0</v>
      </c>
      <c r="F596" s="63">
        <f t="shared" si="453"/>
        <v>0</v>
      </c>
      <c r="G596" s="63">
        <v>0</v>
      </c>
      <c r="H596" s="64">
        <v>0</v>
      </c>
      <c r="I596" s="79">
        <f t="shared" si="455"/>
        <v>0</v>
      </c>
      <c r="J596" s="4">
        <f t="shared" si="448"/>
        <v>0</v>
      </c>
      <c r="K596" s="4">
        <f t="shared" si="454"/>
        <v>0</v>
      </c>
      <c r="L596" s="65" t="e">
        <f t="shared" si="457"/>
        <v>#DIV/0!</v>
      </c>
      <c r="M596" s="66">
        <v>3.2963</v>
      </c>
      <c r="N596" s="67">
        <f t="shared" si="458"/>
        <v>0</v>
      </c>
      <c r="O596" s="67">
        <f t="shared" si="459"/>
        <v>0</v>
      </c>
      <c r="P596" s="1104"/>
    </row>
    <row r="597" spans="2:16" ht="15.75" thickBot="1" x14ac:dyDescent="0.3">
      <c r="B597" s="1099"/>
      <c r="C597" s="68" t="s">
        <v>88</v>
      </c>
      <c r="D597" s="69" t="s">
        <v>89</v>
      </c>
      <c r="E597" s="70">
        <v>0</v>
      </c>
      <c r="F597" s="71">
        <f t="shared" si="453"/>
        <v>0</v>
      </c>
      <c r="G597" s="71">
        <v>0</v>
      </c>
      <c r="H597" s="72">
        <v>0</v>
      </c>
      <c r="I597" s="80">
        <f t="shared" si="455"/>
        <v>65030</v>
      </c>
      <c r="J597" s="4">
        <f t="shared" si="448"/>
        <v>65000</v>
      </c>
      <c r="K597" s="4">
        <f t="shared" si="454"/>
        <v>30</v>
      </c>
      <c r="L597" s="65" t="e">
        <f t="shared" si="457"/>
        <v>#DIV/0!</v>
      </c>
      <c r="M597" s="73">
        <v>2.3201000000000001</v>
      </c>
      <c r="N597" s="74">
        <f t="shared" ref="N597" si="460">M597*G597</f>
        <v>0</v>
      </c>
      <c r="O597" s="74">
        <f t="shared" si="459"/>
        <v>150806.5</v>
      </c>
      <c r="P597" s="1105"/>
    </row>
    <row r="598" spans="2:16" ht="15.75" thickBot="1" x14ac:dyDescent="0.3">
      <c r="B598" s="1100"/>
      <c r="C598" s="1108" t="s">
        <v>99</v>
      </c>
      <c r="D598" s="1109"/>
      <c r="E598" s="1109"/>
      <c r="F598" s="1109"/>
      <c r="G598" s="1109"/>
      <c r="H598" s="1110"/>
      <c r="I598" s="116">
        <f>J598+K598</f>
        <v>661608</v>
      </c>
      <c r="J598" s="115">
        <f>SUM(J570:J597)</f>
        <v>643380</v>
      </c>
      <c r="K598" s="115">
        <f>SUM(K570:K597)</f>
        <v>18228</v>
      </c>
      <c r="L598" s="114"/>
      <c r="M598" s="113"/>
      <c r="N598" s="114"/>
      <c r="O598" s="97">
        <f>SUM(O570:O597)</f>
        <v>5332404.3109999998</v>
      </c>
      <c r="P598" s="96"/>
    </row>
    <row r="599" spans="2:16" ht="15.75" thickBot="1" x14ac:dyDescent="0.3">
      <c r="B599" s="100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2"/>
    </row>
    <row r="600" spans="2:16" ht="15.75" thickBot="1" x14ac:dyDescent="0.3">
      <c r="B600" s="1093" t="s">
        <v>100</v>
      </c>
      <c r="C600" s="1094"/>
      <c r="D600" s="1094"/>
      <c r="E600" s="1094"/>
      <c r="F600" s="1094"/>
      <c r="G600" s="1094"/>
      <c r="H600" s="1094"/>
      <c r="I600" s="1094"/>
      <c r="J600" s="1094"/>
      <c r="K600" s="1094"/>
      <c r="L600" s="1094"/>
      <c r="M600" s="1094"/>
      <c r="N600" s="1095"/>
      <c r="O600" s="103">
        <f>+O598+O569+O554</f>
        <v>11477316.184999999</v>
      </c>
      <c r="P600" s="96"/>
    </row>
    <row r="601" spans="2:16" ht="15.75" thickBot="1" x14ac:dyDescent="0.3"/>
    <row r="602" spans="2:16" x14ac:dyDescent="0.25">
      <c r="B602" s="1127" t="s">
        <v>1</v>
      </c>
      <c r="C602" s="1129" t="s">
        <v>2</v>
      </c>
      <c r="D602" s="1132" t="s">
        <v>3</v>
      </c>
      <c r="E602" s="1135" t="s">
        <v>4</v>
      </c>
      <c r="F602" s="1136"/>
      <c r="G602" s="1136"/>
      <c r="H602" s="1136"/>
      <c r="I602" s="1136"/>
      <c r="J602" s="1136"/>
      <c r="K602" s="1136"/>
      <c r="L602" s="1137"/>
      <c r="M602" s="1138" t="s">
        <v>5</v>
      </c>
      <c r="N602" s="1139"/>
      <c r="O602" s="1140"/>
      <c r="P602" s="1132" t="s">
        <v>6</v>
      </c>
    </row>
    <row r="603" spans="2:16" x14ac:dyDescent="0.25">
      <c r="B603" s="1128"/>
      <c r="C603" s="1130"/>
      <c r="D603" s="1133"/>
      <c r="E603" s="1141" t="s">
        <v>7</v>
      </c>
      <c r="F603" s="1143" t="s">
        <v>149</v>
      </c>
      <c r="G603" s="1143"/>
      <c r="H603" s="1144"/>
      <c r="I603" s="1145" t="s">
        <v>8</v>
      </c>
      <c r="J603" s="1143"/>
      <c r="K603" s="1143"/>
      <c r="L603" s="1144" t="s">
        <v>9</v>
      </c>
      <c r="M603" s="1147" t="s">
        <v>10</v>
      </c>
      <c r="N603" s="1149" t="s">
        <v>11</v>
      </c>
      <c r="O603" s="1151" t="s">
        <v>12</v>
      </c>
      <c r="P603" s="1133"/>
    </row>
    <row r="604" spans="2:16" ht="15.75" thickBot="1" x14ac:dyDescent="0.3">
      <c r="B604" s="1128"/>
      <c r="C604" s="1131"/>
      <c r="D604" s="1134"/>
      <c r="E604" s="1142"/>
      <c r="F604" s="2" t="s">
        <v>13</v>
      </c>
      <c r="G604" s="2" t="s">
        <v>14</v>
      </c>
      <c r="H604" s="195" t="s">
        <v>15</v>
      </c>
      <c r="I604" s="142" t="s">
        <v>13</v>
      </c>
      <c r="J604" s="2" t="s">
        <v>14</v>
      </c>
      <c r="K604" s="2" t="s">
        <v>15</v>
      </c>
      <c r="L604" s="1146"/>
      <c r="M604" s="1148"/>
      <c r="N604" s="1150"/>
      <c r="O604" s="1152"/>
      <c r="P604" s="1134"/>
    </row>
    <row r="605" spans="2:16" x14ac:dyDescent="0.25">
      <c r="B605" s="1111" t="s">
        <v>53</v>
      </c>
      <c r="C605" s="29"/>
      <c r="D605" s="117" t="s">
        <v>143</v>
      </c>
      <c r="E605" s="98">
        <v>0</v>
      </c>
      <c r="F605" s="4">
        <f>+G605+H605</f>
        <v>0</v>
      </c>
      <c r="G605" s="4">
        <v>0</v>
      </c>
      <c r="H605" s="8">
        <v>0</v>
      </c>
      <c r="I605" s="6">
        <f>J605+K605</f>
        <v>285266</v>
      </c>
      <c r="J605" s="4">
        <f>G605+J540</f>
        <v>280000</v>
      </c>
      <c r="K605" s="4">
        <f>H605+K540</f>
        <v>5266</v>
      </c>
      <c r="L605" s="33" t="e">
        <f>+J605/E605</f>
        <v>#DIV/0!</v>
      </c>
      <c r="M605" s="104">
        <v>1.3652</v>
      </c>
      <c r="N605" s="31">
        <f>G605*M605</f>
        <v>0</v>
      </c>
      <c r="O605" s="86">
        <f>M605*J605</f>
        <v>382256</v>
      </c>
      <c r="P605" s="1113"/>
    </row>
    <row r="606" spans="2:16" x14ac:dyDescent="0.25">
      <c r="B606" s="1112"/>
      <c r="C606" s="32"/>
      <c r="D606" s="118" t="s">
        <v>109</v>
      </c>
      <c r="E606" s="99">
        <v>0</v>
      </c>
      <c r="F606" s="9">
        <f>+G606+H606</f>
        <v>0</v>
      </c>
      <c r="G606" s="9">
        <v>0</v>
      </c>
      <c r="H606" s="10">
        <v>0</v>
      </c>
      <c r="I606" s="6">
        <f>J606+K606</f>
        <v>0</v>
      </c>
      <c r="J606" s="4">
        <f>+G606+J541</f>
        <v>0</v>
      </c>
      <c r="K606" s="4">
        <f>+H606+K541</f>
        <v>0</v>
      </c>
      <c r="L606" s="33"/>
      <c r="M606" s="105">
        <v>5.9917999999999996</v>
      </c>
      <c r="N606" s="34">
        <f>M606*G606</f>
        <v>0</v>
      </c>
      <c r="O606" s="87">
        <f>M606*J606</f>
        <v>0</v>
      </c>
      <c r="P606" s="1114"/>
    </row>
    <row r="607" spans="2:16" x14ac:dyDescent="0.25">
      <c r="B607" s="1112"/>
      <c r="C607" s="35"/>
      <c r="D607" s="119" t="s">
        <v>55</v>
      </c>
      <c r="E607" s="99">
        <v>0</v>
      </c>
      <c r="F607" s="9">
        <f t="shared" ref="F607:F611" si="461">+G607+H607</f>
        <v>231592</v>
      </c>
      <c r="G607" s="9">
        <v>230000</v>
      </c>
      <c r="H607" s="10">
        <v>1592</v>
      </c>
      <c r="I607" s="6">
        <f t="shared" ref="I607:I611" si="462">J607+K607</f>
        <v>1799791</v>
      </c>
      <c r="J607" s="4">
        <f t="shared" ref="J607:J611" si="463">+G607+J542</f>
        <v>1785750</v>
      </c>
      <c r="K607" s="4">
        <f t="shared" ref="K607:K611" si="464">+H607+K542</f>
        <v>14041</v>
      </c>
      <c r="L607" s="33" t="e">
        <f t="shared" ref="L607" si="465">+J607/E607</f>
        <v>#DIV/0!</v>
      </c>
      <c r="M607" s="106">
        <v>2.3807999999999998</v>
      </c>
      <c r="N607" s="36">
        <f>G607*M607</f>
        <v>547584</v>
      </c>
      <c r="O607" s="88">
        <f>M607*J607</f>
        <v>4251513.5999999996</v>
      </c>
      <c r="P607" s="1114"/>
    </row>
    <row r="608" spans="2:16" x14ac:dyDescent="0.25">
      <c r="B608" s="1112"/>
      <c r="C608" s="35"/>
      <c r="D608" s="119" t="s">
        <v>56</v>
      </c>
      <c r="E608" s="99">
        <v>0</v>
      </c>
      <c r="F608" s="9">
        <f t="shared" si="461"/>
        <v>0</v>
      </c>
      <c r="G608" s="9">
        <v>0</v>
      </c>
      <c r="H608" s="10">
        <v>0</v>
      </c>
      <c r="I608" s="6">
        <f t="shared" si="462"/>
        <v>0</v>
      </c>
      <c r="J608" s="4">
        <f t="shared" si="463"/>
        <v>0</v>
      </c>
      <c r="K608" s="4">
        <f t="shared" si="464"/>
        <v>0</v>
      </c>
      <c r="L608" s="33"/>
      <c r="M608" s="106">
        <v>2.1457999999999999</v>
      </c>
      <c r="N608" s="36">
        <f t="shared" ref="N608:N611" si="466">G608*M608</f>
        <v>0</v>
      </c>
      <c r="O608" s="88">
        <f>M608*J608</f>
        <v>0</v>
      </c>
      <c r="P608" s="1114"/>
    </row>
    <row r="609" spans="2:16" x14ac:dyDescent="0.25">
      <c r="B609" s="1112"/>
      <c r="C609" s="35"/>
      <c r="D609" s="119" t="s">
        <v>106</v>
      </c>
      <c r="E609" s="99">
        <v>0</v>
      </c>
      <c r="F609" s="9">
        <f t="shared" si="461"/>
        <v>0</v>
      </c>
      <c r="G609" s="9">
        <v>0</v>
      </c>
      <c r="H609" s="10">
        <v>0</v>
      </c>
      <c r="I609" s="6">
        <f t="shared" si="462"/>
        <v>0</v>
      </c>
      <c r="J609" s="4">
        <f t="shared" si="463"/>
        <v>0</v>
      </c>
      <c r="K609" s="4">
        <f t="shared" si="464"/>
        <v>0</v>
      </c>
      <c r="L609" s="33" t="e">
        <f t="shared" ref="L609:L610" si="467">+J609/E609</f>
        <v>#DIV/0!</v>
      </c>
      <c r="M609" s="143">
        <v>4.0426000000000002</v>
      </c>
      <c r="N609" s="36">
        <f t="shared" si="466"/>
        <v>0</v>
      </c>
      <c r="O609" s="88">
        <f>M609*J609</f>
        <v>0</v>
      </c>
      <c r="P609" s="1114"/>
    </row>
    <row r="610" spans="2:16" x14ac:dyDescent="0.25">
      <c r="B610" s="1112"/>
      <c r="C610" s="35"/>
      <c r="D610" s="119" t="s">
        <v>110</v>
      </c>
      <c r="E610" s="99">
        <v>0</v>
      </c>
      <c r="F610" s="9">
        <f t="shared" si="461"/>
        <v>0</v>
      </c>
      <c r="G610" s="9">
        <v>0</v>
      </c>
      <c r="H610" s="10">
        <v>0</v>
      </c>
      <c r="I610" s="6">
        <f t="shared" si="462"/>
        <v>0</v>
      </c>
      <c r="J610" s="4">
        <f t="shared" si="463"/>
        <v>0</v>
      </c>
      <c r="K610" s="4">
        <f t="shared" si="464"/>
        <v>0</v>
      </c>
      <c r="L610" s="33" t="e">
        <f t="shared" si="467"/>
        <v>#DIV/0!</v>
      </c>
      <c r="M610" s="143">
        <v>3.8715000000000002</v>
      </c>
      <c r="N610" s="36">
        <f t="shared" si="466"/>
        <v>0</v>
      </c>
      <c r="O610" s="88">
        <f t="shared" ref="O610:O611" si="468">M610*J610</f>
        <v>0</v>
      </c>
      <c r="P610" s="1114"/>
    </row>
    <row r="611" spans="2:16" ht="15.75" thickBot="1" x14ac:dyDescent="0.3">
      <c r="B611" s="1112"/>
      <c r="C611" s="82"/>
      <c r="D611" s="120" t="s">
        <v>57</v>
      </c>
      <c r="E611" s="108">
        <v>0</v>
      </c>
      <c r="F611" s="12">
        <f t="shared" si="461"/>
        <v>0</v>
      </c>
      <c r="G611" s="12">
        <v>0</v>
      </c>
      <c r="H611" s="13">
        <v>0</v>
      </c>
      <c r="I611" s="21">
        <f t="shared" si="462"/>
        <v>0</v>
      </c>
      <c r="J611" s="4">
        <f t="shared" si="463"/>
        <v>0</v>
      </c>
      <c r="K611" s="4">
        <f t="shared" si="464"/>
        <v>0</v>
      </c>
      <c r="L611" s="81"/>
      <c r="M611" s="127">
        <v>12.284700000000001</v>
      </c>
      <c r="N611" s="36">
        <f t="shared" si="466"/>
        <v>0</v>
      </c>
      <c r="O611" s="128">
        <f t="shared" si="468"/>
        <v>0</v>
      </c>
      <c r="P611" s="1114"/>
    </row>
    <row r="612" spans="2:16" ht="15.75" thickBot="1" x14ac:dyDescent="0.3">
      <c r="B612" s="1112"/>
      <c r="C612" s="1117" t="s">
        <v>104</v>
      </c>
      <c r="D612" s="1118"/>
      <c r="E612" s="129"/>
      <c r="F612" s="130">
        <f>SUM(F605:F611)</f>
        <v>231592</v>
      </c>
      <c r="G612" s="130">
        <f>SUM(G605:G611)</f>
        <v>230000</v>
      </c>
      <c r="H612" s="131">
        <f>SUM(H605:H611)</f>
        <v>1592</v>
      </c>
      <c r="I612" s="132">
        <f>+J612+K612</f>
        <v>2085057</v>
      </c>
      <c r="J612" s="133">
        <f>SUM(J605:J611)</f>
        <v>2065750</v>
      </c>
      <c r="K612" s="133">
        <f>SUM(K605:K611)</f>
        <v>19307</v>
      </c>
      <c r="L612" s="134"/>
      <c r="M612" s="135"/>
      <c r="N612" s="136"/>
      <c r="O612" s="137">
        <f>SUM(O605:O611)</f>
        <v>4633769.5999999996</v>
      </c>
      <c r="P612" s="1115"/>
    </row>
    <row r="613" spans="2:16" x14ac:dyDescent="0.25">
      <c r="B613" s="1112"/>
      <c r="C613" s="32"/>
      <c r="D613" s="118" t="s">
        <v>58</v>
      </c>
      <c r="E613" s="98">
        <v>0</v>
      </c>
      <c r="F613" s="4">
        <f t="shared" ref="F613:F616" si="469">+G613+H613</f>
        <v>0</v>
      </c>
      <c r="G613" s="4">
        <v>0</v>
      </c>
      <c r="H613" s="8">
        <v>0</v>
      </c>
      <c r="I613" s="6">
        <f t="shared" ref="I613:I617" si="470">J613+K613</f>
        <v>0</v>
      </c>
      <c r="J613" s="4">
        <f>G613+J548</f>
        <v>0</v>
      </c>
      <c r="K613" s="4">
        <f>H613+K548</f>
        <v>0</v>
      </c>
      <c r="L613" s="33" t="e">
        <f t="shared" ref="L613" si="471">+J613/E613</f>
        <v>#DIV/0!</v>
      </c>
      <c r="M613" s="105">
        <v>12.029500000000001</v>
      </c>
      <c r="N613" s="34">
        <f>M613*G613</f>
        <v>0</v>
      </c>
      <c r="O613" s="87">
        <f t="shared" ref="O613:O615" si="472">M613*J613</f>
        <v>0</v>
      </c>
      <c r="P613" s="1114"/>
    </row>
    <row r="614" spans="2:16" x14ac:dyDescent="0.25">
      <c r="B614" s="1112"/>
      <c r="C614" s="35"/>
      <c r="D614" s="119" t="s">
        <v>59</v>
      </c>
      <c r="E614" s="99">
        <v>0</v>
      </c>
      <c r="F614" s="9">
        <f t="shared" si="469"/>
        <v>0</v>
      </c>
      <c r="G614" s="9">
        <v>0</v>
      </c>
      <c r="H614" s="10">
        <v>0</v>
      </c>
      <c r="I614" s="6">
        <f t="shared" si="470"/>
        <v>0</v>
      </c>
      <c r="J614" s="4">
        <f>G614+J549</f>
        <v>0</v>
      </c>
      <c r="K614" s="4">
        <f>H614+K549</f>
        <v>0</v>
      </c>
      <c r="L614" s="33"/>
      <c r="M614" s="106">
        <v>0</v>
      </c>
      <c r="N614" s="36"/>
      <c r="O614" s="88">
        <f t="shared" si="472"/>
        <v>0</v>
      </c>
      <c r="P614" s="1114"/>
    </row>
    <row r="615" spans="2:16" x14ac:dyDescent="0.25">
      <c r="B615" s="1112"/>
      <c r="C615" s="35"/>
      <c r="D615" s="119" t="s">
        <v>97</v>
      </c>
      <c r="E615" s="99">
        <v>0</v>
      </c>
      <c r="F615" s="9">
        <f t="shared" si="469"/>
        <v>0</v>
      </c>
      <c r="G615" s="9">
        <v>0</v>
      </c>
      <c r="H615" s="10">
        <v>0</v>
      </c>
      <c r="I615" s="6">
        <f t="shared" si="470"/>
        <v>0</v>
      </c>
      <c r="J615" s="4">
        <f t="shared" ref="J615:J617" si="473">G615+J550</f>
        <v>0</v>
      </c>
      <c r="K615" s="4">
        <f t="shared" ref="K615:K617" si="474">H615+K550</f>
        <v>0</v>
      </c>
      <c r="L615" s="33" t="e">
        <f t="shared" ref="L615:L617" si="475">+J615/E615</f>
        <v>#DIV/0!</v>
      </c>
      <c r="M615" s="106">
        <v>19.688600000000001</v>
      </c>
      <c r="N615" s="36">
        <f>M615*G615</f>
        <v>0</v>
      </c>
      <c r="O615" s="88">
        <f t="shared" si="472"/>
        <v>0</v>
      </c>
      <c r="P615" s="1114"/>
    </row>
    <row r="616" spans="2:16" x14ac:dyDescent="0.25">
      <c r="B616" s="1112"/>
      <c r="C616" s="35"/>
      <c r="D616" s="119" t="s">
        <v>61</v>
      </c>
      <c r="E616" s="99">
        <v>0</v>
      </c>
      <c r="F616" s="9">
        <f t="shared" si="469"/>
        <v>0</v>
      </c>
      <c r="G616" s="9">
        <v>0</v>
      </c>
      <c r="H616" s="10">
        <v>0</v>
      </c>
      <c r="I616" s="6">
        <f t="shared" si="470"/>
        <v>0</v>
      </c>
      <c r="J616" s="4">
        <f t="shared" si="473"/>
        <v>0</v>
      </c>
      <c r="K616" s="4">
        <f t="shared" si="474"/>
        <v>0</v>
      </c>
      <c r="L616" s="33" t="e">
        <f t="shared" si="475"/>
        <v>#DIV/0!</v>
      </c>
      <c r="M616" s="106">
        <v>1.2824</v>
      </c>
      <c r="N616" s="151">
        <f>M616*G616</f>
        <v>0</v>
      </c>
      <c r="O616" s="88">
        <f>M616*J616</f>
        <v>0</v>
      </c>
      <c r="P616" s="1114"/>
    </row>
    <row r="617" spans="2:16" ht="15.75" thickBot="1" x14ac:dyDescent="0.3">
      <c r="B617" s="1112"/>
      <c r="C617" s="82"/>
      <c r="D617" s="120" t="s">
        <v>60</v>
      </c>
      <c r="E617" s="108">
        <v>0</v>
      </c>
      <c r="F617" s="12">
        <v>0</v>
      </c>
      <c r="G617" s="12">
        <v>12960</v>
      </c>
      <c r="H617" s="13">
        <v>0</v>
      </c>
      <c r="I617" s="21">
        <f t="shared" si="470"/>
        <v>21774</v>
      </c>
      <c r="J617" s="4">
        <f t="shared" si="473"/>
        <v>21600</v>
      </c>
      <c r="K617" s="4">
        <f t="shared" si="474"/>
        <v>174</v>
      </c>
      <c r="L617" s="81" t="e">
        <f t="shared" si="475"/>
        <v>#DIV/0!</v>
      </c>
      <c r="M617" s="107">
        <v>18.2316</v>
      </c>
      <c r="N617" s="75"/>
      <c r="O617" s="89">
        <f t="shared" ref="O617" si="476">M617*J617</f>
        <v>393802.56</v>
      </c>
      <c r="P617" s="1116"/>
    </row>
    <row r="618" spans="2:16" ht="15.75" thickBot="1" x14ac:dyDescent="0.3">
      <c r="B618" s="1096" t="s">
        <v>105</v>
      </c>
      <c r="C618" s="1097"/>
      <c r="D618" s="1097"/>
      <c r="E618" s="124"/>
      <c r="F618" s="125">
        <f>+G618+H618</f>
        <v>12960</v>
      </c>
      <c r="G618" s="125">
        <f>SUM(G613:G617)</f>
        <v>12960</v>
      </c>
      <c r="H618" s="126">
        <f>SUM(H613:H617)</f>
        <v>0</v>
      </c>
      <c r="I618" s="121">
        <f>J618+K618</f>
        <v>21774</v>
      </c>
      <c r="J618" s="122">
        <f>SUM(J613:J617)</f>
        <v>21600</v>
      </c>
      <c r="K618" s="123">
        <f>SUM(K613:K617)</f>
        <v>174</v>
      </c>
      <c r="L618" s="138"/>
      <c r="M618" s="139"/>
      <c r="N618" s="140"/>
      <c r="O618" s="141">
        <f>SUM(O613:O617)</f>
        <v>393802.56</v>
      </c>
      <c r="P618" s="193"/>
    </row>
    <row r="619" spans="2:16" ht="15.75" thickBot="1" x14ac:dyDescent="0.3">
      <c r="B619" s="1096" t="s">
        <v>98</v>
      </c>
      <c r="C619" s="1097"/>
      <c r="D619" s="1097"/>
      <c r="E619" s="1119"/>
      <c r="F619" s="1119"/>
      <c r="G619" s="1119"/>
      <c r="H619" s="1119"/>
      <c r="I619" s="1097"/>
      <c r="J619" s="1097"/>
      <c r="K619" s="1097"/>
      <c r="L619" s="1097"/>
      <c r="M619" s="1097"/>
      <c r="N619" s="1120"/>
      <c r="O619" s="83">
        <f>O612+O618</f>
        <v>5027572.1599999992</v>
      </c>
      <c r="P619" s="193"/>
    </row>
    <row r="620" spans="2:16" x14ac:dyDescent="0.25">
      <c r="B620" s="1111" t="s">
        <v>62</v>
      </c>
      <c r="C620" s="37" t="s">
        <v>63</v>
      </c>
      <c r="D620" s="28" t="s">
        <v>64</v>
      </c>
      <c r="E620" s="38">
        <v>0</v>
      </c>
      <c r="F620" s="14">
        <f>+G620+H620</f>
        <v>0</v>
      </c>
      <c r="G620" s="14">
        <v>0</v>
      </c>
      <c r="H620" s="5">
        <v>0</v>
      </c>
      <c r="I620" s="17">
        <f t="shared" ref="I620:I626" si="477">J620+K620</f>
        <v>0</v>
      </c>
      <c r="J620" s="4">
        <f>G620+J555</f>
        <v>0</v>
      </c>
      <c r="K620" s="4">
        <f>H620+K555</f>
        <v>0</v>
      </c>
      <c r="L620" s="30" t="e">
        <f>+J620/E620</f>
        <v>#DIV/0!</v>
      </c>
      <c r="M620" s="146">
        <v>2.2141000000000002</v>
      </c>
      <c r="N620" s="15">
        <f>+M620*G620</f>
        <v>0</v>
      </c>
      <c r="O620" s="90">
        <f>+M620*J620</f>
        <v>0</v>
      </c>
      <c r="P620" s="1122"/>
    </row>
    <row r="621" spans="2:16" x14ac:dyDescent="0.25">
      <c r="B621" s="1112"/>
      <c r="C621" s="39"/>
      <c r="D621" s="22" t="s">
        <v>65</v>
      </c>
      <c r="E621" s="3">
        <v>0</v>
      </c>
      <c r="F621" s="9">
        <f t="shared" ref="F621:F626" si="478">+G621+H621</f>
        <v>0</v>
      </c>
      <c r="G621" s="4">
        <v>0</v>
      </c>
      <c r="H621" s="8">
        <v>0</v>
      </c>
      <c r="I621" s="6">
        <f t="shared" si="477"/>
        <v>0</v>
      </c>
      <c r="J621" s="4">
        <f>+G621+J556</f>
        <v>0</v>
      </c>
      <c r="K621" s="4">
        <f>+H621+K556</f>
        <v>0</v>
      </c>
      <c r="L621" s="40" t="e">
        <f t="shared" ref="L621:L622" si="479">+J621/E621</f>
        <v>#DIV/0!</v>
      </c>
      <c r="M621" s="145">
        <v>2.4565999999999999</v>
      </c>
      <c r="N621" s="11">
        <f t="shared" ref="N621:N623" si="480">+M621*G621</f>
        <v>0</v>
      </c>
      <c r="O621" s="91">
        <f t="shared" ref="O621:O623" si="481">+M621*J621</f>
        <v>0</v>
      </c>
      <c r="P621" s="1123"/>
    </row>
    <row r="622" spans="2:16" x14ac:dyDescent="0.25">
      <c r="B622" s="1112"/>
      <c r="C622" s="39"/>
      <c r="D622" s="23" t="s">
        <v>126</v>
      </c>
      <c r="E622" s="3">
        <v>0</v>
      </c>
      <c r="F622" s="9">
        <f t="shared" si="478"/>
        <v>0</v>
      </c>
      <c r="G622" s="4">
        <v>0</v>
      </c>
      <c r="H622" s="8">
        <v>0</v>
      </c>
      <c r="I622" s="6">
        <f t="shared" si="477"/>
        <v>0</v>
      </c>
      <c r="J622" s="4">
        <f t="shared" ref="J622:J623" si="482">+G622+J557</f>
        <v>0</v>
      </c>
      <c r="K622" s="4">
        <f t="shared" ref="K622:K626" si="483">+H622+K557</f>
        <v>0</v>
      </c>
      <c r="L622" s="40" t="e">
        <f t="shared" si="479"/>
        <v>#DIV/0!</v>
      </c>
      <c r="M622" s="145">
        <v>2.2907000000000002</v>
      </c>
      <c r="N622" s="11">
        <f t="shared" si="480"/>
        <v>0</v>
      </c>
      <c r="O622" s="91">
        <f t="shared" si="481"/>
        <v>0</v>
      </c>
      <c r="P622" s="1123"/>
    </row>
    <row r="623" spans="2:16" x14ac:dyDescent="0.25">
      <c r="B623" s="1112"/>
      <c r="C623" s="39"/>
      <c r="D623" s="22" t="s">
        <v>131</v>
      </c>
      <c r="E623" s="3"/>
      <c r="F623" s="9">
        <f t="shared" si="478"/>
        <v>0</v>
      </c>
      <c r="G623" s="4">
        <v>0</v>
      </c>
      <c r="H623" s="8">
        <v>0</v>
      </c>
      <c r="I623" s="6">
        <f t="shared" si="477"/>
        <v>0</v>
      </c>
      <c r="J623" s="4">
        <f t="shared" si="482"/>
        <v>0</v>
      </c>
      <c r="K623" s="4">
        <f t="shared" si="483"/>
        <v>0</v>
      </c>
      <c r="L623" s="33"/>
      <c r="M623" s="150">
        <v>2.544</v>
      </c>
      <c r="N623" s="11">
        <f t="shared" si="480"/>
        <v>0</v>
      </c>
      <c r="O623" s="91">
        <f t="shared" si="481"/>
        <v>0</v>
      </c>
      <c r="P623" s="1123"/>
    </row>
    <row r="624" spans="2:16" x14ac:dyDescent="0.25">
      <c r="B624" s="1112"/>
      <c r="C624" s="39" t="s">
        <v>66</v>
      </c>
      <c r="D624" s="22" t="s">
        <v>133</v>
      </c>
      <c r="E624" s="3">
        <v>0</v>
      </c>
      <c r="F624" s="9">
        <f t="shared" si="478"/>
        <v>84000</v>
      </c>
      <c r="G624" s="4">
        <v>82500</v>
      </c>
      <c r="H624" s="8">
        <v>1500</v>
      </c>
      <c r="I624" s="6">
        <f t="shared" si="477"/>
        <v>491132</v>
      </c>
      <c r="J624" s="4">
        <f>+G624+J559</f>
        <v>480250</v>
      </c>
      <c r="K624" s="4">
        <f t="shared" si="483"/>
        <v>10882</v>
      </c>
      <c r="L624" s="33" t="e">
        <f>+J624/E624</f>
        <v>#DIV/0!</v>
      </c>
      <c r="M624" s="144">
        <v>2.2141000000000002</v>
      </c>
      <c r="N624" s="7">
        <f>+M624*G624</f>
        <v>182663.25000000003</v>
      </c>
      <c r="O624" s="85">
        <f>+M624*J624</f>
        <v>1063321.5250000001</v>
      </c>
      <c r="P624" s="1123"/>
    </row>
    <row r="625" spans="2:16" x14ac:dyDescent="0.25">
      <c r="B625" s="1112"/>
      <c r="C625" s="39"/>
      <c r="D625" s="22" t="s">
        <v>65</v>
      </c>
      <c r="E625" s="3">
        <v>0</v>
      </c>
      <c r="F625" s="9">
        <f t="shared" si="478"/>
        <v>0</v>
      </c>
      <c r="G625" s="4">
        <v>0</v>
      </c>
      <c r="H625" s="8">
        <v>0</v>
      </c>
      <c r="I625" s="6">
        <f t="shared" si="477"/>
        <v>0</v>
      </c>
      <c r="J625" s="4">
        <f t="shared" ref="J625:J626" si="484">+G625+J560</f>
        <v>0</v>
      </c>
      <c r="K625" s="4">
        <f t="shared" si="483"/>
        <v>0</v>
      </c>
      <c r="L625" s="40" t="e">
        <f t="shared" ref="L625:L626" si="485">+J625/E625</f>
        <v>#DIV/0!</v>
      </c>
      <c r="M625" s="145">
        <v>2.4565999999999999</v>
      </c>
      <c r="N625" s="11">
        <f t="shared" ref="N625:N626" si="486">+M625*G625</f>
        <v>0</v>
      </c>
      <c r="O625" s="91">
        <f t="shared" ref="O625" si="487">+M625*J625</f>
        <v>0</v>
      </c>
      <c r="P625" s="1123"/>
    </row>
    <row r="626" spans="2:16" ht="15.75" thickBot="1" x14ac:dyDescent="0.3">
      <c r="B626" s="1112"/>
      <c r="C626" s="39"/>
      <c r="D626" s="22" t="s">
        <v>126</v>
      </c>
      <c r="E626" s="3">
        <v>0</v>
      </c>
      <c r="F626" s="9">
        <f t="shared" si="478"/>
        <v>0</v>
      </c>
      <c r="G626" s="4">
        <v>0</v>
      </c>
      <c r="H626" s="8">
        <v>0</v>
      </c>
      <c r="I626" s="6">
        <f t="shared" si="477"/>
        <v>0</v>
      </c>
      <c r="J626" s="4">
        <f t="shared" si="484"/>
        <v>0</v>
      </c>
      <c r="K626" s="4">
        <f t="shared" si="483"/>
        <v>0</v>
      </c>
      <c r="L626" s="40" t="e">
        <f t="shared" si="485"/>
        <v>#DIV/0!</v>
      </c>
      <c r="M626" s="145">
        <v>2.2907000000000002</v>
      </c>
      <c r="N626" s="11">
        <f t="shared" si="486"/>
        <v>0</v>
      </c>
      <c r="O626" s="154">
        <f>+M626*J626</f>
        <v>0</v>
      </c>
      <c r="P626" s="1124"/>
    </row>
    <row r="627" spans="2:16" ht="15.75" thickBot="1" x14ac:dyDescent="0.3">
      <c r="B627" s="1112"/>
      <c r="C627" s="41" t="s">
        <v>29</v>
      </c>
      <c r="D627" s="27" t="str">
        <f>+C627</f>
        <v>TOTAL 1/2</v>
      </c>
      <c r="E627" s="42">
        <f>SUM(E620:E626)</f>
        <v>0</v>
      </c>
      <c r="F627" s="43">
        <f>SUM(F620:F626)</f>
        <v>84000</v>
      </c>
      <c r="G627" s="43">
        <f>SUM(G620:G626)</f>
        <v>82500</v>
      </c>
      <c r="H627" s="44">
        <f>SUM(H620:H626)</f>
        <v>1500</v>
      </c>
      <c r="I627" s="45">
        <f>SUM(I624:I626)</f>
        <v>491132</v>
      </c>
      <c r="J627" s="43">
        <f>SUM(J620:J626)</f>
        <v>480250</v>
      </c>
      <c r="K627" s="43">
        <f>SUM(K620:K626)</f>
        <v>10882</v>
      </c>
      <c r="L627" s="46" t="e">
        <f>+J627/E627</f>
        <v>#DIV/0!</v>
      </c>
      <c r="M627" s="47"/>
      <c r="N627" s="48">
        <f>SUM(N624:N626)</f>
        <v>182663.25000000003</v>
      </c>
      <c r="O627" s="49">
        <f>SUM(O620:O626)</f>
        <v>1063321.5250000001</v>
      </c>
      <c r="P627" s="194"/>
    </row>
    <row r="628" spans="2:16" x14ac:dyDescent="0.25">
      <c r="B628" s="1112"/>
      <c r="C628" s="1125" t="s">
        <v>67</v>
      </c>
      <c r="D628" s="22" t="s">
        <v>64</v>
      </c>
      <c r="E628" s="3">
        <v>0</v>
      </c>
      <c r="F628" s="4">
        <f>G628+H628</f>
        <v>0</v>
      </c>
      <c r="G628" s="4">
        <v>0</v>
      </c>
      <c r="H628" s="8">
        <v>0</v>
      </c>
      <c r="I628" s="16">
        <f>J628+K628</f>
        <v>109220</v>
      </c>
      <c r="J628" s="4">
        <f>G628+J563</f>
        <v>105750</v>
      </c>
      <c r="K628" s="4">
        <f>H628+K563</f>
        <v>3470</v>
      </c>
      <c r="L628" s="50" t="e">
        <f>+J628/E628</f>
        <v>#DIV/0!</v>
      </c>
      <c r="M628" s="144">
        <v>4.1712999999999996</v>
      </c>
      <c r="N628" s="7">
        <f>+M628*G628</f>
        <v>0</v>
      </c>
      <c r="O628" s="93">
        <f>+M628*J628</f>
        <v>441114.97499999998</v>
      </c>
      <c r="P628" s="1122"/>
    </row>
    <row r="629" spans="2:16" x14ac:dyDescent="0.25">
      <c r="B629" s="1112"/>
      <c r="C629" s="1126"/>
      <c r="D629" s="22" t="s">
        <v>65</v>
      </c>
      <c r="E629" s="3">
        <v>0</v>
      </c>
      <c r="F629" s="4">
        <f>G629+H629</f>
        <v>0</v>
      </c>
      <c r="G629" s="4">
        <v>0</v>
      </c>
      <c r="H629" s="8">
        <v>0</v>
      </c>
      <c r="I629" s="6">
        <f>+R1673+F629</f>
        <v>0</v>
      </c>
      <c r="J629" s="4">
        <f>G629+J564</f>
        <v>120000</v>
      </c>
      <c r="K629" s="4">
        <f>H629+K564</f>
        <v>3230</v>
      </c>
      <c r="L629" s="51" t="e">
        <f t="shared" ref="L629:L633" si="488">+J629/E629</f>
        <v>#DIV/0!</v>
      </c>
      <c r="M629" s="145">
        <v>4.8285999999999998</v>
      </c>
      <c r="N629" s="11">
        <f t="shared" ref="N629:N631" si="489">+M629*G629</f>
        <v>0</v>
      </c>
      <c r="O629" s="94">
        <f t="shared" ref="O629:O631" si="490">+M629*J629</f>
        <v>579432</v>
      </c>
      <c r="P629" s="1123"/>
    </row>
    <row r="630" spans="2:16" x14ac:dyDescent="0.25">
      <c r="B630" s="1112"/>
      <c r="C630" s="1126"/>
      <c r="D630" s="22" t="s">
        <v>127</v>
      </c>
      <c r="E630" s="3"/>
      <c r="F630" s="4">
        <f>G630+H630</f>
        <v>0</v>
      </c>
      <c r="G630" s="4">
        <v>0</v>
      </c>
      <c r="H630" s="8">
        <v>0</v>
      </c>
      <c r="I630" s="6">
        <f>+R1674+F630</f>
        <v>0</v>
      </c>
      <c r="J630" s="4">
        <f t="shared" ref="J630:J631" si="491">G630+J565</f>
        <v>0</v>
      </c>
      <c r="K630" s="4">
        <f t="shared" ref="K630:K631" si="492">H630+K565</f>
        <v>0</v>
      </c>
      <c r="L630" s="51" t="e">
        <f t="shared" si="488"/>
        <v>#DIV/0!</v>
      </c>
      <c r="M630" s="144">
        <v>4.5023</v>
      </c>
      <c r="N630" s="11">
        <f t="shared" si="489"/>
        <v>0</v>
      </c>
      <c r="O630" s="94">
        <f t="shared" si="490"/>
        <v>0</v>
      </c>
      <c r="P630" s="1123"/>
    </row>
    <row r="631" spans="2:16" ht="15.75" thickBot="1" x14ac:dyDescent="0.3">
      <c r="B631" s="1112"/>
      <c r="C631" s="1126"/>
      <c r="D631" s="22" t="s">
        <v>111</v>
      </c>
      <c r="E631" s="3">
        <v>0</v>
      </c>
      <c r="F631" s="4">
        <f t="shared" ref="F631" si="493">G631+H631</f>
        <v>0</v>
      </c>
      <c r="G631" s="4">
        <v>0</v>
      </c>
      <c r="H631" s="8">
        <v>0</v>
      </c>
      <c r="I631" s="6">
        <f>+R1674+F631</f>
        <v>0</v>
      </c>
      <c r="J631" s="4">
        <f t="shared" si="491"/>
        <v>0</v>
      </c>
      <c r="K631" s="4">
        <f t="shared" si="492"/>
        <v>0</v>
      </c>
      <c r="L631" s="51" t="e">
        <f t="shared" si="488"/>
        <v>#DIV/0!</v>
      </c>
      <c r="M631" s="144">
        <v>4.4065000000000003</v>
      </c>
      <c r="N631" s="11">
        <f t="shared" si="489"/>
        <v>0</v>
      </c>
      <c r="O631" s="94">
        <f t="shared" si="490"/>
        <v>0</v>
      </c>
      <c r="P631" s="1123"/>
    </row>
    <row r="632" spans="2:16" ht="15.75" thickBot="1" x14ac:dyDescent="0.3">
      <c r="B632" s="1112"/>
      <c r="C632" s="41" t="s">
        <v>31</v>
      </c>
      <c r="D632" s="18" t="str">
        <f>+C632</f>
        <v>TOTAL 4/4</v>
      </c>
      <c r="E632" s="42">
        <f t="shared" ref="E632:K632" si="494">SUM(E628:E631)</f>
        <v>0</v>
      </c>
      <c r="F632" s="43">
        <f t="shared" si="494"/>
        <v>0</v>
      </c>
      <c r="G632" s="43">
        <f t="shared" si="494"/>
        <v>0</v>
      </c>
      <c r="H632" s="44">
        <f t="shared" si="494"/>
        <v>0</v>
      </c>
      <c r="I632" s="45">
        <f t="shared" si="494"/>
        <v>109220</v>
      </c>
      <c r="J632" s="43">
        <f t="shared" si="494"/>
        <v>225750</v>
      </c>
      <c r="K632" s="43">
        <f t="shared" si="494"/>
        <v>6700</v>
      </c>
      <c r="L632" s="46" t="e">
        <f t="shared" si="488"/>
        <v>#DIV/0!</v>
      </c>
      <c r="M632" s="47"/>
      <c r="N632" s="48">
        <f>SUM(N628:N631)</f>
        <v>0</v>
      </c>
      <c r="O632" s="92">
        <f>SUM(O628:O631)</f>
        <v>1020546.975</v>
      </c>
      <c r="P632" s="1124"/>
    </row>
    <row r="633" spans="2:16" ht="15.75" thickBot="1" x14ac:dyDescent="0.3">
      <c r="B633" s="1121"/>
      <c r="C633" s="41" t="s">
        <v>68</v>
      </c>
      <c r="D633" s="27" t="s">
        <v>64</v>
      </c>
      <c r="E633" s="25">
        <v>0</v>
      </c>
      <c r="F633" s="20">
        <f>G633+H633</f>
        <v>0</v>
      </c>
      <c r="G633" s="20">
        <v>0</v>
      </c>
      <c r="H633" s="24">
        <v>0</v>
      </c>
      <c r="I633" s="19">
        <f>J633+K633</f>
        <v>0</v>
      </c>
      <c r="J633" s="4">
        <f>G633+J568</f>
        <v>0</v>
      </c>
      <c r="K633" s="4">
        <f>H633+K568</f>
        <v>0</v>
      </c>
      <c r="L633" s="52" t="e">
        <f t="shared" si="488"/>
        <v>#DIV/0!</v>
      </c>
      <c r="M633" s="149">
        <v>1.4086000000000001</v>
      </c>
      <c r="N633" s="26">
        <f t="shared" ref="N633" si="495">+M633*G633</f>
        <v>0</v>
      </c>
      <c r="O633" s="95">
        <f t="shared" ref="O633" si="496">+M633*J633</f>
        <v>0</v>
      </c>
      <c r="P633" s="53"/>
    </row>
    <row r="634" spans="2:16" ht="15.75" thickBot="1" x14ac:dyDescent="0.3">
      <c r="B634" s="1096" t="s">
        <v>95</v>
      </c>
      <c r="C634" s="1097"/>
      <c r="D634" s="1097"/>
      <c r="E634" s="1097"/>
      <c r="F634" s="1097"/>
      <c r="G634" s="1097"/>
      <c r="H634" s="1097"/>
      <c r="I634" s="110">
        <f>J634+K634</f>
        <v>723582</v>
      </c>
      <c r="J634" s="110">
        <f>J627+J632+J633</f>
        <v>706000</v>
      </c>
      <c r="K634" s="110">
        <f>K627+K632+K633</f>
        <v>17582</v>
      </c>
      <c r="L634" s="111"/>
      <c r="M634" s="112"/>
      <c r="N634" s="109"/>
      <c r="O634" s="77">
        <f>+O633+O632+O627</f>
        <v>2083868.5</v>
      </c>
      <c r="P634" s="84"/>
    </row>
    <row r="635" spans="2:16" x14ac:dyDescent="0.25">
      <c r="B635" s="1098" t="s">
        <v>69</v>
      </c>
      <c r="C635" s="1101" t="s">
        <v>70</v>
      </c>
      <c r="D635" s="54" t="s">
        <v>71</v>
      </c>
      <c r="E635" s="55">
        <v>0</v>
      </c>
      <c r="F635" s="56">
        <f>G635+H635</f>
        <v>5070</v>
      </c>
      <c r="G635" s="56">
        <v>5000</v>
      </c>
      <c r="H635" s="57">
        <v>70</v>
      </c>
      <c r="I635" s="78">
        <f>J635+K635</f>
        <v>5070</v>
      </c>
      <c r="J635" s="4">
        <f>G635+J570</f>
        <v>5000</v>
      </c>
      <c r="K635" s="4">
        <f>H635+K570</f>
        <v>70</v>
      </c>
      <c r="L635" s="58" t="e">
        <f t="shared" ref="L635" si="497">+J635/E635</f>
        <v>#DIV/0!</v>
      </c>
      <c r="M635" s="59">
        <v>32.946300000000001</v>
      </c>
      <c r="N635" s="60">
        <f>+M635*G635</f>
        <v>164731.5</v>
      </c>
      <c r="O635" s="60">
        <f>M635*J635</f>
        <v>164731.5</v>
      </c>
      <c r="P635" s="1103"/>
    </row>
    <row r="636" spans="2:16" x14ac:dyDescent="0.25">
      <c r="B636" s="1099"/>
      <c r="C636" s="1102"/>
      <c r="D636" s="61" t="s">
        <v>72</v>
      </c>
      <c r="E636" s="62">
        <v>0</v>
      </c>
      <c r="F636" s="63">
        <f>G636+H636</f>
        <v>6461</v>
      </c>
      <c r="G636" s="63">
        <v>6420</v>
      </c>
      <c r="H636" s="64">
        <v>41</v>
      </c>
      <c r="I636" s="79">
        <f>J636+K636</f>
        <v>31833</v>
      </c>
      <c r="J636" s="4">
        <f>G636+J571</f>
        <v>31420</v>
      </c>
      <c r="K636" s="4">
        <f>H636+K571</f>
        <v>413</v>
      </c>
      <c r="L636" s="65" t="e">
        <f>+J636/E636</f>
        <v>#DIV/0!</v>
      </c>
      <c r="M636" s="66">
        <v>35.398400000000002</v>
      </c>
      <c r="N636" s="67">
        <f>+M636*G636</f>
        <v>227257.728</v>
      </c>
      <c r="O636" s="67">
        <f>M636*J636</f>
        <v>1112217.7280000001</v>
      </c>
      <c r="P636" s="1104"/>
    </row>
    <row r="637" spans="2:16" x14ac:dyDescent="0.25">
      <c r="B637" s="1099"/>
      <c r="C637" s="1102"/>
      <c r="D637" s="61" t="s">
        <v>73</v>
      </c>
      <c r="E637" s="62">
        <v>0</v>
      </c>
      <c r="F637" s="63">
        <f t="shared" ref="F637:F640" si="498">G637+H637</f>
        <v>0</v>
      </c>
      <c r="G637" s="63">
        <v>0</v>
      </c>
      <c r="H637" s="64">
        <v>0</v>
      </c>
      <c r="I637" s="79">
        <f t="shared" ref="I637:I646" si="499">J637+K637</f>
        <v>0</v>
      </c>
      <c r="J637" s="4">
        <f t="shared" ref="J637:J662" si="500">G637+J572</f>
        <v>0</v>
      </c>
      <c r="K637" s="4">
        <f t="shared" ref="K637:K641" si="501">H637+K572</f>
        <v>0</v>
      </c>
      <c r="L637" s="65" t="e">
        <f t="shared" ref="L637:L650" si="502">+J637/E637</f>
        <v>#DIV/0!</v>
      </c>
      <c r="M637" s="66">
        <v>32.946300000000001</v>
      </c>
      <c r="N637" s="67">
        <f t="shared" ref="N637:N657" si="503">+M637*G637</f>
        <v>0</v>
      </c>
      <c r="O637" s="67">
        <f t="shared" ref="O637:O645" si="504">M637*J637</f>
        <v>0</v>
      </c>
      <c r="P637" s="1104"/>
    </row>
    <row r="638" spans="2:16" x14ac:dyDescent="0.25">
      <c r="B638" s="1099"/>
      <c r="C638" s="1102" t="s">
        <v>74</v>
      </c>
      <c r="D638" s="61" t="s">
        <v>75</v>
      </c>
      <c r="E638" s="62">
        <v>0</v>
      </c>
      <c r="F638" s="63">
        <f t="shared" si="498"/>
        <v>0</v>
      </c>
      <c r="G638" s="63">
        <v>0</v>
      </c>
      <c r="H638" s="64">
        <v>0</v>
      </c>
      <c r="I638" s="79">
        <f t="shared" si="499"/>
        <v>12279</v>
      </c>
      <c r="J638" s="4">
        <f t="shared" si="500"/>
        <v>12000</v>
      </c>
      <c r="K638" s="4">
        <f t="shared" si="501"/>
        <v>279</v>
      </c>
      <c r="L638" s="65" t="e">
        <f t="shared" si="502"/>
        <v>#DIV/0!</v>
      </c>
      <c r="M638" s="66">
        <v>55.4758</v>
      </c>
      <c r="N638" s="67">
        <f t="shared" si="503"/>
        <v>0</v>
      </c>
      <c r="O638" s="67">
        <f t="shared" si="504"/>
        <v>665709.6</v>
      </c>
      <c r="P638" s="1104"/>
    </row>
    <row r="639" spans="2:16" x14ac:dyDescent="0.25">
      <c r="B639" s="1099"/>
      <c r="C639" s="1102"/>
      <c r="D639" s="61" t="s">
        <v>134</v>
      </c>
      <c r="E639" s="62">
        <v>0</v>
      </c>
      <c r="F639" s="63">
        <f t="shared" si="498"/>
        <v>0</v>
      </c>
      <c r="G639" s="63">
        <v>0</v>
      </c>
      <c r="H639" s="64">
        <v>0</v>
      </c>
      <c r="I639" s="79">
        <f t="shared" si="499"/>
        <v>0</v>
      </c>
      <c r="J639" s="4">
        <f t="shared" si="500"/>
        <v>0</v>
      </c>
      <c r="K639" s="4">
        <f t="shared" si="501"/>
        <v>0</v>
      </c>
      <c r="L639" s="65" t="e">
        <f t="shared" si="502"/>
        <v>#DIV/0!</v>
      </c>
      <c r="M639" s="66">
        <v>53.515999999999998</v>
      </c>
      <c r="N639" s="67">
        <f t="shared" si="503"/>
        <v>0</v>
      </c>
      <c r="O639" s="67">
        <f t="shared" si="504"/>
        <v>0</v>
      </c>
      <c r="P639" s="1104"/>
    </row>
    <row r="640" spans="2:16" x14ac:dyDescent="0.25">
      <c r="B640" s="1099"/>
      <c r="C640" s="1102"/>
      <c r="D640" s="61" t="s">
        <v>72</v>
      </c>
      <c r="E640" s="62">
        <v>0</v>
      </c>
      <c r="F640" s="63">
        <f t="shared" si="498"/>
        <v>0</v>
      </c>
      <c r="G640" s="63">
        <v>0</v>
      </c>
      <c r="H640" s="64">
        <v>0</v>
      </c>
      <c r="I640" s="79">
        <f t="shared" si="499"/>
        <v>9804</v>
      </c>
      <c r="J640" s="4">
        <f t="shared" si="500"/>
        <v>9600</v>
      </c>
      <c r="K640" s="4">
        <f t="shared" si="501"/>
        <v>204</v>
      </c>
      <c r="L640" s="65" t="e">
        <f t="shared" si="502"/>
        <v>#DIV/0!</v>
      </c>
      <c r="M640" s="66">
        <v>58.836300000000001</v>
      </c>
      <c r="N640" s="67">
        <f t="shared" si="503"/>
        <v>0</v>
      </c>
      <c r="O640" s="67">
        <f t="shared" si="504"/>
        <v>564828.48</v>
      </c>
      <c r="P640" s="1104"/>
    </row>
    <row r="641" spans="2:16" x14ac:dyDescent="0.25">
      <c r="B641" s="1099"/>
      <c r="C641" s="1106" t="s">
        <v>76</v>
      </c>
      <c r="D641" s="61" t="s">
        <v>77</v>
      </c>
      <c r="E641" s="62">
        <v>0</v>
      </c>
      <c r="F641" s="63">
        <f>G641+H641</f>
        <v>0</v>
      </c>
      <c r="G641" s="63">
        <v>0</v>
      </c>
      <c r="H641" s="64">
        <v>0</v>
      </c>
      <c r="I641" s="79">
        <f t="shared" si="499"/>
        <v>3675</v>
      </c>
      <c r="J641" s="4">
        <f t="shared" si="500"/>
        <v>3575</v>
      </c>
      <c r="K641" s="4">
        <f t="shared" si="501"/>
        <v>100</v>
      </c>
      <c r="L641" s="65" t="e">
        <f t="shared" si="502"/>
        <v>#DIV/0!</v>
      </c>
      <c r="M641" s="66">
        <v>25.687200000000001</v>
      </c>
      <c r="N641" s="67">
        <f t="shared" si="503"/>
        <v>0</v>
      </c>
      <c r="O641" s="67">
        <f t="shared" si="504"/>
        <v>91831.74</v>
      </c>
      <c r="P641" s="1104"/>
    </row>
    <row r="642" spans="2:16" x14ac:dyDescent="0.25">
      <c r="B642" s="1099"/>
      <c r="C642" s="1107"/>
      <c r="D642" s="61" t="s">
        <v>117</v>
      </c>
      <c r="E642" s="62">
        <v>0</v>
      </c>
      <c r="F642" s="63">
        <f>G642+H642</f>
        <v>0</v>
      </c>
      <c r="G642" s="63">
        <v>0</v>
      </c>
      <c r="H642" s="64">
        <v>0</v>
      </c>
      <c r="I642" s="79">
        <f t="shared" si="499"/>
        <v>0</v>
      </c>
      <c r="J642" s="4">
        <f t="shared" si="500"/>
        <v>0</v>
      </c>
      <c r="K642" s="4">
        <f>H642+K577</f>
        <v>0</v>
      </c>
      <c r="L642" s="65" t="e">
        <f t="shared" si="502"/>
        <v>#DIV/0!</v>
      </c>
      <c r="M642" s="66">
        <v>25.033899999999999</v>
      </c>
      <c r="N642" s="67">
        <f t="shared" si="503"/>
        <v>0</v>
      </c>
      <c r="O642" s="67">
        <f t="shared" si="504"/>
        <v>0</v>
      </c>
      <c r="P642" s="1104"/>
    </row>
    <row r="643" spans="2:16" x14ac:dyDescent="0.25">
      <c r="B643" s="1099"/>
      <c r="C643" s="1106" t="s">
        <v>78</v>
      </c>
      <c r="D643" s="61" t="s">
        <v>79</v>
      </c>
      <c r="E643" s="62">
        <v>0</v>
      </c>
      <c r="F643" s="63">
        <f t="shared" ref="F643:F662" si="505">G643+H643</f>
        <v>4075</v>
      </c>
      <c r="G643" s="63">
        <v>4000</v>
      </c>
      <c r="H643" s="64">
        <v>75</v>
      </c>
      <c r="I643" s="79">
        <f t="shared" si="499"/>
        <v>12188</v>
      </c>
      <c r="J643" s="4">
        <f t="shared" si="500"/>
        <v>12000</v>
      </c>
      <c r="K643" s="4">
        <f t="shared" ref="K643:K662" si="506">H643+K578</f>
        <v>188</v>
      </c>
      <c r="L643" s="65" t="e">
        <f t="shared" si="502"/>
        <v>#DIV/0!</v>
      </c>
      <c r="M643" s="66">
        <v>41.992699999999999</v>
      </c>
      <c r="N643" s="67">
        <f t="shared" si="503"/>
        <v>167970.8</v>
      </c>
      <c r="O643" s="67">
        <f t="shared" si="504"/>
        <v>503912.39999999997</v>
      </c>
      <c r="P643" s="1104"/>
    </row>
    <row r="644" spans="2:16" x14ac:dyDescent="0.25">
      <c r="B644" s="1099"/>
      <c r="C644" s="1107"/>
      <c r="D644" s="61" t="s">
        <v>72</v>
      </c>
      <c r="E644" s="62">
        <v>0</v>
      </c>
      <c r="F644" s="63">
        <f t="shared" si="505"/>
        <v>0</v>
      </c>
      <c r="G644" s="63">
        <v>0</v>
      </c>
      <c r="H644" s="64">
        <v>0</v>
      </c>
      <c r="I644" s="79">
        <f t="shared" si="499"/>
        <v>0</v>
      </c>
      <c r="J644" s="4">
        <f t="shared" si="500"/>
        <v>0</v>
      </c>
      <c r="K644" s="4">
        <f t="shared" si="506"/>
        <v>0</v>
      </c>
      <c r="L644" s="65" t="e">
        <f t="shared" si="502"/>
        <v>#DIV/0!</v>
      </c>
      <c r="M644" s="66">
        <v>42.283799999999999</v>
      </c>
      <c r="N644" s="67">
        <f t="shared" si="503"/>
        <v>0</v>
      </c>
      <c r="O644" s="67">
        <f t="shared" si="504"/>
        <v>0</v>
      </c>
      <c r="P644" s="1104"/>
    </row>
    <row r="645" spans="2:16" x14ac:dyDescent="0.25">
      <c r="B645" s="1099"/>
      <c r="C645" s="192" t="s">
        <v>80</v>
      </c>
      <c r="D645" s="61" t="s">
        <v>81</v>
      </c>
      <c r="E645" s="62">
        <v>0</v>
      </c>
      <c r="F645" s="63">
        <f t="shared" si="505"/>
        <v>13905</v>
      </c>
      <c r="G645" s="63">
        <v>13500</v>
      </c>
      <c r="H645" s="64">
        <v>405</v>
      </c>
      <c r="I645" s="79">
        <f t="shared" si="499"/>
        <v>24803</v>
      </c>
      <c r="J645" s="4">
        <f t="shared" si="500"/>
        <v>24000</v>
      </c>
      <c r="K645" s="4">
        <f t="shared" si="506"/>
        <v>803</v>
      </c>
      <c r="L645" s="65" t="e">
        <f t="shared" si="502"/>
        <v>#DIV/0!</v>
      </c>
      <c r="M645" s="66">
        <v>4.3535000000000004</v>
      </c>
      <c r="N645" s="67">
        <f t="shared" si="503"/>
        <v>58772.250000000007</v>
      </c>
      <c r="O645" s="67">
        <f t="shared" si="504"/>
        <v>104484.00000000001</v>
      </c>
      <c r="P645" s="1104"/>
    </row>
    <row r="646" spans="2:16" x14ac:dyDescent="0.25">
      <c r="B646" s="1099"/>
      <c r="C646" s="1102" t="s">
        <v>82</v>
      </c>
      <c r="D646" s="61" t="s">
        <v>77</v>
      </c>
      <c r="E646" s="62">
        <v>0</v>
      </c>
      <c r="F646" s="63">
        <f t="shared" si="505"/>
        <v>0</v>
      </c>
      <c r="G646" s="63">
        <v>0</v>
      </c>
      <c r="H646" s="64">
        <v>0</v>
      </c>
      <c r="I646" s="79">
        <f t="shared" si="499"/>
        <v>0</v>
      </c>
      <c r="J646" s="4">
        <f t="shared" si="500"/>
        <v>0</v>
      </c>
      <c r="K646" s="4">
        <f t="shared" si="506"/>
        <v>0</v>
      </c>
      <c r="L646" s="65" t="e">
        <f t="shared" si="502"/>
        <v>#DIV/0!</v>
      </c>
      <c r="M646" s="66">
        <v>4.6184000000000003</v>
      </c>
      <c r="N646" s="67">
        <f t="shared" si="503"/>
        <v>0</v>
      </c>
      <c r="O646" s="67">
        <f>M646*J646</f>
        <v>0</v>
      </c>
      <c r="P646" s="1104"/>
    </row>
    <row r="647" spans="2:16" x14ac:dyDescent="0.25">
      <c r="B647" s="1099"/>
      <c r="C647" s="1102"/>
      <c r="D647" s="61" t="s">
        <v>119</v>
      </c>
      <c r="E647" s="62">
        <v>0</v>
      </c>
      <c r="F647" s="63">
        <f t="shared" si="505"/>
        <v>0</v>
      </c>
      <c r="G647" s="63">
        <v>0</v>
      </c>
      <c r="H647" s="64">
        <v>0</v>
      </c>
      <c r="I647" s="79">
        <f>J647+K647</f>
        <v>0</v>
      </c>
      <c r="J647" s="4">
        <f t="shared" si="500"/>
        <v>0</v>
      </c>
      <c r="K647" s="4">
        <f t="shared" si="506"/>
        <v>0</v>
      </c>
      <c r="L647" s="65" t="e">
        <f t="shared" si="502"/>
        <v>#DIV/0!</v>
      </c>
      <c r="M647" s="153">
        <v>4.6184000000000003</v>
      </c>
      <c r="N647" s="67">
        <f t="shared" si="503"/>
        <v>0</v>
      </c>
      <c r="O647" s="67">
        <f>M647*J647</f>
        <v>0</v>
      </c>
      <c r="P647" s="1104"/>
    </row>
    <row r="648" spans="2:16" x14ac:dyDescent="0.25">
      <c r="B648" s="1099"/>
      <c r="C648" s="1102"/>
      <c r="D648" s="61" t="s">
        <v>123</v>
      </c>
      <c r="E648" s="62">
        <v>0</v>
      </c>
      <c r="F648" s="63">
        <f t="shared" si="505"/>
        <v>0</v>
      </c>
      <c r="G648" s="63">
        <v>0</v>
      </c>
      <c r="H648" s="64">
        <v>0</v>
      </c>
      <c r="I648" s="79">
        <f t="shared" ref="I648:I662" si="507">J648+K648</f>
        <v>0</v>
      </c>
      <c r="J648" s="4">
        <f t="shared" si="500"/>
        <v>0</v>
      </c>
      <c r="K648" s="4">
        <f t="shared" si="506"/>
        <v>0</v>
      </c>
      <c r="L648" s="65" t="e">
        <f t="shared" si="502"/>
        <v>#DIV/0!</v>
      </c>
      <c r="M648" s="153">
        <v>4.6184000000000003</v>
      </c>
      <c r="N648" s="67">
        <f t="shared" si="503"/>
        <v>0</v>
      </c>
      <c r="O648" s="67">
        <f t="shared" ref="O648:O653" si="508">M648*J648</f>
        <v>0</v>
      </c>
      <c r="P648" s="1104"/>
    </row>
    <row r="649" spans="2:16" x14ac:dyDescent="0.25">
      <c r="B649" s="1099"/>
      <c r="C649" s="1102"/>
      <c r="D649" s="61" t="s">
        <v>124</v>
      </c>
      <c r="E649" s="62">
        <v>0</v>
      </c>
      <c r="F649" s="63">
        <f t="shared" si="505"/>
        <v>21259</v>
      </c>
      <c r="G649" s="63">
        <v>20780</v>
      </c>
      <c r="H649" s="64">
        <v>479</v>
      </c>
      <c r="I649" s="79">
        <f t="shared" si="507"/>
        <v>194059</v>
      </c>
      <c r="J649" s="4">
        <f t="shared" si="500"/>
        <v>188235</v>
      </c>
      <c r="K649" s="4">
        <f t="shared" si="506"/>
        <v>5824</v>
      </c>
      <c r="L649" s="65" t="e">
        <f t="shared" si="502"/>
        <v>#DIV/0!</v>
      </c>
      <c r="M649" s="153">
        <v>4.7636000000000003</v>
      </c>
      <c r="N649" s="67">
        <f t="shared" si="503"/>
        <v>98987.608000000007</v>
      </c>
      <c r="O649" s="67">
        <f t="shared" si="508"/>
        <v>896676.24600000004</v>
      </c>
      <c r="P649" s="1104"/>
    </row>
    <row r="650" spans="2:16" x14ac:dyDescent="0.25">
      <c r="B650" s="1099"/>
      <c r="C650" s="1102"/>
      <c r="D650" s="61" t="s">
        <v>83</v>
      </c>
      <c r="E650" s="62">
        <v>0</v>
      </c>
      <c r="F650" s="63">
        <f t="shared" si="505"/>
        <v>0</v>
      </c>
      <c r="G650" s="63">
        <v>0</v>
      </c>
      <c r="H650" s="64">
        <v>0</v>
      </c>
      <c r="I650" s="79">
        <f t="shared" si="507"/>
        <v>0</v>
      </c>
      <c r="J650" s="4">
        <f t="shared" si="500"/>
        <v>0</v>
      </c>
      <c r="K650" s="4">
        <f t="shared" si="506"/>
        <v>0</v>
      </c>
      <c r="L650" s="65" t="e">
        <f t="shared" si="502"/>
        <v>#DIV/0!</v>
      </c>
      <c r="M650" s="66">
        <v>4.8738000000000001</v>
      </c>
      <c r="N650" s="67">
        <f t="shared" si="503"/>
        <v>0</v>
      </c>
      <c r="O650" s="67">
        <f t="shared" si="508"/>
        <v>0</v>
      </c>
      <c r="P650" s="1104"/>
    </row>
    <row r="651" spans="2:16" x14ac:dyDescent="0.25">
      <c r="B651" s="1099"/>
      <c r="C651" s="192" t="s">
        <v>128</v>
      </c>
      <c r="D651" s="61" t="s">
        <v>124</v>
      </c>
      <c r="E651" s="62"/>
      <c r="F651" s="63">
        <f t="shared" si="505"/>
        <v>0</v>
      </c>
      <c r="G651" s="63">
        <v>0</v>
      </c>
      <c r="H651" s="64">
        <v>0</v>
      </c>
      <c r="I651" s="79">
        <f t="shared" si="507"/>
        <v>0</v>
      </c>
      <c r="J651" s="4">
        <f t="shared" si="500"/>
        <v>0</v>
      </c>
      <c r="K651" s="4">
        <f t="shared" si="506"/>
        <v>0</v>
      </c>
      <c r="L651" s="65"/>
      <c r="M651" s="66">
        <v>4.8738000000000001</v>
      </c>
      <c r="N651" s="67">
        <f t="shared" si="503"/>
        <v>0</v>
      </c>
      <c r="O651" s="67">
        <f t="shared" si="508"/>
        <v>0</v>
      </c>
      <c r="P651" s="1104"/>
    </row>
    <row r="652" spans="2:16" x14ac:dyDescent="0.25">
      <c r="B652" s="1099"/>
      <c r="C652" s="1102" t="s">
        <v>84</v>
      </c>
      <c r="D652" s="61" t="s">
        <v>77</v>
      </c>
      <c r="E652" s="62">
        <v>0</v>
      </c>
      <c r="F652" s="63">
        <f t="shared" si="505"/>
        <v>0</v>
      </c>
      <c r="G652" s="63">
        <v>0</v>
      </c>
      <c r="H652" s="64">
        <v>0</v>
      </c>
      <c r="I652" s="79">
        <f t="shared" si="507"/>
        <v>172858</v>
      </c>
      <c r="J652" s="4">
        <f t="shared" si="500"/>
        <v>170900</v>
      </c>
      <c r="K652" s="4">
        <f t="shared" si="506"/>
        <v>1958</v>
      </c>
      <c r="L652" s="65" t="e">
        <f t="shared" ref="L652:L662" si="509">+J652/E652</f>
        <v>#DIV/0!</v>
      </c>
      <c r="M652" s="66">
        <v>4.9344999999999999</v>
      </c>
      <c r="N652" s="67">
        <f t="shared" si="503"/>
        <v>0</v>
      </c>
      <c r="O652" s="67">
        <f t="shared" si="508"/>
        <v>843306.04999999993</v>
      </c>
      <c r="P652" s="1104"/>
    </row>
    <row r="653" spans="2:16" x14ac:dyDescent="0.25">
      <c r="B653" s="1099"/>
      <c r="C653" s="1102"/>
      <c r="D653" s="61" t="s">
        <v>135</v>
      </c>
      <c r="E653" s="62"/>
      <c r="F653" s="63">
        <f t="shared" si="505"/>
        <v>0</v>
      </c>
      <c r="G653" s="63">
        <v>0</v>
      </c>
      <c r="H653" s="64">
        <v>0</v>
      </c>
      <c r="I653" s="79">
        <f t="shared" si="507"/>
        <v>0</v>
      </c>
      <c r="J653" s="4">
        <f t="shared" si="500"/>
        <v>0</v>
      </c>
      <c r="K653" s="4">
        <f t="shared" si="506"/>
        <v>0</v>
      </c>
      <c r="L653" s="65" t="e">
        <f t="shared" si="509"/>
        <v>#DIV/0!</v>
      </c>
      <c r="M653" s="66">
        <v>4.9344999999999999</v>
      </c>
      <c r="N653" s="67">
        <f t="shared" si="503"/>
        <v>0</v>
      </c>
      <c r="O653" s="67">
        <f t="shared" si="508"/>
        <v>0</v>
      </c>
      <c r="P653" s="1104"/>
    </row>
    <row r="654" spans="2:16" x14ac:dyDescent="0.25">
      <c r="B654" s="1099"/>
      <c r="C654" s="1102"/>
      <c r="D654" s="61" t="s">
        <v>129</v>
      </c>
      <c r="E654" s="62">
        <v>0</v>
      </c>
      <c r="F654" s="63">
        <f t="shared" si="505"/>
        <v>0</v>
      </c>
      <c r="G654" s="155">
        <v>0</v>
      </c>
      <c r="H654" s="156">
        <v>0</v>
      </c>
      <c r="I654" s="157">
        <f t="shared" si="507"/>
        <v>0</v>
      </c>
      <c r="J654" s="4">
        <f t="shared" si="500"/>
        <v>0</v>
      </c>
      <c r="K654" s="4">
        <f t="shared" si="506"/>
        <v>0</v>
      </c>
      <c r="L654" s="158" t="e">
        <f t="shared" si="509"/>
        <v>#DIV/0!</v>
      </c>
      <c r="M654" s="66">
        <v>4.9344999999999999</v>
      </c>
      <c r="N654" s="159">
        <f t="shared" si="503"/>
        <v>0</v>
      </c>
      <c r="O654" s="67">
        <f>M654*J654</f>
        <v>0</v>
      </c>
      <c r="P654" s="1104"/>
    </row>
    <row r="655" spans="2:16" x14ac:dyDescent="0.25">
      <c r="B655" s="1099"/>
      <c r="C655" s="1102" t="s">
        <v>85</v>
      </c>
      <c r="D655" s="61" t="s">
        <v>77</v>
      </c>
      <c r="E655" s="62">
        <v>0</v>
      </c>
      <c r="F655" s="63">
        <f t="shared" si="505"/>
        <v>0</v>
      </c>
      <c r="G655" s="63">
        <v>0</v>
      </c>
      <c r="H655" s="64">
        <v>0</v>
      </c>
      <c r="I655" s="79">
        <f t="shared" si="507"/>
        <v>138276</v>
      </c>
      <c r="J655" s="4">
        <f t="shared" si="500"/>
        <v>130950</v>
      </c>
      <c r="K655" s="4">
        <f t="shared" si="506"/>
        <v>7326</v>
      </c>
      <c r="L655" s="65" t="e">
        <f t="shared" si="509"/>
        <v>#DIV/0!</v>
      </c>
      <c r="M655" s="148">
        <v>5.5069999999999997</v>
      </c>
      <c r="N655" s="67">
        <f t="shared" si="503"/>
        <v>0</v>
      </c>
      <c r="O655" s="67">
        <f>M655*J655</f>
        <v>721141.64999999991</v>
      </c>
      <c r="P655" s="1104"/>
    </row>
    <row r="656" spans="2:16" x14ac:dyDescent="0.25">
      <c r="B656" s="1099"/>
      <c r="C656" s="1102"/>
      <c r="D656" s="61" t="s">
        <v>112</v>
      </c>
      <c r="E656" s="62">
        <v>0</v>
      </c>
      <c r="F656" s="63">
        <f t="shared" si="505"/>
        <v>5339</v>
      </c>
      <c r="G656" s="63">
        <v>4850</v>
      </c>
      <c r="H656" s="64">
        <v>489</v>
      </c>
      <c r="I656" s="79">
        <f t="shared" si="507"/>
        <v>31178</v>
      </c>
      <c r="J656" s="4">
        <f t="shared" si="500"/>
        <v>30150</v>
      </c>
      <c r="K656" s="4">
        <f t="shared" si="506"/>
        <v>1028</v>
      </c>
      <c r="L656" s="65" t="e">
        <f t="shared" si="509"/>
        <v>#DIV/0!</v>
      </c>
      <c r="M656" s="147">
        <v>5.6550000000000002</v>
      </c>
      <c r="N656" s="67">
        <f t="shared" si="503"/>
        <v>27426.75</v>
      </c>
      <c r="O656" s="67">
        <f>M656*J656</f>
        <v>170498.25</v>
      </c>
      <c r="P656" s="1104"/>
    </row>
    <row r="657" spans="2:16" x14ac:dyDescent="0.25">
      <c r="B657" s="1099"/>
      <c r="C657" s="1102"/>
      <c r="D657" s="61" t="s">
        <v>118</v>
      </c>
      <c r="E657" s="62">
        <v>0</v>
      </c>
      <c r="F657" s="63">
        <f t="shared" si="505"/>
        <v>0</v>
      </c>
      <c r="G657" s="63">
        <v>0</v>
      </c>
      <c r="H657" s="64">
        <v>0</v>
      </c>
      <c r="I657" s="79">
        <f t="shared" si="507"/>
        <v>0</v>
      </c>
      <c r="J657" s="4">
        <f t="shared" si="500"/>
        <v>0</v>
      </c>
      <c r="K657" s="4">
        <f t="shared" si="506"/>
        <v>0</v>
      </c>
      <c r="L657" s="65" t="e">
        <f t="shared" si="509"/>
        <v>#DIV/0!</v>
      </c>
      <c r="M657" s="152">
        <v>5.6550000000000002</v>
      </c>
      <c r="N657" s="67">
        <f t="shared" si="503"/>
        <v>0</v>
      </c>
      <c r="O657" s="67">
        <f>M657*J657</f>
        <v>0</v>
      </c>
      <c r="P657" s="1104"/>
    </row>
    <row r="658" spans="2:16" x14ac:dyDescent="0.25">
      <c r="B658" s="1099"/>
      <c r="C658" s="1102"/>
      <c r="D658" s="61" t="s">
        <v>121</v>
      </c>
      <c r="E658" s="62">
        <v>0</v>
      </c>
      <c r="F658" s="63">
        <f t="shared" si="505"/>
        <v>11660</v>
      </c>
      <c r="G658" s="63">
        <v>11610</v>
      </c>
      <c r="H658" s="64">
        <v>50</v>
      </c>
      <c r="I658" s="79">
        <f t="shared" si="507"/>
        <v>28324</v>
      </c>
      <c r="J658" s="4">
        <f t="shared" si="500"/>
        <v>26710</v>
      </c>
      <c r="K658" s="4">
        <f t="shared" si="506"/>
        <v>1614</v>
      </c>
      <c r="L658" s="65" t="e">
        <f t="shared" si="509"/>
        <v>#DIV/0!</v>
      </c>
      <c r="M658" s="66">
        <v>5.7885299999999997</v>
      </c>
      <c r="N658" s="67">
        <f>+M658*G658</f>
        <v>67204.833299999998</v>
      </c>
      <c r="O658" s="67">
        <f>M658*J658</f>
        <v>154611.63629999998</v>
      </c>
      <c r="P658" s="1104"/>
    </row>
    <row r="659" spans="2:16" x14ac:dyDescent="0.25">
      <c r="B659" s="1099"/>
      <c r="C659" s="1102"/>
      <c r="D659" s="61" t="s">
        <v>136</v>
      </c>
      <c r="E659" s="62">
        <v>0</v>
      </c>
      <c r="F659" s="63">
        <f t="shared" si="505"/>
        <v>0</v>
      </c>
      <c r="G659" s="63">
        <v>0</v>
      </c>
      <c r="H659" s="64">
        <v>0</v>
      </c>
      <c r="I659" s="79">
        <f t="shared" si="507"/>
        <v>0</v>
      </c>
      <c r="J659" s="4">
        <f t="shared" si="500"/>
        <v>0</v>
      </c>
      <c r="K659" s="4">
        <f t="shared" si="506"/>
        <v>0</v>
      </c>
      <c r="L659" s="65" t="e">
        <f t="shared" si="509"/>
        <v>#DIV/0!</v>
      </c>
      <c r="M659" s="152">
        <v>5.6550000000000002</v>
      </c>
      <c r="N659" s="67">
        <f t="shared" ref="N659:N661" si="510">+M659*G659</f>
        <v>0</v>
      </c>
      <c r="O659" s="67">
        <f t="shared" ref="O659:O662" si="511">M659*J659</f>
        <v>0</v>
      </c>
      <c r="P659" s="1104"/>
    </row>
    <row r="660" spans="2:16" x14ac:dyDescent="0.25">
      <c r="B660" s="1099"/>
      <c r="C660" s="192" t="s">
        <v>86</v>
      </c>
      <c r="D660" s="61" t="s">
        <v>77</v>
      </c>
      <c r="E660" s="62">
        <v>0</v>
      </c>
      <c r="F660" s="63">
        <f t="shared" si="505"/>
        <v>0</v>
      </c>
      <c r="G660" s="63">
        <v>0</v>
      </c>
      <c r="H660" s="64">
        <v>0</v>
      </c>
      <c r="I660" s="79">
        <f t="shared" si="507"/>
        <v>0</v>
      </c>
      <c r="J660" s="4">
        <f t="shared" si="500"/>
        <v>0</v>
      </c>
      <c r="K660" s="4">
        <f t="shared" si="506"/>
        <v>0</v>
      </c>
      <c r="L660" s="65" t="e">
        <f t="shared" si="509"/>
        <v>#DIV/0!</v>
      </c>
      <c r="M660" s="66">
        <v>3.2963</v>
      </c>
      <c r="N660" s="67">
        <f t="shared" si="510"/>
        <v>0</v>
      </c>
      <c r="O660" s="67">
        <f t="shared" si="511"/>
        <v>0</v>
      </c>
      <c r="P660" s="1104"/>
    </row>
    <row r="661" spans="2:16" x14ac:dyDescent="0.25">
      <c r="B661" s="1099"/>
      <c r="C661" s="192" t="s">
        <v>87</v>
      </c>
      <c r="D661" s="61" t="s">
        <v>77</v>
      </c>
      <c r="E661" s="62">
        <v>0</v>
      </c>
      <c r="F661" s="63">
        <f t="shared" si="505"/>
        <v>0</v>
      </c>
      <c r="G661" s="63">
        <v>0</v>
      </c>
      <c r="H661" s="64">
        <v>0</v>
      </c>
      <c r="I661" s="79">
        <f t="shared" si="507"/>
        <v>0</v>
      </c>
      <c r="J661" s="4">
        <f t="shared" si="500"/>
        <v>0</v>
      </c>
      <c r="K661" s="4">
        <f t="shared" si="506"/>
        <v>0</v>
      </c>
      <c r="L661" s="65" t="e">
        <f t="shared" si="509"/>
        <v>#DIV/0!</v>
      </c>
      <c r="M661" s="66">
        <v>3.2963</v>
      </c>
      <c r="N661" s="67">
        <f t="shared" si="510"/>
        <v>0</v>
      </c>
      <c r="O661" s="67">
        <f t="shared" si="511"/>
        <v>0</v>
      </c>
      <c r="P661" s="1104"/>
    </row>
    <row r="662" spans="2:16" ht="15.75" thickBot="1" x14ac:dyDescent="0.3">
      <c r="B662" s="1099"/>
      <c r="C662" s="68" t="s">
        <v>88</v>
      </c>
      <c r="D662" s="69" t="s">
        <v>89</v>
      </c>
      <c r="E662" s="70">
        <v>0</v>
      </c>
      <c r="F662" s="71">
        <f t="shared" si="505"/>
        <v>0</v>
      </c>
      <c r="G662" s="71">
        <v>0</v>
      </c>
      <c r="H662" s="72">
        <v>0</v>
      </c>
      <c r="I662" s="80">
        <f t="shared" si="507"/>
        <v>65030</v>
      </c>
      <c r="J662" s="4">
        <f t="shared" si="500"/>
        <v>65000</v>
      </c>
      <c r="K662" s="4">
        <f t="shared" si="506"/>
        <v>30</v>
      </c>
      <c r="L662" s="65" t="e">
        <f t="shared" si="509"/>
        <v>#DIV/0!</v>
      </c>
      <c r="M662" s="73">
        <v>2.3201000000000001</v>
      </c>
      <c r="N662" s="74">
        <f t="shared" ref="N662" si="512">M662*G662</f>
        <v>0</v>
      </c>
      <c r="O662" s="74">
        <f t="shared" si="511"/>
        <v>150806.5</v>
      </c>
      <c r="P662" s="1105"/>
    </row>
    <row r="663" spans="2:16" ht="15.75" thickBot="1" x14ac:dyDescent="0.3">
      <c r="B663" s="1100"/>
      <c r="C663" s="1108" t="s">
        <v>99</v>
      </c>
      <c r="D663" s="1109"/>
      <c r="E663" s="1109"/>
      <c r="F663" s="1109"/>
      <c r="G663" s="1109"/>
      <c r="H663" s="1110"/>
      <c r="I663" s="116">
        <f>J663+K663</f>
        <v>729377</v>
      </c>
      <c r="J663" s="115">
        <f>SUM(J635:J662)</f>
        <v>709540</v>
      </c>
      <c r="K663" s="115">
        <f>SUM(K635:K662)</f>
        <v>19837</v>
      </c>
      <c r="L663" s="114"/>
      <c r="M663" s="113"/>
      <c r="N663" s="114"/>
      <c r="O663" s="97">
        <f>SUM(O635:O662)</f>
        <v>6144755.7802999998</v>
      </c>
      <c r="P663" s="96"/>
    </row>
    <row r="664" spans="2:16" ht="15.75" thickBot="1" x14ac:dyDescent="0.3">
      <c r="B664" s="100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2"/>
    </row>
    <row r="665" spans="2:16" ht="15.75" thickBot="1" x14ac:dyDescent="0.3">
      <c r="B665" s="1093" t="s">
        <v>100</v>
      </c>
      <c r="C665" s="1094"/>
      <c r="D665" s="1094"/>
      <c r="E665" s="1094"/>
      <c r="F665" s="1094"/>
      <c r="G665" s="1094"/>
      <c r="H665" s="1094"/>
      <c r="I665" s="1094"/>
      <c r="J665" s="1094"/>
      <c r="K665" s="1094"/>
      <c r="L665" s="1094"/>
      <c r="M665" s="1094"/>
      <c r="N665" s="1095"/>
      <c r="O665" s="103">
        <f>+O663+O634+O619</f>
        <v>13256196.440299999</v>
      </c>
      <c r="P665" s="96"/>
    </row>
    <row r="666" spans="2:16" ht="15.75" thickBot="1" x14ac:dyDescent="0.3"/>
    <row r="667" spans="2:16" x14ac:dyDescent="0.25">
      <c r="B667" s="1127" t="s">
        <v>1</v>
      </c>
      <c r="C667" s="1129" t="s">
        <v>2</v>
      </c>
      <c r="D667" s="1132" t="s">
        <v>3</v>
      </c>
      <c r="E667" s="1135" t="s">
        <v>4</v>
      </c>
      <c r="F667" s="1136"/>
      <c r="G667" s="1136"/>
      <c r="H667" s="1136"/>
      <c r="I667" s="1136"/>
      <c r="J667" s="1136"/>
      <c r="K667" s="1136"/>
      <c r="L667" s="1137"/>
      <c r="M667" s="1138" t="s">
        <v>5</v>
      </c>
      <c r="N667" s="1139"/>
      <c r="O667" s="1140"/>
      <c r="P667" s="1132" t="s">
        <v>6</v>
      </c>
    </row>
    <row r="668" spans="2:16" x14ac:dyDescent="0.25">
      <c r="B668" s="1128"/>
      <c r="C668" s="1130"/>
      <c r="D668" s="1133"/>
      <c r="E668" s="1141" t="s">
        <v>7</v>
      </c>
      <c r="F668" s="1143" t="s">
        <v>150</v>
      </c>
      <c r="G668" s="1143"/>
      <c r="H668" s="1144"/>
      <c r="I668" s="1145" t="s">
        <v>8</v>
      </c>
      <c r="J668" s="1143"/>
      <c r="K668" s="1143"/>
      <c r="L668" s="1144" t="s">
        <v>9</v>
      </c>
      <c r="M668" s="1147" t="s">
        <v>10</v>
      </c>
      <c r="N668" s="1149" t="s">
        <v>11</v>
      </c>
      <c r="O668" s="1151" t="s">
        <v>12</v>
      </c>
      <c r="P668" s="1133"/>
    </row>
    <row r="669" spans="2:16" ht="15.75" thickBot="1" x14ac:dyDescent="0.3">
      <c r="B669" s="1128"/>
      <c r="C669" s="1131"/>
      <c r="D669" s="1134"/>
      <c r="E669" s="1142"/>
      <c r="F669" s="2" t="s">
        <v>13</v>
      </c>
      <c r="G669" s="2" t="s">
        <v>14</v>
      </c>
      <c r="H669" s="199" t="s">
        <v>15</v>
      </c>
      <c r="I669" s="142" t="s">
        <v>13</v>
      </c>
      <c r="J669" s="2" t="s">
        <v>14</v>
      </c>
      <c r="K669" s="2" t="s">
        <v>15</v>
      </c>
      <c r="L669" s="1146"/>
      <c r="M669" s="1148"/>
      <c r="N669" s="1150"/>
      <c r="O669" s="1152"/>
      <c r="P669" s="1134"/>
    </row>
    <row r="670" spans="2:16" x14ac:dyDescent="0.25">
      <c r="B670" s="1111" t="s">
        <v>53</v>
      </c>
      <c r="C670" s="29"/>
      <c r="D670" s="117" t="s">
        <v>143</v>
      </c>
      <c r="E670" s="98">
        <v>0</v>
      </c>
      <c r="F670" s="4">
        <f>+G670+H670</f>
        <v>0</v>
      </c>
      <c r="G670" s="4">
        <v>0</v>
      </c>
      <c r="H670" s="8">
        <v>0</v>
      </c>
      <c r="I670" s="6">
        <f>J670+K670</f>
        <v>285266</v>
      </c>
      <c r="J670" s="4">
        <f>G670+J605</f>
        <v>280000</v>
      </c>
      <c r="K670" s="4">
        <f>H670+K605</f>
        <v>5266</v>
      </c>
      <c r="L670" s="33" t="e">
        <f>+J670/E670</f>
        <v>#DIV/0!</v>
      </c>
      <c r="M670" s="104">
        <v>1.3652</v>
      </c>
      <c r="N670" s="31">
        <f>G670*M670</f>
        <v>0</v>
      </c>
      <c r="O670" s="86">
        <f>M670*J670</f>
        <v>382256</v>
      </c>
      <c r="P670" s="1113"/>
    </row>
    <row r="671" spans="2:16" x14ac:dyDescent="0.25">
      <c r="B671" s="1112"/>
      <c r="C671" s="32"/>
      <c r="D671" s="118" t="s">
        <v>109</v>
      </c>
      <c r="E671" s="99">
        <v>0</v>
      </c>
      <c r="F671" s="9">
        <f>+G671+H671</f>
        <v>0</v>
      </c>
      <c r="G671" s="9">
        <v>0</v>
      </c>
      <c r="H671" s="10">
        <v>0</v>
      </c>
      <c r="I671" s="6">
        <f>J671+K671</f>
        <v>0</v>
      </c>
      <c r="J671" s="4">
        <f>+G671+J606</f>
        <v>0</v>
      </c>
      <c r="K671" s="4">
        <f>+H671+K606</f>
        <v>0</v>
      </c>
      <c r="L671" s="33"/>
      <c r="M671" s="105">
        <v>5.9917999999999996</v>
      </c>
      <c r="N671" s="34">
        <f>M671*G671</f>
        <v>0</v>
      </c>
      <c r="O671" s="87">
        <f>M671*J671</f>
        <v>0</v>
      </c>
      <c r="P671" s="1114"/>
    </row>
    <row r="672" spans="2:16" x14ac:dyDescent="0.25">
      <c r="B672" s="1112"/>
      <c r="C672" s="35"/>
      <c r="D672" s="119" t="s">
        <v>55</v>
      </c>
      <c r="E672" s="99">
        <v>0</v>
      </c>
      <c r="F672" s="9">
        <f t="shared" ref="F672:F676" si="513">+G672+H672</f>
        <v>231715</v>
      </c>
      <c r="G672" s="9">
        <v>230000</v>
      </c>
      <c r="H672" s="10">
        <v>1715</v>
      </c>
      <c r="I672" s="6">
        <f t="shared" ref="I672:I676" si="514">J672+K672</f>
        <v>2031506</v>
      </c>
      <c r="J672" s="4">
        <f t="shared" ref="J672:J676" si="515">+G672+J607</f>
        <v>2015750</v>
      </c>
      <c r="K672" s="4">
        <f t="shared" ref="K672:K676" si="516">+H672+K607</f>
        <v>15756</v>
      </c>
      <c r="L672" s="33" t="e">
        <f t="shared" ref="L672" si="517">+J672/E672</f>
        <v>#DIV/0!</v>
      </c>
      <c r="M672" s="106">
        <v>2.3807999999999998</v>
      </c>
      <c r="N672" s="36">
        <f>G672*M672</f>
        <v>547584</v>
      </c>
      <c r="O672" s="88">
        <f>M672*J672</f>
        <v>4799097.5999999996</v>
      </c>
      <c r="P672" s="1114"/>
    </row>
    <row r="673" spans="2:16" x14ac:dyDescent="0.25">
      <c r="B673" s="1112"/>
      <c r="C673" s="35"/>
      <c r="D673" s="119" t="s">
        <v>56</v>
      </c>
      <c r="E673" s="99">
        <v>0</v>
      </c>
      <c r="F673" s="9">
        <f t="shared" si="513"/>
        <v>0</v>
      </c>
      <c r="G673" s="9">
        <v>0</v>
      </c>
      <c r="H673" s="10">
        <v>0</v>
      </c>
      <c r="I673" s="6">
        <f t="shared" si="514"/>
        <v>0</v>
      </c>
      <c r="J673" s="4">
        <f t="shared" si="515"/>
        <v>0</v>
      </c>
      <c r="K673" s="4">
        <f t="shared" si="516"/>
        <v>0</v>
      </c>
      <c r="L673" s="33"/>
      <c r="M673" s="106">
        <v>2.1457999999999999</v>
      </c>
      <c r="N673" s="36">
        <f t="shared" ref="N673:N676" si="518">G673*M673</f>
        <v>0</v>
      </c>
      <c r="O673" s="88">
        <f>M673*J673</f>
        <v>0</v>
      </c>
      <c r="P673" s="1114"/>
    </row>
    <row r="674" spans="2:16" x14ac:dyDescent="0.25">
      <c r="B674" s="1112"/>
      <c r="C674" s="35"/>
      <c r="D674" s="119" t="s">
        <v>106</v>
      </c>
      <c r="E674" s="99">
        <v>0</v>
      </c>
      <c r="F674" s="9">
        <f t="shared" si="513"/>
        <v>0</v>
      </c>
      <c r="G674" s="9">
        <v>0</v>
      </c>
      <c r="H674" s="10">
        <v>0</v>
      </c>
      <c r="I674" s="6">
        <f t="shared" si="514"/>
        <v>0</v>
      </c>
      <c r="J674" s="4">
        <f t="shared" si="515"/>
        <v>0</v>
      </c>
      <c r="K674" s="4">
        <f t="shared" si="516"/>
        <v>0</v>
      </c>
      <c r="L674" s="33" t="e">
        <f t="shared" ref="L674:L675" si="519">+J674/E674</f>
        <v>#DIV/0!</v>
      </c>
      <c r="M674" s="143">
        <v>4.0426000000000002</v>
      </c>
      <c r="N674" s="36">
        <f t="shared" si="518"/>
        <v>0</v>
      </c>
      <c r="O674" s="88">
        <f>M674*J674</f>
        <v>0</v>
      </c>
      <c r="P674" s="1114"/>
    </row>
    <row r="675" spans="2:16" x14ac:dyDescent="0.25">
      <c r="B675" s="1112"/>
      <c r="C675" s="35"/>
      <c r="D675" s="119" t="s">
        <v>110</v>
      </c>
      <c r="E675" s="99">
        <v>0</v>
      </c>
      <c r="F675" s="9">
        <f t="shared" si="513"/>
        <v>0</v>
      </c>
      <c r="G675" s="9">
        <v>0</v>
      </c>
      <c r="H675" s="10">
        <v>0</v>
      </c>
      <c r="I675" s="6">
        <f t="shared" si="514"/>
        <v>0</v>
      </c>
      <c r="J675" s="4">
        <f t="shared" si="515"/>
        <v>0</v>
      </c>
      <c r="K675" s="4">
        <f t="shared" si="516"/>
        <v>0</v>
      </c>
      <c r="L675" s="33" t="e">
        <f t="shared" si="519"/>
        <v>#DIV/0!</v>
      </c>
      <c r="M675" s="143">
        <v>3.8715000000000002</v>
      </c>
      <c r="N675" s="36">
        <f t="shared" si="518"/>
        <v>0</v>
      </c>
      <c r="O675" s="88">
        <f t="shared" ref="O675:O676" si="520">M675*J675</f>
        <v>0</v>
      </c>
      <c r="P675" s="1114"/>
    </row>
    <row r="676" spans="2:16" ht="15.75" thickBot="1" x14ac:dyDescent="0.3">
      <c r="B676" s="1112"/>
      <c r="C676" s="82"/>
      <c r="D676" s="120" t="s">
        <v>57</v>
      </c>
      <c r="E676" s="108">
        <v>0</v>
      </c>
      <c r="F676" s="12">
        <f t="shared" si="513"/>
        <v>0</v>
      </c>
      <c r="G676" s="12">
        <v>0</v>
      </c>
      <c r="H676" s="13">
        <v>0</v>
      </c>
      <c r="I676" s="21">
        <f t="shared" si="514"/>
        <v>0</v>
      </c>
      <c r="J676" s="4">
        <f t="shared" si="515"/>
        <v>0</v>
      </c>
      <c r="K676" s="4">
        <f t="shared" si="516"/>
        <v>0</v>
      </c>
      <c r="L676" s="81"/>
      <c r="M676" s="127">
        <v>12.284700000000001</v>
      </c>
      <c r="N676" s="36">
        <f t="shared" si="518"/>
        <v>0</v>
      </c>
      <c r="O676" s="128">
        <f t="shared" si="520"/>
        <v>0</v>
      </c>
      <c r="P676" s="1114"/>
    </row>
    <row r="677" spans="2:16" ht="15.75" thickBot="1" x14ac:dyDescent="0.3">
      <c r="B677" s="1112"/>
      <c r="C677" s="1117" t="s">
        <v>104</v>
      </c>
      <c r="D677" s="1118"/>
      <c r="E677" s="129"/>
      <c r="F677" s="130">
        <f>SUM(F670:F676)</f>
        <v>231715</v>
      </c>
      <c r="G677" s="130">
        <f>SUM(G670:G676)</f>
        <v>230000</v>
      </c>
      <c r="H677" s="131">
        <f>SUM(H670:H676)</f>
        <v>1715</v>
      </c>
      <c r="I677" s="132">
        <f>+J677+K677</f>
        <v>2316772</v>
      </c>
      <c r="J677" s="133">
        <f>SUM(J670:J676)</f>
        <v>2295750</v>
      </c>
      <c r="K677" s="133">
        <f>SUM(K670:K676)</f>
        <v>21022</v>
      </c>
      <c r="L677" s="134"/>
      <c r="M677" s="135"/>
      <c r="N677" s="136"/>
      <c r="O677" s="137">
        <f>SUM(O670:O676)</f>
        <v>5181353.5999999996</v>
      </c>
      <c r="P677" s="1115"/>
    </row>
    <row r="678" spans="2:16" x14ac:dyDescent="0.25">
      <c r="B678" s="1112"/>
      <c r="C678" s="32"/>
      <c r="D678" s="118" t="s">
        <v>58</v>
      </c>
      <c r="E678" s="98">
        <v>0</v>
      </c>
      <c r="F678" s="4">
        <f t="shared" ref="F678:F681" si="521">+G678+H678</f>
        <v>0</v>
      </c>
      <c r="G678" s="4">
        <v>0</v>
      </c>
      <c r="H678" s="8">
        <v>0</v>
      </c>
      <c r="I678" s="6">
        <f t="shared" ref="I678:I682" si="522">J678+K678</f>
        <v>0</v>
      </c>
      <c r="J678" s="4">
        <f>G678+J613</f>
        <v>0</v>
      </c>
      <c r="K678" s="4">
        <f>H678+K613</f>
        <v>0</v>
      </c>
      <c r="L678" s="33" t="e">
        <f t="shared" ref="L678" si="523">+J678/E678</f>
        <v>#DIV/0!</v>
      </c>
      <c r="M678" s="105">
        <v>12.029500000000001</v>
      </c>
      <c r="N678" s="34">
        <f>M678*G678</f>
        <v>0</v>
      </c>
      <c r="O678" s="87">
        <f t="shared" ref="O678:O680" si="524">M678*J678</f>
        <v>0</v>
      </c>
      <c r="P678" s="1114"/>
    </row>
    <row r="679" spans="2:16" x14ac:dyDescent="0.25">
      <c r="B679" s="1112"/>
      <c r="C679" s="35"/>
      <c r="D679" s="119" t="s">
        <v>59</v>
      </c>
      <c r="E679" s="99">
        <v>0</v>
      </c>
      <c r="F679" s="9">
        <f t="shared" si="521"/>
        <v>0</v>
      </c>
      <c r="G679" s="9">
        <v>0</v>
      </c>
      <c r="H679" s="10">
        <v>0</v>
      </c>
      <c r="I679" s="6">
        <f t="shared" si="522"/>
        <v>0</v>
      </c>
      <c r="J679" s="4">
        <f>G679+J614</f>
        <v>0</v>
      </c>
      <c r="K679" s="4">
        <f>H679+K614</f>
        <v>0</v>
      </c>
      <c r="L679" s="33"/>
      <c r="M679" s="106">
        <v>0</v>
      </c>
      <c r="N679" s="36"/>
      <c r="O679" s="88">
        <f t="shared" si="524"/>
        <v>0</v>
      </c>
      <c r="P679" s="1114"/>
    </row>
    <row r="680" spans="2:16" x14ac:dyDescent="0.25">
      <c r="B680" s="1112"/>
      <c r="C680" s="35"/>
      <c r="D680" s="119" t="s">
        <v>97</v>
      </c>
      <c r="E680" s="99">
        <v>0</v>
      </c>
      <c r="F680" s="9">
        <f t="shared" si="521"/>
        <v>0</v>
      </c>
      <c r="G680" s="9">
        <v>0</v>
      </c>
      <c r="H680" s="10">
        <v>0</v>
      </c>
      <c r="I680" s="6">
        <f t="shared" si="522"/>
        <v>0</v>
      </c>
      <c r="J680" s="4">
        <f t="shared" ref="J680:J682" si="525">G680+J615</f>
        <v>0</v>
      </c>
      <c r="K680" s="4">
        <f t="shared" ref="K680:K682" si="526">H680+K615</f>
        <v>0</v>
      </c>
      <c r="L680" s="33" t="e">
        <f t="shared" ref="L680:L682" si="527">+J680/E680</f>
        <v>#DIV/0!</v>
      </c>
      <c r="M680" s="106">
        <v>19.688600000000001</v>
      </c>
      <c r="N680" s="36">
        <f>M680*G680</f>
        <v>0</v>
      </c>
      <c r="O680" s="88">
        <f t="shared" si="524"/>
        <v>0</v>
      </c>
      <c r="P680" s="1114"/>
    </row>
    <row r="681" spans="2:16" x14ac:dyDescent="0.25">
      <c r="B681" s="1112"/>
      <c r="C681" s="35"/>
      <c r="D681" s="119" t="s">
        <v>61</v>
      </c>
      <c r="E681" s="99">
        <v>0</v>
      </c>
      <c r="F681" s="9">
        <f t="shared" si="521"/>
        <v>0</v>
      </c>
      <c r="G681" s="9">
        <v>0</v>
      </c>
      <c r="H681" s="10">
        <v>0</v>
      </c>
      <c r="I681" s="6">
        <f t="shared" si="522"/>
        <v>0</v>
      </c>
      <c r="J681" s="4">
        <f t="shared" si="525"/>
        <v>0</v>
      </c>
      <c r="K681" s="4">
        <f t="shared" si="526"/>
        <v>0</v>
      </c>
      <c r="L681" s="33" t="e">
        <f t="shared" si="527"/>
        <v>#DIV/0!</v>
      </c>
      <c r="M681" s="106">
        <v>1.2824</v>
      </c>
      <c r="N681" s="151">
        <f>M681*G681</f>
        <v>0</v>
      </c>
      <c r="O681" s="88">
        <f>M681*J681</f>
        <v>0</v>
      </c>
      <c r="P681" s="1114"/>
    </row>
    <row r="682" spans="2:16" ht="15.75" thickBot="1" x14ac:dyDescent="0.3">
      <c r="B682" s="1112"/>
      <c r="C682" s="82"/>
      <c r="D682" s="120" t="s">
        <v>60</v>
      </c>
      <c r="E682" s="108">
        <v>0</v>
      </c>
      <c r="F682" s="12">
        <v>0</v>
      </c>
      <c r="G682" s="12">
        <v>12960</v>
      </c>
      <c r="H682" s="13">
        <v>212</v>
      </c>
      <c r="I682" s="21">
        <f t="shared" si="522"/>
        <v>34946</v>
      </c>
      <c r="J682" s="4">
        <f t="shared" si="525"/>
        <v>34560</v>
      </c>
      <c r="K682" s="4">
        <f t="shared" si="526"/>
        <v>386</v>
      </c>
      <c r="L682" s="81" t="e">
        <f t="shared" si="527"/>
        <v>#DIV/0!</v>
      </c>
      <c r="M682" s="107">
        <v>18.2316</v>
      </c>
      <c r="N682" s="75"/>
      <c r="O682" s="89">
        <f t="shared" ref="O682" si="528">M682*J682</f>
        <v>630084.09600000002</v>
      </c>
      <c r="P682" s="1116"/>
    </row>
    <row r="683" spans="2:16" ht="15.75" thickBot="1" x14ac:dyDescent="0.3">
      <c r="B683" s="1096" t="s">
        <v>105</v>
      </c>
      <c r="C683" s="1097"/>
      <c r="D683" s="1097"/>
      <c r="E683" s="124"/>
      <c r="F683" s="125">
        <f>+G683+H683</f>
        <v>13172</v>
      </c>
      <c r="G683" s="125">
        <f>SUM(G678:G682)</f>
        <v>12960</v>
      </c>
      <c r="H683" s="126">
        <f>SUM(H678:H682)</f>
        <v>212</v>
      </c>
      <c r="I683" s="121">
        <f>J683+K683</f>
        <v>34946</v>
      </c>
      <c r="J683" s="122">
        <f>SUM(J678:J682)</f>
        <v>34560</v>
      </c>
      <c r="K683" s="123">
        <f>SUM(K678:K682)</f>
        <v>386</v>
      </c>
      <c r="L683" s="138"/>
      <c r="M683" s="139"/>
      <c r="N683" s="140"/>
      <c r="O683" s="141">
        <f>SUM(O678:O682)</f>
        <v>630084.09600000002</v>
      </c>
      <c r="P683" s="197"/>
    </row>
    <row r="684" spans="2:16" ht="15.75" thickBot="1" x14ac:dyDescent="0.3">
      <c r="B684" s="1096" t="s">
        <v>98</v>
      </c>
      <c r="C684" s="1097"/>
      <c r="D684" s="1097"/>
      <c r="E684" s="1119"/>
      <c r="F684" s="1119"/>
      <c r="G684" s="1119"/>
      <c r="H684" s="1119"/>
      <c r="I684" s="1097"/>
      <c r="J684" s="1097"/>
      <c r="K684" s="1097"/>
      <c r="L684" s="1097"/>
      <c r="M684" s="1097"/>
      <c r="N684" s="1120"/>
      <c r="O684" s="83">
        <f>O677+O683</f>
        <v>5811437.6959999995</v>
      </c>
      <c r="P684" s="197"/>
    </row>
    <row r="685" spans="2:16" x14ac:dyDescent="0.25">
      <c r="B685" s="1111" t="s">
        <v>62</v>
      </c>
      <c r="C685" s="37" t="s">
        <v>63</v>
      </c>
      <c r="D685" s="28" t="s">
        <v>64</v>
      </c>
      <c r="E685" s="38">
        <v>0</v>
      </c>
      <c r="F685" s="14">
        <f>+G685+H685</f>
        <v>0</v>
      </c>
      <c r="G685" s="14">
        <v>0</v>
      </c>
      <c r="H685" s="5">
        <v>0</v>
      </c>
      <c r="I685" s="17">
        <f t="shared" ref="I685:I691" si="529">J685+K685</f>
        <v>0</v>
      </c>
      <c r="J685" s="4">
        <f>G685+J620</f>
        <v>0</v>
      </c>
      <c r="K685" s="4">
        <f>H685+K620</f>
        <v>0</v>
      </c>
      <c r="L685" s="30" t="e">
        <f>+J685/E685</f>
        <v>#DIV/0!</v>
      </c>
      <c r="M685" s="146">
        <v>2.2141000000000002</v>
      </c>
      <c r="N685" s="15">
        <f>+M685*G685</f>
        <v>0</v>
      </c>
      <c r="O685" s="90">
        <f>+M685*J685</f>
        <v>0</v>
      </c>
      <c r="P685" s="1122"/>
    </row>
    <row r="686" spans="2:16" x14ac:dyDescent="0.25">
      <c r="B686" s="1112"/>
      <c r="C686" s="39"/>
      <c r="D686" s="22" t="s">
        <v>65</v>
      </c>
      <c r="E686" s="3">
        <v>0</v>
      </c>
      <c r="F686" s="9">
        <f t="shared" ref="F686:F691" si="530">+G686+H686</f>
        <v>0</v>
      </c>
      <c r="G686" s="4">
        <v>0</v>
      </c>
      <c r="H686" s="8">
        <v>0</v>
      </c>
      <c r="I686" s="6">
        <f t="shared" si="529"/>
        <v>0</v>
      </c>
      <c r="J686" s="4">
        <f>+G686+J621</f>
        <v>0</v>
      </c>
      <c r="K686" s="4">
        <f>+H686+K621</f>
        <v>0</v>
      </c>
      <c r="L686" s="40" t="e">
        <f t="shared" ref="L686:L687" si="531">+J686/E686</f>
        <v>#DIV/0!</v>
      </c>
      <c r="M686" s="145">
        <v>2.4565999999999999</v>
      </c>
      <c r="N686" s="11">
        <f t="shared" ref="N686:N688" si="532">+M686*G686</f>
        <v>0</v>
      </c>
      <c r="O686" s="91">
        <f t="shared" ref="O686:O688" si="533">+M686*J686</f>
        <v>0</v>
      </c>
      <c r="P686" s="1123"/>
    </row>
    <row r="687" spans="2:16" x14ac:dyDescent="0.25">
      <c r="B687" s="1112"/>
      <c r="C687" s="39"/>
      <c r="D687" s="23" t="s">
        <v>126</v>
      </c>
      <c r="E687" s="3">
        <v>0</v>
      </c>
      <c r="F687" s="9">
        <f t="shared" si="530"/>
        <v>0</v>
      </c>
      <c r="G687" s="4">
        <v>0</v>
      </c>
      <c r="H687" s="8">
        <v>0</v>
      </c>
      <c r="I687" s="6">
        <f t="shared" si="529"/>
        <v>0</v>
      </c>
      <c r="J687" s="4">
        <f t="shared" ref="J687:J688" si="534">+G687+J622</f>
        <v>0</v>
      </c>
      <c r="K687" s="4">
        <f t="shared" ref="K687:K691" si="535">+H687+K622</f>
        <v>0</v>
      </c>
      <c r="L687" s="40" t="e">
        <f t="shared" si="531"/>
        <v>#DIV/0!</v>
      </c>
      <c r="M687" s="145">
        <v>2.2907000000000002</v>
      </c>
      <c r="N687" s="11">
        <f t="shared" si="532"/>
        <v>0</v>
      </c>
      <c r="O687" s="91">
        <f t="shared" si="533"/>
        <v>0</v>
      </c>
      <c r="P687" s="1123"/>
    </row>
    <row r="688" spans="2:16" x14ac:dyDescent="0.25">
      <c r="B688" s="1112"/>
      <c r="C688" s="39"/>
      <c r="D688" s="22" t="s">
        <v>131</v>
      </c>
      <c r="E688" s="3"/>
      <c r="F688" s="9">
        <f t="shared" si="530"/>
        <v>0</v>
      </c>
      <c r="G688" s="4">
        <v>0</v>
      </c>
      <c r="H688" s="8">
        <v>0</v>
      </c>
      <c r="I688" s="6">
        <f t="shared" si="529"/>
        <v>0</v>
      </c>
      <c r="J688" s="4">
        <f t="shared" si="534"/>
        <v>0</v>
      </c>
      <c r="K688" s="4">
        <f t="shared" si="535"/>
        <v>0</v>
      </c>
      <c r="L688" s="33"/>
      <c r="M688" s="150">
        <v>2.544</v>
      </c>
      <c r="N688" s="11">
        <f t="shared" si="532"/>
        <v>0</v>
      </c>
      <c r="O688" s="91">
        <f t="shared" si="533"/>
        <v>0</v>
      </c>
      <c r="P688" s="1123"/>
    </row>
    <row r="689" spans="2:16" x14ac:dyDescent="0.25">
      <c r="B689" s="1112"/>
      <c r="C689" s="39" t="s">
        <v>66</v>
      </c>
      <c r="D689" s="22" t="s">
        <v>133</v>
      </c>
      <c r="E689" s="3">
        <v>0</v>
      </c>
      <c r="F689" s="9">
        <f t="shared" si="530"/>
        <v>33430</v>
      </c>
      <c r="G689" s="4">
        <v>31500</v>
      </c>
      <c r="H689" s="8">
        <v>1930</v>
      </c>
      <c r="I689" s="6">
        <f t="shared" si="529"/>
        <v>524562</v>
      </c>
      <c r="J689" s="4">
        <f>+G689+J624</f>
        <v>511750</v>
      </c>
      <c r="K689" s="4">
        <f t="shared" si="535"/>
        <v>12812</v>
      </c>
      <c r="L689" s="33" t="e">
        <f>+J689/E689</f>
        <v>#DIV/0!</v>
      </c>
      <c r="M689" s="144">
        <v>2.2141000000000002</v>
      </c>
      <c r="N689" s="7">
        <f>+M689*G689</f>
        <v>69744.150000000009</v>
      </c>
      <c r="O689" s="85">
        <f>+M689*J689</f>
        <v>1133065.675</v>
      </c>
      <c r="P689" s="1123"/>
    </row>
    <row r="690" spans="2:16" x14ac:dyDescent="0.25">
      <c r="B690" s="1112"/>
      <c r="C690" s="39"/>
      <c r="D690" s="22" t="s">
        <v>65</v>
      </c>
      <c r="E690" s="3">
        <v>0</v>
      </c>
      <c r="F690" s="9">
        <f t="shared" si="530"/>
        <v>0</v>
      </c>
      <c r="G690" s="4">
        <v>0</v>
      </c>
      <c r="H690" s="8">
        <v>0</v>
      </c>
      <c r="I690" s="6">
        <f t="shared" si="529"/>
        <v>0</v>
      </c>
      <c r="J690" s="4">
        <f t="shared" ref="J690:J691" si="536">+G690+J625</f>
        <v>0</v>
      </c>
      <c r="K690" s="4">
        <f t="shared" si="535"/>
        <v>0</v>
      </c>
      <c r="L690" s="40" t="e">
        <f t="shared" ref="L690:L691" si="537">+J690/E690</f>
        <v>#DIV/0!</v>
      </c>
      <c r="M690" s="145">
        <v>2.4565999999999999</v>
      </c>
      <c r="N690" s="11">
        <f t="shared" ref="N690:N691" si="538">+M690*G690</f>
        <v>0</v>
      </c>
      <c r="O690" s="91">
        <f t="shared" ref="O690" si="539">+M690*J690</f>
        <v>0</v>
      </c>
      <c r="P690" s="1123"/>
    </row>
    <row r="691" spans="2:16" ht="15.75" thickBot="1" x14ac:dyDescent="0.3">
      <c r="B691" s="1112"/>
      <c r="C691" s="39"/>
      <c r="D691" s="22" t="s">
        <v>126</v>
      </c>
      <c r="E691" s="3">
        <v>0</v>
      </c>
      <c r="F691" s="9">
        <f t="shared" si="530"/>
        <v>0</v>
      </c>
      <c r="G691" s="4">
        <v>0</v>
      </c>
      <c r="H691" s="8">
        <v>0</v>
      </c>
      <c r="I691" s="6">
        <f t="shared" si="529"/>
        <v>0</v>
      </c>
      <c r="J691" s="4">
        <f t="shared" si="536"/>
        <v>0</v>
      </c>
      <c r="K691" s="4">
        <f t="shared" si="535"/>
        <v>0</v>
      </c>
      <c r="L691" s="40" t="e">
        <f t="shared" si="537"/>
        <v>#DIV/0!</v>
      </c>
      <c r="M691" s="145">
        <v>2.2907000000000002</v>
      </c>
      <c r="N691" s="11">
        <f t="shared" si="538"/>
        <v>0</v>
      </c>
      <c r="O691" s="154">
        <f>+M691*J691</f>
        <v>0</v>
      </c>
      <c r="P691" s="1124"/>
    </row>
    <row r="692" spans="2:16" ht="15.75" thickBot="1" x14ac:dyDescent="0.3">
      <c r="B692" s="1112"/>
      <c r="C692" s="41" t="s">
        <v>29</v>
      </c>
      <c r="D692" s="27" t="str">
        <f>+C692</f>
        <v>TOTAL 1/2</v>
      </c>
      <c r="E692" s="42">
        <f>SUM(E685:E691)</f>
        <v>0</v>
      </c>
      <c r="F692" s="43">
        <f>SUM(F685:F691)</f>
        <v>33430</v>
      </c>
      <c r="G692" s="43">
        <f>SUM(G685:G691)</f>
        <v>31500</v>
      </c>
      <c r="H692" s="44">
        <f>SUM(H685:H691)</f>
        <v>1930</v>
      </c>
      <c r="I692" s="45">
        <f>SUM(I689:I691)</f>
        <v>524562</v>
      </c>
      <c r="J692" s="43">
        <f>SUM(J685:J691)</f>
        <v>511750</v>
      </c>
      <c r="K692" s="43">
        <f>SUM(K685:K691)</f>
        <v>12812</v>
      </c>
      <c r="L692" s="46" t="e">
        <f>+J692/E692</f>
        <v>#DIV/0!</v>
      </c>
      <c r="M692" s="47"/>
      <c r="N692" s="48">
        <f>SUM(N689:N691)</f>
        <v>69744.150000000009</v>
      </c>
      <c r="O692" s="49">
        <f>SUM(O685:O691)</f>
        <v>1133065.675</v>
      </c>
      <c r="P692" s="198"/>
    </row>
    <row r="693" spans="2:16" x14ac:dyDescent="0.25">
      <c r="B693" s="1112"/>
      <c r="C693" s="1125" t="s">
        <v>67</v>
      </c>
      <c r="D693" s="22" t="s">
        <v>64</v>
      </c>
      <c r="E693" s="3">
        <v>0</v>
      </c>
      <c r="F693" s="4">
        <f>G693+H693</f>
        <v>0</v>
      </c>
      <c r="G693" s="4">
        <v>0</v>
      </c>
      <c r="H693" s="8">
        <v>0</v>
      </c>
      <c r="I693" s="16">
        <f>J693+K693</f>
        <v>109220</v>
      </c>
      <c r="J693" s="4">
        <f>G693+J628</f>
        <v>105750</v>
      </c>
      <c r="K693" s="4">
        <f>H693+K628</f>
        <v>3470</v>
      </c>
      <c r="L693" s="50" t="e">
        <f>+J693/E693</f>
        <v>#DIV/0!</v>
      </c>
      <c r="M693" s="144">
        <v>4.1712999999999996</v>
      </c>
      <c r="N693" s="7">
        <f>+M693*G693</f>
        <v>0</v>
      </c>
      <c r="O693" s="93">
        <f>+M693*J693</f>
        <v>441114.97499999998</v>
      </c>
      <c r="P693" s="1122"/>
    </row>
    <row r="694" spans="2:16" x14ac:dyDescent="0.25">
      <c r="B694" s="1112"/>
      <c r="C694" s="1126"/>
      <c r="D694" s="22" t="s">
        <v>65</v>
      </c>
      <c r="E694" s="3">
        <v>0</v>
      </c>
      <c r="F694" s="4">
        <f>G694+H694</f>
        <v>0</v>
      </c>
      <c r="G694" s="4">
        <v>0</v>
      </c>
      <c r="H694" s="8">
        <v>0</v>
      </c>
      <c r="I694" s="6">
        <f>+R1738+F694</f>
        <v>0</v>
      </c>
      <c r="J694" s="4">
        <f>G694+J629</f>
        <v>120000</v>
      </c>
      <c r="K694" s="4">
        <f>H694+K629</f>
        <v>3230</v>
      </c>
      <c r="L694" s="51" t="e">
        <f t="shared" ref="L694:L698" si="540">+J694/E694</f>
        <v>#DIV/0!</v>
      </c>
      <c r="M694" s="145">
        <v>4.8285999999999998</v>
      </c>
      <c r="N694" s="11">
        <f t="shared" ref="N694:N696" si="541">+M694*G694</f>
        <v>0</v>
      </c>
      <c r="O694" s="94">
        <f t="shared" ref="O694:O696" si="542">+M694*J694</f>
        <v>579432</v>
      </c>
      <c r="P694" s="1123"/>
    </row>
    <row r="695" spans="2:16" x14ac:dyDescent="0.25">
      <c r="B695" s="1112"/>
      <c r="C695" s="1126"/>
      <c r="D695" s="22" t="s">
        <v>127</v>
      </c>
      <c r="E695" s="3"/>
      <c r="F695" s="4">
        <f>G695+H695</f>
        <v>0</v>
      </c>
      <c r="G695" s="4">
        <v>0</v>
      </c>
      <c r="H695" s="8">
        <v>0</v>
      </c>
      <c r="I695" s="6">
        <f>+R1739+F695</f>
        <v>0</v>
      </c>
      <c r="J695" s="4">
        <f t="shared" ref="J695:J696" si="543">G695+J630</f>
        <v>0</v>
      </c>
      <c r="K695" s="4">
        <f t="shared" ref="K695:K696" si="544">H695+K630</f>
        <v>0</v>
      </c>
      <c r="L695" s="51" t="e">
        <f t="shared" si="540"/>
        <v>#DIV/0!</v>
      </c>
      <c r="M695" s="144">
        <v>4.5023</v>
      </c>
      <c r="N695" s="11">
        <f t="shared" si="541"/>
        <v>0</v>
      </c>
      <c r="O695" s="94">
        <f t="shared" si="542"/>
        <v>0</v>
      </c>
      <c r="P695" s="1123"/>
    </row>
    <row r="696" spans="2:16" ht="15.75" thickBot="1" x14ac:dyDescent="0.3">
      <c r="B696" s="1112"/>
      <c r="C696" s="1126"/>
      <c r="D696" s="22" t="s">
        <v>111</v>
      </c>
      <c r="E696" s="3">
        <v>0</v>
      </c>
      <c r="F696" s="4">
        <f t="shared" ref="F696" si="545">G696+H696</f>
        <v>0</v>
      </c>
      <c r="G696" s="4">
        <v>0</v>
      </c>
      <c r="H696" s="8">
        <v>0</v>
      </c>
      <c r="I696" s="6">
        <f>+R1739+F696</f>
        <v>0</v>
      </c>
      <c r="J696" s="4">
        <f t="shared" si="543"/>
        <v>0</v>
      </c>
      <c r="K696" s="4">
        <f t="shared" si="544"/>
        <v>0</v>
      </c>
      <c r="L696" s="51" t="e">
        <f t="shared" si="540"/>
        <v>#DIV/0!</v>
      </c>
      <c r="M696" s="144">
        <v>4.4065000000000003</v>
      </c>
      <c r="N696" s="11">
        <f t="shared" si="541"/>
        <v>0</v>
      </c>
      <c r="O696" s="94">
        <f t="shared" si="542"/>
        <v>0</v>
      </c>
      <c r="P696" s="1123"/>
    </row>
    <row r="697" spans="2:16" ht="15.75" thickBot="1" x14ac:dyDescent="0.3">
      <c r="B697" s="1112"/>
      <c r="C697" s="41" t="s">
        <v>31</v>
      </c>
      <c r="D697" s="18" t="str">
        <f>+C697</f>
        <v>TOTAL 4/4</v>
      </c>
      <c r="E697" s="42">
        <f t="shared" ref="E697:K697" si="546">SUM(E693:E696)</f>
        <v>0</v>
      </c>
      <c r="F697" s="43">
        <f t="shared" si="546"/>
        <v>0</v>
      </c>
      <c r="G697" s="43">
        <f t="shared" si="546"/>
        <v>0</v>
      </c>
      <c r="H697" s="44">
        <f t="shared" si="546"/>
        <v>0</v>
      </c>
      <c r="I697" s="45">
        <f t="shared" si="546"/>
        <v>109220</v>
      </c>
      <c r="J697" s="43">
        <f t="shared" si="546"/>
        <v>225750</v>
      </c>
      <c r="K697" s="43">
        <f t="shared" si="546"/>
        <v>6700</v>
      </c>
      <c r="L697" s="46" t="e">
        <f t="shared" si="540"/>
        <v>#DIV/0!</v>
      </c>
      <c r="M697" s="47"/>
      <c r="N697" s="48">
        <f>SUM(N693:N696)</f>
        <v>0</v>
      </c>
      <c r="O697" s="92">
        <f>SUM(O693:O696)</f>
        <v>1020546.975</v>
      </c>
      <c r="P697" s="1124"/>
    </row>
    <row r="698" spans="2:16" ht="15.75" thickBot="1" x14ac:dyDescent="0.3">
      <c r="B698" s="1121"/>
      <c r="C698" s="41" t="s">
        <v>68</v>
      </c>
      <c r="D698" s="27" t="s">
        <v>64</v>
      </c>
      <c r="E698" s="25">
        <v>0</v>
      </c>
      <c r="F698" s="20">
        <f>G698+H698</f>
        <v>0</v>
      </c>
      <c r="G698" s="20">
        <v>0</v>
      </c>
      <c r="H698" s="24">
        <v>0</v>
      </c>
      <c r="I698" s="19">
        <f>J698+K698</f>
        <v>0</v>
      </c>
      <c r="J698" s="4">
        <f>G698+J633</f>
        <v>0</v>
      </c>
      <c r="K698" s="4">
        <f>H698+K633</f>
        <v>0</v>
      </c>
      <c r="L698" s="52" t="e">
        <f t="shared" si="540"/>
        <v>#DIV/0!</v>
      </c>
      <c r="M698" s="149">
        <v>1.4086000000000001</v>
      </c>
      <c r="N698" s="26">
        <f t="shared" ref="N698" si="547">+M698*G698</f>
        <v>0</v>
      </c>
      <c r="O698" s="95">
        <f t="shared" ref="O698" si="548">+M698*J698</f>
        <v>0</v>
      </c>
      <c r="P698" s="53"/>
    </row>
    <row r="699" spans="2:16" ht="15.75" thickBot="1" x14ac:dyDescent="0.3">
      <c r="B699" s="1096" t="s">
        <v>95</v>
      </c>
      <c r="C699" s="1097"/>
      <c r="D699" s="1097"/>
      <c r="E699" s="1097"/>
      <c r="F699" s="1097"/>
      <c r="G699" s="1097"/>
      <c r="H699" s="1097"/>
      <c r="I699" s="110">
        <f>J699+K699</f>
        <v>757012</v>
      </c>
      <c r="J699" s="110">
        <f>J692+J697+J698</f>
        <v>737500</v>
      </c>
      <c r="K699" s="110">
        <f>K692+K697+K698</f>
        <v>19512</v>
      </c>
      <c r="L699" s="111"/>
      <c r="M699" s="112"/>
      <c r="N699" s="109"/>
      <c r="O699" s="77">
        <f>+O698+O697+O692</f>
        <v>2153612.65</v>
      </c>
      <c r="P699" s="84"/>
    </row>
    <row r="700" spans="2:16" x14ac:dyDescent="0.25">
      <c r="B700" s="1098" t="s">
        <v>69</v>
      </c>
      <c r="C700" s="1101" t="s">
        <v>70</v>
      </c>
      <c r="D700" s="54" t="s">
        <v>71</v>
      </c>
      <c r="E700" s="55">
        <v>0</v>
      </c>
      <c r="F700" s="56">
        <f>G700+H700</f>
        <v>5000</v>
      </c>
      <c r="G700" s="56">
        <v>5000</v>
      </c>
      <c r="H700" s="57">
        <v>0</v>
      </c>
      <c r="I700" s="78">
        <f>J700+K700</f>
        <v>10070</v>
      </c>
      <c r="J700" s="4">
        <f>G700+J635</f>
        <v>10000</v>
      </c>
      <c r="K700" s="4">
        <f>H700+K635</f>
        <v>70</v>
      </c>
      <c r="L700" s="58" t="e">
        <f t="shared" ref="L700" si="549">+J700/E700</f>
        <v>#DIV/0!</v>
      </c>
      <c r="M700" s="59">
        <v>32.946300000000001</v>
      </c>
      <c r="N700" s="60">
        <f>+M700*G700</f>
        <v>164731.5</v>
      </c>
      <c r="O700" s="60">
        <f>M700*J700</f>
        <v>329463</v>
      </c>
      <c r="P700" s="1103"/>
    </row>
    <row r="701" spans="2:16" x14ac:dyDescent="0.25">
      <c r="B701" s="1099"/>
      <c r="C701" s="1102"/>
      <c r="D701" s="61" t="s">
        <v>72</v>
      </c>
      <c r="E701" s="62">
        <v>0</v>
      </c>
      <c r="F701" s="63">
        <f>G701+H701</f>
        <v>0</v>
      </c>
      <c r="G701" s="63">
        <v>0</v>
      </c>
      <c r="H701" s="64">
        <v>0</v>
      </c>
      <c r="I701" s="79">
        <f>J701+K701</f>
        <v>31833</v>
      </c>
      <c r="J701" s="4">
        <f>G701+J636</f>
        <v>31420</v>
      </c>
      <c r="K701" s="4">
        <f>H701+K636</f>
        <v>413</v>
      </c>
      <c r="L701" s="65" t="e">
        <f>+J701/E701</f>
        <v>#DIV/0!</v>
      </c>
      <c r="M701" s="66">
        <v>35.398400000000002</v>
      </c>
      <c r="N701" s="67">
        <f>+M701*G701</f>
        <v>0</v>
      </c>
      <c r="O701" s="67">
        <f>M701*J701</f>
        <v>1112217.7280000001</v>
      </c>
      <c r="P701" s="1104"/>
    </row>
    <row r="702" spans="2:16" x14ac:dyDescent="0.25">
      <c r="B702" s="1099"/>
      <c r="C702" s="1102"/>
      <c r="D702" s="61" t="s">
        <v>73</v>
      </c>
      <c r="E702" s="62">
        <v>0</v>
      </c>
      <c r="F702" s="63">
        <f t="shared" ref="F702:F705" si="550">G702+H702</f>
        <v>0</v>
      </c>
      <c r="G702" s="63">
        <v>0</v>
      </c>
      <c r="H702" s="64">
        <v>0</v>
      </c>
      <c r="I702" s="79">
        <f t="shared" ref="I702:I711" si="551">J702+K702</f>
        <v>0</v>
      </c>
      <c r="J702" s="4">
        <f t="shared" ref="J702:J727" si="552">G702+J637</f>
        <v>0</v>
      </c>
      <c r="K702" s="4">
        <f t="shared" ref="K702:K706" si="553">H702+K637</f>
        <v>0</v>
      </c>
      <c r="L702" s="65" t="e">
        <f t="shared" ref="L702:L715" si="554">+J702/E702</f>
        <v>#DIV/0!</v>
      </c>
      <c r="M702" s="66">
        <v>32.946300000000001</v>
      </c>
      <c r="N702" s="67">
        <f t="shared" ref="N702:N722" si="555">+M702*G702</f>
        <v>0</v>
      </c>
      <c r="O702" s="67">
        <f t="shared" ref="O702:O710" si="556">M702*J702</f>
        <v>0</v>
      </c>
      <c r="P702" s="1104"/>
    </row>
    <row r="703" spans="2:16" x14ac:dyDescent="0.25">
      <c r="B703" s="1099"/>
      <c r="C703" s="1102" t="s">
        <v>74</v>
      </c>
      <c r="D703" s="61" t="s">
        <v>75</v>
      </c>
      <c r="E703" s="62">
        <v>0</v>
      </c>
      <c r="F703" s="63">
        <f t="shared" si="550"/>
        <v>0</v>
      </c>
      <c r="G703" s="63">
        <v>0</v>
      </c>
      <c r="H703" s="64">
        <v>0</v>
      </c>
      <c r="I703" s="79">
        <f t="shared" si="551"/>
        <v>12279</v>
      </c>
      <c r="J703" s="4">
        <f t="shared" si="552"/>
        <v>12000</v>
      </c>
      <c r="K703" s="4">
        <f t="shared" si="553"/>
        <v>279</v>
      </c>
      <c r="L703" s="65" t="e">
        <f t="shared" si="554"/>
        <v>#DIV/0!</v>
      </c>
      <c r="M703" s="66">
        <v>55.4758</v>
      </c>
      <c r="N703" s="67">
        <f t="shared" si="555"/>
        <v>0</v>
      </c>
      <c r="O703" s="67">
        <f t="shared" si="556"/>
        <v>665709.6</v>
      </c>
      <c r="P703" s="1104"/>
    </row>
    <row r="704" spans="2:16" x14ac:dyDescent="0.25">
      <c r="B704" s="1099"/>
      <c r="C704" s="1102"/>
      <c r="D704" s="61" t="s">
        <v>134</v>
      </c>
      <c r="E704" s="62">
        <v>0</v>
      </c>
      <c r="F704" s="63">
        <f t="shared" si="550"/>
        <v>0</v>
      </c>
      <c r="G704" s="63">
        <v>0</v>
      </c>
      <c r="H704" s="64">
        <v>0</v>
      </c>
      <c r="I704" s="79">
        <f t="shared" si="551"/>
        <v>0</v>
      </c>
      <c r="J704" s="4">
        <f t="shared" si="552"/>
        <v>0</v>
      </c>
      <c r="K704" s="4">
        <f t="shared" si="553"/>
        <v>0</v>
      </c>
      <c r="L704" s="65" t="e">
        <f t="shared" si="554"/>
        <v>#DIV/0!</v>
      </c>
      <c r="M704" s="66">
        <v>53.515999999999998</v>
      </c>
      <c r="N704" s="67">
        <f t="shared" si="555"/>
        <v>0</v>
      </c>
      <c r="O704" s="67">
        <f t="shared" si="556"/>
        <v>0</v>
      </c>
      <c r="P704" s="1104"/>
    </row>
    <row r="705" spans="2:16" x14ac:dyDescent="0.25">
      <c r="B705" s="1099"/>
      <c r="C705" s="1102"/>
      <c r="D705" s="61" t="s">
        <v>72</v>
      </c>
      <c r="E705" s="62">
        <v>0</v>
      </c>
      <c r="F705" s="63">
        <f t="shared" si="550"/>
        <v>0</v>
      </c>
      <c r="G705" s="63">
        <v>0</v>
      </c>
      <c r="H705" s="64">
        <v>0</v>
      </c>
      <c r="I705" s="79">
        <f t="shared" si="551"/>
        <v>9804</v>
      </c>
      <c r="J705" s="4">
        <f t="shared" si="552"/>
        <v>9600</v>
      </c>
      <c r="K705" s="4">
        <f t="shared" si="553"/>
        <v>204</v>
      </c>
      <c r="L705" s="65" t="e">
        <f t="shared" si="554"/>
        <v>#DIV/0!</v>
      </c>
      <c r="M705" s="66">
        <v>58.836300000000001</v>
      </c>
      <c r="N705" s="67">
        <f t="shared" si="555"/>
        <v>0</v>
      </c>
      <c r="O705" s="67">
        <f t="shared" si="556"/>
        <v>564828.48</v>
      </c>
      <c r="P705" s="1104"/>
    </row>
    <row r="706" spans="2:16" x14ac:dyDescent="0.25">
      <c r="B706" s="1099"/>
      <c r="C706" s="1106" t="s">
        <v>76</v>
      </c>
      <c r="D706" s="61" t="s">
        <v>77</v>
      </c>
      <c r="E706" s="62">
        <v>0</v>
      </c>
      <c r="F706" s="63">
        <f>G706+H706</f>
        <v>3015</v>
      </c>
      <c r="G706" s="63">
        <v>3000</v>
      </c>
      <c r="H706" s="64">
        <v>15</v>
      </c>
      <c r="I706" s="79">
        <f t="shared" si="551"/>
        <v>6690</v>
      </c>
      <c r="J706" s="4">
        <f t="shared" si="552"/>
        <v>6575</v>
      </c>
      <c r="K706" s="4">
        <f t="shared" si="553"/>
        <v>115</v>
      </c>
      <c r="L706" s="65" t="e">
        <f t="shared" si="554"/>
        <v>#DIV/0!</v>
      </c>
      <c r="M706" s="66">
        <v>25.687200000000001</v>
      </c>
      <c r="N706" s="67">
        <f t="shared" si="555"/>
        <v>77061.600000000006</v>
      </c>
      <c r="O706" s="67">
        <f t="shared" si="556"/>
        <v>168893.34</v>
      </c>
      <c r="P706" s="1104"/>
    </row>
    <row r="707" spans="2:16" x14ac:dyDescent="0.25">
      <c r="B707" s="1099"/>
      <c r="C707" s="1107"/>
      <c r="D707" s="61" t="s">
        <v>117</v>
      </c>
      <c r="E707" s="62">
        <v>0</v>
      </c>
      <c r="F707" s="63">
        <f>G707+H707</f>
        <v>0</v>
      </c>
      <c r="G707" s="63">
        <v>0</v>
      </c>
      <c r="H707" s="64">
        <v>0</v>
      </c>
      <c r="I707" s="79">
        <f t="shared" si="551"/>
        <v>0</v>
      </c>
      <c r="J707" s="4">
        <f t="shared" si="552"/>
        <v>0</v>
      </c>
      <c r="K707" s="4">
        <f>H707+K642</f>
        <v>0</v>
      </c>
      <c r="L707" s="65" t="e">
        <f t="shared" si="554"/>
        <v>#DIV/0!</v>
      </c>
      <c r="M707" s="66">
        <v>25.033899999999999</v>
      </c>
      <c r="N707" s="67">
        <f t="shared" si="555"/>
        <v>0</v>
      </c>
      <c r="O707" s="67">
        <f t="shared" si="556"/>
        <v>0</v>
      </c>
      <c r="P707" s="1104"/>
    </row>
    <row r="708" spans="2:16" x14ac:dyDescent="0.25">
      <c r="B708" s="1099"/>
      <c r="C708" s="1106" t="s">
        <v>78</v>
      </c>
      <c r="D708" s="61" t="s">
        <v>79</v>
      </c>
      <c r="E708" s="62">
        <v>0</v>
      </c>
      <c r="F708" s="63">
        <f t="shared" ref="F708:F727" si="557">G708+H708</f>
        <v>2085</v>
      </c>
      <c r="G708" s="63">
        <v>2000</v>
      </c>
      <c r="H708" s="64">
        <v>85</v>
      </c>
      <c r="I708" s="79">
        <f t="shared" si="551"/>
        <v>14273</v>
      </c>
      <c r="J708" s="4">
        <f t="shared" si="552"/>
        <v>14000</v>
      </c>
      <c r="K708" s="4">
        <f t="shared" ref="K708:K727" si="558">H708+K643</f>
        <v>273</v>
      </c>
      <c r="L708" s="65" t="e">
        <f t="shared" si="554"/>
        <v>#DIV/0!</v>
      </c>
      <c r="M708" s="66">
        <v>41.992699999999999</v>
      </c>
      <c r="N708" s="67">
        <f t="shared" si="555"/>
        <v>83985.4</v>
      </c>
      <c r="O708" s="67">
        <f t="shared" si="556"/>
        <v>587897.80000000005</v>
      </c>
      <c r="P708" s="1104"/>
    </row>
    <row r="709" spans="2:16" x14ac:dyDescent="0.25">
      <c r="B709" s="1099"/>
      <c r="C709" s="1107"/>
      <c r="D709" s="61" t="s">
        <v>72</v>
      </c>
      <c r="E709" s="62">
        <v>0</v>
      </c>
      <c r="F709" s="63">
        <f t="shared" si="557"/>
        <v>0</v>
      </c>
      <c r="G709" s="63">
        <v>0</v>
      </c>
      <c r="H709" s="64">
        <v>0</v>
      </c>
      <c r="I709" s="79">
        <f t="shared" si="551"/>
        <v>0</v>
      </c>
      <c r="J709" s="4">
        <f t="shared" si="552"/>
        <v>0</v>
      </c>
      <c r="K709" s="4">
        <f t="shared" si="558"/>
        <v>0</v>
      </c>
      <c r="L709" s="65" t="e">
        <f t="shared" si="554"/>
        <v>#DIV/0!</v>
      </c>
      <c r="M709" s="66">
        <v>42.283799999999999</v>
      </c>
      <c r="N709" s="67">
        <f t="shared" si="555"/>
        <v>0</v>
      </c>
      <c r="O709" s="67">
        <f t="shared" si="556"/>
        <v>0</v>
      </c>
      <c r="P709" s="1104"/>
    </row>
    <row r="710" spans="2:16" x14ac:dyDescent="0.25">
      <c r="B710" s="1099"/>
      <c r="C710" s="196" t="s">
        <v>80</v>
      </c>
      <c r="D710" s="61" t="s">
        <v>81</v>
      </c>
      <c r="E710" s="62">
        <v>0</v>
      </c>
      <c r="F710" s="63">
        <f t="shared" si="557"/>
        <v>0</v>
      </c>
      <c r="G710" s="63">
        <v>0</v>
      </c>
      <c r="H710" s="64">
        <v>0</v>
      </c>
      <c r="I710" s="79">
        <f t="shared" si="551"/>
        <v>24803</v>
      </c>
      <c r="J710" s="4">
        <f t="shared" si="552"/>
        <v>24000</v>
      </c>
      <c r="K710" s="4">
        <f t="shared" si="558"/>
        <v>803</v>
      </c>
      <c r="L710" s="65" t="e">
        <f t="shared" si="554"/>
        <v>#DIV/0!</v>
      </c>
      <c r="M710" s="66">
        <v>4.3535000000000004</v>
      </c>
      <c r="N710" s="67">
        <f t="shared" si="555"/>
        <v>0</v>
      </c>
      <c r="O710" s="67">
        <f t="shared" si="556"/>
        <v>104484.00000000001</v>
      </c>
      <c r="P710" s="1104"/>
    </row>
    <row r="711" spans="2:16" x14ac:dyDescent="0.25">
      <c r="B711" s="1099"/>
      <c r="C711" s="1102" t="s">
        <v>82</v>
      </c>
      <c r="D711" s="61" t="s">
        <v>77</v>
      </c>
      <c r="E711" s="62">
        <v>0</v>
      </c>
      <c r="F711" s="63">
        <f t="shared" si="557"/>
        <v>0</v>
      </c>
      <c r="G711" s="63">
        <v>0</v>
      </c>
      <c r="H711" s="64">
        <v>0</v>
      </c>
      <c r="I711" s="79">
        <f t="shared" si="551"/>
        <v>0</v>
      </c>
      <c r="J711" s="4">
        <f t="shared" si="552"/>
        <v>0</v>
      </c>
      <c r="K711" s="4">
        <f t="shared" si="558"/>
        <v>0</v>
      </c>
      <c r="L711" s="65" t="e">
        <f t="shared" si="554"/>
        <v>#DIV/0!</v>
      </c>
      <c r="M711" s="66">
        <v>4.6184000000000003</v>
      </c>
      <c r="N711" s="67">
        <f t="shared" si="555"/>
        <v>0</v>
      </c>
      <c r="O711" s="67">
        <f>M711*J711</f>
        <v>0</v>
      </c>
      <c r="P711" s="1104"/>
    </row>
    <row r="712" spans="2:16" x14ac:dyDescent="0.25">
      <c r="B712" s="1099"/>
      <c r="C712" s="1102"/>
      <c r="D712" s="61" t="s">
        <v>119</v>
      </c>
      <c r="E712" s="62">
        <v>0</v>
      </c>
      <c r="F712" s="63">
        <f t="shared" si="557"/>
        <v>0</v>
      </c>
      <c r="G712" s="63">
        <v>0</v>
      </c>
      <c r="H712" s="64">
        <v>0</v>
      </c>
      <c r="I712" s="79">
        <f>J712+K712</f>
        <v>0</v>
      </c>
      <c r="J712" s="4">
        <f t="shared" si="552"/>
        <v>0</v>
      </c>
      <c r="K712" s="4">
        <f t="shared" si="558"/>
        <v>0</v>
      </c>
      <c r="L712" s="65" t="e">
        <f t="shared" si="554"/>
        <v>#DIV/0!</v>
      </c>
      <c r="M712" s="153">
        <v>4.6184000000000003</v>
      </c>
      <c r="N712" s="67">
        <f t="shared" si="555"/>
        <v>0</v>
      </c>
      <c r="O712" s="67">
        <f>M712*J712</f>
        <v>0</v>
      </c>
      <c r="P712" s="1104"/>
    </row>
    <row r="713" spans="2:16" x14ac:dyDescent="0.25">
      <c r="B713" s="1099"/>
      <c r="C713" s="1102"/>
      <c r="D713" s="61" t="s">
        <v>123</v>
      </c>
      <c r="E713" s="62">
        <v>0</v>
      </c>
      <c r="F713" s="63">
        <f t="shared" si="557"/>
        <v>0</v>
      </c>
      <c r="G713" s="63">
        <v>0</v>
      </c>
      <c r="H713" s="64">
        <v>0</v>
      </c>
      <c r="I713" s="79">
        <f t="shared" ref="I713:I727" si="559">J713+K713</f>
        <v>0</v>
      </c>
      <c r="J713" s="4">
        <f t="shared" si="552"/>
        <v>0</v>
      </c>
      <c r="K713" s="4">
        <f t="shared" si="558"/>
        <v>0</v>
      </c>
      <c r="L713" s="65" t="e">
        <f t="shared" si="554"/>
        <v>#DIV/0!</v>
      </c>
      <c r="M713" s="153">
        <v>4.6184000000000003</v>
      </c>
      <c r="N713" s="67">
        <f t="shared" si="555"/>
        <v>0</v>
      </c>
      <c r="O713" s="67">
        <f t="shared" ref="O713:O718" si="560">M713*J713</f>
        <v>0</v>
      </c>
      <c r="P713" s="1104"/>
    </row>
    <row r="714" spans="2:16" x14ac:dyDescent="0.25">
      <c r="B714" s="1099"/>
      <c r="C714" s="1102"/>
      <c r="D714" s="61" t="s">
        <v>124</v>
      </c>
      <c r="E714" s="62">
        <v>0</v>
      </c>
      <c r="F714" s="63">
        <f t="shared" si="557"/>
        <v>22742</v>
      </c>
      <c r="G714" s="63">
        <v>22000</v>
      </c>
      <c r="H714" s="64">
        <v>742</v>
      </c>
      <c r="I714" s="79">
        <f t="shared" si="559"/>
        <v>216801</v>
      </c>
      <c r="J714" s="4">
        <f t="shared" si="552"/>
        <v>210235</v>
      </c>
      <c r="K714" s="4">
        <f t="shared" si="558"/>
        <v>6566</v>
      </c>
      <c r="L714" s="65" t="e">
        <f t="shared" si="554"/>
        <v>#DIV/0!</v>
      </c>
      <c r="M714" s="153">
        <v>4.7636000000000003</v>
      </c>
      <c r="N714" s="67">
        <f t="shared" si="555"/>
        <v>104799.20000000001</v>
      </c>
      <c r="O714" s="67">
        <f t="shared" si="560"/>
        <v>1001475.4460000001</v>
      </c>
      <c r="P714" s="1104"/>
    </row>
    <row r="715" spans="2:16" x14ac:dyDescent="0.25">
      <c r="B715" s="1099"/>
      <c r="C715" s="1102"/>
      <c r="D715" s="61" t="s">
        <v>83</v>
      </c>
      <c r="E715" s="62">
        <v>0</v>
      </c>
      <c r="F715" s="63">
        <f t="shared" si="557"/>
        <v>0</v>
      </c>
      <c r="G715" s="63">
        <v>0</v>
      </c>
      <c r="H715" s="64">
        <v>0</v>
      </c>
      <c r="I715" s="79">
        <f t="shared" si="559"/>
        <v>0</v>
      </c>
      <c r="J715" s="4">
        <f t="shared" si="552"/>
        <v>0</v>
      </c>
      <c r="K715" s="4">
        <f t="shared" si="558"/>
        <v>0</v>
      </c>
      <c r="L715" s="65" t="e">
        <f t="shared" si="554"/>
        <v>#DIV/0!</v>
      </c>
      <c r="M715" s="66">
        <v>4.8738000000000001</v>
      </c>
      <c r="N715" s="67">
        <f t="shared" si="555"/>
        <v>0</v>
      </c>
      <c r="O715" s="67">
        <f t="shared" si="560"/>
        <v>0</v>
      </c>
      <c r="P715" s="1104"/>
    </row>
    <row r="716" spans="2:16" x14ac:dyDescent="0.25">
      <c r="B716" s="1099"/>
      <c r="C716" s="196" t="s">
        <v>128</v>
      </c>
      <c r="D716" s="61" t="s">
        <v>124</v>
      </c>
      <c r="E716" s="62"/>
      <c r="F716" s="63">
        <f t="shared" si="557"/>
        <v>0</v>
      </c>
      <c r="G716" s="63">
        <v>0</v>
      </c>
      <c r="H716" s="64">
        <v>0</v>
      </c>
      <c r="I716" s="79">
        <f t="shared" si="559"/>
        <v>0</v>
      </c>
      <c r="J716" s="4">
        <f t="shared" si="552"/>
        <v>0</v>
      </c>
      <c r="K716" s="4">
        <f t="shared" si="558"/>
        <v>0</v>
      </c>
      <c r="L716" s="65"/>
      <c r="M716" s="66">
        <v>4.8738000000000001</v>
      </c>
      <c r="N716" s="67">
        <f t="shared" si="555"/>
        <v>0</v>
      </c>
      <c r="O716" s="67">
        <f t="shared" si="560"/>
        <v>0</v>
      </c>
      <c r="P716" s="1104"/>
    </row>
    <row r="717" spans="2:16" x14ac:dyDescent="0.25">
      <c r="B717" s="1099"/>
      <c r="C717" s="1102" t="s">
        <v>84</v>
      </c>
      <c r="D717" s="61" t="s">
        <v>77</v>
      </c>
      <c r="E717" s="62">
        <v>0</v>
      </c>
      <c r="F717" s="63">
        <f t="shared" si="557"/>
        <v>18042</v>
      </c>
      <c r="G717" s="63">
        <v>18000</v>
      </c>
      <c r="H717" s="64">
        <v>42</v>
      </c>
      <c r="I717" s="79">
        <f t="shared" si="559"/>
        <v>190900</v>
      </c>
      <c r="J717" s="4">
        <f t="shared" si="552"/>
        <v>188900</v>
      </c>
      <c r="K717" s="4">
        <f t="shared" si="558"/>
        <v>2000</v>
      </c>
      <c r="L717" s="65" t="e">
        <f t="shared" ref="L717:L727" si="561">+J717/E717</f>
        <v>#DIV/0!</v>
      </c>
      <c r="M717" s="66">
        <v>4.9344999999999999</v>
      </c>
      <c r="N717" s="67">
        <f t="shared" si="555"/>
        <v>88821</v>
      </c>
      <c r="O717" s="67">
        <f t="shared" si="560"/>
        <v>932127.04999999993</v>
      </c>
      <c r="P717" s="1104"/>
    </row>
    <row r="718" spans="2:16" x14ac:dyDescent="0.25">
      <c r="B718" s="1099"/>
      <c r="C718" s="1102"/>
      <c r="D718" s="61" t="s">
        <v>135</v>
      </c>
      <c r="E718" s="62"/>
      <c r="F718" s="63">
        <f t="shared" si="557"/>
        <v>4028</v>
      </c>
      <c r="G718" s="63">
        <v>3050</v>
      </c>
      <c r="H718" s="64">
        <v>978</v>
      </c>
      <c r="I718" s="79">
        <f t="shared" si="559"/>
        <v>4028</v>
      </c>
      <c r="J718" s="4">
        <f t="shared" si="552"/>
        <v>3050</v>
      </c>
      <c r="K718" s="4">
        <f t="shared" si="558"/>
        <v>978</v>
      </c>
      <c r="L718" s="65" t="e">
        <f t="shared" si="561"/>
        <v>#DIV/0!</v>
      </c>
      <c r="M718" s="66">
        <v>4.9344999999999999</v>
      </c>
      <c r="N718" s="67">
        <f t="shared" si="555"/>
        <v>15050.225</v>
      </c>
      <c r="O718" s="67">
        <f t="shared" si="560"/>
        <v>15050.225</v>
      </c>
      <c r="P718" s="1104"/>
    </row>
    <row r="719" spans="2:16" x14ac:dyDescent="0.25">
      <c r="B719" s="1099"/>
      <c r="C719" s="1102"/>
      <c r="D719" s="61" t="s">
        <v>129</v>
      </c>
      <c r="E719" s="62">
        <v>0</v>
      </c>
      <c r="F719" s="63">
        <f t="shared" si="557"/>
        <v>0</v>
      </c>
      <c r="G719" s="155">
        <v>0</v>
      </c>
      <c r="H719" s="156">
        <v>0</v>
      </c>
      <c r="I719" s="157">
        <f t="shared" si="559"/>
        <v>0</v>
      </c>
      <c r="J719" s="4">
        <f t="shared" si="552"/>
        <v>0</v>
      </c>
      <c r="K719" s="4">
        <f t="shared" si="558"/>
        <v>0</v>
      </c>
      <c r="L719" s="158" t="e">
        <f t="shared" si="561"/>
        <v>#DIV/0!</v>
      </c>
      <c r="M719" s="66">
        <v>4.9344999999999999</v>
      </c>
      <c r="N719" s="159">
        <f t="shared" si="555"/>
        <v>0</v>
      </c>
      <c r="O719" s="67">
        <f>M719*J719</f>
        <v>0</v>
      </c>
      <c r="P719" s="1104"/>
    </row>
    <row r="720" spans="2:16" x14ac:dyDescent="0.25">
      <c r="B720" s="1099"/>
      <c r="C720" s="1102" t="s">
        <v>85</v>
      </c>
      <c r="D720" s="61" t="s">
        <v>77</v>
      </c>
      <c r="E720" s="62">
        <v>0</v>
      </c>
      <c r="F720" s="63">
        <f t="shared" si="557"/>
        <v>0</v>
      </c>
      <c r="G720" s="63">
        <v>0</v>
      </c>
      <c r="H720" s="64">
        <v>0</v>
      </c>
      <c r="I720" s="79">
        <f t="shared" si="559"/>
        <v>138276</v>
      </c>
      <c r="J720" s="4">
        <f t="shared" si="552"/>
        <v>130950</v>
      </c>
      <c r="K720" s="4">
        <f t="shared" si="558"/>
        <v>7326</v>
      </c>
      <c r="L720" s="65" t="e">
        <f t="shared" si="561"/>
        <v>#DIV/0!</v>
      </c>
      <c r="M720" s="148">
        <v>5.5069999999999997</v>
      </c>
      <c r="N720" s="67">
        <f t="shared" si="555"/>
        <v>0</v>
      </c>
      <c r="O720" s="67">
        <f>M720*J720</f>
        <v>721141.64999999991</v>
      </c>
      <c r="P720" s="1104"/>
    </row>
    <row r="721" spans="2:16" x14ac:dyDescent="0.25">
      <c r="B721" s="1099"/>
      <c r="C721" s="1102"/>
      <c r="D721" s="61" t="s">
        <v>112</v>
      </c>
      <c r="E721" s="62">
        <v>0</v>
      </c>
      <c r="F721" s="63">
        <f t="shared" si="557"/>
        <v>18198</v>
      </c>
      <c r="G721" s="63">
        <v>17550</v>
      </c>
      <c r="H721" s="64">
        <v>648</v>
      </c>
      <c r="I721" s="79">
        <f t="shared" si="559"/>
        <v>49376</v>
      </c>
      <c r="J721" s="4">
        <f t="shared" si="552"/>
        <v>47700</v>
      </c>
      <c r="K721" s="4">
        <f t="shared" si="558"/>
        <v>1676</v>
      </c>
      <c r="L721" s="65" t="e">
        <f t="shared" si="561"/>
        <v>#DIV/0!</v>
      </c>
      <c r="M721" s="147">
        <v>5.6550000000000002</v>
      </c>
      <c r="N721" s="67">
        <f t="shared" si="555"/>
        <v>99245.25</v>
      </c>
      <c r="O721" s="67">
        <f>M721*J721</f>
        <v>269743.5</v>
      </c>
      <c r="P721" s="1104"/>
    </row>
    <row r="722" spans="2:16" x14ac:dyDescent="0.25">
      <c r="B722" s="1099"/>
      <c r="C722" s="1102"/>
      <c r="D722" s="61" t="s">
        <v>118</v>
      </c>
      <c r="E722" s="62">
        <v>0</v>
      </c>
      <c r="F722" s="63">
        <f t="shared" si="557"/>
        <v>0</v>
      </c>
      <c r="G722" s="63">
        <v>0</v>
      </c>
      <c r="H722" s="64">
        <v>0</v>
      </c>
      <c r="I722" s="79">
        <f t="shared" si="559"/>
        <v>0</v>
      </c>
      <c r="J722" s="4">
        <f t="shared" si="552"/>
        <v>0</v>
      </c>
      <c r="K722" s="4">
        <f t="shared" si="558"/>
        <v>0</v>
      </c>
      <c r="L722" s="65" t="e">
        <f t="shared" si="561"/>
        <v>#DIV/0!</v>
      </c>
      <c r="M722" s="152">
        <v>5.6550000000000002</v>
      </c>
      <c r="N722" s="67">
        <f t="shared" si="555"/>
        <v>0</v>
      </c>
      <c r="O722" s="67">
        <f>M722*J722</f>
        <v>0</v>
      </c>
      <c r="P722" s="1104"/>
    </row>
    <row r="723" spans="2:16" x14ac:dyDescent="0.25">
      <c r="B723" s="1099"/>
      <c r="C723" s="1102"/>
      <c r="D723" s="61" t="s">
        <v>121</v>
      </c>
      <c r="E723" s="62">
        <v>0</v>
      </c>
      <c r="F723" s="63">
        <f t="shared" si="557"/>
        <v>0</v>
      </c>
      <c r="G723" s="63">
        <v>0</v>
      </c>
      <c r="H723" s="64">
        <v>0</v>
      </c>
      <c r="I723" s="79">
        <f t="shared" si="559"/>
        <v>28324</v>
      </c>
      <c r="J723" s="4">
        <f t="shared" si="552"/>
        <v>26710</v>
      </c>
      <c r="K723" s="4">
        <f t="shared" si="558"/>
        <v>1614</v>
      </c>
      <c r="L723" s="65" t="e">
        <f t="shared" si="561"/>
        <v>#DIV/0!</v>
      </c>
      <c r="M723" s="66">
        <v>5.7885299999999997</v>
      </c>
      <c r="N723" s="67">
        <f>+M723*G723</f>
        <v>0</v>
      </c>
      <c r="O723" s="67">
        <f>M723*J723</f>
        <v>154611.63629999998</v>
      </c>
      <c r="P723" s="1104"/>
    </row>
    <row r="724" spans="2:16" x14ac:dyDescent="0.25">
      <c r="B724" s="1099"/>
      <c r="C724" s="1102"/>
      <c r="D724" s="61" t="s">
        <v>136</v>
      </c>
      <c r="E724" s="62">
        <v>0</v>
      </c>
      <c r="F724" s="63">
        <f t="shared" si="557"/>
        <v>0</v>
      </c>
      <c r="G724" s="63">
        <v>0</v>
      </c>
      <c r="H724" s="64">
        <v>0</v>
      </c>
      <c r="I724" s="79">
        <f t="shared" si="559"/>
        <v>0</v>
      </c>
      <c r="J724" s="4">
        <f t="shared" si="552"/>
        <v>0</v>
      </c>
      <c r="K724" s="4">
        <f t="shared" si="558"/>
        <v>0</v>
      </c>
      <c r="L724" s="65" t="e">
        <f t="shared" si="561"/>
        <v>#DIV/0!</v>
      </c>
      <c r="M724" s="152">
        <v>5.6550000000000002</v>
      </c>
      <c r="N724" s="67">
        <f t="shared" ref="N724:N726" si="562">+M724*G724</f>
        <v>0</v>
      </c>
      <c r="O724" s="67">
        <f t="shared" ref="O724:O727" si="563">M724*J724</f>
        <v>0</v>
      </c>
      <c r="P724" s="1104"/>
    </row>
    <row r="725" spans="2:16" x14ac:dyDescent="0.25">
      <c r="B725" s="1099"/>
      <c r="C725" s="196" t="s">
        <v>86</v>
      </c>
      <c r="D725" s="61" t="s">
        <v>77</v>
      </c>
      <c r="E725" s="62">
        <v>0</v>
      </c>
      <c r="F725" s="63">
        <f t="shared" si="557"/>
        <v>0</v>
      </c>
      <c r="G725" s="63">
        <v>0</v>
      </c>
      <c r="H725" s="64">
        <v>0</v>
      </c>
      <c r="I725" s="79">
        <f t="shared" si="559"/>
        <v>0</v>
      </c>
      <c r="J725" s="4">
        <f t="shared" si="552"/>
        <v>0</v>
      </c>
      <c r="K725" s="4">
        <f t="shared" si="558"/>
        <v>0</v>
      </c>
      <c r="L725" s="65" t="e">
        <f t="shared" si="561"/>
        <v>#DIV/0!</v>
      </c>
      <c r="M725" s="66">
        <v>3.2963</v>
      </c>
      <c r="N725" s="67">
        <f t="shared" si="562"/>
        <v>0</v>
      </c>
      <c r="O725" s="67">
        <f t="shared" si="563"/>
        <v>0</v>
      </c>
      <c r="P725" s="1104"/>
    </row>
    <row r="726" spans="2:16" x14ac:dyDescent="0.25">
      <c r="B726" s="1099"/>
      <c r="C726" s="196" t="s">
        <v>87</v>
      </c>
      <c r="D726" s="61" t="s">
        <v>77</v>
      </c>
      <c r="E726" s="62">
        <v>0</v>
      </c>
      <c r="F726" s="63">
        <f t="shared" si="557"/>
        <v>0</v>
      </c>
      <c r="G726" s="63">
        <v>0</v>
      </c>
      <c r="H726" s="64">
        <v>0</v>
      </c>
      <c r="I726" s="79">
        <f t="shared" si="559"/>
        <v>0</v>
      </c>
      <c r="J726" s="4">
        <f t="shared" si="552"/>
        <v>0</v>
      </c>
      <c r="K726" s="4">
        <f t="shared" si="558"/>
        <v>0</v>
      </c>
      <c r="L726" s="65" t="e">
        <f t="shared" si="561"/>
        <v>#DIV/0!</v>
      </c>
      <c r="M726" s="66">
        <v>3.2963</v>
      </c>
      <c r="N726" s="67">
        <f t="shared" si="562"/>
        <v>0</v>
      </c>
      <c r="O726" s="67">
        <f t="shared" si="563"/>
        <v>0</v>
      </c>
      <c r="P726" s="1104"/>
    </row>
    <row r="727" spans="2:16" ht="15.75" thickBot="1" x14ac:dyDescent="0.3">
      <c r="B727" s="1099"/>
      <c r="C727" s="68" t="s">
        <v>88</v>
      </c>
      <c r="D727" s="69" t="s">
        <v>89</v>
      </c>
      <c r="E727" s="70">
        <v>0</v>
      </c>
      <c r="F727" s="71">
        <f t="shared" si="557"/>
        <v>0</v>
      </c>
      <c r="G727" s="71">
        <v>0</v>
      </c>
      <c r="H727" s="72">
        <v>0</v>
      </c>
      <c r="I727" s="80">
        <f t="shared" si="559"/>
        <v>65030</v>
      </c>
      <c r="J727" s="4">
        <f t="shared" si="552"/>
        <v>65000</v>
      </c>
      <c r="K727" s="4">
        <f t="shared" si="558"/>
        <v>30</v>
      </c>
      <c r="L727" s="65" t="e">
        <f t="shared" si="561"/>
        <v>#DIV/0!</v>
      </c>
      <c r="M727" s="73">
        <v>2.3201000000000001</v>
      </c>
      <c r="N727" s="74">
        <f t="shared" ref="N727" si="564">M727*G727</f>
        <v>0</v>
      </c>
      <c r="O727" s="74">
        <f t="shared" si="563"/>
        <v>150806.5</v>
      </c>
      <c r="P727" s="1105"/>
    </row>
    <row r="728" spans="2:16" ht="15.75" thickBot="1" x14ac:dyDescent="0.3">
      <c r="B728" s="1100"/>
      <c r="C728" s="1108" t="s">
        <v>99</v>
      </c>
      <c r="D728" s="1109"/>
      <c r="E728" s="1109"/>
      <c r="F728" s="1109"/>
      <c r="G728" s="1109"/>
      <c r="H728" s="1110"/>
      <c r="I728" s="116">
        <f>J728+K728</f>
        <v>802487</v>
      </c>
      <c r="J728" s="115">
        <f>SUM(J700:J727)</f>
        <v>780140</v>
      </c>
      <c r="K728" s="115">
        <f>SUM(K700:K727)</f>
        <v>22347</v>
      </c>
      <c r="L728" s="114"/>
      <c r="M728" s="113"/>
      <c r="N728" s="114"/>
      <c r="O728" s="97">
        <f>SUM(O700:O727)</f>
        <v>6778449.9553000005</v>
      </c>
      <c r="P728" s="96"/>
    </row>
    <row r="729" spans="2:16" ht="15.75" thickBot="1" x14ac:dyDescent="0.3">
      <c r="B729" s="100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2"/>
    </row>
    <row r="730" spans="2:16" ht="15.75" thickBot="1" x14ac:dyDescent="0.3">
      <c r="B730" s="1093" t="s">
        <v>100</v>
      </c>
      <c r="C730" s="1094"/>
      <c r="D730" s="1094"/>
      <c r="E730" s="1094"/>
      <c r="F730" s="1094"/>
      <c r="G730" s="1094"/>
      <c r="H730" s="1094"/>
      <c r="I730" s="1094"/>
      <c r="J730" s="1094"/>
      <c r="K730" s="1094"/>
      <c r="L730" s="1094"/>
      <c r="M730" s="1094"/>
      <c r="N730" s="1095"/>
      <c r="O730" s="103">
        <f>+O728+O699+O684</f>
        <v>14743500.3013</v>
      </c>
      <c r="P730" s="96"/>
    </row>
    <row r="731" spans="2:16" ht="15.75" thickBot="1" x14ac:dyDescent="0.3"/>
    <row r="732" spans="2:16" x14ac:dyDescent="0.25">
      <c r="B732" s="1127" t="s">
        <v>1</v>
      </c>
      <c r="C732" s="1129" t="s">
        <v>2</v>
      </c>
      <c r="D732" s="1132" t="s">
        <v>3</v>
      </c>
      <c r="E732" s="1135" t="s">
        <v>4</v>
      </c>
      <c r="F732" s="1136"/>
      <c r="G732" s="1136"/>
      <c r="H732" s="1136"/>
      <c r="I732" s="1136"/>
      <c r="J732" s="1136"/>
      <c r="K732" s="1136"/>
      <c r="L732" s="1137"/>
      <c r="M732" s="1138" t="s">
        <v>5</v>
      </c>
      <c r="N732" s="1139"/>
      <c r="O732" s="1140"/>
      <c r="P732" s="1132" t="s">
        <v>6</v>
      </c>
    </row>
    <row r="733" spans="2:16" x14ac:dyDescent="0.25">
      <c r="B733" s="1128"/>
      <c r="C733" s="1130"/>
      <c r="D733" s="1133"/>
      <c r="E733" s="1141" t="s">
        <v>7</v>
      </c>
      <c r="F733" s="1143" t="s">
        <v>151</v>
      </c>
      <c r="G733" s="1143"/>
      <c r="H733" s="1144"/>
      <c r="I733" s="1145" t="s">
        <v>8</v>
      </c>
      <c r="J733" s="1143"/>
      <c r="K733" s="1143"/>
      <c r="L733" s="1144" t="s">
        <v>9</v>
      </c>
      <c r="M733" s="1147" t="s">
        <v>10</v>
      </c>
      <c r="N733" s="1149" t="s">
        <v>11</v>
      </c>
      <c r="O733" s="1151" t="s">
        <v>12</v>
      </c>
      <c r="P733" s="1133"/>
    </row>
    <row r="734" spans="2:16" ht="15.75" thickBot="1" x14ac:dyDescent="0.3">
      <c r="B734" s="1128"/>
      <c r="C734" s="1131"/>
      <c r="D734" s="1134"/>
      <c r="E734" s="1142"/>
      <c r="F734" s="2" t="s">
        <v>13</v>
      </c>
      <c r="G734" s="2" t="s">
        <v>14</v>
      </c>
      <c r="H734" s="203" t="s">
        <v>15</v>
      </c>
      <c r="I734" s="142" t="s">
        <v>13</v>
      </c>
      <c r="J734" s="2" t="s">
        <v>14</v>
      </c>
      <c r="K734" s="2" t="s">
        <v>15</v>
      </c>
      <c r="L734" s="1146"/>
      <c r="M734" s="1148"/>
      <c r="N734" s="1150"/>
      <c r="O734" s="1152"/>
      <c r="P734" s="1134"/>
    </row>
    <row r="735" spans="2:16" x14ac:dyDescent="0.25">
      <c r="B735" s="1111" t="s">
        <v>53</v>
      </c>
      <c r="C735" s="29"/>
      <c r="D735" s="117" t="s">
        <v>143</v>
      </c>
      <c r="E735" s="98">
        <v>0</v>
      </c>
      <c r="F735" s="4">
        <f>+G735+H735</f>
        <v>0</v>
      </c>
      <c r="G735" s="4">
        <v>0</v>
      </c>
      <c r="H735" s="8">
        <v>0</v>
      </c>
      <c r="I735" s="6">
        <f>J735+K735</f>
        <v>285266</v>
      </c>
      <c r="J735" s="4">
        <f>G735+J670</f>
        <v>280000</v>
      </c>
      <c r="K735" s="4">
        <f>H735+K670</f>
        <v>5266</v>
      </c>
      <c r="L735" s="33" t="e">
        <f>+J735/E735</f>
        <v>#DIV/0!</v>
      </c>
      <c r="M735" s="104">
        <v>1.3652</v>
      </c>
      <c r="N735" s="31">
        <f>G735*M735</f>
        <v>0</v>
      </c>
      <c r="O735" s="86">
        <f>M735*J735</f>
        <v>382256</v>
      </c>
      <c r="P735" s="1113"/>
    </row>
    <row r="736" spans="2:16" x14ac:dyDescent="0.25">
      <c r="B736" s="1112"/>
      <c r="C736" s="32"/>
      <c r="D736" s="118" t="s">
        <v>109</v>
      </c>
      <c r="E736" s="99">
        <v>0</v>
      </c>
      <c r="F736" s="9">
        <f>+G736+H736</f>
        <v>0</v>
      </c>
      <c r="G736" s="9">
        <v>0</v>
      </c>
      <c r="H736" s="10">
        <v>0</v>
      </c>
      <c r="I736" s="6">
        <f>J736+K736</f>
        <v>0</v>
      </c>
      <c r="J736" s="4">
        <f>+G736+J671</f>
        <v>0</v>
      </c>
      <c r="K736" s="4">
        <f>+H736+K671</f>
        <v>0</v>
      </c>
      <c r="L736" s="33"/>
      <c r="M736" s="105">
        <v>5.9917999999999996</v>
      </c>
      <c r="N736" s="34">
        <f>M736*G736</f>
        <v>0</v>
      </c>
      <c r="O736" s="87">
        <f>M736*J736</f>
        <v>0</v>
      </c>
      <c r="P736" s="1114"/>
    </row>
    <row r="737" spans="2:16" x14ac:dyDescent="0.25">
      <c r="B737" s="1112"/>
      <c r="C737" s="35"/>
      <c r="D737" s="119" t="s">
        <v>55</v>
      </c>
      <c r="E737" s="99">
        <v>0</v>
      </c>
      <c r="F737" s="9">
        <f t="shared" ref="F737:F741" si="565">+G737+H737</f>
        <v>231586</v>
      </c>
      <c r="G737" s="9">
        <v>230000</v>
      </c>
      <c r="H737" s="10">
        <v>1586</v>
      </c>
      <c r="I737" s="6">
        <f t="shared" ref="I737:I741" si="566">J737+K737</f>
        <v>2263092</v>
      </c>
      <c r="J737" s="4">
        <f t="shared" ref="J737:J741" si="567">+G737+J672</f>
        <v>2245750</v>
      </c>
      <c r="K737" s="4">
        <f t="shared" ref="K737:K741" si="568">+H737+K672</f>
        <v>17342</v>
      </c>
      <c r="L737" s="33" t="e">
        <f t="shared" ref="L737" si="569">+J737/E737</f>
        <v>#DIV/0!</v>
      </c>
      <c r="M737" s="106">
        <v>2.3807999999999998</v>
      </c>
      <c r="N737" s="36">
        <f>G737*M737</f>
        <v>547584</v>
      </c>
      <c r="O737" s="88">
        <f>M737*J737</f>
        <v>5346681.5999999996</v>
      </c>
      <c r="P737" s="1114"/>
    </row>
    <row r="738" spans="2:16" x14ac:dyDescent="0.25">
      <c r="B738" s="1112"/>
      <c r="C738" s="35"/>
      <c r="D738" s="119" t="s">
        <v>56</v>
      </c>
      <c r="E738" s="99">
        <v>0</v>
      </c>
      <c r="F738" s="9">
        <f t="shared" si="565"/>
        <v>0</v>
      </c>
      <c r="G738" s="9">
        <v>0</v>
      </c>
      <c r="H738" s="10">
        <v>0</v>
      </c>
      <c r="I738" s="6">
        <f t="shared" si="566"/>
        <v>0</v>
      </c>
      <c r="J738" s="4">
        <f t="shared" si="567"/>
        <v>0</v>
      </c>
      <c r="K738" s="4">
        <f t="shared" si="568"/>
        <v>0</v>
      </c>
      <c r="L738" s="33"/>
      <c r="M738" s="106">
        <v>2.1457999999999999</v>
      </c>
      <c r="N738" s="36">
        <f t="shared" ref="N738:N741" si="570">G738*M738</f>
        <v>0</v>
      </c>
      <c r="O738" s="88">
        <f>M738*J738</f>
        <v>0</v>
      </c>
      <c r="P738" s="1114"/>
    </row>
    <row r="739" spans="2:16" x14ac:dyDescent="0.25">
      <c r="B739" s="1112"/>
      <c r="C739" s="35"/>
      <c r="D739" s="119" t="s">
        <v>106</v>
      </c>
      <c r="E739" s="99">
        <v>0</v>
      </c>
      <c r="F739" s="9">
        <f t="shared" si="565"/>
        <v>0</v>
      </c>
      <c r="G739" s="9">
        <v>0</v>
      </c>
      <c r="H739" s="10">
        <v>0</v>
      </c>
      <c r="I739" s="6">
        <f t="shared" si="566"/>
        <v>0</v>
      </c>
      <c r="J739" s="4">
        <f t="shared" si="567"/>
        <v>0</v>
      </c>
      <c r="K739" s="4">
        <f t="shared" si="568"/>
        <v>0</v>
      </c>
      <c r="L739" s="33" t="e">
        <f t="shared" ref="L739:L740" si="571">+J739/E739</f>
        <v>#DIV/0!</v>
      </c>
      <c r="M739" s="143">
        <v>4.0426000000000002</v>
      </c>
      <c r="N739" s="36">
        <f t="shared" si="570"/>
        <v>0</v>
      </c>
      <c r="O739" s="88">
        <f>M739*J739</f>
        <v>0</v>
      </c>
      <c r="P739" s="1114"/>
    </row>
    <row r="740" spans="2:16" x14ac:dyDescent="0.25">
      <c r="B740" s="1112"/>
      <c r="C740" s="35"/>
      <c r="D740" s="119" t="s">
        <v>110</v>
      </c>
      <c r="E740" s="99">
        <v>0</v>
      </c>
      <c r="F740" s="9">
        <f t="shared" si="565"/>
        <v>0</v>
      </c>
      <c r="G740" s="9">
        <v>0</v>
      </c>
      <c r="H740" s="10">
        <v>0</v>
      </c>
      <c r="I740" s="6">
        <f t="shared" si="566"/>
        <v>0</v>
      </c>
      <c r="J740" s="4">
        <f t="shared" si="567"/>
        <v>0</v>
      </c>
      <c r="K740" s="4">
        <f t="shared" si="568"/>
        <v>0</v>
      </c>
      <c r="L740" s="33" t="e">
        <f t="shared" si="571"/>
        <v>#DIV/0!</v>
      </c>
      <c r="M740" s="143">
        <v>3.8715000000000002</v>
      </c>
      <c r="N740" s="36">
        <f t="shared" si="570"/>
        <v>0</v>
      </c>
      <c r="O740" s="88">
        <f t="shared" ref="O740:O741" si="572">M740*J740</f>
        <v>0</v>
      </c>
      <c r="P740" s="1114"/>
    </row>
    <row r="741" spans="2:16" ht="15.75" thickBot="1" x14ac:dyDescent="0.3">
      <c r="B741" s="1112"/>
      <c r="C741" s="82"/>
      <c r="D741" s="120" t="s">
        <v>57</v>
      </c>
      <c r="E741" s="108">
        <v>0</v>
      </c>
      <c r="F741" s="12">
        <f t="shared" si="565"/>
        <v>0</v>
      </c>
      <c r="G741" s="12">
        <v>0</v>
      </c>
      <c r="H741" s="13">
        <v>0</v>
      </c>
      <c r="I741" s="21">
        <f t="shared" si="566"/>
        <v>0</v>
      </c>
      <c r="J741" s="4">
        <f t="shared" si="567"/>
        <v>0</v>
      </c>
      <c r="K741" s="4">
        <f t="shared" si="568"/>
        <v>0</v>
      </c>
      <c r="L741" s="81"/>
      <c r="M741" s="127">
        <v>12.284700000000001</v>
      </c>
      <c r="N741" s="36">
        <f t="shared" si="570"/>
        <v>0</v>
      </c>
      <c r="O741" s="128">
        <f t="shared" si="572"/>
        <v>0</v>
      </c>
      <c r="P741" s="1114"/>
    </row>
    <row r="742" spans="2:16" ht="15.75" thickBot="1" x14ac:dyDescent="0.3">
      <c r="B742" s="1112"/>
      <c r="C742" s="1117" t="s">
        <v>104</v>
      </c>
      <c r="D742" s="1118"/>
      <c r="E742" s="129"/>
      <c r="F742" s="130">
        <f>SUM(F735:F741)</f>
        <v>231586</v>
      </c>
      <c r="G742" s="130">
        <f>SUM(G735:G741)</f>
        <v>230000</v>
      </c>
      <c r="H742" s="131">
        <f>SUM(H735:H741)</f>
        <v>1586</v>
      </c>
      <c r="I742" s="132">
        <f>+J742+K742</f>
        <v>2548358</v>
      </c>
      <c r="J742" s="133">
        <f>SUM(J735:J741)</f>
        <v>2525750</v>
      </c>
      <c r="K742" s="133">
        <f>SUM(K735:K741)</f>
        <v>22608</v>
      </c>
      <c r="L742" s="134"/>
      <c r="M742" s="135"/>
      <c r="N742" s="136"/>
      <c r="O742" s="137">
        <f>SUM(O735:O741)</f>
        <v>5728937.5999999996</v>
      </c>
      <c r="P742" s="1115"/>
    </row>
    <row r="743" spans="2:16" x14ac:dyDescent="0.25">
      <c r="B743" s="1112"/>
      <c r="C743" s="32"/>
      <c r="D743" s="118" t="s">
        <v>58</v>
      </c>
      <c r="E743" s="98">
        <v>0</v>
      </c>
      <c r="F743" s="4">
        <f t="shared" ref="F743:F746" si="573">+G743+H743</f>
        <v>0</v>
      </c>
      <c r="G743" s="4">
        <v>0</v>
      </c>
      <c r="H743" s="8">
        <v>0</v>
      </c>
      <c r="I743" s="6">
        <f t="shared" ref="I743:I747" si="574">J743+K743</f>
        <v>0</v>
      </c>
      <c r="J743" s="4">
        <f>G743+J678</f>
        <v>0</v>
      </c>
      <c r="K743" s="4">
        <f>H743+K678</f>
        <v>0</v>
      </c>
      <c r="L743" s="33" t="e">
        <f t="shared" ref="L743" si="575">+J743/E743</f>
        <v>#DIV/0!</v>
      </c>
      <c r="M743" s="105">
        <v>12.029500000000001</v>
      </c>
      <c r="N743" s="34">
        <f>M743*G743</f>
        <v>0</v>
      </c>
      <c r="O743" s="87">
        <f t="shared" ref="O743:O745" si="576">M743*J743</f>
        <v>0</v>
      </c>
      <c r="P743" s="1114"/>
    </row>
    <row r="744" spans="2:16" x14ac:dyDescent="0.25">
      <c r="B744" s="1112"/>
      <c r="C744" s="35"/>
      <c r="D744" s="119" t="s">
        <v>59</v>
      </c>
      <c r="E744" s="99">
        <v>0</v>
      </c>
      <c r="F744" s="9">
        <f t="shared" si="573"/>
        <v>0</v>
      </c>
      <c r="G744" s="9">
        <v>0</v>
      </c>
      <c r="H744" s="10">
        <v>0</v>
      </c>
      <c r="I744" s="6">
        <f t="shared" si="574"/>
        <v>0</v>
      </c>
      <c r="J744" s="4">
        <f>G744+J679</f>
        <v>0</v>
      </c>
      <c r="K744" s="4">
        <f>H744+K679</f>
        <v>0</v>
      </c>
      <c r="L744" s="33"/>
      <c r="M744" s="106">
        <v>0</v>
      </c>
      <c r="N744" s="36"/>
      <c r="O744" s="88">
        <f t="shared" si="576"/>
        <v>0</v>
      </c>
      <c r="P744" s="1114"/>
    </row>
    <row r="745" spans="2:16" x14ac:dyDescent="0.25">
      <c r="B745" s="1112"/>
      <c r="C745" s="35"/>
      <c r="D745" s="119" t="s">
        <v>97</v>
      </c>
      <c r="E745" s="99">
        <v>0</v>
      </c>
      <c r="F745" s="9">
        <f t="shared" si="573"/>
        <v>0</v>
      </c>
      <c r="G745" s="9">
        <v>0</v>
      </c>
      <c r="H745" s="10">
        <v>0</v>
      </c>
      <c r="I745" s="6">
        <f t="shared" si="574"/>
        <v>0</v>
      </c>
      <c r="J745" s="4">
        <f t="shared" ref="J745:J747" si="577">G745+J680</f>
        <v>0</v>
      </c>
      <c r="K745" s="4">
        <f t="shared" ref="K745:K747" si="578">H745+K680</f>
        <v>0</v>
      </c>
      <c r="L745" s="33" t="e">
        <f t="shared" ref="L745:L747" si="579">+J745/E745</f>
        <v>#DIV/0!</v>
      </c>
      <c r="M745" s="106">
        <v>19.688600000000001</v>
      </c>
      <c r="N745" s="36">
        <f>M745*G745</f>
        <v>0</v>
      </c>
      <c r="O745" s="88">
        <f t="shared" si="576"/>
        <v>0</v>
      </c>
      <c r="P745" s="1114"/>
    </row>
    <row r="746" spans="2:16" x14ac:dyDescent="0.25">
      <c r="B746" s="1112"/>
      <c r="C746" s="35"/>
      <c r="D746" s="119" t="s">
        <v>61</v>
      </c>
      <c r="E746" s="99">
        <v>0</v>
      </c>
      <c r="F746" s="9">
        <f t="shared" si="573"/>
        <v>0</v>
      </c>
      <c r="G746" s="9">
        <v>0</v>
      </c>
      <c r="H746" s="10">
        <v>0</v>
      </c>
      <c r="I746" s="6">
        <f t="shared" si="574"/>
        <v>0</v>
      </c>
      <c r="J746" s="4">
        <f t="shared" si="577"/>
        <v>0</v>
      </c>
      <c r="K746" s="4">
        <f t="shared" si="578"/>
        <v>0</v>
      </c>
      <c r="L746" s="33" t="e">
        <f t="shared" si="579"/>
        <v>#DIV/0!</v>
      </c>
      <c r="M746" s="106">
        <v>1.2824</v>
      </c>
      <c r="N746" s="151">
        <f>M746*G746</f>
        <v>0</v>
      </c>
      <c r="O746" s="88">
        <f>M746*J746</f>
        <v>0</v>
      </c>
      <c r="P746" s="1114"/>
    </row>
    <row r="747" spans="2:16" ht="15.75" thickBot="1" x14ac:dyDescent="0.3">
      <c r="B747" s="1112"/>
      <c r="C747" s="82"/>
      <c r="D747" s="120" t="s">
        <v>60</v>
      </c>
      <c r="E747" s="108">
        <v>0</v>
      </c>
      <c r="F747" s="12">
        <v>0</v>
      </c>
      <c r="G747" s="12">
        <v>12960</v>
      </c>
      <c r="H747" s="13">
        <v>184</v>
      </c>
      <c r="I747" s="21">
        <f t="shared" si="574"/>
        <v>48090</v>
      </c>
      <c r="J747" s="4">
        <f t="shared" si="577"/>
        <v>47520</v>
      </c>
      <c r="K747" s="4">
        <f t="shared" si="578"/>
        <v>570</v>
      </c>
      <c r="L747" s="81" t="e">
        <f t="shared" si="579"/>
        <v>#DIV/0!</v>
      </c>
      <c r="M747" s="107">
        <v>18.2316</v>
      </c>
      <c r="N747" s="75"/>
      <c r="O747" s="89">
        <f t="shared" ref="O747" si="580">M747*J747</f>
        <v>866365.63199999998</v>
      </c>
      <c r="P747" s="1116"/>
    </row>
    <row r="748" spans="2:16" ht="15.75" thickBot="1" x14ac:dyDescent="0.3">
      <c r="B748" s="1096" t="s">
        <v>105</v>
      </c>
      <c r="C748" s="1097"/>
      <c r="D748" s="1097"/>
      <c r="E748" s="124"/>
      <c r="F748" s="125">
        <f>+G748+H748</f>
        <v>13144</v>
      </c>
      <c r="G748" s="125">
        <f>SUM(G743:G747)</f>
        <v>12960</v>
      </c>
      <c r="H748" s="126">
        <f>SUM(H743:H747)</f>
        <v>184</v>
      </c>
      <c r="I748" s="121">
        <f>J748+K748</f>
        <v>48090</v>
      </c>
      <c r="J748" s="122">
        <f>SUM(J743:J747)</f>
        <v>47520</v>
      </c>
      <c r="K748" s="123">
        <f>SUM(K743:K747)</f>
        <v>570</v>
      </c>
      <c r="L748" s="138"/>
      <c r="M748" s="139"/>
      <c r="N748" s="140"/>
      <c r="O748" s="141">
        <f>SUM(O743:O747)</f>
        <v>866365.63199999998</v>
      </c>
      <c r="P748" s="201"/>
    </row>
    <row r="749" spans="2:16" ht="15.75" thickBot="1" x14ac:dyDescent="0.3">
      <c r="B749" s="1096" t="s">
        <v>98</v>
      </c>
      <c r="C749" s="1097"/>
      <c r="D749" s="1097"/>
      <c r="E749" s="1119"/>
      <c r="F749" s="1119"/>
      <c r="G749" s="1119"/>
      <c r="H749" s="1119"/>
      <c r="I749" s="1097"/>
      <c r="J749" s="1097"/>
      <c r="K749" s="1097"/>
      <c r="L749" s="1097"/>
      <c r="M749" s="1097"/>
      <c r="N749" s="1120"/>
      <c r="O749" s="83">
        <f>O742+O748</f>
        <v>6595303.2319999998</v>
      </c>
      <c r="P749" s="201"/>
    </row>
    <row r="750" spans="2:16" x14ac:dyDescent="0.25">
      <c r="B750" s="1111" t="s">
        <v>62</v>
      </c>
      <c r="C750" s="37" t="s">
        <v>63</v>
      </c>
      <c r="D750" s="28" t="s">
        <v>64</v>
      </c>
      <c r="E750" s="38">
        <v>0</v>
      </c>
      <c r="F750" s="14">
        <f>+G750+H750</f>
        <v>0</v>
      </c>
      <c r="G750" s="14">
        <v>0</v>
      </c>
      <c r="H750" s="5">
        <v>0</v>
      </c>
      <c r="I750" s="17">
        <f t="shared" ref="I750:I756" si="581">J750+K750</f>
        <v>0</v>
      </c>
      <c r="J750" s="4">
        <f>G750+J685</f>
        <v>0</v>
      </c>
      <c r="K750" s="4">
        <f>H750+K685</f>
        <v>0</v>
      </c>
      <c r="L750" s="30" t="e">
        <f>+J750/E750</f>
        <v>#DIV/0!</v>
      </c>
      <c r="M750" s="146">
        <v>2.2141000000000002</v>
      </c>
      <c r="N750" s="15">
        <f>+M750*G750</f>
        <v>0</v>
      </c>
      <c r="O750" s="90">
        <f>+M750*J750</f>
        <v>0</v>
      </c>
      <c r="P750" s="1122"/>
    </row>
    <row r="751" spans="2:16" x14ac:dyDescent="0.25">
      <c r="B751" s="1112"/>
      <c r="C751" s="39"/>
      <c r="D751" s="22" t="s">
        <v>65</v>
      </c>
      <c r="E751" s="3">
        <v>0</v>
      </c>
      <c r="F751" s="9">
        <f t="shared" ref="F751:F756" si="582">+G751+H751</f>
        <v>0</v>
      </c>
      <c r="G751" s="4">
        <v>0</v>
      </c>
      <c r="H751" s="8">
        <v>0</v>
      </c>
      <c r="I751" s="6">
        <f t="shared" si="581"/>
        <v>0</v>
      </c>
      <c r="J751" s="4">
        <f>+G751+J686</f>
        <v>0</v>
      </c>
      <c r="K751" s="4">
        <f>+H751+K686</f>
        <v>0</v>
      </c>
      <c r="L751" s="40" t="e">
        <f t="shared" ref="L751:L752" si="583">+J751/E751</f>
        <v>#DIV/0!</v>
      </c>
      <c r="M751" s="145">
        <v>2.4565999999999999</v>
      </c>
      <c r="N751" s="11">
        <f t="shared" ref="N751:N753" si="584">+M751*G751</f>
        <v>0</v>
      </c>
      <c r="O751" s="91">
        <f t="shared" ref="O751:O753" si="585">+M751*J751</f>
        <v>0</v>
      </c>
      <c r="P751" s="1123"/>
    </row>
    <row r="752" spans="2:16" x14ac:dyDescent="0.25">
      <c r="B752" s="1112"/>
      <c r="C752" s="39"/>
      <c r="D752" s="23" t="s">
        <v>126</v>
      </c>
      <c r="E752" s="3">
        <v>0</v>
      </c>
      <c r="F752" s="9">
        <f t="shared" si="582"/>
        <v>0</v>
      </c>
      <c r="G752" s="4">
        <v>0</v>
      </c>
      <c r="H752" s="8">
        <v>0</v>
      </c>
      <c r="I752" s="6">
        <f t="shared" si="581"/>
        <v>0</v>
      </c>
      <c r="J752" s="4">
        <f t="shared" ref="J752:J753" si="586">+G752+J687</f>
        <v>0</v>
      </c>
      <c r="K752" s="4">
        <f t="shared" ref="K752:K756" si="587">+H752+K687</f>
        <v>0</v>
      </c>
      <c r="L752" s="40" t="e">
        <f t="shared" si="583"/>
        <v>#DIV/0!</v>
      </c>
      <c r="M752" s="145">
        <v>2.2907000000000002</v>
      </c>
      <c r="N752" s="11">
        <f t="shared" si="584"/>
        <v>0</v>
      </c>
      <c r="O752" s="91">
        <f t="shared" si="585"/>
        <v>0</v>
      </c>
      <c r="P752" s="1123"/>
    </row>
    <row r="753" spans="2:16" x14ac:dyDescent="0.25">
      <c r="B753" s="1112"/>
      <c r="C753" s="39"/>
      <c r="D753" s="22" t="s">
        <v>131</v>
      </c>
      <c r="E753" s="3"/>
      <c r="F753" s="9">
        <f t="shared" si="582"/>
        <v>0</v>
      </c>
      <c r="G753" s="4">
        <v>0</v>
      </c>
      <c r="H753" s="8">
        <v>0</v>
      </c>
      <c r="I753" s="6">
        <f t="shared" si="581"/>
        <v>0</v>
      </c>
      <c r="J753" s="4">
        <f t="shared" si="586"/>
        <v>0</v>
      </c>
      <c r="K753" s="4">
        <f t="shared" si="587"/>
        <v>0</v>
      </c>
      <c r="L753" s="33"/>
      <c r="M753" s="150">
        <v>2.544</v>
      </c>
      <c r="N753" s="11">
        <f t="shared" si="584"/>
        <v>0</v>
      </c>
      <c r="O753" s="91">
        <f t="shared" si="585"/>
        <v>0</v>
      </c>
      <c r="P753" s="1123"/>
    </row>
    <row r="754" spans="2:16" x14ac:dyDescent="0.25">
      <c r="B754" s="1112"/>
      <c r="C754" s="39" t="s">
        <v>66</v>
      </c>
      <c r="D754" s="22" t="s">
        <v>133</v>
      </c>
      <c r="E754" s="3">
        <v>0</v>
      </c>
      <c r="F754" s="9">
        <f t="shared" si="582"/>
        <v>20100</v>
      </c>
      <c r="G754" s="4">
        <v>18750</v>
      </c>
      <c r="H754" s="8">
        <v>1350</v>
      </c>
      <c r="I754" s="6">
        <f t="shared" si="581"/>
        <v>544662</v>
      </c>
      <c r="J754" s="4">
        <f>+G754+J689</f>
        <v>530500</v>
      </c>
      <c r="K754" s="4">
        <f t="shared" si="587"/>
        <v>14162</v>
      </c>
      <c r="L754" s="33" t="e">
        <f>+J754/E754</f>
        <v>#DIV/0!</v>
      </c>
      <c r="M754" s="144">
        <v>2.2141000000000002</v>
      </c>
      <c r="N754" s="7">
        <f>+M754*G754</f>
        <v>41514.375</v>
      </c>
      <c r="O754" s="85">
        <f>+M754*J754</f>
        <v>1174580.05</v>
      </c>
      <c r="P754" s="1123"/>
    </row>
    <row r="755" spans="2:16" x14ac:dyDescent="0.25">
      <c r="B755" s="1112"/>
      <c r="C755" s="39"/>
      <c r="D755" s="22" t="s">
        <v>65</v>
      </c>
      <c r="E755" s="3">
        <v>0</v>
      </c>
      <c r="F755" s="9">
        <f t="shared" si="582"/>
        <v>0</v>
      </c>
      <c r="G755" s="4">
        <v>0</v>
      </c>
      <c r="H755" s="8">
        <v>0</v>
      </c>
      <c r="I755" s="6">
        <f t="shared" si="581"/>
        <v>0</v>
      </c>
      <c r="J755" s="4">
        <f t="shared" ref="J755:J756" si="588">+G755+J690</f>
        <v>0</v>
      </c>
      <c r="K755" s="4">
        <f t="shared" si="587"/>
        <v>0</v>
      </c>
      <c r="L755" s="40" t="e">
        <f t="shared" ref="L755:L756" si="589">+J755/E755</f>
        <v>#DIV/0!</v>
      </c>
      <c r="M755" s="145">
        <v>2.4565999999999999</v>
      </c>
      <c r="N755" s="11">
        <f t="shared" ref="N755:N756" si="590">+M755*G755</f>
        <v>0</v>
      </c>
      <c r="O755" s="91">
        <f t="shared" ref="O755" si="591">+M755*J755</f>
        <v>0</v>
      </c>
      <c r="P755" s="1123"/>
    </row>
    <row r="756" spans="2:16" ht="15.75" thickBot="1" x14ac:dyDescent="0.3">
      <c r="B756" s="1112"/>
      <c r="C756" s="39"/>
      <c r="D756" s="22" t="s">
        <v>126</v>
      </c>
      <c r="E756" s="3">
        <v>0</v>
      </c>
      <c r="F756" s="9">
        <f t="shared" si="582"/>
        <v>0</v>
      </c>
      <c r="G756" s="4">
        <v>0</v>
      </c>
      <c r="H756" s="8">
        <v>0</v>
      </c>
      <c r="I756" s="6">
        <f t="shared" si="581"/>
        <v>0</v>
      </c>
      <c r="J756" s="4">
        <f t="shared" si="588"/>
        <v>0</v>
      </c>
      <c r="K756" s="4">
        <f t="shared" si="587"/>
        <v>0</v>
      </c>
      <c r="L756" s="40" t="e">
        <f t="shared" si="589"/>
        <v>#DIV/0!</v>
      </c>
      <c r="M756" s="145">
        <v>2.2907000000000002</v>
      </c>
      <c r="N756" s="11">
        <f t="shared" si="590"/>
        <v>0</v>
      </c>
      <c r="O756" s="154">
        <f>+M756*J756</f>
        <v>0</v>
      </c>
      <c r="P756" s="1124"/>
    </row>
    <row r="757" spans="2:16" ht="15.75" thickBot="1" x14ac:dyDescent="0.3">
      <c r="B757" s="1112"/>
      <c r="C757" s="41" t="s">
        <v>29</v>
      </c>
      <c r="D757" s="27" t="str">
        <f>+C757</f>
        <v>TOTAL 1/2</v>
      </c>
      <c r="E757" s="42">
        <f>SUM(E750:E756)</f>
        <v>0</v>
      </c>
      <c r="F757" s="43">
        <f>SUM(F750:F756)</f>
        <v>20100</v>
      </c>
      <c r="G757" s="43">
        <f>SUM(G750:G756)</f>
        <v>18750</v>
      </c>
      <c r="H757" s="44">
        <f>SUM(H750:H756)</f>
        <v>1350</v>
      </c>
      <c r="I757" s="45">
        <f>SUM(I754:I756)</f>
        <v>544662</v>
      </c>
      <c r="J757" s="43">
        <f>SUM(J750:J756)</f>
        <v>530500</v>
      </c>
      <c r="K757" s="43">
        <f>SUM(K750:K756)</f>
        <v>14162</v>
      </c>
      <c r="L757" s="46" t="e">
        <f>+J757/E757</f>
        <v>#DIV/0!</v>
      </c>
      <c r="M757" s="47"/>
      <c r="N757" s="48">
        <f>SUM(N754:N756)</f>
        <v>41514.375</v>
      </c>
      <c r="O757" s="49">
        <f>SUM(O750:O756)</f>
        <v>1174580.05</v>
      </c>
      <c r="P757" s="202"/>
    </row>
    <row r="758" spans="2:16" x14ac:dyDescent="0.25">
      <c r="B758" s="1112"/>
      <c r="C758" s="1125" t="s">
        <v>67</v>
      </c>
      <c r="D758" s="22" t="s">
        <v>64</v>
      </c>
      <c r="E758" s="3">
        <v>0</v>
      </c>
      <c r="F758" s="4">
        <f>G758+H758</f>
        <v>0</v>
      </c>
      <c r="G758" s="4">
        <v>0</v>
      </c>
      <c r="H758" s="8">
        <v>0</v>
      </c>
      <c r="I758" s="16">
        <f>J758+K758</f>
        <v>109220</v>
      </c>
      <c r="J758" s="4">
        <f>G758+J693</f>
        <v>105750</v>
      </c>
      <c r="K758" s="4">
        <f>H758+K693</f>
        <v>3470</v>
      </c>
      <c r="L758" s="50" t="e">
        <f>+J758/E758</f>
        <v>#DIV/0!</v>
      </c>
      <c r="M758" s="144">
        <v>4.1712999999999996</v>
      </c>
      <c r="N758" s="7">
        <f>+M758*G758</f>
        <v>0</v>
      </c>
      <c r="O758" s="93">
        <f>+M758*J758</f>
        <v>441114.97499999998</v>
      </c>
      <c r="P758" s="1122"/>
    </row>
    <row r="759" spans="2:16" x14ac:dyDescent="0.25">
      <c r="B759" s="1112"/>
      <c r="C759" s="1126"/>
      <c r="D759" s="22" t="s">
        <v>65</v>
      </c>
      <c r="E759" s="3">
        <v>0</v>
      </c>
      <c r="F759" s="4">
        <f>G759+H759</f>
        <v>0</v>
      </c>
      <c r="G759" s="4">
        <v>0</v>
      </c>
      <c r="H759" s="8">
        <v>0</v>
      </c>
      <c r="I759" s="6">
        <f>+R1803+F759</f>
        <v>0</v>
      </c>
      <c r="J759" s="4">
        <f>G759+J694</f>
        <v>120000</v>
      </c>
      <c r="K759" s="4">
        <f>H759+K694</f>
        <v>3230</v>
      </c>
      <c r="L759" s="51" t="e">
        <f t="shared" ref="L759:L763" si="592">+J759/E759</f>
        <v>#DIV/0!</v>
      </c>
      <c r="M759" s="145">
        <v>4.8285999999999998</v>
      </c>
      <c r="N759" s="11">
        <f t="shared" ref="N759:N761" si="593">+M759*G759</f>
        <v>0</v>
      </c>
      <c r="O759" s="94">
        <f t="shared" ref="O759:O761" si="594">+M759*J759</f>
        <v>579432</v>
      </c>
      <c r="P759" s="1123"/>
    </row>
    <row r="760" spans="2:16" x14ac:dyDescent="0.25">
      <c r="B760" s="1112"/>
      <c r="C760" s="1126"/>
      <c r="D760" s="22" t="s">
        <v>127</v>
      </c>
      <c r="E760" s="3"/>
      <c r="F760" s="4">
        <f>G760+H760</f>
        <v>0</v>
      </c>
      <c r="G760" s="4">
        <v>0</v>
      </c>
      <c r="H760" s="8">
        <v>0</v>
      </c>
      <c r="I760" s="6">
        <f>+R1804+F760</f>
        <v>0</v>
      </c>
      <c r="J760" s="4">
        <f t="shared" ref="J760:J761" si="595">G760+J695</f>
        <v>0</v>
      </c>
      <c r="K760" s="4">
        <f t="shared" ref="K760:K761" si="596">H760+K695</f>
        <v>0</v>
      </c>
      <c r="L760" s="51" t="e">
        <f t="shared" si="592"/>
        <v>#DIV/0!</v>
      </c>
      <c r="M760" s="144">
        <v>4.5023</v>
      </c>
      <c r="N760" s="11">
        <f t="shared" si="593"/>
        <v>0</v>
      </c>
      <c r="O760" s="94">
        <f t="shared" si="594"/>
        <v>0</v>
      </c>
      <c r="P760" s="1123"/>
    </row>
    <row r="761" spans="2:16" ht="15.75" thickBot="1" x14ac:dyDescent="0.3">
      <c r="B761" s="1112"/>
      <c r="C761" s="1126"/>
      <c r="D761" s="22" t="s">
        <v>111</v>
      </c>
      <c r="E761" s="3">
        <v>0</v>
      </c>
      <c r="F761" s="4">
        <f t="shared" ref="F761" si="597">G761+H761</f>
        <v>0</v>
      </c>
      <c r="G761" s="4">
        <v>0</v>
      </c>
      <c r="H761" s="8">
        <v>0</v>
      </c>
      <c r="I761" s="6">
        <f>+R1804+F761</f>
        <v>0</v>
      </c>
      <c r="J761" s="4">
        <f t="shared" si="595"/>
        <v>0</v>
      </c>
      <c r="K761" s="4">
        <f t="shared" si="596"/>
        <v>0</v>
      </c>
      <c r="L761" s="51" t="e">
        <f t="shared" si="592"/>
        <v>#DIV/0!</v>
      </c>
      <c r="M761" s="144">
        <v>4.4065000000000003</v>
      </c>
      <c r="N761" s="11">
        <f t="shared" si="593"/>
        <v>0</v>
      </c>
      <c r="O761" s="94">
        <f t="shared" si="594"/>
        <v>0</v>
      </c>
      <c r="P761" s="1123"/>
    </row>
    <row r="762" spans="2:16" ht="15.75" thickBot="1" x14ac:dyDescent="0.3">
      <c r="B762" s="1112"/>
      <c r="C762" s="41" t="s">
        <v>31</v>
      </c>
      <c r="D762" s="18" t="str">
        <f>+C762</f>
        <v>TOTAL 4/4</v>
      </c>
      <c r="E762" s="42">
        <f t="shared" ref="E762:K762" si="598">SUM(E758:E761)</f>
        <v>0</v>
      </c>
      <c r="F762" s="43">
        <f t="shared" si="598"/>
        <v>0</v>
      </c>
      <c r="G762" s="43">
        <f t="shared" si="598"/>
        <v>0</v>
      </c>
      <c r="H762" s="44">
        <f t="shared" si="598"/>
        <v>0</v>
      </c>
      <c r="I762" s="45">
        <f t="shared" si="598"/>
        <v>109220</v>
      </c>
      <c r="J762" s="43">
        <f t="shared" si="598"/>
        <v>225750</v>
      </c>
      <c r="K762" s="43">
        <f t="shared" si="598"/>
        <v>6700</v>
      </c>
      <c r="L762" s="46" t="e">
        <f t="shared" si="592"/>
        <v>#DIV/0!</v>
      </c>
      <c r="M762" s="47"/>
      <c r="N762" s="48">
        <f>SUM(N758:N761)</f>
        <v>0</v>
      </c>
      <c r="O762" s="92">
        <f>SUM(O758:O761)</f>
        <v>1020546.975</v>
      </c>
      <c r="P762" s="1124"/>
    </row>
    <row r="763" spans="2:16" ht="15.75" thickBot="1" x14ac:dyDescent="0.3">
      <c r="B763" s="1121"/>
      <c r="C763" s="41" t="s">
        <v>68</v>
      </c>
      <c r="D763" s="27" t="s">
        <v>64</v>
      </c>
      <c r="E763" s="25">
        <v>0</v>
      </c>
      <c r="F763" s="20">
        <f>G763+H763</f>
        <v>0</v>
      </c>
      <c r="G763" s="20">
        <v>0</v>
      </c>
      <c r="H763" s="24">
        <v>0</v>
      </c>
      <c r="I763" s="19">
        <f>J763+K763</f>
        <v>0</v>
      </c>
      <c r="J763" s="4">
        <f>G763+J698</f>
        <v>0</v>
      </c>
      <c r="K763" s="4">
        <f>H763+K698</f>
        <v>0</v>
      </c>
      <c r="L763" s="52" t="e">
        <f t="shared" si="592"/>
        <v>#DIV/0!</v>
      </c>
      <c r="M763" s="149">
        <v>1.4086000000000001</v>
      </c>
      <c r="N763" s="26">
        <f t="shared" ref="N763" si="599">+M763*G763</f>
        <v>0</v>
      </c>
      <c r="O763" s="95">
        <f t="shared" ref="O763" si="600">+M763*J763</f>
        <v>0</v>
      </c>
      <c r="P763" s="53"/>
    </row>
    <row r="764" spans="2:16" ht="15.75" thickBot="1" x14ac:dyDescent="0.3">
      <c r="B764" s="1096" t="s">
        <v>95</v>
      </c>
      <c r="C764" s="1097"/>
      <c r="D764" s="1097"/>
      <c r="E764" s="1097"/>
      <c r="F764" s="1097"/>
      <c r="G764" s="1097"/>
      <c r="H764" s="1097"/>
      <c r="I764" s="110">
        <f>J764+K764</f>
        <v>777112</v>
      </c>
      <c r="J764" s="110">
        <f>J757+J762+J763</f>
        <v>756250</v>
      </c>
      <c r="K764" s="110">
        <f>K757+K762+K763</f>
        <v>20862</v>
      </c>
      <c r="L764" s="111"/>
      <c r="M764" s="112"/>
      <c r="N764" s="109"/>
      <c r="O764" s="77">
        <f>+O763+O762+O757</f>
        <v>2195127.0249999999</v>
      </c>
      <c r="P764" s="84"/>
    </row>
    <row r="765" spans="2:16" x14ac:dyDescent="0.25">
      <c r="B765" s="1098" t="s">
        <v>69</v>
      </c>
      <c r="C765" s="1101" t="s">
        <v>70</v>
      </c>
      <c r="D765" s="54" t="s">
        <v>71</v>
      </c>
      <c r="E765" s="55">
        <v>0</v>
      </c>
      <c r="F765" s="56">
        <f>G765+H765</f>
        <v>5063</v>
      </c>
      <c r="G765" s="56">
        <v>5000</v>
      </c>
      <c r="H765" s="57">
        <v>63</v>
      </c>
      <c r="I765" s="78">
        <f>J765+K765</f>
        <v>15133</v>
      </c>
      <c r="J765" s="4">
        <f>G765+J700</f>
        <v>15000</v>
      </c>
      <c r="K765" s="4">
        <f>H765+K700</f>
        <v>133</v>
      </c>
      <c r="L765" s="58" t="e">
        <f t="shared" ref="L765" si="601">+J765/E765</f>
        <v>#DIV/0!</v>
      </c>
      <c r="M765" s="59">
        <v>32.946300000000001</v>
      </c>
      <c r="N765" s="60">
        <f>+M765*G765</f>
        <v>164731.5</v>
      </c>
      <c r="O765" s="60">
        <f>M765*J765</f>
        <v>494194.5</v>
      </c>
      <c r="P765" s="1103"/>
    </row>
    <row r="766" spans="2:16" x14ac:dyDescent="0.25">
      <c r="B766" s="1099"/>
      <c r="C766" s="1102"/>
      <c r="D766" s="61" t="s">
        <v>72</v>
      </c>
      <c r="E766" s="62">
        <v>0</v>
      </c>
      <c r="F766" s="63">
        <f>G766+H766</f>
        <v>0</v>
      </c>
      <c r="G766" s="63">
        <v>0</v>
      </c>
      <c r="H766" s="64">
        <v>0</v>
      </c>
      <c r="I766" s="79">
        <f>J766+K766</f>
        <v>31833</v>
      </c>
      <c r="J766" s="4">
        <f>G766+J701</f>
        <v>31420</v>
      </c>
      <c r="K766" s="4">
        <f>H766+K701</f>
        <v>413</v>
      </c>
      <c r="L766" s="65" t="e">
        <f>+J766/E766</f>
        <v>#DIV/0!</v>
      </c>
      <c r="M766" s="66">
        <v>35.398400000000002</v>
      </c>
      <c r="N766" s="67">
        <f>+M766*G766</f>
        <v>0</v>
      </c>
      <c r="O766" s="67">
        <f>M766*J766</f>
        <v>1112217.7280000001</v>
      </c>
      <c r="P766" s="1104"/>
    </row>
    <row r="767" spans="2:16" x14ac:dyDescent="0.25">
      <c r="B767" s="1099"/>
      <c r="C767" s="1102"/>
      <c r="D767" s="61" t="s">
        <v>73</v>
      </c>
      <c r="E767" s="62">
        <v>0</v>
      </c>
      <c r="F767" s="63">
        <f t="shared" ref="F767:F770" si="602">G767+H767</f>
        <v>0</v>
      </c>
      <c r="G767" s="63">
        <v>0</v>
      </c>
      <c r="H767" s="64">
        <v>0</v>
      </c>
      <c r="I767" s="79">
        <f t="shared" ref="I767:I776" si="603">J767+K767</f>
        <v>0</v>
      </c>
      <c r="J767" s="4">
        <f t="shared" ref="J767:J792" si="604">G767+J702</f>
        <v>0</v>
      </c>
      <c r="K767" s="4">
        <f t="shared" ref="K767:K771" si="605">H767+K702</f>
        <v>0</v>
      </c>
      <c r="L767" s="65" t="e">
        <f t="shared" ref="L767:L780" si="606">+J767/E767</f>
        <v>#DIV/0!</v>
      </c>
      <c r="M767" s="66">
        <v>32.946300000000001</v>
      </c>
      <c r="N767" s="67">
        <f t="shared" ref="N767:N787" si="607">+M767*G767</f>
        <v>0</v>
      </c>
      <c r="O767" s="67">
        <f t="shared" ref="O767:O775" si="608">M767*J767</f>
        <v>0</v>
      </c>
      <c r="P767" s="1104"/>
    </row>
    <row r="768" spans="2:16" x14ac:dyDescent="0.25">
      <c r="B768" s="1099"/>
      <c r="C768" s="1102" t="s">
        <v>74</v>
      </c>
      <c r="D768" s="61" t="s">
        <v>75</v>
      </c>
      <c r="E768" s="62">
        <v>0</v>
      </c>
      <c r="F768" s="63">
        <f t="shared" si="602"/>
        <v>2479</v>
      </c>
      <c r="G768" s="63">
        <v>2400</v>
      </c>
      <c r="H768" s="64">
        <v>79</v>
      </c>
      <c r="I768" s="79">
        <f t="shared" si="603"/>
        <v>14758</v>
      </c>
      <c r="J768" s="4">
        <f t="shared" si="604"/>
        <v>14400</v>
      </c>
      <c r="K768" s="4">
        <f t="shared" si="605"/>
        <v>358</v>
      </c>
      <c r="L768" s="65" t="e">
        <f t="shared" si="606"/>
        <v>#DIV/0!</v>
      </c>
      <c r="M768" s="66">
        <v>55.4758</v>
      </c>
      <c r="N768" s="67">
        <f t="shared" si="607"/>
        <v>133141.92000000001</v>
      </c>
      <c r="O768" s="67">
        <f t="shared" si="608"/>
        <v>798851.52</v>
      </c>
      <c r="P768" s="1104"/>
    </row>
    <row r="769" spans="2:16" x14ac:dyDescent="0.25">
      <c r="B769" s="1099"/>
      <c r="C769" s="1102"/>
      <c r="D769" s="61" t="s">
        <v>134</v>
      </c>
      <c r="E769" s="62">
        <v>0</v>
      </c>
      <c r="F769" s="63">
        <f t="shared" si="602"/>
        <v>0</v>
      </c>
      <c r="G769" s="63">
        <v>0</v>
      </c>
      <c r="H769" s="64">
        <v>0</v>
      </c>
      <c r="I769" s="79">
        <f t="shared" si="603"/>
        <v>0</v>
      </c>
      <c r="J769" s="4">
        <f t="shared" si="604"/>
        <v>0</v>
      </c>
      <c r="K769" s="4">
        <f t="shared" si="605"/>
        <v>0</v>
      </c>
      <c r="L769" s="65" t="e">
        <f t="shared" si="606"/>
        <v>#DIV/0!</v>
      </c>
      <c r="M769" s="66">
        <v>53.515999999999998</v>
      </c>
      <c r="N769" s="67">
        <f t="shared" si="607"/>
        <v>0</v>
      </c>
      <c r="O769" s="67">
        <f t="shared" si="608"/>
        <v>0</v>
      </c>
      <c r="P769" s="1104"/>
    </row>
    <row r="770" spans="2:16" x14ac:dyDescent="0.25">
      <c r="B770" s="1099"/>
      <c r="C770" s="1102"/>
      <c r="D770" s="61" t="s">
        <v>72</v>
      </c>
      <c r="E770" s="62">
        <v>0</v>
      </c>
      <c r="F770" s="63">
        <f t="shared" si="602"/>
        <v>0</v>
      </c>
      <c r="G770" s="63">
        <v>0</v>
      </c>
      <c r="H770" s="64">
        <v>0</v>
      </c>
      <c r="I770" s="79">
        <f t="shared" si="603"/>
        <v>9804</v>
      </c>
      <c r="J770" s="4">
        <f t="shared" si="604"/>
        <v>9600</v>
      </c>
      <c r="K770" s="4">
        <f t="shared" si="605"/>
        <v>204</v>
      </c>
      <c r="L770" s="65" t="e">
        <f t="shared" si="606"/>
        <v>#DIV/0!</v>
      </c>
      <c r="M770" s="66">
        <v>58.836300000000001</v>
      </c>
      <c r="N770" s="67">
        <f t="shared" si="607"/>
        <v>0</v>
      </c>
      <c r="O770" s="67">
        <f t="shared" si="608"/>
        <v>564828.48</v>
      </c>
      <c r="P770" s="1104"/>
    </row>
    <row r="771" spans="2:16" x14ac:dyDescent="0.25">
      <c r="B771" s="1099"/>
      <c r="C771" s="1106" t="s">
        <v>76</v>
      </c>
      <c r="D771" s="61" t="s">
        <v>77</v>
      </c>
      <c r="E771" s="62">
        <v>0</v>
      </c>
      <c r="F771" s="63">
        <f>G771+H771</f>
        <v>0</v>
      </c>
      <c r="G771" s="63">
        <v>0</v>
      </c>
      <c r="H771" s="64">
        <v>0</v>
      </c>
      <c r="I771" s="79">
        <f t="shared" si="603"/>
        <v>6690</v>
      </c>
      <c r="J771" s="4">
        <f t="shared" si="604"/>
        <v>6575</v>
      </c>
      <c r="K771" s="4">
        <f t="shared" si="605"/>
        <v>115</v>
      </c>
      <c r="L771" s="65" t="e">
        <f t="shared" si="606"/>
        <v>#DIV/0!</v>
      </c>
      <c r="M771" s="66">
        <v>25.687200000000001</v>
      </c>
      <c r="N771" s="67">
        <f t="shared" si="607"/>
        <v>0</v>
      </c>
      <c r="O771" s="67">
        <f t="shared" si="608"/>
        <v>168893.34</v>
      </c>
      <c r="P771" s="1104"/>
    </row>
    <row r="772" spans="2:16" x14ac:dyDescent="0.25">
      <c r="B772" s="1099"/>
      <c r="C772" s="1107"/>
      <c r="D772" s="61" t="s">
        <v>117</v>
      </c>
      <c r="E772" s="62">
        <v>0</v>
      </c>
      <c r="F772" s="63">
        <f>G772+H772</f>
        <v>0</v>
      </c>
      <c r="G772" s="63">
        <v>0</v>
      </c>
      <c r="H772" s="64">
        <v>0</v>
      </c>
      <c r="I772" s="79">
        <f t="shared" si="603"/>
        <v>0</v>
      </c>
      <c r="J772" s="4">
        <f t="shared" si="604"/>
        <v>0</v>
      </c>
      <c r="K772" s="4">
        <f>H772+K707</f>
        <v>0</v>
      </c>
      <c r="L772" s="65" t="e">
        <f t="shared" si="606"/>
        <v>#DIV/0!</v>
      </c>
      <c r="M772" s="66">
        <v>25.033899999999999</v>
      </c>
      <c r="N772" s="67">
        <f t="shared" si="607"/>
        <v>0</v>
      </c>
      <c r="O772" s="67">
        <f t="shared" si="608"/>
        <v>0</v>
      </c>
      <c r="P772" s="1104"/>
    </row>
    <row r="773" spans="2:16" x14ac:dyDescent="0.25">
      <c r="B773" s="1099"/>
      <c r="C773" s="1106" t="s">
        <v>78</v>
      </c>
      <c r="D773" s="61" t="s">
        <v>79</v>
      </c>
      <c r="E773" s="62">
        <v>0</v>
      </c>
      <c r="F773" s="63">
        <f t="shared" ref="F773:F792" si="609">G773+H773</f>
        <v>0</v>
      </c>
      <c r="G773" s="63">
        <v>0</v>
      </c>
      <c r="H773" s="64">
        <v>0</v>
      </c>
      <c r="I773" s="79">
        <f t="shared" si="603"/>
        <v>14273</v>
      </c>
      <c r="J773" s="4">
        <f t="shared" si="604"/>
        <v>14000</v>
      </c>
      <c r="K773" s="4">
        <f t="shared" ref="K773:K792" si="610">H773+K708</f>
        <v>273</v>
      </c>
      <c r="L773" s="65" t="e">
        <f t="shared" si="606"/>
        <v>#DIV/0!</v>
      </c>
      <c r="M773" s="66">
        <v>41.992699999999999</v>
      </c>
      <c r="N773" s="67">
        <f t="shared" si="607"/>
        <v>0</v>
      </c>
      <c r="O773" s="67">
        <f t="shared" si="608"/>
        <v>587897.80000000005</v>
      </c>
      <c r="P773" s="1104"/>
    </row>
    <row r="774" spans="2:16" x14ac:dyDescent="0.25">
      <c r="B774" s="1099"/>
      <c r="C774" s="1107"/>
      <c r="D774" s="61" t="s">
        <v>72</v>
      </c>
      <c r="E774" s="62">
        <v>0</v>
      </c>
      <c r="F774" s="63">
        <f t="shared" si="609"/>
        <v>0</v>
      </c>
      <c r="G774" s="63">
        <v>0</v>
      </c>
      <c r="H774" s="64">
        <v>0</v>
      </c>
      <c r="I774" s="79">
        <f t="shared" si="603"/>
        <v>0</v>
      </c>
      <c r="J774" s="4">
        <f t="shared" si="604"/>
        <v>0</v>
      </c>
      <c r="K774" s="4">
        <f t="shared" si="610"/>
        <v>0</v>
      </c>
      <c r="L774" s="65" t="e">
        <f t="shared" si="606"/>
        <v>#DIV/0!</v>
      </c>
      <c r="M774" s="66">
        <v>42.283799999999999</v>
      </c>
      <c r="N774" s="67">
        <f t="shared" si="607"/>
        <v>0</v>
      </c>
      <c r="O774" s="67">
        <f t="shared" si="608"/>
        <v>0</v>
      </c>
      <c r="P774" s="1104"/>
    </row>
    <row r="775" spans="2:16" x14ac:dyDescent="0.25">
      <c r="B775" s="1099"/>
      <c r="C775" s="200" t="s">
        <v>80</v>
      </c>
      <c r="D775" s="61" t="s">
        <v>81</v>
      </c>
      <c r="E775" s="62">
        <v>0</v>
      </c>
      <c r="F775" s="63">
        <f t="shared" si="609"/>
        <v>0</v>
      </c>
      <c r="G775" s="63">
        <v>0</v>
      </c>
      <c r="H775" s="64">
        <v>0</v>
      </c>
      <c r="I775" s="79">
        <f t="shared" si="603"/>
        <v>24803</v>
      </c>
      <c r="J775" s="4">
        <f t="shared" si="604"/>
        <v>24000</v>
      </c>
      <c r="K775" s="4">
        <f t="shared" si="610"/>
        <v>803</v>
      </c>
      <c r="L775" s="65" t="e">
        <f t="shared" si="606"/>
        <v>#DIV/0!</v>
      </c>
      <c r="M775" s="66">
        <v>4.3535000000000004</v>
      </c>
      <c r="N775" s="67">
        <f t="shared" si="607"/>
        <v>0</v>
      </c>
      <c r="O775" s="67">
        <f t="shared" si="608"/>
        <v>104484.00000000001</v>
      </c>
      <c r="P775" s="1104"/>
    </row>
    <row r="776" spans="2:16" x14ac:dyDescent="0.25">
      <c r="B776" s="1099"/>
      <c r="C776" s="1102" t="s">
        <v>82</v>
      </c>
      <c r="D776" s="61" t="s">
        <v>77</v>
      </c>
      <c r="E776" s="62">
        <v>0</v>
      </c>
      <c r="F776" s="63">
        <f t="shared" si="609"/>
        <v>0</v>
      </c>
      <c r="G776" s="63">
        <v>0</v>
      </c>
      <c r="H776" s="64">
        <v>0</v>
      </c>
      <c r="I776" s="79">
        <f t="shared" si="603"/>
        <v>0</v>
      </c>
      <c r="J776" s="4">
        <f t="shared" si="604"/>
        <v>0</v>
      </c>
      <c r="K776" s="4">
        <f t="shared" si="610"/>
        <v>0</v>
      </c>
      <c r="L776" s="65" t="e">
        <f t="shared" si="606"/>
        <v>#DIV/0!</v>
      </c>
      <c r="M776" s="66">
        <v>4.6184000000000003</v>
      </c>
      <c r="N776" s="67">
        <f t="shared" si="607"/>
        <v>0</v>
      </c>
      <c r="O776" s="67">
        <f>M776*J776</f>
        <v>0</v>
      </c>
      <c r="P776" s="1104"/>
    </row>
    <row r="777" spans="2:16" x14ac:dyDescent="0.25">
      <c r="B777" s="1099"/>
      <c r="C777" s="1102"/>
      <c r="D777" s="61" t="s">
        <v>119</v>
      </c>
      <c r="E777" s="62">
        <v>0</v>
      </c>
      <c r="F777" s="63">
        <f t="shared" si="609"/>
        <v>0</v>
      </c>
      <c r="G777" s="63">
        <v>0</v>
      </c>
      <c r="H777" s="64">
        <v>0</v>
      </c>
      <c r="I777" s="79">
        <f>J777+K777</f>
        <v>0</v>
      </c>
      <c r="J777" s="4">
        <f t="shared" si="604"/>
        <v>0</v>
      </c>
      <c r="K777" s="4">
        <f t="shared" si="610"/>
        <v>0</v>
      </c>
      <c r="L777" s="65" t="e">
        <f t="shared" si="606"/>
        <v>#DIV/0!</v>
      </c>
      <c r="M777" s="153">
        <v>4.6184000000000003</v>
      </c>
      <c r="N777" s="67">
        <f t="shared" si="607"/>
        <v>0</v>
      </c>
      <c r="O777" s="67">
        <f>M777*J777</f>
        <v>0</v>
      </c>
      <c r="P777" s="1104"/>
    </row>
    <row r="778" spans="2:16" x14ac:dyDescent="0.25">
      <c r="B778" s="1099"/>
      <c r="C778" s="1102"/>
      <c r="D778" s="61" t="s">
        <v>123</v>
      </c>
      <c r="E778" s="62">
        <v>0</v>
      </c>
      <c r="F778" s="63">
        <f t="shared" si="609"/>
        <v>0</v>
      </c>
      <c r="G778" s="63">
        <v>0</v>
      </c>
      <c r="H778" s="64">
        <v>0</v>
      </c>
      <c r="I778" s="79">
        <f t="shared" ref="I778:I792" si="611">J778+K778</f>
        <v>0</v>
      </c>
      <c r="J778" s="4">
        <f t="shared" si="604"/>
        <v>0</v>
      </c>
      <c r="K778" s="4">
        <f t="shared" si="610"/>
        <v>0</v>
      </c>
      <c r="L778" s="65" t="e">
        <f t="shared" si="606"/>
        <v>#DIV/0!</v>
      </c>
      <c r="M778" s="153">
        <v>4.6184000000000003</v>
      </c>
      <c r="N778" s="67">
        <f t="shared" si="607"/>
        <v>0</v>
      </c>
      <c r="O778" s="67">
        <f t="shared" ref="O778:O783" si="612">M778*J778</f>
        <v>0</v>
      </c>
      <c r="P778" s="1104"/>
    </row>
    <row r="779" spans="2:16" x14ac:dyDescent="0.25">
      <c r="B779" s="1099"/>
      <c r="C779" s="1102"/>
      <c r="D779" s="61" t="s">
        <v>124</v>
      </c>
      <c r="E779" s="62">
        <v>0</v>
      </c>
      <c r="F779" s="63">
        <f t="shared" si="609"/>
        <v>20397</v>
      </c>
      <c r="G779" s="63">
        <v>20100</v>
      </c>
      <c r="H779" s="64">
        <v>297</v>
      </c>
      <c r="I779" s="79">
        <f t="shared" si="611"/>
        <v>237198</v>
      </c>
      <c r="J779" s="4">
        <f t="shared" si="604"/>
        <v>230335</v>
      </c>
      <c r="K779" s="4">
        <f t="shared" si="610"/>
        <v>6863</v>
      </c>
      <c r="L779" s="65" t="e">
        <f t="shared" si="606"/>
        <v>#DIV/0!</v>
      </c>
      <c r="M779" s="153">
        <v>4.7636000000000003</v>
      </c>
      <c r="N779" s="67">
        <f t="shared" si="607"/>
        <v>95748.36</v>
      </c>
      <c r="O779" s="67">
        <f t="shared" si="612"/>
        <v>1097223.8060000001</v>
      </c>
      <c r="P779" s="1104"/>
    </row>
    <row r="780" spans="2:16" x14ac:dyDescent="0.25">
      <c r="B780" s="1099"/>
      <c r="C780" s="1102"/>
      <c r="D780" s="61" t="s">
        <v>83</v>
      </c>
      <c r="E780" s="62">
        <v>0</v>
      </c>
      <c r="F780" s="63">
        <f t="shared" si="609"/>
        <v>0</v>
      </c>
      <c r="G780" s="63">
        <v>0</v>
      </c>
      <c r="H780" s="64">
        <v>0</v>
      </c>
      <c r="I780" s="79">
        <f t="shared" si="611"/>
        <v>0</v>
      </c>
      <c r="J780" s="4">
        <f t="shared" si="604"/>
        <v>0</v>
      </c>
      <c r="K780" s="4">
        <f t="shared" si="610"/>
        <v>0</v>
      </c>
      <c r="L780" s="65" t="e">
        <f t="shared" si="606"/>
        <v>#DIV/0!</v>
      </c>
      <c r="M780" s="66">
        <v>4.8738000000000001</v>
      </c>
      <c r="N780" s="67">
        <f t="shared" si="607"/>
        <v>0</v>
      </c>
      <c r="O780" s="67">
        <f t="shared" si="612"/>
        <v>0</v>
      </c>
      <c r="P780" s="1104"/>
    </row>
    <row r="781" spans="2:16" x14ac:dyDescent="0.25">
      <c r="B781" s="1099"/>
      <c r="C781" s="200" t="s">
        <v>128</v>
      </c>
      <c r="D781" s="61" t="s">
        <v>124</v>
      </c>
      <c r="E781" s="62"/>
      <c r="F781" s="63">
        <f t="shared" si="609"/>
        <v>0</v>
      </c>
      <c r="G781" s="63">
        <v>0</v>
      </c>
      <c r="H781" s="64">
        <v>0</v>
      </c>
      <c r="I781" s="79">
        <f t="shared" si="611"/>
        <v>0</v>
      </c>
      <c r="J781" s="4">
        <f t="shared" si="604"/>
        <v>0</v>
      </c>
      <c r="K781" s="4">
        <f t="shared" si="610"/>
        <v>0</v>
      </c>
      <c r="L781" s="65"/>
      <c r="M781" s="66">
        <v>4.8738000000000001</v>
      </c>
      <c r="N781" s="67">
        <f t="shared" si="607"/>
        <v>0</v>
      </c>
      <c r="O781" s="67">
        <f t="shared" si="612"/>
        <v>0</v>
      </c>
      <c r="P781" s="1104"/>
    </row>
    <row r="782" spans="2:16" x14ac:dyDescent="0.25">
      <c r="B782" s="1099"/>
      <c r="C782" s="1102" t="s">
        <v>84</v>
      </c>
      <c r="D782" s="61" t="s">
        <v>77</v>
      </c>
      <c r="E782" s="62">
        <v>0</v>
      </c>
      <c r="F782" s="63">
        <f t="shared" si="609"/>
        <v>0</v>
      </c>
      <c r="G782" s="63">
        <v>0</v>
      </c>
      <c r="H782" s="64">
        <v>0</v>
      </c>
      <c r="I782" s="79">
        <f t="shared" si="611"/>
        <v>190900</v>
      </c>
      <c r="J782" s="4">
        <f t="shared" si="604"/>
        <v>188900</v>
      </c>
      <c r="K782" s="4">
        <f t="shared" si="610"/>
        <v>2000</v>
      </c>
      <c r="L782" s="65" t="e">
        <f t="shared" ref="L782:L792" si="613">+J782/E782</f>
        <v>#DIV/0!</v>
      </c>
      <c r="M782" s="66">
        <v>4.9344999999999999</v>
      </c>
      <c r="N782" s="67">
        <f t="shared" si="607"/>
        <v>0</v>
      </c>
      <c r="O782" s="67">
        <f t="shared" si="612"/>
        <v>932127.04999999993</v>
      </c>
      <c r="P782" s="1104"/>
    </row>
    <row r="783" spans="2:16" x14ac:dyDescent="0.25">
      <c r="B783" s="1099"/>
      <c r="C783" s="1102"/>
      <c r="D783" s="61" t="s">
        <v>135</v>
      </c>
      <c r="E783" s="62"/>
      <c r="F783" s="63">
        <f t="shared" si="609"/>
        <v>20789</v>
      </c>
      <c r="G783" s="63">
        <v>19800</v>
      </c>
      <c r="H783" s="64">
        <v>989</v>
      </c>
      <c r="I783" s="79">
        <f t="shared" si="611"/>
        <v>24817</v>
      </c>
      <c r="J783" s="4">
        <f t="shared" si="604"/>
        <v>22850</v>
      </c>
      <c r="K783" s="4">
        <f t="shared" si="610"/>
        <v>1967</v>
      </c>
      <c r="L783" s="65" t="e">
        <f t="shared" si="613"/>
        <v>#DIV/0!</v>
      </c>
      <c r="M783" s="66">
        <v>4.9344999999999999</v>
      </c>
      <c r="N783" s="67">
        <f t="shared" si="607"/>
        <v>97703.099999999991</v>
      </c>
      <c r="O783" s="67">
        <f t="shared" si="612"/>
        <v>112753.325</v>
      </c>
      <c r="P783" s="1104"/>
    </row>
    <row r="784" spans="2:16" x14ac:dyDescent="0.25">
      <c r="B784" s="1099"/>
      <c r="C784" s="1102"/>
      <c r="D784" s="61" t="s">
        <v>129</v>
      </c>
      <c r="E784" s="62">
        <v>0</v>
      </c>
      <c r="F784" s="63">
        <f t="shared" si="609"/>
        <v>0</v>
      </c>
      <c r="G784" s="155">
        <v>0</v>
      </c>
      <c r="H784" s="156">
        <v>0</v>
      </c>
      <c r="I784" s="157">
        <f t="shared" si="611"/>
        <v>0</v>
      </c>
      <c r="J784" s="4">
        <f t="shared" si="604"/>
        <v>0</v>
      </c>
      <c r="K784" s="4">
        <f t="shared" si="610"/>
        <v>0</v>
      </c>
      <c r="L784" s="158" t="e">
        <f t="shared" si="613"/>
        <v>#DIV/0!</v>
      </c>
      <c r="M784" s="66">
        <v>4.9344999999999999</v>
      </c>
      <c r="N784" s="159">
        <f t="shared" si="607"/>
        <v>0</v>
      </c>
      <c r="O784" s="67">
        <f>M784*J784</f>
        <v>0</v>
      </c>
      <c r="P784" s="1104"/>
    </row>
    <row r="785" spans="2:16" x14ac:dyDescent="0.25">
      <c r="B785" s="1099"/>
      <c r="C785" s="1102" t="s">
        <v>85</v>
      </c>
      <c r="D785" s="61" t="s">
        <v>77</v>
      </c>
      <c r="E785" s="62">
        <v>0</v>
      </c>
      <c r="F785" s="63">
        <f t="shared" si="609"/>
        <v>0</v>
      </c>
      <c r="G785" s="63">
        <v>0</v>
      </c>
      <c r="H785" s="64">
        <v>0</v>
      </c>
      <c r="I785" s="79">
        <f t="shared" si="611"/>
        <v>138276</v>
      </c>
      <c r="J785" s="4">
        <f t="shared" si="604"/>
        <v>130950</v>
      </c>
      <c r="K785" s="4">
        <f t="shared" si="610"/>
        <v>7326</v>
      </c>
      <c r="L785" s="65" t="e">
        <f t="shared" si="613"/>
        <v>#DIV/0!</v>
      </c>
      <c r="M785" s="148">
        <v>5.5069999999999997</v>
      </c>
      <c r="N785" s="67">
        <f t="shared" si="607"/>
        <v>0</v>
      </c>
      <c r="O785" s="67">
        <f>M785*J785</f>
        <v>721141.64999999991</v>
      </c>
      <c r="P785" s="1104"/>
    </row>
    <row r="786" spans="2:16" x14ac:dyDescent="0.25">
      <c r="B786" s="1099"/>
      <c r="C786" s="1102"/>
      <c r="D786" s="61" t="s">
        <v>112</v>
      </c>
      <c r="E786" s="62">
        <v>0</v>
      </c>
      <c r="F786" s="63">
        <f t="shared" si="609"/>
        <v>19389</v>
      </c>
      <c r="G786" s="63">
        <v>18900</v>
      </c>
      <c r="H786" s="64">
        <v>489</v>
      </c>
      <c r="I786" s="79">
        <f t="shared" si="611"/>
        <v>68765</v>
      </c>
      <c r="J786" s="4">
        <f t="shared" si="604"/>
        <v>66600</v>
      </c>
      <c r="K786" s="4">
        <f t="shared" si="610"/>
        <v>2165</v>
      </c>
      <c r="L786" s="65" t="e">
        <f t="shared" si="613"/>
        <v>#DIV/0!</v>
      </c>
      <c r="M786" s="147">
        <v>5.6550000000000002</v>
      </c>
      <c r="N786" s="67">
        <f t="shared" si="607"/>
        <v>106879.5</v>
      </c>
      <c r="O786" s="67">
        <f>M786*J786</f>
        <v>376623</v>
      </c>
      <c r="P786" s="1104"/>
    </row>
    <row r="787" spans="2:16" x14ac:dyDescent="0.25">
      <c r="B787" s="1099"/>
      <c r="C787" s="1102"/>
      <c r="D787" s="61" t="s">
        <v>118</v>
      </c>
      <c r="E787" s="62">
        <v>0</v>
      </c>
      <c r="F787" s="63">
        <f t="shared" si="609"/>
        <v>0</v>
      </c>
      <c r="G787" s="63">
        <v>0</v>
      </c>
      <c r="H787" s="64">
        <v>0</v>
      </c>
      <c r="I787" s="79">
        <f t="shared" si="611"/>
        <v>0</v>
      </c>
      <c r="J787" s="4">
        <f t="shared" si="604"/>
        <v>0</v>
      </c>
      <c r="K787" s="4">
        <f t="shared" si="610"/>
        <v>0</v>
      </c>
      <c r="L787" s="65" t="e">
        <f t="shared" si="613"/>
        <v>#DIV/0!</v>
      </c>
      <c r="M787" s="152">
        <v>5.6550000000000002</v>
      </c>
      <c r="N787" s="67">
        <f t="shared" si="607"/>
        <v>0</v>
      </c>
      <c r="O787" s="67">
        <f>M787*J787</f>
        <v>0</v>
      </c>
      <c r="P787" s="1104"/>
    </row>
    <row r="788" spans="2:16" x14ac:dyDescent="0.25">
      <c r="B788" s="1099"/>
      <c r="C788" s="1102"/>
      <c r="D788" s="61" t="s">
        <v>121</v>
      </c>
      <c r="E788" s="62">
        <v>0</v>
      </c>
      <c r="F788" s="63">
        <f t="shared" si="609"/>
        <v>0</v>
      </c>
      <c r="G788" s="63">
        <v>0</v>
      </c>
      <c r="H788" s="64">
        <v>0</v>
      </c>
      <c r="I788" s="79">
        <f t="shared" si="611"/>
        <v>28324</v>
      </c>
      <c r="J788" s="4">
        <f t="shared" si="604"/>
        <v>26710</v>
      </c>
      <c r="K788" s="4">
        <f t="shared" si="610"/>
        <v>1614</v>
      </c>
      <c r="L788" s="65" t="e">
        <f t="shared" si="613"/>
        <v>#DIV/0!</v>
      </c>
      <c r="M788" s="66">
        <v>5.7885299999999997</v>
      </c>
      <c r="N788" s="67">
        <f>+M788*G788</f>
        <v>0</v>
      </c>
      <c r="O788" s="67">
        <f>M788*J788</f>
        <v>154611.63629999998</v>
      </c>
      <c r="P788" s="1104"/>
    </row>
    <row r="789" spans="2:16" x14ac:dyDescent="0.25">
      <c r="B789" s="1099"/>
      <c r="C789" s="1102"/>
      <c r="D789" s="61" t="s">
        <v>136</v>
      </c>
      <c r="E789" s="62">
        <v>0</v>
      </c>
      <c r="F789" s="63">
        <f t="shared" si="609"/>
        <v>0</v>
      </c>
      <c r="G789" s="63">
        <v>0</v>
      </c>
      <c r="H789" s="64">
        <v>0</v>
      </c>
      <c r="I789" s="79">
        <f t="shared" si="611"/>
        <v>0</v>
      </c>
      <c r="J789" s="4">
        <f t="shared" si="604"/>
        <v>0</v>
      </c>
      <c r="K789" s="4">
        <f t="shared" si="610"/>
        <v>0</v>
      </c>
      <c r="L789" s="65" t="e">
        <f t="shared" si="613"/>
        <v>#DIV/0!</v>
      </c>
      <c r="M789" s="152">
        <v>5.6550000000000002</v>
      </c>
      <c r="N789" s="67">
        <f t="shared" ref="N789:N791" si="614">+M789*G789</f>
        <v>0</v>
      </c>
      <c r="O789" s="67">
        <f t="shared" ref="O789:O792" si="615">M789*J789</f>
        <v>0</v>
      </c>
      <c r="P789" s="1104"/>
    </row>
    <row r="790" spans="2:16" x14ac:dyDescent="0.25">
      <c r="B790" s="1099"/>
      <c r="C790" s="200" t="s">
        <v>86</v>
      </c>
      <c r="D790" s="61" t="s">
        <v>77</v>
      </c>
      <c r="E790" s="62">
        <v>0</v>
      </c>
      <c r="F790" s="63">
        <f t="shared" si="609"/>
        <v>0</v>
      </c>
      <c r="G790" s="63">
        <v>0</v>
      </c>
      <c r="H790" s="64">
        <v>0</v>
      </c>
      <c r="I790" s="79">
        <f t="shared" si="611"/>
        <v>0</v>
      </c>
      <c r="J790" s="4">
        <f t="shared" si="604"/>
        <v>0</v>
      </c>
      <c r="K790" s="4">
        <f t="shared" si="610"/>
        <v>0</v>
      </c>
      <c r="L790" s="65" t="e">
        <f t="shared" si="613"/>
        <v>#DIV/0!</v>
      </c>
      <c r="M790" s="66">
        <v>3.2963</v>
      </c>
      <c r="N790" s="67">
        <f t="shared" si="614"/>
        <v>0</v>
      </c>
      <c r="O790" s="67">
        <f t="shared" si="615"/>
        <v>0</v>
      </c>
      <c r="P790" s="1104"/>
    </row>
    <row r="791" spans="2:16" x14ac:dyDescent="0.25">
      <c r="B791" s="1099"/>
      <c r="C791" s="200" t="s">
        <v>87</v>
      </c>
      <c r="D791" s="61" t="s">
        <v>77</v>
      </c>
      <c r="E791" s="62">
        <v>0</v>
      </c>
      <c r="F791" s="63">
        <f t="shared" si="609"/>
        <v>0</v>
      </c>
      <c r="G791" s="63">
        <v>0</v>
      </c>
      <c r="H791" s="64">
        <v>0</v>
      </c>
      <c r="I791" s="79">
        <f t="shared" si="611"/>
        <v>0</v>
      </c>
      <c r="J791" s="4">
        <f t="shared" si="604"/>
        <v>0</v>
      </c>
      <c r="K791" s="4">
        <f t="shared" si="610"/>
        <v>0</v>
      </c>
      <c r="L791" s="65" t="e">
        <f t="shared" si="613"/>
        <v>#DIV/0!</v>
      </c>
      <c r="M791" s="66">
        <v>3.2963</v>
      </c>
      <c r="N791" s="67">
        <f t="shared" si="614"/>
        <v>0</v>
      </c>
      <c r="O791" s="67">
        <f t="shared" si="615"/>
        <v>0</v>
      </c>
      <c r="P791" s="1104"/>
    </row>
    <row r="792" spans="2:16" ht="15.75" thickBot="1" x14ac:dyDescent="0.3">
      <c r="B792" s="1099"/>
      <c r="C792" s="68" t="s">
        <v>88</v>
      </c>
      <c r="D792" s="69" t="s">
        <v>89</v>
      </c>
      <c r="E792" s="70">
        <v>0</v>
      </c>
      <c r="F792" s="71">
        <f t="shared" si="609"/>
        <v>0</v>
      </c>
      <c r="G792" s="71">
        <v>0</v>
      </c>
      <c r="H792" s="72">
        <v>0</v>
      </c>
      <c r="I792" s="80">
        <f t="shared" si="611"/>
        <v>65030</v>
      </c>
      <c r="J792" s="4">
        <f t="shared" si="604"/>
        <v>65000</v>
      </c>
      <c r="K792" s="4">
        <f t="shared" si="610"/>
        <v>30</v>
      </c>
      <c r="L792" s="65" t="e">
        <f t="shared" si="613"/>
        <v>#DIV/0!</v>
      </c>
      <c r="M792" s="73">
        <v>2.3201000000000001</v>
      </c>
      <c r="N792" s="74">
        <f t="shared" ref="N792" si="616">M792*G792</f>
        <v>0</v>
      </c>
      <c r="O792" s="74">
        <f t="shared" si="615"/>
        <v>150806.5</v>
      </c>
      <c r="P792" s="1105"/>
    </row>
    <row r="793" spans="2:16" ht="15.75" thickBot="1" x14ac:dyDescent="0.3">
      <c r="B793" s="1100"/>
      <c r="C793" s="1108" t="s">
        <v>99</v>
      </c>
      <c r="D793" s="1109"/>
      <c r="E793" s="1109"/>
      <c r="F793" s="1109"/>
      <c r="G793" s="1109"/>
      <c r="H793" s="1110"/>
      <c r="I793" s="116">
        <f>J793+K793</f>
        <v>870604</v>
      </c>
      <c r="J793" s="115">
        <f>SUM(J765:J792)</f>
        <v>846340</v>
      </c>
      <c r="K793" s="115">
        <f>SUM(K765:K792)</f>
        <v>24264</v>
      </c>
      <c r="L793" s="114"/>
      <c r="M793" s="113"/>
      <c r="N793" s="114"/>
      <c r="O793" s="97">
        <f>SUM(O765:O792)</f>
        <v>7376654.3352999995</v>
      </c>
      <c r="P793" s="96"/>
    </row>
    <row r="794" spans="2:16" ht="15.75" thickBot="1" x14ac:dyDescent="0.3">
      <c r="B794" s="100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2"/>
    </row>
    <row r="795" spans="2:16" ht="15.75" thickBot="1" x14ac:dyDescent="0.3">
      <c r="B795" s="1093" t="s">
        <v>100</v>
      </c>
      <c r="C795" s="1094"/>
      <c r="D795" s="1094"/>
      <c r="E795" s="1094"/>
      <c r="F795" s="1094"/>
      <c r="G795" s="1094"/>
      <c r="H795" s="1094"/>
      <c r="I795" s="1094"/>
      <c r="J795" s="1094"/>
      <c r="K795" s="1094"/>
      <c r="L795" s="1094"/>
      <c r="M795" s="1094"/>
      <c r="N795" s="1095"/>
      <c r="O795" s="103">
        <f>+O793+O764+O749</f>
        <v>16167084.592299998</v>
      </c>
      <c r="P795" s="96"/>
    </row>
    <row r="796" spans="2:16" ht="15.75" thickBot="1" x14ac:dyDescent="0.3"/>
    <row r="797" spans="2:16" x14ac:dyDescent="0.25">
      <c r="B797" s="1127" t="s">
        <v>1</v>
      </c>
      <c r="C797" s="1129" t="s">
        <v>2</v>
      </c>
      <c r="D797" s="1132" t="s">
        <v>3</v>
      </c>
      <c r="E797" s="1135" t="s">
        <v>4</v>
      </c>
      <c r="F797" s="1136"/>
      <c r="G797" s="1136"/>
      <c r="H797" s="1136"/>
      <c r="I797" s="1136"/>
      <c r="J797" s="1136"/>
      <c r="K797" s="1136"/>
      <c r="L797" s="1137"/>
      <c r="M797" s="1138" t="s">
        <v>5</v>
      </c>
      <c r="N797" s="1139"/>
      <c r="O797" s="1140"/>
      <c r="P797" s="1132" t="s">
        <v>6</v>
      </c>
    </row>
    <row r="798" spans="2:16" x14ac:dyDescent="0.25">
      <c r="B798" s="1128"/>
      <c r="C798" s="1130"/>
      <c r="D798" s="1133"/>
      <c r="E798" s="1141" t="s">
        <v>7</v>
      </c>
      <c r="F798" s="1143" t="s">
        <v>152</v>
      </c>
      <c r="G798" s="1143"/>
      <c r="H798" s="1144"/>
      <c r="I798" s="1145" t="s">
        <v>8</v>
      </c>
      <c r="J798" s="1143"/>
      <c r="K798" s="1143"/>
      <c r="L798" s="1144" t="s">
        <v>9</v>
      </c>
      <c r="M798" s="1147" t="s">
        <v>10</v>
      </c>
      <c r="N798" s="1149" t="s">
        <v>11</v>
      </c>
      <c r="O798" s="1151" t="s">
        <v>12</v>
      </c>
      <c r="P798" s="1133"/>
    </row>
    <row r="799" spans="2:16" ht="15.75" thickBot="1" x14ac:dyDescent="0.3">
      <c r="B799" s="1128"/>
      <c r="C799" s="1131"/>
      <c r="D799" s="1134"/>
      <c r="E799" s="1142"/>
      <c r="F799" s="2" t="s">
        <v>13</v>
      </c>
      <c r="G799" s="2" t="s">
        <v>14</v>
      </c>
      <c r="H799" s="207" t="s">
        <v>15</v>
      </c>
      <c r="I799" s="142" t="s">
        <v>13</v>
      </c>
      <c r="J799" s="2" t="s">
        <v>14</v>
      </c>
      <c r="K799" s="2" t="s">
        <v>15</v>
      </c>
      <c r="L799" s="1146"/>
      <c r="M799" s="1148"/>
      <c r="N799" s="1150"/>
      <c r="O799" s="1152"/>
      <c r="P799" s="1134"/>
    </row>
    <row r="800" spans="2:16" x14ac:dyDescent="0.25">
      <c r="B800" s="1111" t="s">
        <v>53</v>
      </c>
      <c r="C800" s="29"/>
      <c r="D800" s="117" t="s">
        <v>143</v>
      </c>
      <c r="E800" s="98">
        <v>0</v>
      </c>
      <c r="F800" s="4">
        <f>+G800+H800</f>
        <v>0</v>
      </c>
      <c r="G800" s="4">
        <v>0</v>
      </c>
      <c r="H800" s="8">
        <v>0</v>
      </c>
      <c r="I800" s="6">
        <f>J800+K800</f>
        <v>285266</v>
      </c>
      <c r="J800" s="4">
        <f>G800+J735</f>
        <v>280000</v>
      </c>
      <c r="K800" s="4">
        <f>H800+K735</f>
        <v>5266</v>
      </c>
      <c r="L800" s="33" t="e">
        <f>+J800/E800</f>
        <v>#DIV/0!</v>
      </c>
      <c r="M800" s="104">
        <v>1.3652</v>
      </c>
      <c r="N800" s="31">
        <f>G800*M800</f>
        <v>0</v>
      </c>
      <c r="O800" s="86">
        <f>M800*J800</f>
        <v>382256</v>
      </c>
      <c r="P800" s="1113"/>
    </row>
    <row r="801" spans="2:16" x14ac:dyDescent="0.25">
      <c r="B801" s="1112"/>
      <c r="C801" s="32"/>
      <c r="D801" s="118" t="s">
        <v>109</v>
      </c>
      <c r="E801" s="99">
        <v>0</v>
      </c>
      <c r="F801" s="9">
        <f>+G801+H801</f>
        <v>0</v>
      </c>
      <c r="G801" s="9">
        <v>0</v>
      </c>
      <c r="H801" s="10">
        <v>0</v>
      </c>
      <c r="I801" s="6">
        <f>J801+K801</f>
        <v>0</v>
      </c>
      <c r="J801" s="4">
        <f>+G801+J736</f>
        <v>0</v>
      </c>
      <c r="K801" s="4">
        <f>+H801+K736</f>
        <v>0</v>
      </c>
      <c r="L801" s="33"/>
      <c r="M801" s="105">
        <v>5.9917999999999996</v>
      </c>
      <c r="N801" s="34">
        <f>M801*G801</f>
        <v>0</v>
      </c>
      <c r="O801" s="87">
        <f>M801*J801</f>
        <v>0</v>
      </c>
      <c r="P801" s="1114"/>
    </row>
    <row r="802" spans="2:16" x14ac:dyDescent="0.25">
      <c r="B802" s="1112"/>
      <c r="C802" s="35"/>
      <c r="D802" s="119" t="s">
        <v>55</v>
      </c>
      <c r="E802" s="99">
        <v>0</v>
      </c>
      <c r="F802" s="9">
        <f t="shared" ref="F802:F806" si="617">+G802+H802</f>
        <v>173596</v>
      </c>
      <c r="G802" s="9">
        <v>172500</v>
      </c>
      <c r="H802" s="10">
        <v>1096</v>
      </c>
      <c r="I802" s="6">
        <f t="shared" ref="I802:I806" si="618">J802+K802</f>
        <v>2436688</v>
      </c>
      <c r="J802" s="4">
        <f t="shared" ref="J802:J806" si="619">+G802+J737</f>
        <v>2418250</v>
      </c>
      <c r="K802" s="4">
        <f t="shared" ref="K802:K806" si="620">+H802+K737</f>
        <v>18438</v>
      </c>
      <c r="L802" s="33" t="e">
        <f t="shared" ref="L802" si="621">+J802/E802</f>
        <v>#DIV/0!</v>
      </c>
      <c r="M802" s="106">
        <v>2.3807999999999998</v>
      </c>
      <c r="N802" s="36">
        <f>G802*M802</f>
        <v>410687.99999999994</v>
      </c>
      <c r="O802" s="88">
        <f>M802*J802</f>
        <v>5757369.5999999996</v>
      </c>
      <c r="P802" s="1114"/>
    </row>
    <row r="803" spans="2:16" x14ac:dyDescent="0.25">
      <c r="B803" s="1112"/>
      <c r="C803" s="35"/>
      <c r="D803" s="119" t="s">
        <v>56</v>
      </c>
      <c r="E803" s="99">
        <v>0</v>
      </c>
      <c r="F803" s="9">
        <f t="shared" si="617"/>
        <v>0</v>
      </c>
      <c r="G803" s="9">
        <v>0</v>
      </c>
      <c r="H803" s="10">
        <v>0</v>
      </c>
      <c r="I803" s="6">
        <f t="shared" si="618"/>
        <v>0</v>
      </c>
      <c r="J803" s="4">
        <f t="shared" si="619"/>
        <v>0</v>
      </c>
      <c r="K803" s="4">
        <f t="shared" si="620"/>
        <v>0</v>
      </c>
      <c r="L803" s="33"/>
      <c r="M803" s="106">
        <v>2.1457999999999999</v>
      </c>
      <c r="N803" s="36">
        <f t="shared" ref="N803:N806" si="622">G803*M803</f>
        <v>0</v>
      </c>
      <c r="O803" s="88">
        <f>M803*J803</f>
        <v>0</v>
      </c>
      <c r="P803" s="1114"/>
    </row>
    <row r="804" spans="2:16" x14ac:dyDescent="0.25">
      <c r="B804" s="1112"/>
      <c r="C804" s="35"/>
      <c r="D804" s="119" t="s">
        <v>106</v>
      </c>
      <c r="E804" s="99">
        <v>0</v>
      </c>
      <c r="F804" s="9">
        <f t="shared" si="617"/>
        <v>53280</v>
      </c>
      <c r="G804" s="9">
        <v>42000</v>
      </c>
      <c r="H804" s="10">
        <v>11280</v>
      </c>
      <c r="I804" s="6">
        <f t="shared" si="618"/>
        <v>53280</v>
      </c>
      <c r="J804" s="4">
        <f t="shared" si="619"/>
        <v>42000</v>
      </c>
      <c r="K804" s="4">
        <f t="shared" si="620"/>
        <v>11280</v>
      </c>
      <c r="L804" s="33" t="e">
        <f t="shared" ref="L804:L805" si="623">+J804/E804</f>
        <v>#DIV/0!</v>
      </c>
      <c r="M804" s="143">
        <v>4.0426000000000002</v>
      </c>
      <c r="N804" s="36">
        <f t="shared" si="622"/>
        <v>169789.2</v>
      </c>
      <c r="O804" s="88">
        <f>M804*J804</f>
        <v>169789.2</v>
      </c>
      <c r="P804" s="1114"/>
    </row>
    <row r="805" spans="2:16" x14ac:dyDescent="0.25">
      <c r="B805" s="1112"/>
      <c r="C805" s="35"/>
      <c r="D805" s="119" t="s">
        <v>110</v>
      </c>
      <c r="E805" s="99">
        <v>0</v>
      </c>
      <c r="F805" s="9">
        <f t="shared" si="617"/>
        <v>0</v>
      </c>
      <c r="G805" s="9">
        <v>0</v>
      </c>
      <c r="H805" s="10">
        <v>0</v>
      </c>
      <c r="I805" s="6">
        <f t="shared" si="618"/>
        <v>0</v>
      </c>
      <c r="J805" s="4">
        <f t="shared" si="619"/>
        <v>0</v>
      </c>
      <c r="K805" s="4">
        <f t="shared" si="620"/>
        <v>0</v>
      </c>
      <c r="L805" s="33" t="e">
        <f t="shared" si="623"/>
        <v>#DIV/0!</v>
      </c>
      <c r="M805" s="143">
        <v>3.8715000000000002</v>
      </c>
      <c r="N805" s="36">
        <f t="shared" si="622"/>
        <v>0</v>
      </c>
      <c r="O805" s="88">
        <f t="shared" ref="O805:O806" si="624">M805*J805</f>
        <v>0</v>
      </c>
      <c r="P805" s="1114"/>
    </row>
    <row r="806" spans="2:16" ht="15.75" thickBot="1" x14ac:dyDescent="0.3">
      <c r="B806" s="1112"/>
      <c r="C806" s="82"/>
      <c r="D806" s="120" t="s">
        <v>57</v>
      </c>
      <c r="E806" s="108">
        <v>0</v>
      </c>
      <c r="F806" s="12">
        <f t="shared" si="617"/>
        <v>0</v>
      </c>
      <c r="G806" s="12">
        <v>0</v>
      </c>
      <c r="H806" s="13">
        <v>0</v>
      </c>
      <c r="I806" s="21">
        <f t="shared" si="618"/>
        <v>0</v>
      </c>
      <c r="J806" s="4">
        <f t="shared" si="619"/>
        <v>0</v>
      </c>
      <c r="K806" s="4">
        <f t="shared" si="620"/>
        <v>0</v>
      </c>
      <c r="L806" s="81"/>
      <c r="M806" s="127">
        <v>12.284700000000001</v>
      </c>
      <c r="N806" s="36">
        <f t="shared" si="622"/>
        <v>0</v>
      </c>
      <c r="O806" s="128">
        <f t="shared" si="624"/>
        <v>0</v>
      </c>
      <c r="P806" s="1114"/>
    </row>
    <row r="807" spans="2:16" ht="15.75" thickBot="1" x14ac:dyDescent="0.3">
      <c r="B807" s="1112"/>
      <c r="C807" s="1117" t="s">
        <v>104</v>
      </c>
      <c r="D807" s="1118"/>
      <c r="E807" s="129"/>
      <c r="F807" s="130">
        <f>SUM(F800:F806)</f>
        <v>226876</v>
      </c>
      <c r="G807" s="130">
        <f>SUM(G800:G806)</f>
        <v>214500</v>
      </c>
      <c r="H807" s="131">
        <f>SUM(H800:H806)</f>
        <v>12376</v>
      </c>
      <c r="I807" s="132">
        <f>+J807+K807</f>
        <v>2775234</v>
      </c>
      <c r="J807" s="133">
        <f>SUM(J800:J806)</f>
        <v>2740250</v>
      </c>
      <c r="K807" s="133">
        <f>SUM(K800:K806)</f>
        <v>34984</v>
      </c>
      <c r="L807" s="134"/>
      <c r="M807" s="135"/>
      <c r="N807" s="136"/>
      <c r="O807" s="137">
        <f>SUM(O800:O806)</f>
        <v>6309414.7999999998</v>
      </c>
      <c r="P807" s="1115"/>
    </row>
    <row r="808" spans="2:16" x14ac:dyDescent="0.25">
      <c r="B808" s="1112"/>
      <c r="C808" s="32"/>
      <c r="D808" s="118" t="s">
        <v>58</v>
      </c>
      <c r="E808" s="98">
        <v>0</v>
      </c>
      <c r="F808" s="4">
        <f t="shared" ref="F808:F811" si="625">+G808+H808</f>
        <v>0</v>
      </c>
      <c r="G808" s="4">
        <v>0</v>
      </c>
      <c r="H808" s="8">
        <v>0</v>
      </c>
      <c r="I808" s="6">
        <f t="shared" ref="I808:I812" si="626">J808+K808</f>
        <v>0</v>
      </c>
      <c r="J808" s="4">
        <f>G808+J743</f>
        <v>0</v>
      </c>
      <c r="K808" s="4">
        <f>H808+K743</f>
        <v>0</v>
      </c>
      <c r="L808" s="33" t="e">
        <f t="shared" ref="L808" si="627">+J808/E808</f>
        <v>#DIV/0!</v>
      </c>
      <c r="M808" s="105">
        <v>12.029500000000001</v>
      </c>
      <c r="N808" s="34">
        <f>M808*G808</f>
        <v>0</v>
      </c>
      <c r="O808" s="87">
        <f t="shared" ref="O808:O810" si="628">M808*J808</f>
        <v>0</v>
      </c>
      <c r="P808" s="1114"/>
    </row>
    <row r="809" spans="2:16" x14ac:dyDescent="0.25">
      <c r="B809" s="1112"/>
      <c r="C809" s="35"/>
      <c r="D809" s="119" t="s">
        <v>59</v>
      </c>
      <c r="E809" s="99">
        <v>0</v>
      </c>
      <c r="F809" s="9">
        <f t="shared" si="625"/>
        <v>0</v>
      </c>
      <c r="G809" s="9">
        <v>0</v>
      </c>
      <c r="H809" s="10">
        <v>0</v>
      </c>
      <c r="I809" s="6">
        <f t="shared" si="626"/>
        <v>0</v>
      </c>
      <c r="J809" s="4">
        <f>G809+J744</f>
        <v>0</v>
      </c>
      <c r="K809" s="4">
        <f>H809+K744</f>
        <v>0</v>
      </c>
      <c r="L809" s="33"/>
      <c r="M809" s="106">
        <v>0</v>
      </c>
      <c r="N809" s="36"/>
      <c r="O809" s="88">
        <f t="shared" si="628"/>
        <v>0</v>
      </c>
      <c r="P809" s="1114"/>
    </row>
    <row r="810" spans="2:16" x14ac:dyDescent="0.25">
      <c r="B810" s="1112"/>
      <c r="C810" s="35"/>
      <c r="D810" s="119" t="s">
        <v>97</v>
      </c>
      <c r="E810" s="99">
        <v>0</v>
      </c>
      <c r="F810" s="9">
        <f t="shared" si="625"/>
        <v>0</v>
      </c>
      <c r="G810" s="9">
        <v>0</v>
      </c>
      <c r="H810" s="10">
        <v>0</v>
      </c>
      <c r="I810" s="6">
        <f t="shared" si="626"/>
        <v>0</v>
      </c>
      <c r="J810" s="4">
        <f t="shared" ref="J810:J812" si="629">G810+J745</f>
        <v>0</v>
      </c>
      <c r="K810" s="4">
        <f t="shared" ref="K810:K812" si="630">H810+K745</f>
        <v>0</v>
      </c>
      <c r="L810" s="33" t="e">
        <f t="shared" ref="L810:L812" si="631">+J810/E810</f>
        <v>#DIV/0!</v>
      </c>
      <c r="M810" s="106">
        <v>19.688600000000001</v>
      </c>
      <c r="N810" s="36">
        <f>M810*G810</f>
        <v>0</v>
      </c>
      <c r="O810" s="88">
        <f t="shared" si="628"/>
        <v>0</v>
      </c>
      <c r="P810" s="1114"/>
    </row>
    <row r="811" spans="2:16" x14ac:dyDescent="0.25">
      <c r="B811" s="1112"/>
      <c r="C811" s="35"/>
      <c r="D811" s="119" t="s">
        <v>61</v>
      </c>
      <c r="E811" s="99">
        <v>0</v>
      </c>
      <c r="F811" s="9">
        <f t="shared" si="625"/>
        <v>0</v>
      </c>
      <c r="G811" s="9">
        <v>0</v>
      </c>
      <c r="H811" s="10">
        <v>0</v>
      </c>
      <c r="I811" s="6">
        <f t="shared" si="626"/>
        <v>0</v>
      </c>
      <c r="J811" s="4">
        <f t="shared" si="629"/>
        <v>0</v>
      </c>
      <c r="K811" s="4">
        <f t="shared" si="630"/>
        <v>0</v>
      </c>
      <c r="L811" s="33" t="e">
        <f t="shared" si="631"/>
        <v>#DIV/0!</v>
      </c>
      <c r="M811" s="106">
        <v>1.2824</v>
      </c>
      <c r="N811" s="151">
        <f>M811*G811</f>
        <v>0</v>
      </c>
      <c r="O811" s="88">
        <f>M811*J811</f>
        <v>0</v>
      </c>
      <c r="P811" s="1114"/>
    </row>
    <row r="812" spans="2:16" ht="15.75" thickBot="1" x14ac:dyDescent="0.3">
      <c r="B812" s="1112"/>
      <c r="C812" s="82"/>
      <c r="D812" s="120" t="s">
        <v>60</v>
      </c>
      <c r="E812" s="108">
        <v>0</v>
      </c>
      <c r="F812" s="12">
        <v>0</v>
      </c>
      <c r="G812" s="12">
        <v>8640</v>
      </c>
      <c r="H812" s="13">
        <v>104</v>
      </c>
      <c r="I812" s="21">
        <f t="shared" si="626"/>
        <v>56834</v>
      </c>
      <c r="J812" s="4">
        <f t="shared" si="629"/>
        <v>56160</v>
      </c>
      <c r="K812" s="4">
        <f t="shared" si="630"/>
        <v>674</v>
      </c>
      <c r="L812" s="81" t="e">
        <f t="shared" si="631"/>
        <v>#DIV/0!</v>
      </c>
      <c r="M812" s="107">
        <v>18.2316</v>
      </c>
      <c r="N812" s="75"/>
      <c r="O812" s="89">
        <f t="shared" ref="O812" si="632">M812*J812</f>
        <v>1023886.656</v>
      </c>
      <c r="P812" s="1116"/>
    </row>
    <row r="813" spans="2:16" ht="15.75" thickBot="1" x14ac:dyDescent="0.3">
      <c r="B813" s="1096" t="s">
        <v>105</v>
      </c>
      <c r="C813" s="1097"/>
      <c r="D813" s="1097"/>
      <c r="E813" s="124"/>
      <c r="F813" s="125">
        <f>+G813+H813</f>
        <v>8744</v>
      </c>
      <c r="G813" s="125">
        <f>SUM(G808:G812)</f>
        <v>8640</v>
      </c>
      <c r="H813" s="126">
        <f>SUM(H808:H812)</f>
        <v>104</v>
      </c>
      <c r="I813" s="121">
        <f>J813+K813</f>
        <v>56834</v>
      </c>
      <c r="J813" s="122">
        <f>SUM(J808:J812)</f>
        <v>56160</v>
      </c>
      <c r="K813" s="123">
        <f>SUM(K808:K812)</f>
        <v>674</v>
      </c>
      <c r="L813" s="138"/>
      <c r="M813" s="139"/>
      <c r="N813" s="140"/>
      <c r="O813" s="141">
        <f>SUM(O808:O812)</f>
        <v>1023886.656</v>
      </c>
      <c r="P813" s="205"/>
    </row>
    <row r="814" spans="2:16" ht="15.75" thickBot="1" x14ac:dyDescent="0.3">
      <c r="B814" s="1096" t="s">
        <v>98</v>
      </c>
      <c r="C814" s="1097"/>
      <c r="D814" s="1097"/>
      <c r="E814" s="1119"/>
      <c r="F814" s="1119"/>
      <c r="G814" s="1119"/>
      <c r="H814" s="1119"/>
      <c r="I814" s="1097"/>
      <c r="J814" s="1097"/>
      <c r="K814" s="1097"/>
      <c r="L814" s="1097"/>
      <c r="M814" s="1097"/>
      <c r="N814" s="1120"/>
      <c r="O814" s="83">
        <f>O807+O813</f>
        <v>7333301.4560000002</v>
      </c>
      <c r="P814" s="205"/>
    </row>
    <row r="815" spans="2:16" x14ac:dyDescent="0.25">
      <c r="B815" s="1111" t="s">
        <v>62</v>
      </c>
      <c r="C815" s="37" t="s">
        <v>63</v>
      </c>
      <c r="D815" s="28" t="s">
        <v>64</v>
      </c>
      <c r="E815" s="38">
        <v>0</v>
      </c>
      <c r="F815" s="14">
        <f>+G815+H815</f>
        <v>0</v>
      </c>
      <c r="G815" s="14">
        <v>0</v>
      </c>
      <c r="H815" s="5">
        <v>0</v>
      </c>
      <c r="I815" s="17">
        <f t="shared" ref="I815:I821" si="633">J815+K815</f>
        <v>0</v>
      </c>
      <c r="J815" s="4">
        <f>G815+J750</f>
        <v>0</v>
      </c>
      <c r="K815" s="4">
        <f>H815+K750</f>
        <v>0</v>
      </c>
      <c r="L815" s="30" t="e">
        <f>+J815/E815</f>
        <v>#DIV/0!</v>
      </c>
      <c r="M815" s="146">
        <v>2.2141000000000002</v>
      </c>
      <c r="N815" s="15">
        <f>+M815*G815</f>
        <v>0</v>
      </c>
      <c r="O815" s="90">
        <f>+M815*J815</f>
        <v>0</v>
      </c>
      <c r="P815" s="1122"/>
    </row>
    <row r="816" spans="2:16" x14ac:dyDescent="0.25">
      <c r="B816" s="1112"/>
      <c r="C816" s="39"/>
      <c r="D816" s="22" t="s">
        <v>65</v>
      </c>
      <c r="E816" s="3">
        <v>0</v>
      </c>
      <c r="F816" s="9">
        <f t="shared" ref="F816:F821" si="634">+G816+H816</f>
        <v>0</v>
      </c>
      <c r="G816" s="4">
        <v>0</v>
      </c>
      <c r="H816" s="8">
        <v>0</v>
      </c>
      <c r="I816" s="6">
        <f t="shared" si="633"/>
        <v>0</v>
      </c>
      <c r="J816" s="4">
        <f>+G816+J751</f>
        <v>0</v>
      </c>
      <c r="K816" s="4">
        <f>+H816+K751</f>
        <v>0</v>
      </c>
      <c r="L816" s="40" t="e">
        <f t="shared" ref="L816:L817" si="635">+J816/E816</f>
        <v>#DIV/0!</v>
      </c>
      <c r="M816" s="145">
        <v>2.4565999999999999</v>
      </c>
      <c r="N816" s="11">
        <f t="shared" ref="N816:N818" si="636">+M816*G816</f>
        <v>0</v>
      </c>
      <c r="O816" s="91">
        <f t="shared" ref="O816:O818" si="637">+M816*J816</f>
        <v>0</v>
      </c>
      <c r="P816" s="1123"/>
    </row>
    <row r="817" spans="2:16" x14ac:dyDescent="0.25">
      <c r="B817" s="1112"/>
      <c r="C817" s="39"/>
      <c r="D817" s="23" t="s">
        <v>126</v>
      </c>
      <c r="E817" s="3">
        <v>0</v>
      </c>
      <c r="F817" s="9">
        <f t="shared" si="634"/>
        <v>0</v>
      </c>
      <c r="G817" s="4">
        <v>0</v>
      </c>
      <c r="H817" s="8">
        <v>0</v>
      </c>
      <c r="I817" s="6">
        <f t="shared" si="633"/>
        <v>0</v>
      </c>
      <c r="J817" s="4">
        <f t="shared" ref="J817:J818" si="638">+G817+J752</f>
        <v>0</v>
      </c>
      <c r="K817" s="4">
        <f t="shared" ref="K817:K821" si="639">+H817+K752</f>
        <v>0</v>
      </c>
      <c r="L817" s="40" t="e">
        <f t="shared" si="635"/>
        <v>#DIV/0!</v>
      </c>
      <c r="M817" s="145">
        <v>2.2907000000000002</v>
      </c>
      <c r="N817" s="11">
        <f t="shared" si="636"/>
        <v>0</v>
      </c>
      <c r="O817" s="91">
        <f t="shared" si="637"/>
        <v>0</v>
      </c>
      <c r="P817" s="1123"/>
    </row>
    <row r="818" spans="2:16" x14ac:dyDescent="0.25">
      <c r="B818" s="1112"/>
      <c r="C818" s="39"/>
      <c r="D818" s="22" t="s">
        <v>131</v>
      </c>
      <c r="E818" s="3"/>
      <c r="F818" s="9">
        <f t="shared" si="634"/>
        <v>0</v>
      </c>
      <c r="G818" s="4">
        <v>0</v>
      </c>
      <c r="H818" s="8">
        <v>0</v>
      </c>
      <c r="I818" s="6">
        <f t="shared" si="633"/>
        <v>0</v>
      </c>
      <c r="J818" s="4">
        <f t="shared" si="638"/>
        <v>0</v>
      </c>
      <c r="K818" s="4">
        <f t="shared" si="639"/>
        <v>0</v>
      </c>
      <c r="L818" s="33"/>
      <c r="M818" s="150">
        <v>2.544</v>
      </c>
      <c r="N818" s="11">
        <f t="shared" si="636"/>
        <v>0</v>
      </c>
      <c r="O818" s="91">
        <f t="shared" si="637"/>
        <v>0</v>
      </c>
      <c r="P818" s="1123"/>
    </row>
    <row r="819" spans="2:16" x14ac:dyDescent="0.25">
      <c r="B819" s="1112"/>
      <c r="C819" s="39" t="s">
        <v>66</v>
      </c>
      <c r="D819" s="22" t="s">
        <v>133</v>
      </c>
      <c r="E819" s="3">
        <v>0</v>
      </c>
      <c r="F819" s="9">
        <f t="shared" si="634"/>
        <v>23285</v>
      </c>
      <c r="G819" s="4">
        <v>22250</v>
      </c>
      <c r="H819" s="8">
        <v>1035</v>
      </c>
      <c r="I819" s="6">
        <f t="shared" si="633"/>
        <v>567947</v>
      </c>
      <c r="J819" s="4">
        <f>+G819+J754</f>
        <v>552750</v>
      </c>
      <c r="K819" s="4">
        <f t="shared" si="639"/>
        <v>15197</v>
      </c>
      <c r="L819" s="33" t="e">
        <f>+J819/E819</f>
        <v>#DIV/0!</v>
      </c>
      <c r="M819" s="144">
        <v>2.2141000000000002</v>
      </c>
      <c r="N819" s="7">
        <f>+M819*G819</f>
        <v>49263.725000000006</v>
      </c>
      <c r="O819" s="85">
        <f>+M819*J819</f>
        <v>1223843.7750000001</v>
      </c>
      <c r="P819" s="1123"/>
    </row>
    <row r="820" spans="2:16" x14ac:dyDescent="0.25">
      <c r="B820" s="1112"/>
      <c r="C820" s="39"/>
      <c r="D820" s="22" t="s">
        <v>65</v>
      </c>
      <c r="E820" s="3">
        <v>0</v>
      </c>
      <c r="F820" s="9">
        <f t="shared" si="634"/>
        <v>0</v>
      </c>
      <c r="G820" s="4">
        <v>0</v>
      </c>
      <c r="H820" s="8">
        <v>0</v>
      </c>
      <c r="I820" s="6">
        <f t="shared" si="633"/>
        <v>0</v>
      </c>
      <c r="J820" s="4">
        <f t="shared" ref="J820:J821" si="640">+G820+J755</f>
        <v>0</v>
      </c>
      <c r="K820" s="4">
        <f t="shared" si="639"/>
        <v>0</v>
      </c>
      <c r="L820" s="40" t="e">
        <f t="shared" ref="L820:L821" si="641">+J820/E820</f>
        <v>#DIV/0!</v>
      </c>
      <c r="M820" s="145">
        <v>2.4565999999999999</v>
      </c>
      <c r="N820" s="11">
        <f t="shared" ref="N820:N821" si="642">+M820*G820</f>
        <v>0</v>
      </c>
      <c r="O820" s="91">
        <f t="shared" ref="O820" si="643">+M820*J820</f>
        <v>0</v>
      </c>
      <c r="P820" s="1123"/>
    </row>
    <row r="821" spans="2:16" ht="15.75" thickBot="1" x14ac:dyDescent="0.3">
      <c r="B821" s="1112"/>
      <c r="C821" s="39"/>
      <c r="D821" s="22" t="s">
        <v>126</v>
      </c>
      <c r="E821" s="3">
        <v>0</v>
      </c>
      <c r="F821" s="9">
        <f t="shared" si="634"/>
        <v>0</v>
      </c>
      <c r="G821" s="4">
        <v>0</v>
      </c>
      <c r="H821" s="8">
        <v>0</v>
      </c>
      <c r="I821" s="6">
        <f t="shared" si="633"/>
        <v>0</v>
      </c>
      <c r="J821" s="4">
        <f t="shared" si="640"/>
        <v>0</v>
      </c>
      <c r="K821" s="4">
        <f t="shared" si="639"/>
        <v>0</v>
      </c>
      <c r="L821" s="40" t="e">
        <f t="shared" si="641"/>
        <v>#DIV/0!</v>
      </c>
      <c r="M821" s="145">
        <v>2.2907000000000002</v>
      </c>
      <c r="N821" s="11">
        <f t="shared" si="642"/>
        <v>0</v>
      </c>
      <c r="O821" s="154">
        <f>+M821*J821</f>
        <v>0</v>
      </c>
      <c r="P821" s="1124"/>
    </row>
    <row r="822" spans="2:16" ht="15.75" thickBot="1" x14ac:dyDescent="0.3">
      <c r="B822" s="1112"/>
      <c r="C822" s="41" t="s">
        <v>29</v>
      </c>
      <c r="D822" s="27" t="str">
        <f>+C822</f>
        <v>TOTAL 1/2</v>
      </c>
      <c r="E822" s="42">
        <f>SUM(E815:E821)</f>
        <v>0</v>
      </c>
      <c r="F822" s="43">
        <f>SUM(F815:F821)</f>
        <v>23285</v>
      </c>
      <c r="G822" s="43">
        <f>SUM(G815:G821)</f>
        <v>22250</v>
      </c>
      <c r="H822" s="44">
        <f>SUM(H815:H821)</f>
        <v>1035</v>
      </c>
      <c r="I822" s="45">
        <f>SUM(I819:I821)</f>
        <v>567947</v>
      </c>
      <c r="J822" s="43">
        <f>SUM(J815:J821)</f>
        <v>552750</v>
      </c>
      <c r="K822" s="43">
        <f>SUM(K815:K821)</f>
        <v>15197</v>
      </c>
      <c r="L822" s="46" t="e">
        <f>+J822/E822</f>
        <v>#DIV/0!</v>
      </c>
      <c r="M822" s="47"/>
      <c r="N822" s="48">
        <f>SUM(N819:N821)</f>
        <v>49263.725000000006</v>
      </c>
      <c r="O822" s="49">
        <f>SUM(O815:O821)</f>
        <v>1223843.7750000001</v>
      </c>
      <c r="P822" s="206"/>
    </row>
    <row r="823" spans="2:16" x14ac:dyDescent="0.25">
      <c r="B823" s="1112"/>
      <c r="C823" s="1125" t="s">
        <v>67</v>
      </c>
      <c r="D823" s="22" t="s">
        <v>64</v>
      </c>
      <c r="E823" s="3">
        <v>0</v>
      </c>
      <c r="F823" s="4">
        <f>G823+H823</f>
        <v>0</v>
      </c>
      <c r="G823" s="4">
        <v>0</v>
      </c>
      <c r="H823" s="8">
        <v>0</v>
      </c>
      <c r="I823" s="16">
        <f>J823+K823</f>
        <v>109220</v>
      </c>
      <c r="J823" s="4">
        <f>G823+J758</f>
        <v>105750</v>
      </c>
      <c r="K823" s="4">
        <f>H823+K758</f>
        <v>3470</v>
      </c>
      <c r="L823" s="50" t="e">
        <f>+J823/E823</f>
        <v>#DIV/0!</v>
      </c>
      <c r="M823" s="144">
        <v>4.1712999999999996</v>
      </c>
      <c r="N823" s="7">
        <f>+M823*G823</f>
        <v>0</v>
      </c>
      <c r="O823" s="93">
        <f>+M823*J823</f>
        <v>441114.97499999998</v>
      </c>
      <c r="P823" s="1122"/>
    </row>
    <row r="824" spans="2:16" x14ac:dyDescent="0.25">
      <c r="B824" s="1112"/>
      <c r="C824" s="1126"/>
      <c r="D824" s="22" t="s">
        <v>65</v>
      </c>
      <c r="E824" s="3">
        <v>0</v>
      </c>
      <c r="F824" s="4">
        <f>G824+H824</f>
        <v>0</v>
      </c>
      <c r="G824" s="4">
        <v>0</v>
      </c>
      <c r="H824" s="8">
        <v>0</v>
      </c>
      <c r="I824" s="6">
        <f>+R1868+F824</f>
        <v>0</v>
      </c>
      <c r="J824" s="4">
        <f>G824+J759</f>
        <v>120000</v>
      </c>
      <c r="K824" s="4">
        <f>H824+K759</f>
        <v>3230</v>
      </c>
      <c r="L824" s="51" t="e">
        <f t="shared" ref="L824:L828" si="644">+J824/E824</f>
        <v>#DIV/0!</v>
      </c>
      <c r="M824" s="145">
        <v>4.8285999999999998</v>
      </c>
      <c r="N824" s="11">
        <f t="shared" ref="N824:N826" si="645">+M824*G824</f>
        <v>0</v>
      </c>
      <c r="O824" s="94">
        <f t="shared" ref="O824:O826" si="646">+M824*J824</f>
        <v>579432</v>
      </c>
      <c r="P824" s="1123"/>
    </row>
    <row r="825" spans="2:16" x14ac:dyDescent="0.25">
      <c r="B825" s="1112"/>
      <c r="C825" s="1126"/>
      <c r="D825" s="22" t="s">
        <v>127</v>
      </c>
      <c r="E825" s="3"/>
      <c r="F825" s="4">
        <f>G825+H825</f>
        <v>0</v>
      </c>
      <c r="G825" s="4">
        <v>0</v>
      </c>
      <c r="H825" s="8">
        <v>0</v>
      </c>
      <c r="I825" s="6">
        <f>+R1869+F825</f>
        <v>0</v>
      </c>
      <c r="J825" s="4">
        <f t="shared" ref="J825:J826" si="647">G825+J760</f>
        <v>0</v>
      </c>
      <c r="K825" s="4">
        <f t="shared" ref="K825:K826" si="648">H825+K760</f>
        <v>0</v>
      </c>
      <c r="L825" s="51" t="e">
        <f t="shared" si="644"/>
        <v>#DIV/0!</v>
      </c>
      <c r="M825" s="144">
        <v>4.5023</v>
      </c>
      <c r="N825" s="11">
        <f t="shared" si="645"/>
        <v>0</v>
      </c>
      <c r="O825" s="94">
        <f t="shared" si="646"/>
        <v>0</v>
      </c>
      <c r="P825" s="1123"/>
    </row>
    <row r="826" spans="2:16" ht="15.75" thickBot="1" x14ac:dyDescent="0.3">
      <c r="B826" s="1112"/>
      <c r="C826" s="1126"/>
      <c r="D826" s="22" t="s">
        <v>111</v>
      </c>
      <c r="E826" s="3">
        <v>0</v>
      </c>
      <c r="F826" s="4">
        <f t="shared" ref="F826" si="649">G826+H826</f>
        <v>0</v>
      </c>
      <c r="G826" s="4">
        <v>0</v>
      </c>
      <c r="H826" s="8">
        <v>0</v>
      </c>
      <c r="I826" s="6">
        <f>+R1869+F826</f>
        <v>0</v>
      </c>
      <c r="J826" s="4">
        <f t="shared" si="647"/>
        <v>0</v>
      </c>
      <c r="K826" s="4">
        <f t="shared" si="648"/>
        <v>0</v>
      </c>
      <c r="L826" s="51" t="e">
        <f t="shared" si="644"/>
        <v>#DIV/0!</v>
      </c>
      <c r="M826" s="144">
        <v>4.4065000000000003</v>
      </c>
      <c r="N826" s="11">
        <f t="shared" si="645"/>
        <v>0</v>
      </c>
      <c r="O826" s="94">
        <f t="shared" si="646"/>
        <v>0</v>
      </c>
      <c r="P826" s="1123"/>
    </row>
    <row r="827" spans="2:16" ht="15.75" thickBot="1" x14ac:dyDescent="0.3">
      <c r="B827" s="1112"/>
      <c r="C827" s="41" t="s">
        <v>31</v>
      </c>
      <c r="D827" s="18" t="str">
        <f>+C827</f>
        <v>TOTAL 4/4</v>
      </c>
      <c r="E827" s="42">
        <f t="shared" ref="E827:K827" si="650">SUM(E823:E826)</f>
        <v>0</v>
      </c>
      <c r="F827" s="43">
        <f t="shared" si="650"/>
        <v>0</v>
      </c>
      <c r="G827" s="43">
        <f t="shared" si="650"/>
        <v>0</v>
      </c>
      <c r="H827" s="44">
        <f t="shared" si="650"/>
        <v>0</v>
      </c>
      <c r="I827" s="45">
        <f t="shared" si="650"/>
        <v>109220</v>
      </c>
      <c r="J827" s="43">
        <f t="shared" si="650"/>
        <v>225750</v>
      </c>
      <c r="K827" s="43">
        <f t="shared" si="650"/>
        <v>6700</v>
      </c>
      <c r="L827" s="46" t="e">
        <f t="shared" si="644"/>
        <v>#DIV/0!</v>
      </c>
      <c r="M827" s="47"/>
      <c r="N827" s="48">
        <f>SUM(N823:N826)</f>
        <v>0</v>
      </c>
      <c r="O827" s="92">
        <f>SUM(O823:O826)</f>
        <v>1020546.975</v>
      </c>
      <c r="P827" s="1124"/>
    </row>
    <row r="828" spans="2:16" ht="15.75" thickBot="1" x14ac:dyDescent="0.3">
      <c r="B828" s="1121"/>
      <c r="C828" s="41" t="s">
        <v>68</v>
      </c>
      <c r="D828" s="27" t="s">
        <v>64</v>
      </c>
      <c r="E828" s="25">
        <v>0</v>
      </c>
      <c r="F828" s="20">
        <f>G828+H828</f>
        <v>0</v>
      </c>
      <c r="G828" s="20">
        <v>0</v>
      </c>
      <c r="H828" s="24">
        <v>0</v>
      </c>
      <c r="I828" s="19">
        <f>J828+K828</f>
        <v>0</v>
      </c>
      <c r="J828" s="4">
        <f>G828+J763</f>
        <v>0</v>
      </c>
      <c r="K828" s="4">
        <f>H828+K763</f>
        <v>0</v>
      </c>
      <c r="L828" s="52" t="e">
        <f t="shared" si="644"/>
        <v>#DIV/0!</v>
      </c>
      <c r="M828" s="149">
        <v>1.4086000000000001</v>
      </c>
      <c r="N828" s="26">
        <f t="shared" ref="N828" si="651">+M828*G828</f>
        <v>0</v>
      </c>
      <c r="O828" s="95">
        <f t="shared" ref="O828" si="652">+M828*J828</f>
        <v>0</v>
      </c>
      <c r="P828" s="53"/>
    </row>
    <row r="829" spans="2:16" ht="15.75" thickBot="1" x14ac:dyDescent="0.3">
      <c r="B829" s="1096" t="s">
        <v>95</v>
      </c>
      <c r="C829" s="1097"/>
      <c r="D829" s="1097"/>
      <c r="E829" s="1097"/>
      <c r="F829" s="1097"/>
      <c r="G829" s="1097"/>
      <c r="H829" s="1097"/>
      <c r="I829" s="110">
        <f>J829+K829</f>
        <v>800397</v>
      </c>
      <c r="J829" s="110">
        <f>J822+J827+J828</f>
        <v>778500</v>
      </c>
      <c r="K829" s="110">
        <f>K822+K827+K828</f>
        <v>21897</v>
      </c>
      <c r="L829" s="111"/>
      <c r="M829" s="112"/>
      <c r="N829" s="109"/>
      <c r="O829" s="77">
        <f>+O828+O827+O822</f>
        <v>2244390.75</v>
      </c>
      <c r="P829" s="84"/>
    </row>
    <row r="830" spans="2:16" x14ac:dyDescent="0.25">
      <c r="B830" s="1098" t="s">
        <v>69</v>
      </c>
      <c r="C830" s="1101" t="s">
        <v>70</v>
      </c>
      <c r="D830" s="54" t="s">
        <v>71</v>
      </c>
      <c r="E830" s="55">
        <v>0</v>
      </c>
      <c r="F830" s="56">
        <f>G830+H830</f>
        <v>5075</v>
      </c>
      <c r="G830" s="56">
        <v>5000</v>
      </c>
      <c r="H830" s="57">
        <v>75</v>
      </c>
      <c r="I830" s="78">
        <f>J830+K830</f>
        <v>20208</v>
      </c>
      <c r="J830" s="4">
        <f>G830+J765</f>
        <v>20000</v>
      </c>
      <c r="K830" s="4">
        <f>H830+K765</f>
        <v>208</v>
      </c>
      <c r="L830" s="58" t="e">
        <f t="shared" ref="L830" si="653">+J830/E830</f>
        <v>#DIV/0!</v>
      </c>
      <c r="M830" s="59">
        <v>32.946300000000001</v>
      </c>
      <c r="N830" s="60">
        <f>+M830*G830</f>
        <v>164731.5</v>
      </c>
      <c r="O830" s="60">
        <f>M830*J830</f>
        <v>658926</v>
      </c>
      <c r="P830" s="1103"/>
    </row>
    <row r="831" spans="2:16" x14ac:dyDescent="0.25">
      <c r="B831" s="1099"/>
      <c r="C831" s="1102"/>
      <c r="D831" s="61" t="s">
        <v>72</v>
      </c>
      <c r="E831" s="62">
        <v>0</v>
      </c>
      <c r="F831" s="63">
        <f>G831+H831</f>
        <v>0</v>
      </c>
      <c r="G831" s="63">
        <v>0</v>
      </c>
      <c r="H831" s="64">
        <v>0</v>
      </c>
      <c r="I831" s="79">
        <f>J831+K831</f>
        <v>31833</v>
      </c>
      <c r="J831" s="4">
        <f>G831+J766</f>
        <v>31420</v>
      </c>
      <c r="K831" s="4">
        <f>H831+K766</f>
        <v>413</v>
      </c>
      <c r="L831" s="65" t="e">
        <f>+J831/E831</f>
        <v>#DIV/0!</v>
      </c>
      <c r="M831" s="66">
        <v>35.398400000000002</v>
      </c>
      <c r="N831" s="67">
        <f>+M831*G831</f>
        <v>0</v>
      </c>
      <c r="O831" s="67">
        <f>M831*J831</f>
        <v>1112217.7280000001</v>
      </c>
      <c r="P831" s="1104"/>
    </row>
    <row r="832" spans="2:16" x14ac:dyDescent="0.25">
      <c r="B832" s="1099"/>
      <c r="C832" s="1102"/>
      <c r="D832" s="61" t="s">
        <v>73</v>
      </c>
      <c r="E832" s="62">
        <v>0</v>
      </c>
      <c r="F832" s="63">
        <f t="shared" ref="F832:F835" si="654">G832+H832</f>
        <v>0</v>
      </c>
      <c r="G832" s="63">
        <v>0</v>
      </c>
      <c r="H832" s="64">
        <v>0</v>
      </c>
      <c r="I832" s="79">
        <f t="shared" ref="I832:I841" si="655">J832+K832</f>
        <v>0</v>
      </c>
      <c r="J832" s="4">
        <f t="shared" ref="J832:J857" si="656">G832+J767</f>
        <v>0</v>
      </c>
      <c r="K832" s="4">
        <f t="shared" ref="K832:K836" si="657">H832+K767</f>
        <v>0</v>
      </c>
      <c r="L832" s="65" t="e">
        <f t="shared" ref="L832:L845" si="658">+J832/E832</f>
        <v>#DIV/0!</v>
      </c>
      <c r="M832" s="66">
        <v>32.946300000000001</v>
      </c>
      <c r="N832" s="67">
        <f t="shared" ref="N832:N852" si="659">+M832*G832</f>
        <v>0</v>
      </c>
      <c r="O832" s="67">
        <f t="shared" ref="O832:O840" si="660">M832*J832</f>
        <v>0</v>
      </c>
      <c r="P832" s="1104"/>
    </row>
    <row r="833" spans="2:16" x14ac:dyDescent="0.25">
      <c r="B833" s="1099"/>
      <c r="C833" s="1102" t="s">
        <v>74</v>
      </c>
      <c r="D833" s="61" t="s">
        <v>75</v>
      </c>
      <c r="E833" s="62">
        <v>0</v>
      </c>
      <c r="F833" s="63">
        <f t="shared" si="654"/>
        <v>2492</v>
      </c>
      <c r="G833" s="63">
        <v>2400</v>
      </c>
      <c r="H833" s="64">
        <v>92</v>
      </c>
      <c r="I833" s="79">
        <f t="shared" si="655"/>
        <v>17250</v>
      </c>
      <c r="J833" s="4">
        <f t="shared" si="656"/>
        <v>16800</v>
      </c>
      <c r="K833" s="4">
        <f t="shared" si="657"/>
        <v>450</v>
      </c>
      <c r="L833" s="65" t="e">
        <f t="shared" si="658"/>
        <v>#DIV/0!</v>
      </c>
      <c r="M833" s="66">
        <v>55.4758</v>
      </c>
      <c r="N833" s="67">
        <f t="shared" si="659"/>
        <v>133141.92000000001</v>
      </c>
      <c r="O833" s="67">
        <f t="shared" si="660"/>
        <v>931993.44</v>
      </c>
      <c r="P833" s="1104"/>
    </row>
    <row r="834" spans="2:16" x14ac:dyDescent="0.25">
      <c r="B834" s="1099"/>
      <c r="C834" s="1102"/>
      <c r="D834" s="61" t="s">
        <v>134</v>
      </c>
      <c r="E834" s="62">
        <v>0</v>
      </c>
      <c r="F834" s="63">
        <f t="shared" si="654"/>
        <v>0</v>
      </c>
      <c r="G834" s="63">
        <v>0</v>
      </c>
      <c r="H834" s="64">
        <v>0</v>
      </c>
      <c r="I834" s="79">
        <f t="shared" si="655"/>
        <v>0</v>
      </c>
      <c r="J834" s="4">
        <f t="shared" si="656"/>
        <v>0</v>
      </c>
      <c r="K834" s="4">
        <f t="shared" si="657"/>
        <v>0</v>
      </c>
      <c r="L834" s="65" t="e">
        <f t="shared" si="658"/>
        <v>#DIV/0!</v>
      </c>
      <c r="M834" s="66">
        <v>53.515999999999998</v>
      </c>
      <c r="N834" s="67">
        <f t="shared" si="659"/>
        <v>0</v>
      </c>
      <c r="O834" s="67">
        <f t="shared" si="660"/>
        <v>0</v>
      </c>
      <c r="P834" s="1104"/>
    </row>
    <row r="835" spans="2:16" x14ac:dyDescent="0.25">
      <c r="B835" s="1099"/>
      <c r="C835" s="1102"/>
      <c r="D835" s="61" t="s">
        <v>72</v>
      </c>
      <c r="E835" s="62">
        <v>0</v>
      </c>
      <c r="F835" s="63">
        <f t="shared" si="654"/>
        <v>0</v>
      </c>
      <c r="G835" s="63">
        <v>0</v>
      </c>
      <c r="H835" s="64">
        <v>0</v>
      </c>
      <c r="I835" s="79">
        <f t="shared" si="655"/>
        <v>9804</v>
      </c>
      <c r="J835" s="4">
        <f t="shared" si="656"/>
        <v>9600</v>
      </c>
      <c r="K835" s="4">
        <f t="shared" si="657"/>
        <v>204</v>
      </c>
      <c r="L835" s="65" t="e">
        <f t="shared" si="658"/>
        <v>#DIV/0!</v>
      </c>
      <c r="M835" s="66">
        <v>58.836300000000001</v>
      </c>
      <c r="N835" s="67">
        <f t="shared" si="659"/>
        <v>0</v>
      </c>
      <c r="O835" s="67">
        <f t="shared" si="660"/>
        <v>564828.48</v>
      </c>
      <c r="P835" s="1104"/>
    </row>
    <row r="836" spans="2:16" x14ac:dyDescent="0.25">
      <c r="B836" s="1099"/>
      <c r="C836" s="1106" t="s">
        <v>76</v>
      </c>
      <c r="D836" s="61" t="s">
        <v>77</v>
      </c>
      <c r="E836" s="62">
        <v>0</v>
      </c>
      <c r="F836" s="63">
        <f>G836+H836</f>
        <v>6605</v>
      </c>
      <c r="G836" s="63">
        <v>6425</v>
      </c>
      <c r="H836" s="64">
        <v>180</v>
      </c>
      <c r="I836" s="79">
        <f t="shared" si="655"/>
        <v>13295</v>
      </c>
      <c r="J836" s="4">
        <f t="shared" si="656"/>
        <v>13000</v>
      </c>
      <c r="K836" s="4">
        <f t="shared" si="657"/>
        <v>295</v>
      </c>
      <c r="L836" s="65" t="e">
        <f t="shared" si="658"/>
        <v>#DIV/0!</v>
      </c>
      <c r="M836" s="66">
        <v>25.687200000000001</v>
      </c>
      <c r="N836" s="67">
        <f t="shared" si="659"/>
        <v>165040.26</v>
      </c>
      <c r="O836" s="67">
        <f t="shared" si="660"/>
        <v>333933.60000000003</v>
      </c>
      <c r="P836" s="1104"/>
    </row>
    <row r="837" spans="2:16" x14ac:dyDescent="0.25">
      <c r="B837" s="1099"/>
      <c r="C837" s="1107"/>
      <c r="D837" s="61" t="s">
        <v>117</v>
      </c>
      <c r="E837" s="62">
        <v>0</v>
      </c>
      <c r="F837" s="63">
        <f>G837+H837</f>
        <v>0</v>
      </c>
      <c r="G837" s="63">
        <v>0</v>
      </c>
      <c r="H837" s="64">
        <v>0</v>
      </c>
      <c r="I837" s="79">
        <f t="shared" si="655"/>
        <v>0</v>
      </c>
      <c r="J837" s="4">
        <f t="shared" si="656"/>
        <v>0</v>
      </c>
      <c r="K837" s="4">
        <f>H837+K772</f>
        <v>0</v>
      </c>
      <c r="L837" s="65" t="e">
        <f t="shared" si="658"/>
        <v>#DIV/0!</v>
      </c>
      <c r="M837" s="66">
        <v>25.033899999999999</v>
      </c>
      <c r="N837" s="67">
        <f t="shared" si="659"/>
        <v>0</v>
      </c>
      <c r="O837" s="67">
        <f t="shared" si="660"/>
        <v>0</v>
      </c>
      <c r="P837" s="1104"/>
    </row>
    <row r="838" spans="2:16" x14ac:dyDescent="0.25">
      <c r="B838" s="1099"/>
      <c r="C838" s="1106" t="s">
        <v>78</v>
      </c>
      <c r="D838" s="61" t="s">
        <v>79</v>
      </c>
      <c r="E838" s="62">
        <v>0</v>
      </c>
      <c r="F838" s="63">
        <f t="shared" ref="F838:F857" si="661">G838+H838</f>
        <v>2070</v>
      </c>
      <c r="G838" s="63">
        <v>2000</v>
      </c>
      <c r="H838" s="64">
        <v>70</v>
      </c>
      <c r="I838" s="79">
        <f t="shared" si="655"/>
        <v>16343</v>
      </c>
      <c r="J838" s="4">
        <f t="shared" si="656"/>
        <v>16000</v>
      </c>
      <c r="K838" s="4">
        <f t="shared" ref="K838:K857" si="662">H838+K773</f>
        <v>343</v>
      </c>
      <c r="L838" s="65" t="e">
        <f t="shared" si="658"/>
        <v>#DIV/0!</v>
      </c>
      <c r="M838" s="66">
        <v>41.992699999999999</v>
      </c>
      <c r="N838" s="67">
        <f t="shared" si="659"/>
        <v>83985.4</v>
      </c>
      <c r="O838" s="67">
        <f t="shared" si="660"/>
        <v>671883.2</v>
      </c>
      <c r="P838" s="1104"/>
    </row>
    <row r="839" spans="2:16" x14ac:dyDescent="0.25">
      <c r="B839" s="1099"/>
      <c r="C839" s="1107"/>
      <c r="D839" s="61" t="s">
        <v>72</v>
      </c>
      <c r="E839" s="62">
        <v>0</v>
      </c>
      <c r="F839" s="63">
        <f t="shared" si="661"/>
        <v>0</v>
      </c>
      <c r="G839" s="63">
        <v>0</v>
      </c>
      <c r="H839" s="64">
        <v>0</v>
      </c>
      <c r="I839" s="79">
        <f t="shared" si="655"/>
        <v>0</v>
      </c>
      <c r="J839" s="4">
        <f t="shared" si="656"/>
        <v>0</v>
      </c>
      <c r="K839" s="4">
        <f t="shared" si="662"/>
        <v>0</v>
      </c>
      <c r="L839" s="65" t="e">
        <f t="shared" si="658"/>
        <v>#DIV/0!</v>
      </c>
      <c r="M839" s="66">
        <v>42.283799999999999</v>
      </c>
      <c r="N839" s="67">
        <f t="shared" si="659"/>
        <v>0</v>
      </c>
      <c r="O839" s="67">
        <f t="shared" si="660"/>
        <v>0</v>
      </c>
      <c r="P839" s="1104"/>
    </row>
    <row r="840" spans="2:16" x14ac:dyDescent="0.25">
      <c r="B840" s="1099"/>
      <c r="C840" s="204" t="s">
        <v>80</v>
      </c>
      <c r="D840" s="61" t="s">
        <v>81</v>
      </c>
      <c r="E840" s="62">
        <v>0</v>
      </c>
      <c r="F840" s="63">
        <f t="shared" si="661"/>
        <v>0</v>
      </c>
      <c r="G840" s="63">
        <v>0</v>
      </c>
      <c r="H840" s="64">
        <v>0</v>
      </c>
      <c r="I840" s="79">
        <f t="shared" si="655"/>
        <v>24803</v>
      </c>
      <c r="J840" s="4">
        <f t="shared" si="656"/>
        <v>24000</v>
      </c>
      <c r="K840" s="4">
        <f t="shared" si="662"/>
        <v>803</v>
      </c>
      <c r="L840" s="65" t="e">
        <f t="shared" si="658"/>
        <v>#DIV/0!</v>
      </c>
      <c r="M840" s="66">
        <v>4.3535000000000004</v>
      </c>
      <c r="N840" s="67">
        <f t="shared" si="659"/>
        <v>0</v>
      </c>
      <c r="O840" s="67">
        <f t="shared" si="660"/>
        <v>104484.00000000001</v>
      </c>
      <c r="P840" s="1104"/>
    </row>
    <row r="841" spans="2:16" x14ac:dyDescent="0.25">
      <c r="B841" s="1099"/>
      <c r="C841" s="1102" t="s">
        <v>82</v>
      </c>
      <c r="D841" s="61" t="s">
        <v>77</v>
      </c>
      <c r="E841" s="62">
        <v>0</v>
      </c>
      <c r="F841" s="63">
        <f t="shared" si="661"/>
        <v>0</v>
      </c>
      <c r="G841" s="63">
        <v>0</v>
      </c>
      <c r="H841" s="64">
        <v>0</v>
      </c>
      <c r="I841" s="79">
        <f t="shared" si="655"/>
        <v>0</v>
      </c>
      <c r="J841" s="4">
        <f t="shared" si="656"/>
        <v>0</v>
      </c>
      <c r="K841" s="4">
        <f t="shared" si="662"/>
        <v>0</v>
      </c>
      <c r="L841" s="65" t="e">
        <f t="shared" si="658"/>
        <v>#DIV/0!</v>
      </c>
      <c r="M841" s="66">
        <v>4.6184000000000003</v>
      </c>
      <c r="N841" s="67">
        <f t="shared" si="659"/>
        <v>0</v>
      </c>
      <c r="O841" s="67">
        <f>M841*J841</f>
        <v>0</v>
      </c>
      <c r="P841" s="1104"/>
    </row>
    <row r="842" spans="2:16" x14ac:dyDescent="0.25">
      <c r="B842" s="1099"/>
      <c r="C842" s="1102"/>
      <c r="D842" s="61" t="s">
        <v>119</v>
      </c>
      <c r="E842" s="62">
        <v>0</v>
      </c>
      <c r="F842" s="63">
        <f t="shared" si="661"/>
        <v>0</v>
      </c>
      <c r="G842" s="63">
        <v>0</v>
      </c>
      <c r="H842" s="64">
        <v>0</v>
      </c>
      <c r="I842" s="79">
        <f>J842+K842</f>
        <v>0</v>
      </c>
      <c r="J842" s="4">
        <f t="shared" si="656"/>
        <v>0</v>
      </c>
      <c r="K842" s="4">
        <f t="shared" si="662"/>
        <v>0</v>
      </c>
      <c r="L842" s="65" t="e">
        <f t="shared" si="658"/>
        <v>#DIV/0!</v>
      </c>
      <c r="M842" s="153">
        <v>4.6184000000000003</v>
      </c>
      <c r="N842" s="67">
        <f t="shared" si="659"/>
        <v>0</v>
      </c>
      <c r="O842" s="67">
        <f>M842*J842</f>
        <v>0</v>
      </c>
      <c r="P842" s="1104"/>
    </row>
    <row r="843" spans="2:16" x14ac:dyDescent="0.25">
      <c r="B843" s="1099"/>
      <c r="C843" s="1102"/>
      <c r="D843" s="61" t="s">
        <v>123</v>
      </c>
      <c r="E843" s="62">
        <v>0</v>
      </c>
      <c r="F843" s="63">
        <f t="shared" si="661"/>
        <v>0</v>
      </c>
      <c r="G843" s="63">
        <v>0</v>
      </c>
      <c r="H843" s="64">
        <v>0</v>
      </c>
      <c r="I843" s="79">
        <f t="shared" ref="I843:I857" si="663">J843+K843</f>
        <v>0</v>
      </c>
      <c r="J843" s="4">
        <f t="shared" si="656"/>
        <v>0</v>
      </c>
      <c r="K843" s="4">
        <f t="shared" si="662"/>
        <v>0</v>
      </c>
      <c r="L843" s="65" t="e">
        <f t="shared" si="658"/>
        <v>#DIV/0!</v>
      </c>
      <c r="M843" s="153">
        <v>4.6184000000000003</v>
      </c>
      <c r="N843" s="67">
        <f t="shared" si="659"/>
        <v>0</v>
      </c>
      <c r="O843" s="67">
        <f t="shared" ref="O843:O848" si="664">M843*J843</f>
        <v>0</v>
      </c>
      <c r="P843" s="1104"/>
    </row>
    <row r="844" spans="2:16" x14ac:dyDescent="0.25">
      <c r="B844" s="1099"/>
      <c r="C844" s="1102"/>
      <c r="D844" s="61" t="s">
        <v>124</v>
      </c>
      <c r="E844" s="62">
        <v>0</v>
      </c>
      <c r="F844" s="63">
        <f t="shared" si="661"/>
        <v>13686</v>
      </c>
      <c r="G844" s="63">
        <v>13440</v>
      </c>
      <c r="H844" s="64">
        <v>246</v>
      </c>
      <c r="I844" s="79">
        <f t="shared" si="663"/>
        <v>250884</v>
      </c>
      <c r="J844" s="4">
        <f t="shared" si="656"/>
        <v>243775</v>
      </c>
      <c r="K844" s="4">
        <f t="shared" si="662"/>
        <v>7109</v>
      </c>
      <c r="L844" s="65" t="e">
        <f t="shared" si="658"/>
        <v>#DIV/0!</v>
      </c>
      <c r="M844" s="153">
        <v>4.7636000000000003</v>
      </c>
      <c r="N844" s="67">
        <f t="shared" si="659"/>
        <v>64022.784000000007</v>
      </c>
      <c r="O844" s="67">
        <f t="shared" si="664"/>
        <v>1161246.5900000001</v>
      </c>
      <c r="P844" s="1104"/>
    </row>
    <row r="845" spans="2:16" x14ac:dyDescent="0.25">
      <c r="B845" s="1099"/>
      <c r="C845" s="1102"/>
      <c r="D845" s="61" t="s">
        <v>83</v>
      </c>
      <c r="E845" s="62">
        <v>0</v>
      </c>
      <c r="F845" s="63">
        <f t="shared" si="661"/>
        <v>0</v>
      </c>
      <c r="G845" s="63">
        <v>0</v>
      </c>
      <c r="H845" s="64">
        <v>0</v>
      </c>
      <c r="I845" s="79">
        <f t="shared" si="663"/>
        <v>0</v>
      </c>
      <c r="J845" s="4">
        <f t="shared" si="656"/>
        <v>0</v>
      </c>
      <c r="K845" s="4">
        <f t="shared" si="662"/>
        <v>0</v>
      </c>
      <c r="L845" s="65" t="e">
        <f t="shared" si="658"/>
        <v>#DIV/0!</v>
      </c>
      <c r="M845" s="66">
        <v>4.8738000000000001</v>
      </c>
      <c r="N845" s="67">
        <f t="shared" si="659"/>
        <v>0</v>
      </c>
      <c r="O845" s="67">
        <f t="shared" si="664"/>
        <v>0</v>
      </c>
      <c r="P845" s="1104"/>
    </row>
    <row r="846" spans="2:16" x14ac:dyDescent="0.25">
      <c r="B846" s="1099"/>
      <c r="C846" s="204" t="s">
        <v>128</v>
      </c>
      <c r="D846" s="61" t="s">
        <v>124</v>
      </c>
      <c r="E846" s="62"/>
      <c r="F846" s="63">
        <f t="shared" si="661"/>
        <v>0</v>
      </c>
      <c r="G846" s="63">
        <v>0</v>
      </c>
      <c r="H846" s="64">
        <v>0</v>
      </c>
      <c r="I846" s="79">
        <f t="shared" si="663"/>
        <v>0</v>
      </c>
      <c r="J846" s="4">
        <f t="shared" si="656"/>
        <v>0</v>
      </c>
      <c r="K846" s="4">
        <f t="shared" si="662"/>
        <v>0</v>
      </c>
      <c r="L846" s="65"/>
      <c r="M846" s="66">
        <v>4.8738000000000001</v>
      </c>
      <c r="N846" s="67">
        <f t="shared" si="659"/>
        <v>0</v>
      </c>
      <c r="O846" s="67">
        <f t="shared" si="664"/>
        <v>0</v>
      </c>
      <c r="P846" s="1104"/>
    </row>
    <row r="847" spans="2:16" x14ac:dyDescent="0.25">
      <c r="B847" s="1099"/>
      <c r="C847" s="1102" t="s">
        <v>84</v>
      </c>
      <c r="D847" s="61" t="s">
        <v>77</v>
      </c>
      <c r="E847" s="62">
        <v>0</v>
      </c>
      <c r="F847" s="63">
        <f t="shared" si="661"/>
        <v>6700</v>
      </c>
      <c r="G847" s="63">
        <v>6050</v>
      </c>
      <c r="H847" s="64">
        <v>650</v>
      </c>
      <c r="I847" s="79">
        <f t="shared" si="663"/>
        <v>197600</v>
      </c>
      <c r="J847" s="4">
        <f t="shared" si="656"/>
        <v>194950</v>
      </c>
      <c r="K847" s="4">
        <f t="shared" si="662"/>
        <v>2650</v>
      </c>
      <c r="L847" s="65" t="e">
        <f t="shared" ref="L847:L857" si="665">+J847/E847</f>
        <v>#DIV/0!</v>
      </c>
      <c r="M847" s="66">
        <v>4.9344999999999999</v>
      </c>
      <c r="N847" s="67">
        <f t="shared" si="659"/>
        <v>29853.724999999999</v>
      </c>
      <c r="O847" s="67">
        <f t="shared" si="664"/>
        <v>961980.77500000002</v>
      </c>
      <c r="P847" s="1104"/>
    </row>
    <row r="848" spans="2:16" x14ac:dyDescent="0.25">
      <c r="B848" s="1099"/>
      <c r="C848" s="1102"/>
      <c r="D848" s="61" t="s">
        <v>135</v>
      </c>
      <c r="E848" s="62"/>
      <c r="F848" s="63">
        <f t="shared" si="661"/>
        <v>18465</v>
      </c>
      <c r="G848" s="63">
        <v>17650</v>
      </c>
      <c r="H848" s="64">
        <v>815</v>
      </c>
      <c r="I848" s="79">
        <f t="shared" si="663"/>
        <v>43282</v>
      </c>
      <c r="J848" s="4">
        <f t="shared" si="656"/>
        <v>40500</v>
      </c>
      <c r="K848" s="4">
        <f t="shared" si="662"/>
        <v>2782</v>
      </c>
      <c r="L848" s="65" t="e">
        <f t="shared" si="665"/>
        <v>#DIV/0!</v>
      </c>
      <c r="M848" s="66">
        <v>4.9344999999999999</v>
      </c>
      <c r="N848" s="67">
        <f t="shared" si="659"/>
        <v>87093.925000000003</v>
      </c>
      <c r="O848" s="67">
        <f t="shared" si="664"/>
        <v>199847.25</v>
      </c>
      <c r="P848" s="1104"/>
    </row>
    <row r="849" spans="2:16" x14ac:dyDescent="0.25">
      <c r="B849" s="1099"/>
      <c r="C849" s="1102"/>
      <c r="D849" s="61" t="s">
        <v>129</v>
      </c>
      <c r="E849" s="62">
        <v>0</v>
      </c>
      <c r="F849" s="63">
        <f t="shared" si="661"/>
        <v>0</v>
      </c>
      <c r="G849" s="155">
        <v>0</v>
      </c>
      <c r="H849" s="156">
        <v>0</v>
      </c>
      <c r="I849" s="157">
        <f t="shared" si="663"/>
        <v>0</v>
      </c>
      <c r="J849" s="4">
        <f t="shared" si="656"/>
        <v>0</v>
      </c>
      <c r="K849" s="4">
        <f t="shared" si="662"/>
        <v>0</v>
      </c>
      <c r="L849" s="158" t="e">
        <f t="shared" si="665"/>
        <v>#DIV/0!</v>
      </c>
      <c r="M849" s="66">
        <v>4.9344999999999999</v>
      </c>
      <c r="N849" s="159">
        <f t="shared" si="659"/>
        <v>0</v>
      </c>
      <c r="O849" s="67">
        <f>M849*J849</f>
        <v>0</v>
      </c>
      <c r="P849" s="1104"/>
    </row>
    <row r="850" spans="2:16" x14ac:dyDescent="0.25">
      <c r="B850" s="1099"/>
      <c r="C850" s="1102" t="s">
        <v>85</v>
      </c>
      <c r="D850" s="61" t="s">
        <v>77</v>
      </c>
      <c r="E850" s="62">
        <v>0</v>
      </c>
      <c r="F850" s="63">
        <f t="shared" si="661"/>
        <v>0</v>
      </c>
      <c r="G850" s="63">
        <v>0</v>
      </c>
      <c r="H850" s="64">
        <v>0</v>
      </c>
      <c r="I850" s="79">
        <f t="shared" si="663"/>
        <v>138276</v>
      </c>
      <c r="J850" s="4">
        <f t="shared" si="656"/>
        <v>130950</v>
      </c>
      <c r="K850" s="4">
        <f t="shared" si="662"/>
        <v>7326</v>
      </c>
      <c r="L850" s="65" t="e">
        <f t="shared" si="665"/>
        <v>#DIV/0!</v>
      </c>
      <c r="M850" s="148">
        <v>5.5069999999999997</v>
      </c>
      <c r="N850" s="67">
        <f t="shared" si="659"/>
        <v>0</v>
      </c>
      <c r="O850" s="67">
        <f>M850*J850</f>
        <v>721141.64999999991</v>
      </c>
      <c r="P850" s="1104"/>
    </row>
    <row r="851" spans="2:16" x14ac:dyDescent="0.25">
      <c r="B851" s="1099"/>
      <c r="C851" s="1102"/>
      <c r="D851" s="61" t="s">
        <v>112</v>
      </c>
      <c r="E851" s="62">
        <v>0</v>
      </c>
      <c r="F851" s="63">
        <f t="shared" si="661"/>
        <v>6688</v>
      </c>
      <c r="G851" s="63">
        <v>6300</v>
      </c>
      <c r="H851" s="64">
        <v>388</v>
      </c>
      <c r="I851" s="79">
        <f t="shared" si="663"/>
        <v>75453</v>
      </c>
      <c r="J851" s="4">
        <f t="shared" si="656"/>
        <v>72900</v>
      </c>
      <c r="K851" s="4">
        <f t="shared" si="662"/>
        <v>2553</v>
      </c>
      <c r="L851" s="65" t="e">
        <f t="shared" si="665"/>
        <v>#DIV/0!</v>
      </c>
      <c r="M851" s="147">
        <v>5.6550000000000002</v>
      </c>
      <c r="N851" s="67">
        <f t="shared" si="659"/>
        <v>35626.5</v>
      </c>
      <c r="O851" s="67">
        <f>M851*J851</f>
        <v>412249.5</v>
      </c>
      <c r="P851" s="1104"/>
    </row>
    <row r="852" spans="2:16" x14ac:dyDescent="0.25">
      <c r="B852" s="1099"/>
      <c r="C852" s="1102"/>
      <c r="D852" s="61" t="s">
        <v>118</v>
      </c>
      <c r="E852" s="62">
        <v>0</v>
      </c>
      <c r="F852" s="63">
        <f t="shared" si="661"/>
        <v>0</v>
      </c>
      <c r="G852" s="63">
        <v>0</v>
      </c>
      <c r="H852" s="64">
        <v>0</v>
      </c>
      <c r="I852" s="79">
        <f t="shared" si="663"/>
        <v>0</v>
      </c>
      <c r="J852" s="4">
        <f t="shared" si="656"/>
        <v>0</v>
      </c>
      <c r="K852" s="4">
        <f t="shared" si="662"/>
        <v>0</v>
      </c>
      <c r="L852" s="65" t="e">
        <f t="shared" si="665"/>
        <v>#DIV/0!</v>
      </c>
      <c r="M852" s="152">
        <v>5.6550000000000002</v>
      </c>
      <c r="N852" s="67">
        <f t="shared" si="659"/>
        <v>0</v>
      </c>
      <c r="O852" s="67">
        <f>M852*J852</f>
        <v>0</v>
      </c>
      <c r="P852" s="1104"/>
    </row>
    <row r="853" spans="2:16" x14ac:dyDescent="0.25">
      <c r="B853" s="1099"/>
      <c r="C853" s="1102"/>
      <c r="D853" s="61" t="s">
        <v>121</v>
      </c>
      <c r="E853" s="62">
        <v>0</v>
      </c>
      <c r="F853" s="63">
        <f t="shared" si="661"/>
        <v>0</v>
      </c>
      <c r="G853" s="63">
        <v>0</v>
      </c>
      <c r="H853" s="64">
        <v>0</v>
      </c>
      <c r="I853" s="79">
        <f t="shared" si="663"/>
        <v>28324</v>
      </c>
      <c r="J853" s="4">
        <f t="shared" si="656"/>
        <v>26710</v>
      </c>
      <c r="K853" s="4">
        <f t="shared" si="662"/>
        <v>1614</v>
      </c>
      <c r="L853" s="65" t="e">
        <f t="shared" si="665"/>
        <v>#DIV/0!</v>
      </c>
      <c r="M853" s="66">
        <v>5.7885299999999997</v>
      </c>
      <c r="N853" s="67">
        <f>+M853*G853</f>
        <v>0</v>
      </c>
      <c r="O853" s="67">
        <f>M853*J853</f>
        <v>154611.63629999998</v>
      </c>
      <c r="P853" s="1104"/>
    </row>
    <row r="854" spans="2:16" x14ac:dyDescent="0.25">
      <c r="B854" s="1099"/>
      <c r="C854" s="1102"/>
      <c r="D854" s="61" t="s">
        <v>136</v>
      </c>
      <c r="E854" s="62">
        <v>0</v>
      </c>
      <c r="F854" s="63">
        <f t="shared" si="661"/>
        <v>0</v>
      </c>
      <c r="G854" s="63">
        <v>0</v>
      </c>
      <c r="H854" s="64">
        <v>0</v>
      </c>
      <c r="I854" s="79">
        <f t="shared" si="663"/>
        <v>0</v>
      </c>
      <c r="J854" s="4">
        <f t="shared" si="656"/>
        <v>0</v>
      </c>
      <c r="K854" s="4">
        <f t="shared" si="662"/>
        <v>0</v>
      </c>
      <c r="L854" s="65" t="e">
        <f t="shared" si="665"/>
        <v>#DIV/0!</v>
      </c>
      <c r="M854" s="152">
        <v>5.6550000000000002</v>
      </c>
      <c r="N854" s="67">
        <f t="shared" ref="N854:N856" si="666">+M854*G854</f>
        <v>0</v>
      </c>
      <c r="O854" s="67">
        <f t="shared" ref="O854:O857" si="667">M854*J854</f>
        <v>0</v>
      </c>
      <c r="P854" s="1104"/>
    </row>
    <row r="855" spans="2:16" x14ac:dyDescent="0.25">
      <c r="B855" s="1099"/>
      <c r="C855" s="204" t="s">
        <v>86</v>
      </c>
      <c r="D855" s="61" t="s">
        <v>77</v>
      </c>
      <c r="E855" s="62">
        <v>0</v>
      </c>
      <c r="F855" s="63">
        <f t="shared" si="661"/>
        <v>0</v>
      </c>
      <c r="G855" s="63">
        <v>0</v>
      </c>
      <c r="H855" s="64">
        <v>0</v>
      </c>
      <c r="I855" s="79">
        <f t="shared" si="663"/>
        <v>0</v>
      </c>
      <c r="J855" s="4">
        <f t="shared" si="656"/>
        <v>0</v>
      </c>
      <c r="K855" s="4">
        <f t="shared" si="662"/>
        <v>0</v>
      </c>
      <c r="L855" s="65" t="e">
        <f t="shared" si="665"/>
        <v>#DIV/0!</v>
      </c>
      <c r="M855" s="66">
        <v>3.2963</v>
      </c>
      <c r="N855" s="67">
        <f t="shared" si="666"/>
        <v>0</v>
      </c>
      <c r="O855" s="67">
        <f t="shared" si="667"/>
        <v>0</v>
      </c>
      <c r="P855" s="1104"/>
    </row>
    <row r="856" spans="2:16" x14ac:dyDescent="0.25">
      <c r="B856" s="1099"/>
      <c r="C856" s="204" t="s">
        <v>87</v>
      </c>
      <c r="D856" s="61" t="s">
        <v>77</v>
      </c>
      <c r="E856" s="62">
        <v>0</v>
      </c>
      <c r="F856" s="63">
        <f t="shared" si="661"/>
        <v>0</v>
      </c>
      <c r="G856" s="63">
        <v>0</v>
      </c>
      <c r="H856" s="64">
        <v>0</v>
      </c>
      <c r="I856" s="79">
        <f t="shared" si="663"/>
        <v>0</v>
      </c>
      <c r="J856" s="4">
        <f t="shared" si="656"/>
        <v>0</v>
      </c>
      <c r="K856" s="4">
        <f t="shared" si="662"/>
        <v>0</v>
      </c>
      <c r="L856" s="65" t="e">
        <f t="shared" si="665"/>
        <v>#DIV/0!</v>
      </c>
      <c r="M856" s="66">
        <v>3.2963</v>
      </c>
      <c r="N856" s="67">
        <f t="shared" si="666"/>
        <v>0</v>
      </c>
      <c r="O856" s="67">
        <f t="shared" si="667"/>
        <v>0</v>
      </c>
      <c r="P856" s="1104"/>
    </row>
    <row r="857" spans="2:16" ht="15.75" thickBot="1" x14ac:dyDescent="0.3">
      <c r="B857" s="1099"/>
      <c r="C857" s="68" t="s">
        <v>88</v>
      </c>
      <c r="D857" s="69" t="s">
        <v>89</v>
      </c>
      <c r="E857" s="70">
        <v>0</v>
      </c>
      <c r="F857" s="71">
        <f t="shared" si="661"/>
        <v>0</v>
      </c>
      <c r="G857" s="71">
        <v>0</v>
      </c>
      <c r="H857" s="72">
        <v>0</v>
      </c>
      <c r="I857" s="80">
        <f t="shared" si="663"/>
        <v>65030</v>
      </c>
      <c r="J857" s="4">
        <f t="shared" si="656"/>
        <v>65000</v>
      </c>
      <c r="K857" s="4">
        <f t="shared" si="662"/>
        <v>30</v>
      </c>
      <c r="L857" s="65" t="e">
        <f t="shared" si="665"/>
        <v>#DIV/0!</v>
      </c>
      <c r="M857" s="73">
        <v>2.3201000000000001</v>
      </c>
      <c r="N857" s="74">
        <f t="shared" ref="N857" si="668">M857*G857</f>
        <v>0</v>
      </c>
      <c r="O857" s="74">
        <f t="shared" si="667"/>
        <v>150806.5</v>
      </c>
      <c r="P857" s="1105"/>
    </row>
    <row r="858" spans="2:16" ht="15.75" thickBot="1" x14ac:dyDescent="0.3">
      <c r="B858" s="1100"/>
      <c r="C858" s="1108" t="s">
        <v>99</v>
      </c>
      <c r="D858" s="1109"/>
      <c r="E858" s="1109"/>
      <c r="F858" s="1109"/>
      <c r="G858" s="1109"/>
      <c r="H858" s="1110"/>
      <c r="I858" s="116">
        <f>J858+K858</f>
        <v>932385</v>
      </c>
      <c r="J858" s="115">
        <f>SUM(J830:J857)</f>
        <v>905605</v>
      </c>
      <c r="K858" s="115">
        <f>SUM(K830:K857)</f>
        <v>26780</v>
      </c>
      <c r="L858" s="114"/>
      <c r="M858" s="113"/>
      <c r="N858" s="114"/>
      <c r="O858" s="97">
        <f>SUM(O830:O857)</f>
        <v>8140150.3492999999</v>
      </c>
      <c r="P858" s="96"/>
    </row>
    <row r="859" spans="2:16" ht="15.75" thickBot="1" x14ac:dyDescent="0.3">
      <c r="B859" s="100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2"/>
    </row>
    <row r="860" spans="2:16" ht="15.75" thickBot="1" x14ac:dyDescent="0.3">
      <c r="B860" s="1093" t="s">
        <v>100</v>
      </c>
      <c r="C860" s="1094"/>
      <c r="D860" s="1094"/>
      <c r="E860" s="1094"/>
      <c r="F860" s="1094"/>
      <c r="G860" s="1094"/>
      <c r="H860" s="1094"/>
      <c r="I860" s="1094"/>
      <c r="J860" s="1094"/>
      <c r="K860" s="1094"/>
      <c r="L860" s="1094"/>
      <c r="M860" s="1094"/>
      <c r="N860" s="1095"/>
      <c r="O860" s="103">
        <f>+O858+O829+O814</f>
        <v>17717842.555300001</v>
      </c>
      <c r="P860" s="96"/>
    </row>
    <row r="861" spans="2:16" ht="15.75" thickBot="1" x14ac:dyDescent="0.3"/>
    <row r="862" spans="2:16" x14ac:dyDescent="0.25">
      <c r="B862" s="1127" t="s">
        <v>1</v>
      </c>
      <c r="C862" s="1129" t="s">
        <v>2</v>
      </c>
      <c r="D862" s="1132" t="s">
        <v>3</v>
      </c>
      <c r="E862" s="1135" t="s">
        <v>4</v>
      </c>
      <c r="F862" s="1136"/>
      <c r="G862" s="1136"/>
      <c r="H862" s="1136"/>
      <c r="I862" s="1136"/>
      <c r="J862" s="1136"/>
      <c r="K862" s="1136"/>
      <c r="L862" s="1137"/>
      <c r="M862" s="1138" t="s">
        <v>5</v>
      </c>
      <c r="N862" s="1139"/>
      <c r="O862" s="1140"/>
      <c r="P862" s="1132" t="s">
        <v>6</v>
      </c>
    </row>
    <row r="863" spans="2:16" x14ac:dyDescent="0.25">
      <c r="B863" s="1128"/>
      <c r="C863" s="1130"/>
      <c r="D863" s="1133"/>
      <c r="E863" s="1141" t="s">
        <v>7</v>
      </c>
      <c r="F863" s="1143" t="s">
        <v>153</v>
      </c>
      <c r="G863" s="1143"/>
      <c r="H863" s="1144"/>
      <c r="I863" s="1145" t="s">
        <v>8</v>
      </c>
      <c r="J863" s="1143"/>
      <c r="K863" s="1143"/>
      <c r="L863" s="1144" t="s">
        <v>9</v>
      </c>
      <c r="M863" s="1147" t="s">
        <v>10</v>
      </c>
      <c r="N863" s="1149" t="s">
        <v>11</v>
      </c>
      <c r="O863" s="1151" t="s">
        <v>12</v>
      </c>
      <c r="P863" s="1133"/>
    </row>
    <row r="864" spans="2:16" ht="15.75" thickBot="1" x14ac:dyDescent="0.3">
      <c r="B864" s="1128"/>
      <c r="C864" s="1131"/>
      <c r="D864" s="1134"/>
      <c r="E864" s="1142"/>
      <c r="F864" s="2" t="s">
        <v>13</v>
      </c>
      <c r="G864" s="2" t="s">
        <v>14</v>
      </c>
      <c r="H864" s="211" t="s">
        <v>15</v>
      </c>
      <c r="I864" s="142" t="s">
        <v>13</v>
      </c>
      <c r="J864" s="2" t="s">
        <v>14</v>
      </c>
      <c r="K864" s="2" t="s">
        <v>15</v>
      </c>
      <c r="L864" s="1146"/>
      <c r="M864" s="1148"/>
      <c r="N864" s="1150"/>
      <c r="O864" s="1152"/>
      <c r="P864" s="1134"/>
    </row>
    <row r="865" spans="2:16" x14ac:dyDescent="0.25">
      <c r="B865" s="1111" t="s">
        <v>53</v>
      </c>
      <c r="C865" s="29"/>
      <c r="D865" s="117" t="s">
        <v>143</v>
      </c>
      <c r="E865" s="98">
        <v>0</v>
      </c>
      <c r="F865" s="4">
        <f>+G865+H865</f>
        <v>90940</v>
      </c>
      <c r="G865" s="4">
        <v>89600</v>
      </c>
      <c r="H865" s="8">
        <v>1340</v>
      </c>
      <c r="I865" s="6">
        <f>J865+K865</f>
        <v>376206</v>
      </c>
      <c r="J865" s="4">
        <f>G865+J800</f>
        <v>369600</v>
      </c>
      <c r="K865" s="4">
        <f>H865+K800</f>
        <v>6606</v>
      </c>
      <c r="L865" s="33" t="e">
        <f>+J865/E865</f>
        <v>#DIV/0!</v>
      </c>
      <c r="M865" s="104">
        <v>1.3652</v>
      </c>
      <c r="N865" s="31">
        <f>G865*M865</f>
        <v>122321.92</v>
      </c>
      <c r="O865" s="86">
        <f>M865*J865</f>
        <v>504577.92</v>
      </c>
      <c r="P865" s="1113"/>
    </row>
    <row r="866" spans="2:16" x14ac:dyDescent="0.25">
      <c r="B866" s="1112"/>
      <c r="C866" s="32"/>
      <c r="D866" s="118" t="s">
        <v>109</v>
      </c>
      <c r="E866" s="99">
        <v>0</v>
      </c>
      <c r="F866" s="9">
        <f>+G866+H866</f>
        <v>0</v>
      </c>
      <c r="G866" s="9">
        <v>0</v>
      </c>
      <c r="H866" s="10">
        <v>0</v>
      </c>
      <c r="I866" s="6">
        <f>J866+K866</f>
        <v>0</v>
      </c>
      <c r="J866" s="4">
        <f>+G866+J801</f>
        <v>0</v>
      </c>
      <c r="K866" s="4">
        <f>+H866+K801</f>
        <v>0</v>
      </c>
      <c r="L866" s="33"/>
      <c r="M866" s="105">
        <v>5.9917999999999996</v>
      </c>
      <c r="N866" s="34">
        <f>M866*G866</f>
        <v>0</v>
      </c>
      <c r="O866" s="87">
        <f>M866*J866</f>
        <v>0</v>
      </c>
      <c r="P866" s="1114"/>
    </row>
    <row r="867" spans="2:16" x14ac:dyDescent="0.25">
      <c r="B867" s="1112"/>
      <c r="C867" s="35"/>
      <c r="D867" s="119" t="s">
        <v>55</v>
      </c>
      <c r="E867" s="99">
        <v>0</v>
      </c>
      <c r="F867" s="9">
        <f t="shared" ref="F867:F871" si="669">+G867+H867</f>
        <v>231207</v>
      </c>
      <c r="G867" s="9">
        <v>230000</v>
      </c>
      <c r="H867" s="10">
        <v>1207</v>
      </c>
      <c r="I867" s="6">
        <f t="shared" ref="I867:I871" si="670">J867+K867</f>
        <v>2667895</v>
      </c>
      <c r="J867" s="4">
        <f t="shared" ref="J867:J871" si="671">+G867+J802</f>
        <v>2648250</v>
      </c>
      <c r="K867" s="4">
        <f t="shared" ref="K867:K871" si="672">+H867+K802</f>
        <v>19645</v>
      </c>
      <c r="L867" s="33" t="e">
        <f t="shared" ref="L867" si="673">+J867/E867</f>
        <v>#DIV/0!</v>
      </c>
      <c r="M867" s="106">
        <v>2.3807999999999998</v>
      </c>
      <c r="N867" s="36">
        <f>G867*M867</f>
        <v>547584</v>
      </c>
      <c r="O867" s="88">
        <f>M867*J867</f>
        <v>6304953.5999999996</v>
      </c>
      <c r="P867" s="1114"/>
    </row>
    <row r="868" spans="2:16" x14ac:dyDescent="0.25">
      <c r="B868" s="1112"/>
      <c r="C868" s="35"/>
      <c r="D868" s="119" t="s">
        <v>56</v>
      </c>
      <c r="E868" s="99">
        <v>0</v>
      </c>
      <c r="F868" s="9">
        <f t="shared" si="669"/>
        <v>0</v>
      </c>
      <c r="G868" s="9">
        <v>0</v>
      </c>
      <c r="H868" s="10">
        <v>0</v>
      </c>
      <c r="I868" s="6">
        <f t="shared" si="670"/>
        <v>0</v>
      </c>
      <c r="J868" s="4">
        <f t="shared" si="671"/>
        <v>0</v>
      </c>
      <c r="K868" s="4">
        <f t="shared" si="672"/>
        <v>0</v>
      </c>
      <c r="L868" s="33"/>
      <c r="M868" s="106">
        <v>2.1457999999999999</v>
      </c>
      <c r="N868" s="36">
        <f t="shared" ref="N868:N871" si="674">G868*M868</f>
        <v>0</v>
      </c>
      <c r="O868" s="88">
        <f>M868*J868</f>
        <v>0</v>
      </c>
      <c r="P868" s="1114"/>
    </row>
    <row r="869" spans="2:16" x14ac:dyDescent="0.25">
      <c r="B869" s="1112"/>
      <c r="C869" s="35"/>
      <c r="D869" s="119" t="s">
        <v>106</v>
      </c>
      <c r="E869" s="99">
        <v>0</v>
      </c>
      <c r="F869" s="9">
        <f t="shared" si="669"/>
        <v>0</v>
      </c>
      <c r="G869" s="9">
        <v>0</v>
      </c>
      <c r="H869" s="10">
        <v>0</v>
      </c>
      <c r="I869" s="6">
        <f t="shared" si="670"/>
        <v>53280</v>
      </c>
      <c r="J869" s="4">
        <f t="shared" si="671"/>
        <v>42000</v>
      </c>
      <c r="K869" s="4">
        <f t="shared" si="672"/>
        <v>11280</v>
      </c>
      <c r="L869" s="33" t="e">
        <f t="shared" ref="L869:L870" si="675">+J869/E869</f>
        <v>#DIV/0!</v>
      </c>
      <c r="M869" s="143">
        <v>4.0426000000000002</v>
      </c>
      <c r="N869" s="36">
        <f t="shared" si="674"/>
        <v>0</v>
      </c>
      <c r="O869" s="88">
        <f>M869*J869</f>
        <v>169789.2</v>
      </c>
      <c r="P869" s="1114"/>
    </row>
    <row r="870" spans="2:16" x14ac:dyDescent="0.25">
      <c r="B870" s="1112"/>
      <c r="C870" s="35"/>
      <c r="D870" s="119" t="s">
        <v>110</v>
      </c>
      <c r="E870" s="99">
        <v>0</v>
      </c>
      <c r="F870" s="9">
        <f t="shared" si="669"/>
        <v>0</v>
      </c>
      <c r="G870" s="9">
        <v>0</v>
      </c>
      <c r="H870" s="10">
        <v>0</v>
      </c>
      <c r="I870" s="6">
        <f t="shared" si="670"/>
        <v>0</v>
      </c>
      <c r="J870" s="4">
        <f t="shared" si="671"/>
        <v>0</v>
      </c>
      <c r="K870" s="4">
        <f t="shared" si="672"/>
        <v>0</v>
      </c>
      <c r="L870" s="33" t="e">
        <f t="shared" si="675"/>
        <v>#DIV/0!</v>
      </c>
      <c r="M870" s="143">
        <v>3.8715000000000002</v>
      </c>
      <c r="N870" s="36">
        <f t="shared" si="674"/>
        <v>0</v>
      </c>
      <c r="O870" s="88">
        <f t="shared" ref="O870:O871" si="676">M870*J870</f>
        <v>0</v>
      </c>
      <c r="P870" s="1114"/>
    </row>
    <row r="871" spans="2:16" ht="15.75" thickBot="1" x14ac:dyDescent="0.3">
      <c r="B871" s="1112"/>
      <c r="C871" s="82"/>
      <c r="D871" s="120" t="s">
        <v>57</v>
      </c>
      <c r="E871" s="108">
        <v>0</v>
      </c>
      <c r="F871" s="12">
        <f t="shared" si="669"/>
        <v>0</v>
      </c>
      <c r="G871" s="12">
        <v>0</v>
      </c>
      <c r="H871" s="13">
        <v>0</v>
      </c>
      <c r="I871" s="21">
        <f t="shared" si="670"/>
        <v>0</v>
      </c>
      <c r="J871" s="4">
        <f t="shared" si="671"/>
        <v>0</v>
      </c>
      <c r="K871" s="4">
        <f t="shared" si="672"/>
        <v>0</v>
      </c>
      <c r="L871" s="81"/>
      <c r="M871" s="127">
        <v>12.284700000000001</v>
      </c>
      <c r="N871" s="36">
        <f t="shared" si="674"/>
        <v>0</v>
      </c>
      <c r="O871" s="128">
        <f t="shared" si="676"/>
        <v>0</v>
      </c>
      <c r="P871" s="1114"/>
    </row>
    <row r="872" spans="2:16" ht="15.75" thickBot="1" x14ac:dyDescent="0.3">
      <c r="B872" s="1112"/>
      <c r="C872" s="1117" t="s">
        <v>104</v>
      </c>
      <c r="D872" s="1118"/>
      <c r="E872" s="129"/>
      <c r="F872" s="130">
        <f>SUM(F865:F871)</f>
        <v>322147</v>
      </c>
      <c r="G872" s="130">
        <f>SUM(G865:G871)</f>
        <v>319600</v>
      </c>
      <c r="H872" s="131">
        <f>SUM(H865:H871)</f>
        <v>2547</v>
      </c>
      <c r="I872" s="132">
        <f>+J872+K872</f>
        <v>3097381</v>
      </c>
      <c r="J872" s="133">
        <f>SUM(J865:J871)</f>
        <v>3059850</v>
      </c>
      <c r="K872" s="133">
        <f>SUM(K865:K871)</f>
        <v>37531</v>
      </c>
      <c r="L872" s="134"/>
      <c r="M872" s="135"/>
      <c r="N872" s="136"/>
      <c r="O872" s="137">
        <f>SUM(O865:O871)</f>
        <v>6979320.7199999997</v>
      </c>
      <c r="P872" s="1115"/>
    </row>
    <row r="873" spans="2:16" x14ac:dyDescent="0.25">
      <c r="B873" s="1112"/>
      <c r="C873" s="32"/>
      <c r="D873" s="118" t="s">
        <v>58</v>
      </c>
      <c r="E873" s="98">
        <v>0</v>
      </c>
      <c r="F873" s="4">
        <f t="shared" ref="F873:F876" si="677">+G873+H873</f>
        <v>0</v>
      </c>
      <c r="G873" s="4">
        <v>0</v>
      </c>
      <c r="H873" s="8">
        <v>0</v>
      </c>
      <c r="I873" s="6">
        <f t="shared" ref="I873:I877" si="678">J873+K873</f>
        <v>0</v>
      </c>
      <c r="J873" s="4">
        <f>G873+J808</f>
        <v>0</v>
      </c>
      <c r="K873" s="4">
        <f>H873+K808</f>
        <v>0</v>
      </c>
      <c r="L873" s="33" t="e">
        <f t="shared" ref="L873" si="679">+J873/E873</f>
        <v>#DIV/0!</v>
      </c>
      <c r="M873" s="105">
        <v>12.029500000000001</v>
      </c>
      <c r="N873" s="34">
        <f>M873*G873</f>
        <v>0</v>
      </c>
      <c r="O873" s="87">
        <f t="shared" ref="O873:O875" si="680">M873*J873</f>
        <v>0</v>
      </c>
      <c r="P873" s="1114"/>
    </row>
    <row r="874" spans="2:16" x14ac:dyDescent="0.25">
      <c r="B874" s="1112"/>
      <c r="C874" s="35"/>
      <c r="D874" s="119" t="s">
        <v>59</v>
      </c>
      <c r="E874" s="99">
        <v>0</v>
      </c>
      <c r="F874" s="9">
        <f t="shared" si="677"/>
        <v>0</v>
      </c>
      <c r="G874" s="9">
        <v>0</v>
      </c>
      <c r="H874" s="10">
        <v>0</v>
      </c>
      <c r="I874" s="6">
        <f t="shared" si="678"/>
        <v>0</v>
      </c>
      <c r="J874" s="4">
        <f>G874+J809</f>
        <v>0</v>
      </c>
      <c r="K874" s="4">
        <f>H874+K809</f>
        <v>0</v>
      </c>
      <c r="L874" s="33"/>
      <c r="M874" s="106">
        <v>0</v>
      </c>
      <c r="N874" s="36"/>
      <c r="O874" s="88">
        <f t="shared" si="680"/>
        <v>0</v>
      </c>
      <c r="P874" s="1114"/>
    </row>
    <row r="875" spans="2:16" x14ac:dyDescent="0.25">
      <c r="B875" s="1112"/>
      <c r="C875" s="35"/>
      <c r="D875" s="119" t="s">
        <v>97</v>
      </c>
      <c r="E875" s="99">
        <v>0</v>
      </c>
      <c r="F875" s="9">
        <f t="shared" si="677"/>
        <v>0</v>
      </c>
      <c r="G875" s="9">
        <v>0</v>
      </c>
      <c r="H875" s="10">
        <v>0</v>
      </c>
      <c r="I875" s="6">
        <f t="shared" si="678"/>
        <v>0</v>
      </c>
      <c r="J875" s="4">
        <f t="shared" ref="J875:J877" si="681">G875+J810</f>
        <v>0</v>
      </c>
      <c r="K875" s="4">
        <f t="shared" ref="K875:K877" si="682">H875+K810</f>
        <v>0</v>
      </c>
      <c r="L875" s="33" t="e">
        <f t="shared" ref="L875:L877" si="683">+J875/E875</f>
        <v>#DIV/0!</v>
      </c>
      <c r="M875" s="106">
        <v>19.688600000000001</v>
      </c>
      <c r="N875" s="36">
        <f>M875*G875</f>
        <v>0</v>
      </c>
      <c r="O875" s="88">
        <f t="shared" si="680"/>
        <v>0</v>
      </c>
      <c r="P875" s="1114"/>
    </row>
    <row r="876" spans="2:16" x14ac:dyDescent="0.25">
      <c r="B876" s="1112"/>
      <c r="C876" s="35"/>
      <c r="D876" s="119" t="s">
        <v>61</v>
      </c>
      <c r="E876" s="99">
        <v>0</v>
      </c>
      <c r="F876" s="9">
        <f t="shared" si="677"/>
        <v>60000</v>
      </c>
      <c r="G876" s="9">
        <v>60000</v>
      </c>
      <c r="H876" s="10">
        <v>0</v>
      </c>
      <c r="I876" s="6">
        <f t="shared" si="678"/>
        <v>60000</v>
      </c>
      <c r="J876" s="4">
        <f t="shared" si="681"/>
        <v>60000</v>
      </c>
      <c r="K876" s="4">
        <f t="shared" si="682"/>
        <v>0</v>
      </c>
      <c r="L876" s="33" t="e">
        <f t="shared" si="683"/>
        <v>#DIV/0!</v>
      </c>
      <c r="M876" s="106">
        <v>1.2824</v>
      </c>
      <c r="N876" s="151">
        <f>M876*G876</f>
        <v>76944</v>
      </c>
      <c r="O876" s="88">
        <f>M876*J876</f>
        <v>76944</v>
      </c>
      <c r="P876" s="1114"/>
    </row>
    <row r="877" spans="2:16" ht="15.75" thickBot="1" x14ac:dyDescent="0.3">
      <c r="B877" s="1112"/>
      <c r="C877" s="82"/>
      <c r="D877" s="120" t="s">
        <v>60</v>
      </c>
      <c r="E877" s="108">
        <v>0</v>
      </c>
      <c r="F877" s="12">
        <v>0</v>
      </c>
      <c r="G877" s="12">
        <v>12960</v>
      </c>
      <c r="H877" s="13">
        <v>174</v>
      </c>
      <c r="I877" s="21">
        <f t="shared" si="678"/>
        <v>69968</v>
      </c>
      <c r="J877" s="4">
        <f t="shared" si="681"/>
        <v>69120</v>
      </c>
      <c r="K877" s="4">
        <f t="shared" si="682"/>
        <v>848</v>
      </c>
      <c r="L877" s="81" t="e">
        <f t="shared" si="683"/>
        <v>#DIV/0!</v>
      </c>
      <c r="M877" s="107">
        <v>18.2316</v>
      </c>
      <c r="N877" s="75"/>
      <c r="O877" s="89">
        <f t="shared" ref="O877" si="684">M877*J877</f>
        <v>1260168.192</v>
      </c>
      <c r="P877" s="1116"/>
    </row>
    <row r="878" spans="2:16" ht="15.75" thickBot="1" x14ac:dyDescent="0.3">
      <c r="B878" s="1096" t="s">
        <v>105</v>
      </c>
      <c r="C878" s="1097"/>
      <c r="D878" s="1097"/>
      <c r="E878" s="124"/>
      <c r="F878" s="125">
        <f>+G878+H878</f>
        <v>73134</v>
      </c>
      <c r="G878" s="125">
        <f>SUM(G873:G877)</f>
        <v>72960</v>
      </c>
      <c r="H878" s="126">
        <f>SUM(H873:H877)</f>
        <v>174</v>
      </c>
      <c r="I878" s="121">
        <f>J878+K878</f>
        <v>129968</v>
      </c>
      <c r="J878" s="122">
        <f>SUM(J873:J877)</f>
        <v>129120</v>
      </c>
      <c r="K878" s="123">
        <f>SUM(K873:K877)</f>
        <v>848</v>
      </c>
      <c r="L878" s="138"/>
      <c r="M878" s="139"/>
      <c r="N878" s="140"/>
      <c r="O878" s="141">
        <f>SUM(O873:O877)</f>
        <v>1337112.192</v>
      </c>
      <c r="P878" s="209"/>
    </row>
    <row r="879" spans="2:16" ht="15.75" thickBot="1" x14ac:dyDescent="0.3">
      <c r="B879" s="1096" t="s">
        <v>98</v>
      </c>
      <c r="C879" s="1097"/>
      <c r="D879" s="1097"/>
      <c r="E879" s="1119"/>
      <c r="F879" s="1119"/>
      <c r="G879" s="1119"/>
      <c r="H879" s="1119"/>
      <c r="I879" s="1097"/>
      <c r="J879" s="1097"/>
      <c r="K879" s="1097"/>
      <c r="L879" s="1097"/>
      <c r="M879" s="1097"/>
      <c r="N879" s="1120"/>
      <c r="O879" s="83">
        <f>O872+O878</f>
        <v>8316432.9119999995</v>
      </c>
      <c r="P879" s="209"/>
    </row>
    <row r="880" spans="2:16" x14ac:dyDescent="0.25">
      <c r="B880" s="1111" t="s">
        <v>62</v>
      </c>
      <c r="C880" s="37" t="s">
        <v>63</v>
      </c>
      <c r="D880" s="28" t="s">
        <v>64</v>
      </c>
      <c r="E880" s="38">
        <v>0</v>
      </c>
      <c r="F880" s="14">
        <f>+G880+H880</f>
        <v>0</v>
      </c>
      <c r="G880" s="14">
        <v>0</v>
      </c>
      <c r="H880" s="5">
        <v>0</v>
      </c>
      <c r="I880" s="17">
        <f t="shared" ref="I880:I886" si="685">J880+K880</f>
        <v>0</v>
      </c>
      <c r="J880" s="4">
        <f>G880+J815</f>
        <v>0</v>
      </c>
      <c r="K880" s="4">
        <f>H880+K815</f>
        <v>0</v>
      </c>
      <c r="L880" s="30" t="e">
        <f>+J880/E880</f>
        <v>#DIV/0!</v>
      </c>
      <c r="M880" s="146">
        <v>2.2141000000000002</v>
      </c>
      <c r="N880" s="15">
        <f>+M880*G880</f>
        <v>0</v>
      </c>
      <c r="O880" s="90">
        <f>+M880*J880</f>
        <v>0</v>
      </c>
      <c r="P880" s="1122"/>
    </row>
    <row r="881" spans="2:16" x14ac:dyDescent="0.25">
      <c r="B881" s="1112"/>
      <c r="C881" s="39"/>
      <c r="D881" s="22" t="s">
        <v>65</v>
      </c>
      <c r="E881" s="3">
        <v>0</v>
      </c>
      <c r="F881" s="9">
        <f t="shared" ref="F881:F886" si="686">+G881+H881</f>
        <v>0</v>
      </c>
      <c r="G881" s="4">
        <v>0</v>
      </c>
      <c r="H881" s="8">
        <v>0</v>
      </c>
      <c r="I881" s="6">
        <f t="shared" si="685"/>
        <v>0</v>
      </c>
      <c r="J881" s="4">
        <f>+G881+J816</f>
        <v>0</v>
      </c>
      <c r="K881" s="4">
        <f>+H881+K816</f>
        <v>0</v>
      </c>
      <c r="L881" s="40" t="e">
        <f t="shared" ref="L881:L882" si="687">+J881/E881</f>
        <v>#DIV/0!</v>
      </c>
      <c r="M881" s="145">
        <v>2.4565999999999999</v>
      </c>
      <c r="N881" s="11">
        <f t="shared" ref="N881:N883" si="688">+M881*G881</f>
        <v>0</v>
      </c>
      <c r="O881" s="91">
        <f t="shared" ref="O881:O883" si="689">+M881*J881</f>
        <v>0</v>
      </c>
      <c r="P881" s="1123"/>
    </row>
    <row r="882" spans="2:16" x14ac:dyDescent="0.25">
      <c r="B882" s="1112"/>
      <c r="C882" s="39"/>
      <c r="D882" s="23" t="s">
        <v>126</v>
      </c>
      <c r="E882" s="3">
        <v>0</v>
      </c>
      <c r="F882" s="9">
        <f t="shared" si="686"/>
        <v>0</v>
      </c>
      <c r="G882" s="4">
        <v>0</v>
      </c>
      <c r="H882" s="8">
        <v>0</v>
      </c>
      <c r="I882" s="6">
        <f t="shared" si="685"/>
        <v>0</v>
      </c>
      <c r="J882" s="4">
        <f t="shared" ref="J882:J883" si="690">+G882+J817</f>
        <v>0</v>
      </c>
      <c r="K882" s="4">
        <f t="shared" ref="K882:K886" si="691">+H882+K817</f>
        <v>0</v>
      </c>
      <c r="L882" s="40" t="e">
        <f t="shared" si="687"/>
        <v>#DIV/0!</v>
      </c>
      <c r="M882" s="145">
        <v>2.2907000000000002</v>
      </c>
      <c r="N882" s="11">
        <f t="shared" si="688"/>
        <v>0</v>
      </c>
      <c r="O882" s="91">
        <f t="shared" si="689"/>
        <v>0</v>
      </c>
      <c r="P882" s="1123"/>
    </row>
    <row r="883" spans="2:16" x14ac:dyDescent="0.25">
      <c r="B883" s="1112"/>
      <c r="C883" s="39"/>
      <c r="D883" s="22" t="s">
        <v>131</v>
      </c>
      <c r="E883" s="3"/>
      <c r="F883" s="9">
        <f t="shared" si="686"/>
        <v>0</v>
      </c>
      <c r="G883" s="4">
        <v>0</v>
      </c>
      <c r="H883" s="8">
        <v>0</v>
      </c>
      <c r="I883" s="6">
        <f t="shared" si="685"/>
        <v>0</v>
      </c>
      <c r="J883" s="4">
        <f t="shared" si="690"/>
        <v>0</v>
      </c>
      <c r="K883" s="4">
        <f t="shared" si="691"/>
        <v>0</v>
      </c>
      <c r="L883" s="33"/>
      <c r="M883" s="150">
        <v>2.544</v>
      </c>
      <c r="N883" s="11">
        <f t="shared" si="688"/>
        <v>0</v>
      </c>
      <c r="O883" s="91">
        <f t="shared" si="689"/>
        <v>0</v>
      </c>
      <c r="P883" s="1123"/>
    </row>
    <row r="884" spans="2:16" x14ac:dyDescent="0.25">
      <c r="B884" s="1112"/>
      <c r="C884" s="39" t="s">
        <v>66</v>
      </c>
      <c r="D884" s="22" t="s">
        <v>133</v>
      </c>
      <c r="E884" s="3">
        <v>0</v>
      </c>
      <c r="F884" s="9">
        <f t="shared" si="686"/>
        <v>0</v>
      </c>
      <c r="G884" s="4">
        <v>0</v>
      </c>
      <c r="H884" s="8">
        <v>0</v>
      </c>
      <c r="I884" s="6">
        <f t="shared" si="685"/>
        <v>567947</v>
      </c>
      <c r="J884" s="4">
        <f>+G884+J819</f>
        <v>552750</v>
      </c>
      <c r="K884" s="4">
        <f t="shared" si="691"/>
        <v>15197</v>
      </c>
      <c r="L884" s="33" t="e">
        <f>+J884/E884</f>
        <v>#DIV/0!</v>
      </c>
      <c r="M884" s="144">
        <v>2.2141000000000002</v>
      </c>
      <c r="N884" s="7">
        <f>+M884*G884</f>
        <v>0</v>
      </c>
      <c r="O884" s="85">
        <f>+M884*J884</f>
        <v>1223843.7750000001</v>
      </c>
      <c r="P884" s="1123"/>
    </row>
    <row r="885" spans="2:16" x14ac:dyDescent="0.25">
      <c r="B885" s="1112"/>
      <c r="C885" s="39"/>
      <c r="D885" s="22" t="s">
        <v>65</v>
      </c>
      <c r="E885" s="3">
        <v>0</v>
      </c>
      <c r="F885" s="9">
        <f t="shared" si="686"/>
        <v>0</v>
      </c>
      <c r="G885" s="4">
        <v>0</v>
      </c>
      <c r="H885" s="8">
        <v>0</v>
      </c>
      <c r="I885" s="6">
        <f t="shared" si="685"/>
        <v>0</v>
      </c>
      <c r="J885" s="4">
        <f t="shared" ref="J885:J886" si="692">+G885+J820</f>
        <v>0</v>
      </c>
      <c r="K885" s="4">
        <f t="shared" si="691"/>
        <v>0</v>
      </c>
      <c r="L885" s="40" t="e">
        <f t="shared" ref="L885:L886" si="693">+J885/E885</f>
        <v>#DIV/0!</v>
      </c>
      <c r="M885" s="145">
        <v>2.4565999999999999</v>
      </c>
      <c r="N885" s="11">
        <f t="shared" ref="N885:N886" si="694">+M885*G885</f>
        <v>0</v>
      </c>
      <c r="O885" s="91">
        <f t="shared" ref="O885" si="695">+M885*J885</f>
        <v>0</v>
      </c>
      <c r="P885" s="1123"/>
    </row>
    <row r="886" spans="2:16" ht="15.75" thickBot="1" x14ac:dyDescent="0.3">
      <c r="B886" s="1112"/>
      <c r="C886" s="39"/>
      <c r="D886" s="22" t="s">
        <v>126</v>
      </c>
      <c r="E886" s="3">
        <v>0</v>
      </c>
      <c r="F886" s="9">
        <f t="shared" si="686"/>
        <v>0</v>
      </c>
      <c r="G886" s="4">
        <v>0</v>
      </c>
      <c r="H886" s="8">
        <v>0</v>
      </c>
      <c r="I886" s="6">
        <f t="shared" si="685"/>
        <v>0</v>
      </c>
      <c r="J886" s="4">
        <f t="shared" si="692"/>
        <v>0</v>
      </c>
      <c r="K886" s="4">
        <f t="shared" si="691"/>
        <v>0</v>
      </c>
      <c r="L886" s="40" t="e">
        <f t="shared" si="693"/>
        <v>#DIV/0!</v>
      </c>
      <c r="M886" s="145">
        <v>2.2907000000000002</v>
      </c>
      <c r="N886" s="11">
        <f t="shared" si="694"/>
        <v>0</v>
      </c>
      <c r="O886" s="154">
        <f>+M886*J886</f>
        <v>0</v>
      </c>
      <c r="P886" s="1124"/>
    </row>
    <row r="887" spans="2:16" ht="15.75" thickBot="1" x14ac:dyDescent="0.3">
      <c r="B887" s="1112"/>
      <c r="C887" s="41" t="s">
        <v>29</v>
      </c>
      <c r="D887" s="27" t="str">
        <f>+C887</f>
        <v>TOTAL 1/2</v>
      </c>
      <c r="E887" s="42">
        <f>SUM(E880:E886)</f>
        <v>0</v>
      </c>
      <c r="F887" s="43">
        <f>SUM(F880:F886)</f>
        <v>0</v>
      </c>
      <c r="G887" s="43">
        <f>SUM(G880:G886)</f>
        <v>0</v>
      </c>
      <c r="H887" s="44">
        <f>SUM(H880:H886)</f>
        <v>0</v>
      </c>
      <c r="I887" s="45">
        <f>SUM(I884:I886)</f>
        <v>567947</v>
      </c>
      <c r="J887" s="43">
        <f>SUM(J880:J886)</f>
        <v>552750</v>
      </c>
      <c r="K887" s="43">
        <f>SUM(K880:K886)</f>
        <v>15197</v>
      </c>
      <c r="L887" s="46" t="e">
        <f>+J887/E887</f>
        <v>#DIV/0!</v>
      </c>
      <c r="M887" s="47"/>
      <c r="N887" s="48">
        <f>SUM(N884:N886)</f>
        <v>0</v>
      </c>
      <c r="O887" s="49">
        <f>SUM(O880:O886)</f>
        <v>1223843.7750000001</v>
      </c>
      <c r="P887" s="210"/>
    </row>
    <row r="888" spans="2:16" x14ac:dyDescent="0.25">
      <c r="B888" s="1112"/>
      <c r="C888" s="1125" t="s">
        <v>67</v>
      </c>
      <c r="D888" s="22" t="s">
        <v>64</v>
      </c>
      <c r="E888" s="3">
        <v>0</v>
      </c>
      <c r="F888" s="4">
        <f>G888+H888</f>
        <v>0</v>
      </c>
      <c r="G888" s="4">
        <v>0</v>
      </c>
      <c r="H888" s="8">
        <v>0</v>
      </c>
      <c r="I888" s="16">
        <f>J888+K888</f>
        <v>109220</v>
      </c>
      <c r="J888" s="4">
        <f>G888+J823</f>
        <v>105750</v>
      </c>
      <c r="K888" s="4">
        <f>H888+K823</f>
        <v>3470</v>
      </c>
      <c r="L888" s="50" t="e">
        <f>+J888/E888</f>
        <v>#DIV/0!</v>
      </c>
      <c r="M888" s="144">
        <v>4.1712999999999996</v>
      </c>
      <c r="N888" s="7">
        <f>+M888*G888</f>
        <v>0</v>
      </c>
      <c r="O888" s="93">
        <f>+M888*J888</f>
        <v>441114.97499999998</v>
      </c>
      <c r="P888" s="1122"/>
    </row>
    <row r="889" spans="2:16" x14ac:dyDescent="0.25">
      <c r="B889" s="1112"/>
      <c r="C889" s="1126"/>
      <c r="D889" s="22" t="s">
        <v>65</v>
      </c>
      <c r="E889" s="3">
        <v>0</v>
      </c>
      <c r="F889" s="4">
        <f>G889+H889</f>
        <v>0</v>
      </c>
      <c r="G889" s="4">
        <v>0</v>
      </c>
      <c r="H889" s="8">
        <v>0</v>
      </c>
      <c r="I889" s="6">
        <f>+R1933+F889</f>
        <v>0</v>
      </c>
      <c r="J889" s="4">
        <f>G889+J824</f>
        <v>120000</v>
      </c>
      <c r="K889" s="4">
        <f>H889+K824</f>
        <v>3230</v>
      </c>
      <c r="L889" s="51" t="e">
        <f t="shared" ref="L889:L893" si="696">+J889/E889</f>
        <v>#DIV/0!</v>
      </c>
      <c r="M889" s="145">
        <v>4.8285999999999998</v>
      </c>
      <c r="N889" s="11">
        <f t="shared" ref="N889:N891" si="697">+M889*G889</f>
        <v>0</v>
      </c>
      <c r="O889" s="94">
        <f t="shared" ref="O889:O891" si="698">+M889*J889</f>
        <v>579432</v>
      </c>
      <c r="P889" s="1123"/>
    </row>
    <row r="890" spans="2:16" x14ac:dyDescent="0.25">
      <c r="B890" s="1112"/>
      <c r="C890" s="1126"/>
      <c r="D890" s="22" t="s">
        <v>127</v>
      </c>
      <c r="E890" s="3"/>
      <c r="F890" s="4">
        <f>G890+H890</f>
        <v>0</v>
      </c>
      <c r="G890" s="4">
        <v>0</v>
      </c>
      <c r="H890" s="8">
        <v>0</v>
      </c>
      <c r="I890" s="6">
        <f>+R1934+F890</f>
        <v>0</v>
      </c>
      <c r="J890" s="4">
        <f t="shared" ref="J890:J891" si="699">G890+J825</f>
        <v>0</v>
      </c>
      <c r="K890" s="4">
        <f t="shared" ref="K890:K891" si="700">H890+K825</f>
        <v>0</v>
      </c>
      <c r="L890" s="51" t="e">
        <f t="shared" si="696"/>
        <v>#DIV/0!</v>
      </c>
      <c r="M890" s="144">
        <v>4.5023</v>
      </c>
      <c r="N890" s="11">
        <f t="shared" si="697"/>
        <v>0</v>
      </c>
      <c r="O890" s="94">
        <f t="shared" si="698"/>
        <v>0</v>
      </c>
      <c r="P890" s="1123"/>
    </row>
    <row r="891" spans="2:16" ht="15.75" thickBot="1" x14ac:dyDescent="0.3">
      <c r="B891" s="1112"/>
      <c r="C891" s="1126"/>
      <c r="D891" s="22" t="s">
        <v>111</v>
      </c>
      <c r="E891" s="3">
        <v>0</v>
      </c>
      <c r="F891" s="4">
        <f t="shared" ref="F891" si="701">G891+H891</f>
        <v>0</v>
      </c>
      <c r="G891" s="4">
        <v>0</v>
      </c>
      <c r="H891" s="8">
        <v>0</v>
      </c>
      <c r="I891" s="6">
        <f>+R1934+F891</f>
        <v>0</v>
      </c>
      <c r="J891" s="4">
        <f t="shared" si="699"/>
        <v>0</v>
      </c>
      <c r="K891" s="4">
        <f t="shared" si="700"/>
        <v>0</v>
      </c>
      <c r="L891" s="51" t="e">
        <f t="shared" si="696"/>
        <v>#DIV/0!</v>
      </c>
      <c r="M891" s="144">
        <v>4.4065000000000003</v>
      </c>
      <c r="N891" s="11">
        <f t="shared" si="697"/>
        <v>0</v>
      </c>
      <c r="O891" s="94">
        <f t="shared" si="698"/>
        <v>0</v>
      </c>
      <c r="P891" s="1123"/>
    </row>
    <row r="892" spans="2:16" ht="15.75" thickBot="1" x14ac:dyDescent="0.3">
      <c r="B892" s="1112"/>
      <c r="C892" s="41" t="s">
        <v>31</v>
      </c>
      <c r="D892" s="18" t="str">
        <f>+C892</f>
        <v>TOTAL 4/4</v>
      </c>
      <c r="E892" s="42">
        <f t="shared" ref="E892:K892" si="702">SUM(E888:E891)</f>
        <v>0</v>
      </c>
      <c r="F892" s="43">
        <f t="shared" si="702"/>
        <v>0</v>
      </c>
      <c r="G892" s="43">
        <f t="shared" si="702"/>
        <v>0</v>
      </c>
      <c r="H892" s="44">
        <f t="shared" si="702"/>
        <v>0</v>
      </c>
      <c r="I892" s="45">
        <f t="shared" si="702"/>
        <v>109220</v>
      </c>
      <c r="J892" s="43">
        <f t="shared" si="702"/>
        <v>225750</v>
      </c>
      <c r="K892" s="43">
        <f t="shared" si="702"/>
        <v>6700</v>
      </c>
      <c r="L892" s="46" t="e">
        <f t="shared" si="696"/>
        <v>#DIV/0!</v>
      </c>
      <c r="M892" s="47"/>
      <c r="N892" s="48">
        <f>SUM(N888:N891)</f>
        <v>0</v>
      </c>
      <c r="O892" s="92">
        <f>SUM(O888:O891)</f>
        <v>1020546.975</v>
      </c>
      <c r="P892" s="1124"/>
    </row>
    <row r="893" spans="2:16" ht="15.75" thickBot="1" x14ac:dyDescent="0.3">
      <c r="B893" s="1121"/>
      <c r="C893" s="41" t="s">
        <v>68</v>
      </c>
      <c r="D893" s="27" t="s">
        <v>64</v>
      </c>
      <c r="E893" s="25">
        <v>0</v>
      </c>
      <c r="F893" s="20">
        <f>G893+H893</f>
        <v>0</v>
      </c>
      <c r="G893" s="20">
        <v>0</v>
      </c>
      <c r="H893" s="24">
        <v>0</v>
      </c>
      <c r="I893" s="19">
        <f>J893+K893</f>
        <v>0</v>
      </c>
      <c r="J893" s="4">
        <f>G893+J828</f>
        <v>0</v>
      </c>
      <c r="K893" s="4">
        <f>H893+K828</f>
        <v>0</v>
      </c>
      <c r="L893" s="52" t="e">
        <f t="shared" si="696"/>
        <v>#DIV/0!</v>
      </c>
      <c r="M893" s="149">
        <v>1.4086000000000001</v>
      </c>
      <c r="N893" s="26">
        <f t="shared" ref="N893" si="703">+M893*G893</f>
        <v>0</v>
      </c>
      <c r="O893" s="95">
        <f t="shared" ref="O893" si="704">+M893*J893</f>
        <v>0</v>
      </c>
      <c r="P893" s="53"/>
    </row>
    <row r="894" spans="2:16" ht="15.75" thickBot="1" x14ac:dyDescent="0.3">
      <c r="B894" s="1096" t="s">
        <v>95</v>
      </c>
      <c r="C894" s="1097"/>
      <c r="D894" s="1097"/>
      <c r="E894" s="1097"/>
      <c r="F894" s="1097"/>
      <c r="G894" s="1097"/>
      <c r="H894" s="1097"/>
      <c r="I894" s="110">
        <f>J894+K894</f>
        <v>800397</v>
      </c>
      <c r="J894" s="110">
        <f>J887+J892+J893</f>
        <v>778500</v>
      </c>
      <c r="K894" s="110">
        <f>K887+K892+K893</f>
        <v>21897</v>
      </c>
      <c r="L894" s="111"/>
      <c r="M894" s="112"/>
      <c r="N894" s="109"/>
      <c r="O894" s="77">
        <f>+O893+O892+O887</f>
        <v>2244390.75</v>
      </c>
      <c r="P894" s="84"/>
    </row>
    <row r="895" spans="2:16" x14ac:dyDescent="0.25">
      <c r="B895" s="1098" t="s">
        <v>69</v>
      </c>
      <c r="C895" s="1101" t="s">
        <v>70</v>
      </c>
      <c r="D895" s="54" t="s">
        <v>71</v>
      </c>
      <c r="E895" s="55">
        <v>0</v>
      </c>
      <c r="F895" s="56">
        <f>G895+H895</f>
        <v>10056</v>
      </c>
      <c r="G895" s="56">
        <v>10000</v>
      </c>
      <c r="H895" s="57">
        <v>56</v>
      </c>
      <c r="I895" s="78">
        <f>J895+K895</f>
        <v>30264</v>
      </c>
      <c r="J895" s="4">
        <f>G895+J830</f>
        <v>30000</v>
      </c>
      <c r="K895" s="4">
        <f>H895+K830</f>
        <v>264</v>
      </c>
      <c r="L895" s="58" t="e">
        <f t="shared" ref="L895" si="705">+J895/E895</f>
        <v>#DIV/0!</v>
      </c>
      <c r="M895" s="59">
        <v>32.946300000000001</v>
      </c>
      <c r="N895" s="60">
        <f>+M895*G895</f>
        <v>329463</v>
      </c>
      <c r="O895" s="60">
        <f>M895*J895</f>
        <v>988389</v>
      </c>
      <c r="P895" s="1103"/>
    </row>
    <row r="896" spans="2:16" x14ac:dyDescent="0.25">
      <c r="B896" s="1099"/>
      <c r="C896" s="1102"/>
      <c r="D896" s="61" t="s">
        <v>72</v>
      </c>
      <c r="E896" s="62">
        <v>0</v>
      </c>
      <c r="F896" s="63">
        <f>G896+H896</f>
        <v>0</v>
      </c>
      <c r="G896" s="63">
        <v>0</v>
      </c>
      <c r="H896" s="64">
        <v>0</v>
      </c>
      <c r="I896" s="79">
        <f>J896+K896</f>
        <v>31833</v>
      </c>
      <c r="J896" s="4">
        <f>G896+J831</f>
        <v>31420</v>
      </c>
      <c r="K896" s="4">
        <f>H896+K831</f>
        <v>413</v>
      </c>
      <c r="L896" s="65" t="e">
        <f>+J896/E896</f>
        <v>#DIV/0!</v>
      </c>
      <c r="M896" s="66">
        <v>35.398400000000002</v>
      </c>
      <c r="N896" s="67">
        <f>+M896*G896</f>
        <v>0</v>
      </c>
      <c r="O896" s="67">
        <f>M896*J896</f>
        <v>1112217.7280000001</v>
      </c>
      <c r="P896" s="1104"/>
    </row>
    <row r="897" spans="2:16" x14ac:dyDescent="0.25">
      <c r="B897" s="1099"/>
      <c r="C897" s="1102"/>
      <c r="D897" s="61" t="s">
        <v>73</v>
      </c>
      <c r="E897" s="62">
        <v>0</v>
      </c>
      <c r="F897" s="63">
        <f t="shared" ref="F897:F900" si="706">G897+H897</f>
        <v>0</v>
      </c>
      <c r="G897" s="63">
        <v>0</v>
      </c>
      <c r="H897" s="64">
        <v>0</v>
      </c>
      <c r="I897" s="79">
        <f t="shared" ref="I897:I906" si="707">J897+K897</f>
        <v>0</v>
      </c>
      <c r="J897" s="4">
        <f t="shared" ref="J897:J922" si="708">G897+J832</f>
        <v>0</v>
      </c>
      <c r="K897" s="4">
        <f t="shared" ref="K897:K901" si="709">H897+K832</f>
        <v>0</v>
      </c>
      <c r="L897" s="65" t="e">
        <f t="shared" ref="L897:L910" si="710">+J897/E897</f>
        <v>#DIV/0!</v>
      </c>
      <c r="M897" s="66">
        <v>32.946300000000001</v>
      </c>
      <c r="N897" s="67">
        <f t="shared" ref="N897:N917" si="711">+M897*G897</f>
        <v>0</v>
      </c>
      <c r="O897" s="67">
        <f t="shared" ref="O897:O905" si="712">M897*J897</f>
        <v>0</v>
      </c>
      <c r="P897" s="1104"/>
    </row>
    <row r="898" spans="2:16" x14ac:dyDescent="0.25">
      <c r="B898" s="1099"/>
      <c r="C898" s="1102" t="s">
        <v>74</v>
      </c>
      <c r="D898" s="61" t="s">
        <v>75</v>
      </c>
      <c r="E898" s="62">
        <v>0</v>
      </c>
      <c r="F898" s="63">
        <f t="shared" si="706"/>
        <v>2535</v>
      </c>
      <c r="G898" s="63">
        <v>2400</v>
      </c>
      <c r="H898" s="64">
        <v>135</v>
      </c>
      <c r="I898" s="79">
        <f t="shared" si="707"/>
        <v>19785</v>
      </c>
      <c r="J898" s="4">
        <f t="shared" si="708"/>
        <v>19200</v>
      </c>
      <c r="K898" s="4">
        <f t="shared" si="709"/>
        <v>585</v>
      </c>
      <c r="L898" s="65" t="e">
        <f t="shared" si="710"/>
        <v>#DIV/0!</v>
      </c>
      <c r="M898" s="66">
        <v>55.4758</v>
      </c>
      <c r="N898" s="67">
        <f t="shared" si="711"/>
        <v>133141.92000000001</v>
      </c>
      <c r="O898" s="67">
        <f t="shared" si="712"/>
        <v>1065135.3600000001</v>
      </c>
      <c r="P898" s="1104"/>
    </row>
    <row r="899" spans="2:16" x14ac:dyDescent="0.25">
      <c r="B899" s="1099"/>
      <c r="C899" s="1102"/>
      <c r="D899" s="61" t="s">
        <v>134</v>
      </c>
      <c r="E899" s="62">
        <v>0</v>
      </c>
      <c r="F899" s="63">
        <f t="shared" si="706"/>
        <v>0</v>
      </c>
      <c r="G899" s="63">
        <v>0</v>
      </c>
      <c r="H899" s="64">
        <v>0</v>
      </c>
      <c r="I899" s="79">
        <f t="shared" si="707"/>
        <v>0</v>
      </c>
      <c r="J899" s="4">
        <f t="shared" si="708"/>
        <v>0</v>
      </c>
      <c r="K899" s="4">
        <f t="shared" si="709"/>
        <v>0</v>
      </c>
      <c r="L899" s="65" t="e">
        <f t="shared" si="710"/>
        <v>#DIV/0!</v>
      </c>
      <c r="M899" s="66">
        <v>53.515999999999998</v>
      </c>
      <c r="N899" s="67">
        <f t="shared" si="711"/>
        <v>0</v>
      </c>
      <c r="O899" s="67">
        <f t="shared" si="712"/>
        <v>0</v>
      </c>
      <c r="P899" s="1104"/>
    </row>
    <row r="900" spans="2:16" x14ac:dyDescent="0.25">
      <c r="B900" s="1099"/>
      <c r="C900" s="1102"/>
      <c r="D900" s="61" t="s">
        <v>72</v>
      </c>
      <c r="E900" s="62">
        <v>0</v>
      </c>
      <c r="F900" s="63">
        <f t="shared" si="706"/>
        <v>0</v>
      </c>
      <c r="G900" s="63">
        <v>0</v>
      </c>
      <c r="H900" s="64">
        <v>0</v>
      </c>
      <c r="I900" s="79">
        <f t="shared" si="707"/>
        <v>9804</v>
      </c>
      <c r="J900" s="4">
        <f t="shared" si="708"/>
        <v>9600</v>
      </c>
      <c r="K900" s="4">
        <f t="shared" si="709"/>
        <v>204</v>
      </c>
      <c r="L900" s="65" t="e">
        <f t="shared" si="710"/>
        <v>#DIV/0!</v>
      </c>
      <c r="M900" s="66">
        <v>58.836300000000001</v>
      </c>
      <c r="N900" s="67">
        <f t="shared" si="711"/>
        <v>0</v>
      </c>
      <c r="O900" s="67">
        <f t="shared" si="712"/>
        <v>564828.48</v>
      </c>
      <c r="P900" s="1104"/>
    </row>
    <row r="901" spans="2:16" x14ac:dyDescent="0.25">
      <c r="B901" s="1099"/>
      <c r="C901" s="1106" t="s">
        <v>76</v>
      </c>
      <c r="D901" s="61" t="s">
        <v>77</v>
      </c>
      <c r="E901" s="62">
        <v>0</v>
      </c>
      <c r="F901" s="63">
        <f>G901+H901</f>
        <v>0</v>
      </c>
      <c r="G901" s="63">
        <v>0</v>
      </c>
      <c r="H901" s="64">
        <v>0</v>
      </c>
      <c r="I901" s="79">
        <f t="shared" si="707"/>
        <v>13295</v>
      </c>
      <c r="J901" s="4">
        <f t="shared" si="708"/>
        <v>13000</v>
      </c>
      <c r="K901" s="4">
        <f t="shared" si="709"/>
        <v>295</v>
      </c>
      <c r="L901" s="65" t="e">
        <f t="shared" si="710"/>
        <v>#DIV/0!</v>
      </c>
      <c r="M901" s="66">
        <v>25.687200000000001</v>
      </c>
      <c r="N901" s="67">
        <f t="shared" si="711"/>
        <v>0</v>
      </c>
      <c r="O901" s="67">
        <f t="shared" si="712"/>
        <v>333933.60000000003</v>
      </c>
      <c r="P901" s="1104"/>
    </row>
    <row r="902" spans="2:16" x14ac:dyDescent="0.25">
      <c r="B902" s="1099"/>
      <c r="C902" s="1107"/>
      <c r="D902" s="61" t="s">
        <v>117</v>
      </c>
      <c r="E902" s="62">
        <v>0</v>
      </c>
      <c r="F902" s="63">
        <f>G902+H902</f>
        <v>0</v>
      </c>
      <c r="G902" s="63">
        <v>0</v>
      </c>
      <c r="H902" s="64">
        <v>0</v>
      </c>
      <c r="I902" s="79">
        <f t="shared" si="707"/>
        <v>0</v>
      </c>
      <c r="J902" s="4">
        <f t="shared" si="708"/>
        <v>0</v>
      </c>
      <c r="K902" s="4">
        <f>H902+K837</f>
        <v>0</v>
      </c>
      <c r="L902" s="65" t="e">
        <f t="shared" si="710"/>
        <v>#DIV/0!</v>
      </c>
      <c r="M902" s="66">
        <v>25.033899999999999</v>
      </c>
      <c r="N902" s="67">
        <f t="shared" si="711"/>
        <v>0</v>
      </c>
      <c r="O902" s="67">
        <f t="shared" si="712"/>
        <v>0</v>
      </c>
      <c r="P902" s="1104"/>
    </row>
    <row r="903" spans="2:16" x14ac:dyDescent="0.25">
      <c r="B903" s="1099"/>
      <c r="C903" s="1106" t="s">
        <v>78</v>
      </c>
      <c r="D903" s="61" t="s">
        <v>79</v>
      </c>
      <c r="E903" s="62">
        <v>0</v>
      </c>
      <c r="F903" s="63">
        <f t="shared" ref="F903:F922" si="713">G903+H903</f>
        <v>0</v>
      </c>
      <c r="G903" s="63">
        <v>0</v>
      </c>
      <c r="H903" s="64">
        <v>0</v>
      </c>
      <c r="I903" s="79">
        <f t="shared" si="707"/>
        <v>16343</v>
      </c>
      <c r="J903" s="4">
        <f t="shared" si="708"/>
        <v>16000</v>
      </c>
      <c r="K903" s="4">
        <f t="shared" ref="K903:K922" si="714">H903+K838</f>
        <v>343</v>
      </c>
      <c r="L903" s="65" t="e">
        <f t="shared" si="710"/>
        <v>#DIV/0!</v>
      </c>
      <c r="M903" s="66">
        <v>41.992699999999999</v>
      </c>
      <c r="N903" s="67">
        <f t="shared" si="711"/>
        <v>0</v>
      </c>
      <c r="O903" s="67">
        <f t="shared" si="712"/>
        <v>671883.2</v>
      </c>
      <c r="P903" s="1104"/>
    </row>
    <row r="904" spans="2:16" x14ac:dyDescent="0.25">
      <c r="B904" s="1099"/>
      <c r="C904" s="1107"/>
      <c r="D904" s="61" t="s">
        <v>72</v>
      </c>
      <c r="E904" s="62">
        <v>0</v>
      </c>
      <c r="F904" s="63">
        <f t="shared" si="713"/>
        <v>0</v>
      </c>
      <c r="G904" s="63">
        <v>0</v>
      </c>
      <c r="H904" s="64">
        <v>0</v>
      </c>
      <c r="I904" s="79">
        <f t="shared" si="707"/>
        <v>0</v>
      </c>
      <c r="J904" s="4">
        <f t="shared" si="708"/>
        <v>0</v>
      </c>
      <c r="K904" s="4">
        <f t="shared" si="714"/>
        <v>0</v>
      </c>
      <c r="L904" s="65" t="e">
        <f t="shared" si="710"/>
        <v>#DIV/0!</v>
      </c>
      <c r="M904" s="66">
        <v>42.283799999999999</v>
      </c>
      <c r="N904" s="67">
        <f t="shared" si="711"/>
        <v>0</v>
      </c>
      <c r="O904" s="67">
        <f t="shared" si="712"/>
        <v>0</v>
      </c>
      <c r="P904" s="1104"/>
    </row>
    <row r="905" spans="2:16" x14ac:dyDescent="0.25">
      <c r="B905" s="1099"/>
      <c r="C905" s="208" t="s">
        <v>80</v>
      </c>
      <c r="D905" s="61" t="s">
        <v>81</v>
      </c>
      <c r="E905" s="62">
        <v>0</v>
      </c>
      <c r="F905" s="63">
        <f t="shared" si="713"/>
        <v>0</v>
      </c>
      <c r="G905" s="63">
        <v>0</v>
      </c>
      <c r="H905" s="64">
        <v>0</v>
      </c>
      <c r="I905" s="79">
        <f t="shared" si="707"/>
        <v>24803</v>
      </c>
      <c r="J905" s="4">
        <f t="shared" si="708"/>
        <v>24000</v>
      </c>
      <c r="K905" s="4">
        <f t="shared" si="714"/>
        <v>803</v>
      </c>
      <c r="L905" s="65" t="e">
        <f t="shared" si="710"/>
        <v>#DIV/0!</v>
      </c>
      <c r="M905" s="66">
        <v>4.3535000000000004</v>
      </c>
      <c r="N905" s="67">
        <f t="shared" si="711"/>
        <v>0</v>
      </c>
      <c r="O905" s="67">
        <f t="shared" si="712"/>
        <v>104484.00000000001</v>
      </c>
      <c r="P905" s="1104"/>
    </row>
    <row r="906" spans="2:16" x14ac:dyDescent="0.25">
      <c r="B906" s="1099"/>
      <c r="C906" s="1102" t="s">
        <v>82</v>
      </c>
      <c r="D906" s="61" t="s">
        <v>77</v>
      </c>
      <c r="E906" s="62">
        <v>0</v>
      </c>
      <c r="F906" s="63">
        <f t="shared" si="713"/>
        <v>0</v>
      </c>
      <c r="G906" s="63">
        <v>0</v>
      </c>
      <c r="H906" s="64">
        <v>0</v>
      </c>
      <c r="I906" s="79">
        <f t="shared" si="707"/>
        <v>0</v>
      </c>
      <c r="J906" s="4">
        <f t="shared" si="708"/>
        <v>0</v>
      </c>
      <c r="K906" s="4">
        <f t="shared" si="714"/>
        <v>0</v>
      </c>
      <c r="L906" s="65" t="e">
        <f t="shared" si="710"/>
        <v>#DIV/0!</v>
      </c>
      <c r="M906" s="66">
        <v>4.6184000000000003</v>
      </c>
      <c r="N906" s="67">
        <f t="shared" si="711"/>
        <v>0</v>
      </c>
      <c r="O906" s="67">
        <f>M906*J906</f>
        <v>0</v>
      </c>
      <c r="P906" s="1104"/>
    </row>
    <row r="907" spans="2:16" x14ac:dyDescent="0.25">
      <c r="B907" s="1099"/>
      <c r="C907" s="1102"/>
      <c r="D907" s="61" t="s">
        <v>119</v>
      </c>
      <c r="E907" s="62">
        <v>0</v>
      </c>
      <c r="F907" s="63">
        <f t="shared" si="713"/>
        <v>0</v>
      </c>
      <c r="G907" s="63">
        <v>0</v>
      </c>
      <c r="H907" s="64">
        <v>0</v>
      </c>
      <c r="I907" s="79">
        <f>J907+K907</f>
        <v>0</v>
      </c>
      <c r="J907" s="4">
        <f t="shared" si="708"/>
        <v>0</v>
      </c>
      <c r="K907" s="4">
        <f t="shared" si="714"/>
        <v>0</v>
      </c>
      <c r="L907" s="65" t="e">
        <f t="shared" si="710"/>
        <v>#DIV/0!</v>
      </c>
      <c r="M907" s="153">
        <v>4.6184000000000003</v>
      </c>
      <c r="N907" s="67">
        <f t="shared" si="711"/>
        <v>0</v>
      </c>
      <c r="O907" s="67">
        <f>M907*J907</f>
        <v>0</v>
      </c>
      <c r="P907" s="1104"/>
    </row>
    <row r="908" spans="2:16" x14ac:dyDescent="0.25">
      <c r="B908" s="1099"/>
      <c r="C908" s="1102"/>
      <c r="D908" s="61" t="s">
        <v>123</v>
      </c>
      <c r="E908" s="62">
        <v>0</v>
      </c>
      <c r="F908" s="63">
        <f t="shared" si="713"/>
        <v>0</v>
      </c>
      <c r="G908" s="63">
        <v>0</v>
      </c>
      <c r="H908" s="64">
        <v>0</v>
      </c>
      <c r="I908" s="79">
        <f t="shared" ref="I908:I922" si="715">J908+K908</f>
        <v>0</v>
      </c>
      <c r="J908" s="4">
        <f t="shared" si="708"/>
        <v>0</v>
      </c>
      <c r="K908" s="4">
        <f t="shared" si="714"/>
        <v>0</v>
      </c>
      <c r="L908" s="65" t="e">
        <f t="shared" si="710"/>
        <v>#DIV/0!</v>
      </c>
      <c r="M908" s="153">
        <v>4.6184000000000003</v>
      </c>
      <c r="N908" s="67">
        <f t="shared" si="711"/>
        <v>0</v>
      </c>
      <c r="O908" s="67">
        <f t="shared" ref="O908:O913" si="716">M908*J908</f>
        <v>0</v>
      </c>
      <c r="P908" s="1104"/>
    </row>
    <row r="909" spans="2:16" x14ac:dyDescent="0.25">
      <c r="B909" s="1099"/>
      <c r="C909" s="1102"/>
      <c r="D909" s="61" t="s">
        <v>124</v>
      </c>
      <c r="E909" s="62">
        <v>0</v>
      </c>
      <c r="F909" s="63">
        <f t="shared" si="713"/>
        <v>30800</v>
      </c>
      <c r="G909" s="63">
        <v>30500</v>
      </c>
      <c r="H909" s="64">
        <v>300</v>
      </c>
      <c r="I909" s="79">
        <f t="shared" si="715"/>
        <v>281684</v>
      </c>
      <c r="J909" s="4">
        <f t="shared" si="708"/>
        <v>274275</v>
      </c>
      <c r="K909" s="4">
        <f t="shared" si="714"/>
        <v>7409</v>
      </c>
      <c r="L909" s="65" t="e">
        <f t="shared" si="710"/>
        <v>#DIV/0!</v>
      </c>
      <c r="M909" s="153">
        <v>4.7636000000000003</v>
      </c>
      <c r="N909" s="67">
        <f t="shared" si="711"/>
        <v>145289.80000000002</v>
      </c>
      <c r="O909" s="67">
        <f t="shared" si="716"/>
        <v>1306536.3900000001</v>
      </c>
      <c r="P909" s="1104"/>
    </row>
    <row r="910" spans="2:16" x14ac:dyDescent="0.25">
      <c r="B910" s="1099"/>
      <c r="C910" s="1102"/>
      <c r="D910" s="61" t="s">
        <v>83</v>
      </c>
      <c r="E910" s="62">
        <v>0</v>
      </c>
      <c r="F910" s="63">
        <f t="shared" si="713"/>
        <v>0</v>
      </c>
      <c r="G910" s="63">
        <v>0</v>
      </c>
      <c r="H910" s="64">
        <v>0</v>
      </c>
      <c r="I910" s="79">
        <f t="shared" si="715"/>
        <v>0</v>
      </c>
      <c r="J910" s="4">
        <f t="shared" si="708"/>
        <v>0</v>
      </c>
      <c r="K910" s="4">
        <f t="shared" si="714"/>
        <v>0</v>
      </c>
      <c r="L910" s="65" t="e">
        <f t="shared" si="710"/>
        <v>#DIV/0!</v>
      </c>
      <c r="M910" s="66">
        <v>4.8738000000000001</v>
      </c>
      <c r="N910" s="67">
        <f t="shared" si="711"/>
        <v>0</v>
      </c>
      <c r="O910" s="67">
        <f t="shared" si="716"/>
        <v>0</v>
      </c>
      <c r="P910" s="1104"/>
    </row>
    <row r="911" spans="2:16" x14ac:dyDescent="0.25">
      <c r="B911" s="1099"/>
      <c r="C911" s="208" t="s">
        <v>128</v>
      </c>
      <c r="D911" s="61" t="s">
        <v>124</v>
      </c>
      <c r="E911" s="62"/>
      <c r="F911" s="63">
        <f t="shared" si="713"/>
        <v>0</v>
      </c>
      <c r="G911" s="63">
        <v>0</v>
      </c>
      <c r="H911" s="64">
        <v>0</v>
      </c>
      <c r="I911" s="79">
        <f t="shared" si="715"/>
        <v>0</v>
      </c>
      <c r="J911" s="4">
        <f t="shared" si="708"/>
        <v>0</v>
      </c>
      <c r="K911" s="4">
        <f t="shared" si="714"/>
        <v>0</v>
      </c>
      <c r="L911" s="65"/>
      <c r="M911" s="66">
        <v>4.8738000000000001</v>
      </c>
      <c r="N911" s="67">
        <f t="shared" si="711"/>
        <v>0</v>
      </c>
      <c r="O911" s="67">
        <f t="shared" si="716"/>
        <v>0</v>
      </c>
      <c r="P911" s="1104"/>
    </row>
    <row r="912" spans="2:16" x14ac:dyDescent="0.25">
      <c r="B912" s="1099"/>
      <c r="C912" s="1102" t="s">
        <v>84</v>
      </c>
      <c r="D912" s="61" t="s">
        <v>77</v>
      </c>
      <c r="E912" s="62">
        <v>0</v>
      </c>
      <c r="F912" s="63">
        <f t="shared" si="713"/>
        <v>0</v>
      </c>
      <c r="G912" s="63">
        <v>0</v>
      </c>
      <c r="H912" s="64">
        <v>0</v>
      </c>
      <c r="I912" s="79">
        <f t="shared" si="715"/>
        <v>197600</v>
      </c>
      <c r="J912" s="4">
        <f t="shared" si="708"/>
        <v>194950</v>
      </c>
      <c r="K912" s="4">
        <f t="shared" si="714"/>
        <v>2650</v>
      </c>
      <c r="L912" s="65" t="e">
        <f t="shared" ref="L912:L922" si="717">+J912/E912</f>
        <v>#DIV/0!</v>
      </c>
      <c r="M912" s="66">
        <v>4.9344999999999999</v>
      </c>
      <c r="N912" s="67">
        <f t="shared" si="711"/>
        <v>0</v>
      </c>
      <c r="O912" s="67">
        <f t="shared" si="716"/>
        <v>961980.77500000002</v>
      </c>
      <c r="P912" s="1104"/>
    </row>
    <row r="913" spans="2:16" x14ac:dyDescent="0.25">
      <c r="B913" s="1099"/>
      <c r="C913" s="1102"/>
      <c r="D913" s="61" t="s">
        <v>135</v>
      </c>
      <c r="E913" s="62"/>
      <c r="F913" s="63">
        <f t="shared" si="713"/>
        <v>0</v>
      </c>
      <c r="G913" s="63">
        <v>0</v>
      </c>
      <c r="H913" s="64">
        <v>0</v>
      </c>
      <c r="I913" s="79">
        <f t="shared" si="715"/>
        <v>43282</v>
      </c>
      <c r="J913" s="4">
        <f t="shared" si="708"/>
        <v>40500</v>
      </c>
      <c r="K913" s="4">
        <f t="shared" si="714"/>
        <v>2782</v>
      </c>
      <c r="L913" s="65" t="e">
        <f t="shared" si="717"/>
        <v>#DIV/0!</v>
      </c>
      <c r="M913" s="66">
        <v>4.9344999999999999</v>
      </c>
      <c r="N913" s="67">
        <f t="shared" si="711"/>
        <v>0</v>
      </c>
      <c r="O913" s="67">
        <f t="shared" si="716"/>
        <v>199847.25</v>
      </c>
      <c r="P913" s="1104"/>
    </row>
    <row r="914" spans="2:16" x14ac:dyDescent="0.25">
      <c r="B914" s="1099"/>
      <c r="C914" s="1102"/>
      <c r="D914" s="61" t="s">
        <v>129</v>
      </c>
      <c r="E914" s="62">
        <v>0</v>
      </c>
      <c r="F914" s="63">
        <f t="shared" si="713"/>
        <v>0</v>
      </c>
      <c r="G914" s="155">
        <v>0</v>
      </c>
      <c r="H914" s="156">
        <v>0</v>
      </c>
      <c r="I914" s="157">
        <f t="shared" si="715"/>
        <v>0</v>
      </c>
      <c r="J914" s="4">
        <f t="shared" si="708"/>
        <v>0</v>
      </c>
      <c r="K914" s="4">
        <f t="shared" si="714"/>
        <v>0</v>
      </c>
      <c r="L914" s="158" t="e">
        <f t="shared" si="717"/>
        <v>#DIV/0!</v>
      </c>
      <c r="M914" s="66">
        <v>4.9344999999999999</v>
      </c>
      <c r="N914" s="159">
        <f t="shared" si="711"/>
        <v>0</v>
      </c>
      <c r="O914" s="67">
        <f>M914*J914</f>
        <v>0</v>
      </c>
      <c r="P914" s="1104"/>
    </row>
    <row r="915" spans="2:16" x14ac:dyDescent="0.25">
      <c r="B915" s="1099"/>
      <c r="C915" s="1102" t="s">
        <v>85</v>
      </c>
      <c r="D915" s="61" t="s">
        <v>77</v>
      </c>
      <c r="E915" s="62">
        <v>0</v>
      </c>
      <c r="F915" s="63">
        <f t="shared" si="713"/>
        <v>0</v>
      </c>
      <c r="G915" s="63">
        <v>0</v>
      </c>
      <c r="H915" s="64">
        <v>0</v>
      </c>
      <c r="I915" s="79">
        <f t="shared" si="715"/>
        <v>138276</v>
      </c>
      <c r="J915" s="4">
        <f t="shared" si="708"/>
        <v>130950</v>
      </c>
      <c r="K915" s="4">
        <f t="shared" si="714"/>
        <v>7326</v>
      </c>
      <c r="L915" s="65" t="e">
        <f t="shared" si="717"/>
        <v>#DIV/0!</v>
      </c>
      <c r="M915" s="148">
        <v>5.5069999999999997</v>
      </c>
      <c r="N915" s="67">
        <f t="shared" si="711"/>
        <v>0</v>
      </c>
      <c r="O915" s="67">
        <f>M915*J915</f>
        <v>721141.64999999991</v>
      </c>
      <c r="P915" s="1104"/>
    </row>
    <row r="916" spans="2:16" x14ac:dyDescent="0.25">
      <c r="B916" s="1099"/>
      <c r="C916" s="1102"/>
      <c r="D916" s="61" t="s">
        <v>112</v>
      </c>
      <c r="E916" s="62">
        <v>0</v>
      </c>
      <c r="F916" s="63">
        <f t="shared" si="713"/>
        <v>9429</v>
      </c>
      <c r="G916" s="63">
        <v>9000</v>
      </c>
      <c r="H916" s="64">
        <v>429</v>
      </c>
      <c r="I916" s="79">
        <f t="shared" si="715"/>
        <v>84882</v>
      </c>
      <c r="J916" s="4">
        <f t="shared" si="708"/>
        <v>81900</v>
      </c>
      <c r="K916" s="4">
        <f t="shared" si="714"/>
        <v>2982</v>
      </c>
      <c r="L916" s="65" t="e">
        <f t="shared" si="717"/>
        <v>#DIV/0!</v>
      </c>
      <c r="M916" s="147">
        <v>5.6550000000000002</v>
      </c>
      <c r="N916" s="67">
        <f t="shared" si="711"/>
        <v>50895</v>
      </c>
      <c r="O916" s="67">
        <f>M916*J916</f>
        <v>463144.5</v>
      </c>
      <c r="P916" s="1104"/>
    </row>
    <row r="917" spans="2:16" x14ac:dyDescent="0.25">
      <c r="B917" s="1099"/>
      <c r="C917" s="1102"/>
      <c r="D917" s="61" t="s">
        <v>118</v>
      </c>
      <c r="E917" s="62">
        <v>0</v>
      </c>
      <c r="F917" s="63">
        <f t="shared" si="713"/>
        <v>0</v>
      </c>
      <c r="G917" s="63">
        <v>0</v>
      </c>
      <c r="H917" s="64">
        <v>0</v>
      </c>
      <c r="I917" s="79">
        <f t="shared" si="715"/>
        <v>0</v>
      </c>
      <c r="J917" s="4">
        <f t="shared" si="708"/>
        <v>0</v>
      </c>
      <c r="K917" s="4">
        <f t="shared" si="714"/>
        <v>0</v>
      </c>
      <c r="L917" s="65" t="e">
        <f t="shared" si="717"/>
        <v>#DIV/0!</v>
      </c>
      <c r="M917" s="152">
        <v>5.6550000000000002</v>
      </c>
      <c r="N917" s="67">
        <f t="shared" si="711"/>
        <v>0</v>
      </c>
      <c r="O917" s="67">
        <f>M917*J917</f>
        <v>0</v>
      </c>
      <c r="P917" s="1104"/>
    </row>
    <row r="918" spans="2:16" x14ac:dyDescent="0.25">
      <c r="B918" s="1099"/>
      <c r="C918" s="1102"/>
      <c r="D918" s="61" t="s">
        <v>121</v>
      </c>
      <c r="E918" s="62">
        <v>0</v>
      </c>
      <c r="F918" s="63">
        <f t="shared" si="713"/>
        <v>0</v>
      </c>
      <c r="G918" s="63">
        <v>0</v>
      </c>
      <c r="H918" s="64">
        <v>0</v>
      </c>
      <c r="I918" s="79">
        <f t="shared" si="715"/>
        <v>28324</v>
      </c>
      <c r="J918" s="4">
        <f t="shared" si="708"/>
        <v>26710</v>
      </c>
      <c r="K918" s="4">
        <f t="shared" si="714"/>
        <v>1614</v>
      </c>
      <c r="L918" s="65" t="e">
        <f t="shared" si="717"/>
        <v>#DIV/0!</v>
      </c>
      <c r="M918" s="66">
        <v>5.7885299999999997</v>
      </c>
      <c r="N918" s="67">
        <f>+M918*G918</f>
        <v>0</v>
      </c>
      <c r="O918" s="67">
        <f>M918*J918</f>
        <v>154611.63629999998</v>
      </c>
      <c r="P918" s="1104"/>
    </row>
    <row r="919" spans="2:16" x14ac:dyDescent="0.25">
      <c r="B919" s="1099"/>
      <c r="C919" s="1102"/>
      <c r="D919" s="61" t="s">
        <v>136</v>
      </c>
      <c r="E919" s="62">
        <v>0</v>
      </c>
      <c r="F919" s="63">
        <f t="shared" si="713"/>
        <v>0</v>
      </c>
      <c r="G919" s="63">
        <v>0</v>
      </c>
      <c r="H919" s="64">
        <v>0</v>
      </c>
      <c r="I919" s="79">
        <f t="shared" si="715"/>
        <v>0</v>
      </c>
      <c r="J919" s="4">
        <f t="shared" si="708"/>
        <v>0</v>
      </c>
      <c r="K919" s="4">
        <f t="shared" si="714"/>
        <v>0</v>
      </c>
      <c r="L919" s="65" t="e">
        <f t="shared" si="717"/>
        <v>#DIV/0!</v>
      </c>
      <c r="M919" s="152">
        <v>5.6550000000000002</v>
      </c>
      <c r="N919" s="67">
        <f t="shared" ref="N919:N921" si="718">+M919*G919</f>
        <v>0</v>
      </c>
      <c r="O919" s="67">
        <f t="shared" ref="O919:O922" si="719">M919*J919</f>
        <v>0</v>
      </c>
      <c r="P919" s="1104"/>
    </row>
    <row r="920" spans="2:16" x14ac:dyDescent="0.25">
      <c r="B920" s="1099"/>
      <c r="C920" s="208" t="s">
        <v>86</v>
      </c>
      <c r="D920" s="61" t="s">
        <v>77</v>
      </c>
      <c r="E920" s="62">
        <v>0</v>
      </c>
      <c r="F920" s="63">
        <f t="shared" si="713"/>
        <v>0</v>
      </c>
      <c r="G920" s="63">
        <v>0</v>
      </c>
      <c r="H920" s="64">
        <v>0</v>
      </c>
      <c r="I920" s="79">
        <f t="shared" si="715"/>
        <v>0</v>
      </c>
      <c r="J920" s="4">
        <f t="shared" si="708"/>
        <v>0</v>
      </c>
      <c r="K920" s="4">
        <f t="shared" si="714"/>
        <v>0</v>
      </c>
      <c r="L920" s="65" t="e">
        <f t="shared" si="717"/>
        <v>#DIV/0!</v>
      </c>
      <c r="M920" s="66">
        <v>3.2963</v>
      </c>
      <c r="N920" s="67">
        <f t="shared" si="718"/>
        <v>0</v>
      </c>
      <c r="O920" s="67">
        <f t="shared" si="719"/>
        <v>0</v>
      </c>
      <c r="P920" s="1104"/>
    </row>
    <row r="921" spans="2:16" x14ac:dyDescent="0.25">
      <c r="B921" s="1099"/>
      <c r="C921" s="208" t="s">
        <v>87</v>
      </c>
      <c r="D921" s="61" t="s">
        <v>77</v>
      </c>
      <c r="E921" s="62">
        <v>0</v>
      </c>
      <c r="F921" s="63">
        <f t="shared" si="713"/>
        <v>0</v>
      </c>
      <c r="G921" s="63">
        <v>0</v>
      </c>
      <c r="H921" s="64">
        <v>0</v>
      </c>
      <c r="I921" s="79">
        <f t="shared" si="715"/>
        <v>0</v>
      </c>
      <c r="J921" s="4">
        <f t="shared" si="708"/>
        <v>0</v>
      </c>
      <c r="K921" s="4">
        <f t="shared" si="714"/>
        <v>0</v>
      </c>
      <c r="L921" s="65" t="e">
        <f t="shared" si="717"/>
        <v>#DIV/0!</v>
      </c>
      <c r="M921" s="66">
        <v>3.2963</v>
      </c>
      <c r="N921" s="67">
        <f t="shared" si="718"/>
        <v>0</v>
      </c>
      <c r="O921" s="67">
        <f t="shared" si="719"/>
        <v>0</v>
      </c>
      <c r="P921" s="1104"/>
    </row>
    <row r="922" spans="2:16" ht="15.75" thickBot="1" x14ac:dyDescent="0.3">
      <c r="B922" s="1099"/>
      <c r="C922" s="68" t="s">
        <v>88</v>
      </c>
      <c r="D922" s="69" t="s">
        <v>89</v>
      </c>
      <c r="E922" s="70">
        <v>0</v>
      </c>
      <c r="F922" s="71">
        <f t="shared" si="713"/>
        <v>0</v>
      </c>
      <c r="G922" s="71">
        <v>0</v>
      </c>
      <c r="H922" s="72">
        <v>0</v>
      </c>
      <c r="I922" s="80">
        <f t="shared" si="715"/>
        <v>65030</v>
      </c>
      <c r="J922" s="4">
        <f t="shared" si="708"/>
        <v>65000</v>
      </c>
      <c r="K922" s="4">
        <f t="shared" si="714"/>
        <v>30</v>
      </c>
      <c r="L922" s="65" t="e">
        <f t="shared" si="717"/>
        <v>#DIV/0!</v>
      </c>
      <c r="M922" s="73">
        <v>2.3201000000000001</v>
      </c>
      <c r="N922" s="74">
        <f t="shared" ref="N922" si="720">M922*G922</f>
        <v>0</v>
      </c>
      <c r="O922" s="74">
        <f t="shared" si="719"/>
        <v>150806.5</v>
      </c>
      <c r="P922" s="1105"/>
    </row>
    <row r="923" spans="2:16" ht="15.75" thickBot="1" x14ac:dyDescent="0.3">
      <c r="B923" s="1100"/>
      <c r="C923" s="1108" t="s">
        <v>99</v>
      </c>
      <c r="D923" s="1109"/>
      <c r="E923" s="1109"/>
      <c r="F923" s="1109"/>
      <c r="G923" s="1109"/>
      <c r="H923" s="1110"/>
      <c r="I923" s="116">
        <f>J923+K923</f>
        <v>985205</v>
      </c>
      <c r="J923" s="115">
        <f>SUM(J895:J922)</f>
        <v>957505</v>
      </c>
      <c r="K923" s="115">
        <f>SUM(K895:K922)</f>
        <v>27700</v>
      </c>
      <c r="L923" s="114"/>
      <c r="M923" s="113"/>
      <c r="N923" s="114"/>
      <c r="O923" s="97">
        <f>SUM(O895:O922)</f>
        <v>8798940.0693000015</v>
      </c>
      <c r="P923" s="96"/>
    </row>
    <row r="924" spans="2:16" ht="15.75" thickBot="1" x14ac:dyDescent="0.3">
      <c r="B924" s="100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2"/>
    </row>
    <row r="925" spans="2:16" ht="15.75" thickBot="1" x14ac:dyDescent="0.3">
      <c r="B925" s="1093" t="s">
        <v>100</v>
      </c>
      <c r="C925" s="1094"/>
      <c r="D925" s="1094"/>
      <c r="E925" s="1094"/>
      <c r="F925" s="1094"/>
      <c r="G925" s="1094"/>
      <c r="H925" s="1094"/>
      <c r="I925" s="1094"/>
      <c r="J925" s="1094"/>
      <c r="K925" s="1094"/>
      <c r="L925" s="1094"/>
      <c r="M925" s="1094"/>
      <c r="N925" s="1095"/>
      <c r="O925" s="103">
        <f>+O923+O894+O879</f>
        <v>19359763.7313</v>
      </c>
      <c r="P925" s="96"/>
    </row>
    <row r="926" spans="2:16" ht="15.75" thickBot="1" x14ac:dyDescent="0.3"/>
    <row r="927" spans="2:16" x14ac:dyDescent="0.25">
      <c r="B927" s="1127" t="s">
        <v>1</v>
      </c>
      <c r="C927" s="1129" t="s">
        <v>2</v>
      </c>
      <c r="D927" s="1132" t="s">
        <v>3</v>
      </c>
      <c r="E927" s="1135" t="s">
        <v>4</v>
      </c>
      <c r="F927" s="1136"/>
      <c r="G927" s="1136"/>
      <c r="H927" s="1136"/>
      <c r="I927" s="1136"/>
      <c r="J927" s="1136"/>
      <c r="K927" s="1136"/>
      <c r="L927" s="1137"/>
      <c r="M927" s="1138" t="s">
        <v>5</v>
      </c>
      <c r="N927" s="1139"/>
      <c r="O927" s="1140"/>
      <c r="P927" s="1132" t="s">
        <v>6</v>
      </c>
    </row>
    <row r="928" spans="2:16" x14ac:dyDescent="0.25">
      <c r="B928" s="1128"/>
      <c r="C928" s="1130"/>
      <c r="D928" s="1133"/>
      <c r="E928" s="1141" t="s">
        <v>7</v>
      </c>
      <c r="F928" s="1143" t="s">
        <v>154</v>
      </c>
      <c r="G928" s="1143"/>
      <c r="H928" s="1144"/>
      <c r="I928" s="1145" t="s">
        <v>8</v>
      </c>
      <c r="J928" s="1143"/>
      <c r="K928" s="1143"/>
      <c r="L928" s="1144" t="s">
        <v>9</v>
      </c>
      <c r="M928" s="1147" t="s">
        <v>10</v>
      </c>
      <c r="N928" s="1149" t="s">
        <v>11</v>
      </c>
      <c r="O928" s="1151" t="s">
        <v>12</v>
      </c>
      <c r="P928" s="1133"/>
    </row>
    <row r="929" spans="2:16" ht="15.75" thickBot="1" x14ac:dyDescent="0.3">
      <c r="B929" s="1128"/>
      <c r="C929" s="1131"/>
      <c r="D929" s="1134"/>
      <c r="E929" s="1142"/>
      <c r="F929" s="2" t="s">
        <v>13</v>
      </c>
      <c r="G929" s="2" t="s">
        <v>14</v>
      </c>
      <c r="H929" s="215" t="s">
        <v>15</v>
      </c>
      <c r="I929" s="142" t="s">
        <v>13</v>
      </c>
      <c r="J929" s="2" t="s">
        <v>14</v>
      </c>
      <c r="K929" s="2" t="s">
        <v>15</v>
      </c>
      <c r="L929" s="1146"/>
      <c r="M929" s="1148"/>
      <c r="N929" s="1150"/>
      <c r="O929" s="1152"/>
      <c r="P929" s="1134"/>
    </row>
    <row r="930" spans="2:16" x14ac:dyDescent="0.25">
      <c r="B930" s="1111" t="s">
        <v>53</v>
      </c>
      <c r="C930" s="29"/>
      <c r="D930" s="117" t="s">
        <v>143</v>
      </c>
      <c r="E930" s="98">
        <v>0</v>
      </c>
      <c r="F930" s="4">
        <f>+G930+H930</f>
        <v>62640</v>
      </c>
      <c r="G930" s="4">
        <v>61320</v>
      </c>
      <c r="H930" s="8">
        <v>1320</v>
      </c>
      <c r="I930" s="6">
        <f>J930+K930</f>
        <v>438846</v>
      </c>
      <c r="J930" s="4">
        <f>G930+J865</f>
        <v>430920</v>
      </c>
      <c r="K930" s="4">
        <f>H930+K865</f>
        <v>7926</v>
      </c>
      <c r="L930" s="33" t="e">
        <f>+J930/E930</f>
        <v>#DIV/0!</v>
      </c>
      <c r="M930" s="104">
        <v>1.3652</v>
      </c>
      <c r="N930" s="31">
        <f>G930*M930</f>
        <v>83714.063999999998</v>
      </c>
      <c r="O930" s="86">
        <f>M930*J930</f>
        <v>588291.98399999994</v>
      </c>
      <c r="P930" s="1113"/>
    </row>
    <row r="931" spans="2:16" x14ac:dyDescent="0.25">
      <c r="B931" s="1112"/>
      <c r="C931" s="32"/>
      <c r="D931" s="118" t="s">
        <v>109</v>
      </c>
      <c r="E931" s="99">
        <v>0</v>
      </c>
      <c r="F931" s="9">
        <f>+G931+H931</f>
        <v>0</v>
      </c>
      <c r="G931" s="9">
        <v>0</v>
      </c>
      <c r="H931" s="10">
        <v>0</v>
      </c>
      <c r="I931" s="6">
        <f>J931+K931</f>
        <v>0</v>
      </c>
      <c r="J931" s="4">
        <f>+G931+J866</f>
        <v>0</v>
      </c>
      <c r="K931" s="4">
        <f>+H931+K866</f>
        <v>0</v>
      </c>
      <c r="L931" s="33"/>
      <c r="M931" s="105">
        <v>5.9917999999999996</v>
      </c>
      <c r="N931" s="34">
        <f>M931*G931</f>
        <v>0</v>
      </c>
      <c r="O931" s="87">
        <f>M931*J931</f>
        <v>0</v>
      </c>
      <c r="P931" s="1114"/>
    </row>
    <row r="932" spans="2:16" x14ac:dyDescent="0.25">
      <c r="B932" s="1112"/>
      <c r="C932" s="35"/>
      <c r="D932" s="119" t="s">
        <v>55</v>
      </c>
      <c r="E932" s="99">
        <v>0</v>
      </c>
      <c r="F932" s="9">
        <f t="shared" ref="F932:F936" si="721">+G932+H932</f>
        <v>173656</v>
      </c>
      <c r="G932" s="9">
        <v>172500</v>
      </c>
      <c r="H932" s="10">
        <v>1156</v>
      </c>
      <c r="I932" s="6">
        <f t="shared" ref="I932:I936" si="722">J932+K932</f>
        <v>2841551</v>
      </c>
      <c r="J932" s="4">
        <f t="shared" ref="J932:J936" si="723">+G932+J867</f>
        <v>2820750</v>
      </c>
      <c r="K932" s="4">
        <f t="shared" ref="K932:K936" si="724">+H932+K867</f>
        <v>20801</v>
      </c>
      <c r="L932" s="33" t="e">
        <f t="shared" ref="L932" si="725">+J932/E932</f>
        <v>#DIV/0!</v>
      </c>
      <c r="M932" s="106">
        <v>2.3807999999999998</v>
      </c>
      <c r="N932" s="36">
        <f>G932*M932</f>
        <v>410687.99999999994</v>
      </c>
      <c r="O932" s="88">
        <f>M932*J932</f>
        <v>6715641.5999999996</v>
      </c>
      <c r="P932" s="1114"/>
    </row>
    <row r="933" spans="2:16" x14ac:dyDescent="0.25">
      <c r="B933" s="1112"/>
      <c r="C933" s="35"/>
      <c r="D933" s="119" t="s">
        <v>56</v>
      </c>
      <c r="E933" s="99">
        <v>0</v>
      </c>
      <c r="F933" s="9">
        <f t="shared" si="721"/>
        <v>0</v>
      </c>
      <c r="G933" s="9">
        <v>0</v>
      </c>
      <c r="H933" s="10">
        <v>0</v>
      </c>
      <c r="I933" s="6">
        <f t="shared" si="722"/>
        <v>0</v>
      </c>
      <c r="J933" s="4">
        <f t="shared" si="723"/>
        <v>0</v>
      </c>
      <c r="K933" s="4">
        <f t="shared" si="724"/>
        <v>0</v>
      </c>
      <c r="L933" s="33"/>
      <c r="M933" s="106">
        <v>2.1457999999999999</v>
      </c>
      <c r="N933" s="36">
        <f t="shared" ref="N933:N936" si="726">G933*M933</f>
        <v>0</v>
      </c>
      <c r="O933" s="88">
        <f>M933*J933</f>
        <v>0</v>
      </c>
      <c r="P933" s="1114"/>
    </row>
    <row r="934" spans="2:16" x14ac:dyDescent="0.25">
      <c r="B934" s="1112"/>
      <c r="C934" s="35"/>
      <c r="D934" s="119" t="s">
        <v>106</v>
      </c>
      <c r="E934" s="99">
        <v>0</v>
      </c>
      <c r="F934" s="9">
        <f t="shared" si="721"/>
        <v>0</v>
      </c>
      <c r="G934" s="9">
        <v>0</v>
      </c>
      <c r="H934" s="10">
        <v>0</v>
      </c>
      <c r="I934" s="6">
        <f t="shared" si="722"/>
        <v>53280</v>
      </c>
      <c r="J934" s="4">
        <f t="shared" si="723"/>
        <v>42000</v>
      </c>
      <c r="K934" s="4">
        <f t="shared" si="724"/>
        <v>11280</v>
      </c>
      <c r="L934" s="33" t="e">
        <f t="shared" ref="L934:L935" si="727">+J934/E934</f>
        <v>#DIV/0!</v>
      </c>
      <c r="M934" s="143">
        <v>4.0426000000000002</v>
      </c>
      <c r="N934" s="36">
        <f t="shared" si="726"/>
        <v>0</v>
      </c>
      <c r="O934" s="88">
        <f>M934*J934</f>
        <v>169789.2</v>
      </c>
      <c r="P934" s="1114"/>
    </row>
    <row r="935" spans="2:16" x14ac:dyDescent="0.25">
      <c r="B935" s="1112"/>
      <c r="C935" s="35"/>
      <c r="D935" s="119" t="s">
        <v>110</v>
      </c>
      <c r="E935" s="99">
        <v>0</v>
      </c>
      <c r="F935" s="9">
        <f t="shared" si="721"/>
        <v>0</v>
      </c>
      <c r="G935" s="9">
        <v>0</v>
      </c>
      <c r="H935" s="10">
        <v>0</v>
      </c>
      <c r="I935" s="6">
        <f t="shared" si="722"/>
        <v>0</v>
      </c>
      <c r="J935" s="4">
        <f t="shared" si="723"/>
        <v>0</v>
      </c>
      <c r="K935" s="4">
        <f t="shared" si="724"/>
        <v>0</v>
      </c>
      <c r="L935" s="33" t="e">
        <f t="shared" si="727"/>
        <v>#DIV/0!</v>
      </c>
      <c r="M935" s="143">
        <v>3.8715000000000002</v>
      </c>
      <c r="N935" s="36">
        <f t="shared" si="726"/>
        <v>0</v>
      </c>
      <c r="O935" s="88">
        <f t="shared" ref="O935:O936" si="728">M935*J935</f>
        <v>0</v>
      </c>
      <c r="P935" s="1114"/>
    </row>
    <row r="936" spans="2:16" ht="15.75" thickBot="1" x14ac:dyDescent="0.3">
      <c r="B936" s="1112"/>
      <c r="C936" s="82"/>
      <c r="D936" s="120" t="s">
        <v>57</v>
      </c>
      <c r="E936" s="108">
        <v>0</v>
      </c>
      <c r="F936" s="12">
        <f t="shared" si="721"/>
        <v>0</v>
      </c>
      <c r="G936" s="12">
        <v>0</v>
      </c>
      <c r="H936" s="13">
        <v>0</v>
      </c>
      <c r="I936" s="21">
        <f t="shared" si="722"/>
        <v>0</v>
      </c>
      <c r="J936" s="4">
        <f t="shared" si="723"/>
        <v>0</v>
      </c>
      <c r="K936" s="4">
        <f t="shared" si="724"/>
        <v>0</v>
      </c>
      <c r="L936" s="81"/>
      <c r="M936" s="127">
        <v>12.284700000000001</v>
      </c>
      <c r="N936" s="36">
        <f t="shared" si="726"/>
        <v>0</v>
      </c>
      <c r="O936" s="128">
        <f t="shared" si="728"/>
        <v>0</v>
      </c>
      <c r="P936" s="1114"/>
    </row>
    <row r="937" spans="2:16" ht="15.75" thickBot="1" x14ac:dyDescent="0.3">
      <c r="B937" s="1112"/>
      <c r="C937" s="1117" t="s">
        <v>104</v>
      </c>
      <c r="D937" s="1118"/>
      <c r="E937" s="129"/>
      <c r="F937" s="130">
        <f>SUM(F930:F936)</f>
        <v>236296</v>
      </c>
      <c r="G937" s="130">
        <f>SUM(G930:G936)</f>
        <v>233820</v>
      </c>
      <c r="H937" s="131">
        <f>SUM(H930:H936)</f>
        <v>2476</v>
      </c>
      <c r="I937" s="132">
        <f>+J937+K937</f>
        <v>3333677</v>
      </c>
      <c r="J937" s="133">
        <f>SUM(J930:J936)</f>
        <v>3293670</v>
      </c>
      <c r="K937" s="133">
        <f>SUM(K930:K936)</f>
        <v>40007</v>
      </c>
      <c r="L937" s="134"/>
      <c r="M937" s="135"/>
      <c r="N937" s="136"/>
      <c r="O937" s="137">
        <f>SUM(O930:O936)</f>
        <v>7473722.784</v>
      </c>
      <c r="P937" s="1115"/>
    </row>
    <row r="938" spans="2:16" x14ac:dyDescent="0.25">
      <c r="B938" s="1112"/>
      <c r="C938" s="32"/>
      <c r="D938" s="118" t="s">
        <v>58</v>
      </c>
      <c r="E938" s="98">
        <v>0</v>
      </c>
      <c r="F938" s="4">
        <f t="shared" ref="F938:F941" si="729">+G938+H938</f>
        <v>0</v>
      </c>
      <c r="G938" s="4">
        <v>0</v>
      </c>
      <c r="H938" s="8">
        <v>0</v>
      </c>
      <c r="I938" s="6">
        <f t="shared" ref="I938:I942" si="730">J938+K938</f>
        <v>0</v>
      </c>
      <c r="J938" s="4">
        <f>G938+J873</f>
        <v>0</v>
      </c>
      <c r="K938" s="4">
        <f>H938+K873</f>
        <v>0</v>
      </c>
      <c r="L938" s="33" t="e">
        <f t="shared" ref="L938" si="731">+J938/E938</f>
        <v>#DIV/0!</v>
      </c>
      <c r="M938" s="105">
        <v>12.029500000000001</v>
      </c>
      <c r="N938" s="34">
        <f>M938*G938</f>
        <v>0</v>
      </c>
      <c r="O938" s="87">
        <f t="shared" ref="O938:O940" si="732">M938*J938</f>
        <v>0</v>
      </c>
      <c r="P938" s="1114"/>
    </row>
    <row r="939" spans="2:16" x14ac:dyDescent="0.25">
      <c r="B939" s="1112"/>
      <c r="C939" s="35"/>
      <c r="D939" s="119" t="s">
        <v>59</v>
      </c>
      <c r="E939" s="99">
        <v>0</v>
      </c>
      <c r="F939" s="9">
        <f t="shared" si="729"/>
        <v>0</v>
      </c>
      <c r="G939" s="9">
        <v>0</v>
      </c>
      <c r="H939" s="10">
        <v>0</v>
      </c>
      <c r="I939" s="6">
        <f t="shared" si="730"/>
        <v>0</v>
      </c>
      <c r="J939" s="4">
        <f>G939+J874</f>
        <v>0</v>
      </c>
      <c r="K939" s="4">
        <f>H939+K874</f>
        <v>0</v>
      </c>
      <c r="L939" s="33"/>
      <c r="M939" s="106">
        <v>0</v>
      </c>
      <c r="N939" s="36"/>
      <c r="O939" s="88">
        <f t="shared" si="732"/>
        <v>0</v>
      </c>
      <c r="P939" s="1114"/>
    </row>
    <row r="940" spans="2:16" x14ac:dyDescent="0.25">
      <c r="B940" s="1112"/>
      <c r="C940" s="35"/>
      <c r="D940" s="119" t="s">
        <v>97</v>
      </c>
      <c r="E940" s="99">
        <v>0</v>
      </c>
      <c r="F940" s="9">
        <f t="shared" si="729"/>
        <v>0</v>
      </c>
      <c r="G940" s="9">
        <v>0</v>
      </c>
      <c r="H940" s="10">
        <v>0</v>
      </c>
      <c r="I940" s="6">
        <f t="shared" si="730"/>
        <v>0</v>
      </c>
      <c r="J940" s="4">
        <f t="shared" ref="J940:J942" si="733">G940+J875</f>
        <v>0</v>
      </c>
      <c r="K940" s="4">
        <f t="shared" ref="K940:K942" si="734">H940+K875</f>
        <v>0</v>
      </c>
      <c r="L940" s="33" t="e">
        <f t="shared" ref="L940:L942" si="735">+J940/E940</f>
        <v>#DIV/0!</v>
      </c>
      <c r="M940" s="106">
        <v>19.688600000000001</v>
      </c>
      <c r="N940" s="36">
        <f>M940*G940</f>
        <v>0</v>
      </c>
      <c r="O940" s="88">
        <f t="shared" si="732"/>
        <v>0</v>
      </c>
      <c r="P940" s="1114"/>
    </row>
    <row r="941" spans="2:16" x14ac:dyDescent="0.25">
      <c r="B941" s="1112"/>
      <c r="C941" s="35"/>
      <c r="D941" s="119" t="s">
        <v>61</v>
      </c>
      <c r="E941" s="99">
        <v>0</v>
      </c>
      <c r="F941" s="9">
        <f t="shared" si="729"/>
        <v>0</v>
      </c>
      <c r="G941" s="9">
        <v>0</v>
      </c>
      <c r="H941" s="10">
        <v>0</v>
      </c>
      <c r="I941" s="6">
        <f t="shared" si="730"/>
        <v>60000</v>
      </c>
      <c r="J941" s="4">
        <f t="shared" si="733"/>
        <v>60000</v>
      </c>
      <c r="K941" s="4">
        <f t="shared" si="734"/>
        <v>0</v>
      </c>
      <c r="L941" s="33" t="e">
        <f t="shared" si="735"/>
        <v>#DIV/0!</v>
      </c>
      <c r="M941" s="106">
        <v>1.2824</v>
      </c>
      <c r="N941" s="151">
        <f>M941*G941</f>
        <v>0</v>
      </c>
      <c r="O941" s="88">
        <f>M941*J941</f>
        <v>76944</v>
      </c>
      <c r="P941" s="1114"/>
    </row>
    <row r="942" spans="2:16" ht="15.75" thickBot="1" x14ac:dyDescent="0.3">
      <c r="B942" s="1112"/>
      <c r="C942" s="82"/>
      <c r="D942" s="120" t="s">
        <v>60</v>
      </c>
      <c r="E942" s="108">
        <v>0</v>
      </c>
      <c r="F942" s="12">
        <v>0</v>
      </c>
      <c r="G942" s="12">
        <v>12960</v>
      </c>
      <c r="H942" s="13">
        <v>214</v>
      </c>
      <c r="I942" s="21">
        <f t="shared" si="730"/>
        <v>83142</v>
      </c>
      <c r="J942" s="4">
        <f t="shared" si="733"/>
        <v>82080</v>
      </c>
      <c r="K942" s="4">
        <f t="shared" si="734"/>
        <v>1062</v>
      </c>
      <c r="L942" s="81" t="e">
        <f t="shared" si="735"/>
        <v>#DIV/0!</v>
      </c>
      <c r="M942" s="107">
        <v>18.2316</v>
      </c>
      <c r="N942" s="75"/>
      <c r="O942" s="89">
        <f t="shared" ref="O942" si="736">M942*J942</f>
        <v>1496449.7280000001</v>
      </c>
      <c r="P942" s="1116"/>
    </row>
    <row r="943" spans="2:16" ht="15.75" thickBot="1" x14ac:dyDescent="0.3">
      <c r="B943" s="1096" t="s">
        <v>105</v>
      </c>
      <c r="C943" s="1097"/>
      <c r="D943" s="1097"/>
      <c r="E943" s="124"/>
      <c r="F943" s="125">
        <f>+G943+H943</f>
        <v>13174</v>
      </c>
      <c r="G943" s="125">
        <f>SUM(G938:G942)</f>
        <v>12960</v>
      </c>
      <c r="H943" s="126">
        <f>SUM(H938:H942)</f>
        <v>214</v>
      </c>
      <c r="I943" s="121">
        <f>J943+K943</f>
        <v>143142</v>
      </c>
      <c r="J943" s="122">
        <f>SUM(J938:J942)</f>
        <v>142080</v>
      </c>
      <c r="K943" s="123">
        <f>SUM(K938:K942)</f>
        <v>1062</v>
      </c>
      <c r="L943" s="138"/>
      <c r="M943" s="139"/>
      <c r="N943" s="140"/>
      <c r="O943" s="141">
        <f>SUM(O938:O942)</f>
        <v>1573393.7280000001</v>
      </c>
      <c r="P943" s="213"/>
    </row>
    <row r="944" spans="2:16" ht="15.75" thickBot="1" x14ac:dyDescent="0.3">
      <c r="B944" s="1096" t="s">
        <v>98</v>
      </c>
      <c r="C944" s="1097"/>
      <c r="D944" s="1097"/>
      <c r="E944" s="1119"/>
      <c r="F944" s="1119"/>
      <c r="G944" s="1119"/>
      <c r="H944" s="1119"/>
      <c r="I944" s="1097"/>
      <c r="J944" s="1097"/>
      <c r="K944" s="1097"/>
      <c r="L944" s="1097"/>
      <c r="M944" s="1097"/>
      <c r="N944" s="1120"/>
      <c r="O944" s="83">
        <f>O937+O943</f>
        <v>9047116.5120000001</v>
      </c>
      <c r="P944" s="213"/>
    </row>
    <row r="945" spans="2:16" x14ac:dyDescent="0.25">
      <c r="B945" s="1111" t="s">
        <v>62</v>
      </c>
      <c r="C945" s="37" t="s">
        <v>63</v>
      </c>
      <c r="D945" s="28" t="s">
        <v>64</v>
      </c>
      <c r="E945" s="38">
        <v>0</v>
      </c>
      <c r="F945" s="14">
        <f>+G945+H945</f>
        <v>0</v>
      </c>
      <c r="G945" s="14">
        <v>0</v>
      </c>
      <c r="H945" s="5">
        <v>0</v>
      </c>
      <c r="I945" s="17">
        <f t="shared" ref="I945:I951" si="737">J945+K945</f>
        <v>0</v>
      </c>
      <c r="J945" s="4">
        <f>G945+J880</f>
        <v>0</v>
      </c>
      <c r="K945" s="4">
        <f>H945+K880</f>
        <v>0</v>
      </c>
      <c r="L945" s="30" t="e">
        <f>+J945/E945</f>
        <v>#DIV/0!</v>
      </c>
      <c r="M945" s="146">
        <v>2.2141000000000002</v>
      </c>
      <c r="N945" s="15">
        <f>+M945*G945</f>
        <v>0</v>
      </c>
      <c r="O945" s="90">
        <f>+M945*J945</f>
        <v>0</v>
      </c>
      <c r="P945" s="1122"/>
    </row>
    <row r="946" spans="2:16" x14ac:dyDescent="0.25">
      <c r="B946" s="1112"/>
      <c r="C946" s="39"/>
      <c r="D946" s="22" t="s">
        <v>65</v>
      </c>
      <c r="E946" s="3">
        <v>0</v>
      </c>
      <c r="F946" s="9">
        <f t="shared" ref="F946:F951" si="738">+G946+H946</f>
        <v>0</v>
      </c>
      <c r="G946" s="4">
        <v>0</v>
      </c>
      <c r="H946" s="8">
        <v>0</v>
      </c>
      <c r="I946" s="6">
        <f t="shared" si="737"/>
        <v>0</v>
      </c>
      <c r="J946" s="4">
        <f>+G946+J881</f>
        <v>0</v>
      </c>
      <c r="K946" s="4">
        <f>+H946+K881</f>
        <v>0</v>
      </c>
      <c r="L946" s="40" t="e">
        <f t="shared" ref="L946:L947" si="739">+J946/E946</f>
        <v>#DIV/0!</v>
      </c>
      <c r="M946" s="145">
        <v>2.4565999999999999</v>
      </c>
      <c r="N946" s="11">
        <f t="shared" ref="N946:N948" si="740">+M946*G946</f>
        <v>0</v>
      </c>
      <c r="O946" s="91">
        <f t="shared" ref="O946:O948" si="741">+M946*J946</f>
        <v>0</v>
      </c>
      <c r="P946" s="1123"/>
    </row>
    <row r="947" spans="2:16" x14ac:dyDescent="0.25">
      <c r="B947" s="1112"/>
      <c r="C947" s="39"/>
      <c r="D947" s="23" t="s">
        <v>126</v>
      </c>
      <c r="E947" s="3">
        <v>0</v>
      </c>
      <c r="F947" s="9">
        <f t="shared" si="738"/>
        <v>0</v>
      </c>
      <c r="G947" s="4">
        <v>0</v>
      </c>
      <c r="H947" s="8">
        <v>0</v>
      </c>
      <c r="I947" s="6">
        <f t="shared" si="737"/>
        <v>0</v>
      </c>
      <c r="J947" s="4">
        <f t="shared" ref="J947:J948" si="742">+G947+J882</f>
        <v>0</v>
      </c>
      <c r="K947" s="4">
        <f t="shared" ref="K947:K951" si="743">+H947+K882</f>
        <v>0</v>
      </c>
      <c r="L947" s="40" t="e">
        <f t="shared" si="739"/>
        <v>#DIV/0!</v>
      </c>
      <c r="M947" s="145">
        <v>2.2907000000000002</v>
      </c>
      <c r="N947" s="11">
        <f t="shared" si="740"/>
        <v>0</v>
      </c>
      <c r="O947" s="91">
        <f t="shared" si="741"/>
        <v>0</v>
      </c>
      <c r="P947" s="1123"/>
    </row>
    <row r="948" spans="2:16" x14ac:dyDescent="0.25">
      <c r="B948" s="1112"/>
      <c r="C948" s="39"/>
      <c r="D948" s="22" t="s">
        <v>131</v>
      </c>
      <c r="E948" s="3"/>
      <c r="F948" s="9">
        <f t="shared" si="738"/>
        <v>0</v>
      </c>
      <c r="G948" s="4">
        <v>0</v>
      </c>
      <c r="H948" s="8">
        <v>0</v>
      </c>
      <c r="I948" s="6">
        <f t="shared" si="737"/>
        <v>0</v>
      </c>
      <c r="J948" s="4">
        <f t="shared" si="742"/>
        <v>0</v>
      </c>
      <c r="K948" s="4">
        <f t="shared" si="743"/>
        <v>0</v>
      </c>
      <c r="L948" s="33"/>
      <c r="M948" s="150">
        <v>2.544</v>
      </c>
      <c r="N948" s="11">
        <f t="shared" si="740"/>
        <v>0</v>
      </c>
      <c r="O948" s="91">
        <f t="shared" si="741"/>
        <v>0</v>
      </c>
      <c r="P948" s="1123"/>
    </row>
    <row r="949" spans="2:16" x14ac:dyDescent="0.25">
      <c r="B949" s="1112"/>
      <c r="C949" s="39" t="s">
        <v>66</v>
      </c>
      <c r="D949" s="22" t="s">
        <v>133</v>
      </c>
      <c r="E949" s="3">
        <v>0</v>
      </c>
      <c r="F949" s="9">
        <f t="shared" si="738"/>
        <v>0</v>
      </c>
      <c r="G949" s="4">
        <v>0</v>
      </c>
      <c r="H949" s="8">
        <v>0</v>
      </c>
      <c r="I949" s="6">
        <f t="shared" si="737"/>
        <v>567947</v>
      </c>
      <c r="J949" s="4">
        <f>+G949+J884</f>
        <v>552750</v>
      </c>
      <c r="K949" s="4">
        <f t="shared" si="743"/>
        <v>15197</v>
      </c>
      <c r="L949" s="33" t="e">
        <f>+J949/E949</f>
        <v>#DIV/0!</v>
      </c>
      <c r="M949" s="144">
        <v>2.2141000000000002</v>
      </c>
      <c r="N949" s="7">
        <f>+M949*G949</f>
        <v>0</v>
      </c>
      <c r="O949" s="85">
        <f>+M949*J949</f>
        <v>1223843.7750000001</v>
      </c>
      <c r="P949" s="1123"/>
    </row>
    <row r="950" spans="2:16" x14ac:dyDescent="0.25">
      <c r="B950" s="1112"/>
      <c r="C950" s="39"/>
      <c r="D950" s="22" t="s">
        <v>65</v>
      </c>
      <c r="E950" s="3">
        <v>0</v>
      </c>
      <c r="F950" s="9">
        <f t="shared" si="738"/>
        <v>0</v>
      </c>
      <c r="G950" s="4">
        <v>0</v>
      </c>
      <c r="H950" s="8">
        <v>0</v>
      </c>
      <c r="I950" s="6">
        <f t="shared" si="737"/>
        <v>0</v>
      </c>
      <c r="J950" s="4">
        <f t="shared" ref="J950:J951" si="744">+G950+J885</f>
        <v>0</v>
      </c>
      <c r="K950" s="4">
        <f t="shared" si="743"/>
        <v>0</v>
      </c>
      <c r="L950" s="40" t="e">
        <f t="shared" ref="L950:L951" si="745">+J950/E950</f>
        <v>#DIV/0!</v>
      </c>
      <c r="M950" s="145">
        <v>2.4565999999999999</v>
      </c>
      <c r="N950" s="11">
        <f t="shared" ref="N950:N951" si="746">+M950*G950</f>
        <v>0</v>
      </c>
      <c r="O950" s="91">
        <f t="shared" ref="O950" si="747">+M950*J950</f>
        <v>0</v>
      </c>
      <c r="P950" s="1123"/>
    </row>
    <row r="951" spans="2:16" ht="15.75" thickBot="1" x14ac:dyDescent="0.3">
      <c r="B951" s="1112"/>
      <c r="C951" s="39"/>
      <c r="D951" s="22" t="s">
        <v>126</v>
      </c>
      <c r="E951" s="3">
        <v>0</v>
      </c>
      <c r="F951" s="9">
        <f t="shared" si="738"/>
        <v>0</v>
      </c>
      <c r="G951" s="4">
        <v>0</v>
      </c>
      <c r="H951" s="8">
        <v>0</v>
      </c>
      <c r="I951" s="6">
        <f t="shared" si="737"/>
        <v>0</v>
      </c>
      <c r="J951" s="4">
        <f t="shared" si="744"/>
        <v>0</v>
      </c>
      <c r="K951" s="4">
        <f t="shared" si="743"/>
        <v>0</v>
      </c>
      <c r="L951" s="40" t="e">
        <f t="shared" si="745"/>
        <v>#DIV/0!</v>
      </c>
      <c r="M951" s="145">
        <v>2.2907000000000002</v>
      </c>
      <c r="N951" s="11">
        <f t="shared" si="746"/>
        <v>0</v>
      </c>
      <c r="O951" s="154">
        <f>+M951*J951</f>
        <v>0</v>
      </c>
      <c r="P951" s="1124"/>
    </row>
    <row r="952" spans="2:16" ht="15.75" thickBot="1" x14ac:dyDescent="0.3">
      <c r="B952" s="1112"/>
      <c r="C952" s="41" t="s">
        <v>29</v>
      </c>
      <c r="D952" s="27" t="str">
        <f>+C952</f>
        <v>TOTAL 1/2</v>
      </c>
      <c r="E952" s="42">
        <f>SUM(E945:E951)</f>
        <v>0</v>
      </c>
      <c r="F952" s="43">
        <f>SUM(F945:F951)</f>
        <v>0</v>
      </c>
      <c r="G952" s="43">
        <f>SUM(G945:G951)</f>
        <v>0</v>
      </c>
      <c r="H952" s="44">
        <f>SUM(H945:H951)</f>
        <v>0</v>
      </c>
      <c r="I952" s="45">
        <f>SUM(I949:I951)</f>
        <v>567947</v>
      </c>
      <c r="J952" s="43">
        <f>SUM(J945:J951)</f>
        <v>552750</v>
      </c>
      <c r="K952" s="43">
        <f>SUM(K945:K951)</f>
        <v>15197</v>
      </c>
      <c r="L952" s="46" t="e">
        <f>+J952/E952</f>
        <v>#DIV/0!</v>
      </c>
      <c r="M952" s="47"/>
      <c r="N952" s="48">
        <f>SUM(N949:N951)</f>
        <v>0</v>
      </c>
      <c r="O952" s="49">
        <f>SUM(O945:O951)</f>
        <v>1223843.7750000001</v>
      </c>
      <c r="P952" s="214"/>
    </row>
    <row r="953" spans="2:16" x14ac:dyDescent="0.25">
      <c r="B953" s="1112"/>
      <c r="C953" s="1125" t="s">
        <v>67</v>
      </c>
      <c r="D953" s="22" t="s">
        <v>64</v>
      </c>
      <c r="E953" s="3">
        <v>0</v>
      </c>
      <c r="F953" s="4">
        <f>G953+H953</f>
        <v>0</v>
      </c>
      <c r="G953" s="4">
        <v>0</v>
      </c>
      <c r="H953" s="8">
        <v>0</v>
      </c>
      <c r="I953" s="16">
        <f>J953+K953</f>
        <v>109220</v>
      </c>
      <c r="J953" s="4">
        <f>G953+J888</f>
        <v>105750</v>
      </c>
      <c r="K953" s="4">
        <f>H953+K888</f>
        <v>3470</v>
      </c>
      <c r="L953" s="50" t="e">
        <f>+J953/E953</f>
        <v>#DIV/0!</v>
      </c>
      <c r="M953" s="144">
        <v>4.1712999999999996</v>
      </c>
      <c r="N953" s="7">
        <f>+M953*G953</f>
        <v>0</v>
      </c>
      <c r="O953" s="93">
        <f>+M953*J953</f>
        <v>441114.97499999998</v>
      </c>
      <c r="P953" s="1122"/>
    </row>
    <row r="954" spans="2:16" x14ac:dyDescent="0.25">
      <c r="B954" s="1112"/>
      <c r="C954" s="1126"/>
      <c r="D954" s="22" t="s">
        <v>65</v>
      </c>
      <c r="E954" s="3">
        <v>0</v>
      </c>
      <c r="F954" s="4">
        <f>G954+H954</f>
        <v>27980</v>
      </c>
      <c r="G954" s="4">
        <v>26500</v>
      </c>
      <c r="H954" s="8">
        <v>1480</v>
      </c>
      <c r="I954" s="6">
        <f>+R1998+F954</f>
        <v>27980</v>
      </c>
      <c r="J954" s="4">
        <f>G954+J889</f>
        <v>146500</v>
      </c>
      <c r="K954" s="4">
        <f>H954+K889</f>
        <v>4710</v>
      </c>
      <c r="L954" s="51" t="e">
        <f t="shared" ref="L954:L958" si="748">+J954/E954</f>
        <v>#DIV/0!</v>
      </c>
      <c r="M954" s="145">
        <v>4.8285999999999998</v>
      </c>
      <c r="N954" s="11">
        <f t="shared" ref="N954:N956" si="749">+M954*G954</f>
        <v>127957.9</v>
      </c>
      <c r="O954" s="94">
        <f t="shared" ref="O954:O956" si="750">+M954*J954</f>
        <v>707389.9</v>
      </c>
      <c r="P954" s="1123"/>
    </row>
    <row r="955" spans="2:16" x14ac:dyDescent="0.25">
      <c r="B955" s="1112"/>
      <c r="C955" s="1126"/>
      <c r="D955" s="22" t="s">
        <v>127</v>
      </c>
      <c r="E955" s="3"/>
      <c r="F955" s="4">
        <f>G955+H955</f>
        <v>0</v>
      </c>
      <c r="G955" s="4">
        <v>0</v>
      </c>
      <c r="H955" s="8">
        <v>0</v>
      </c>
      <c r="I955" s="6">
        <f>+R1999+F955</f>
        <v>0</v>
      </c>
      <c r="J955" s="4">
        <f t="shared" ref="J955:J956" si="751">G955+J890</f>
        <v>0</v>
      </c>
      <c r="K955" s="4">
        <f t="shared" ref="K955:K956" si="752">H955+K890</f>
        <v>0</v>
      </c>
      <c r="L955" s="51" t="e">
        <f t="shared" si="748"/>
        <v>#DIV/0!</v>
      </c>
      <c r="M955" s="144">
        <v>4.5023</v>
      </c>
      <c r="N955" s="11">
        <f t="shared" si="749"/>
        <v>0</v>
      </c>
      <c r="O955" s="94">
        <f t="shared" si="750"/>
        <v>0</v>
      </c>
      <c r="P955" s="1123"/>
    </row>
    <row r="956" spans="2:16" ht="15.75" thickBot="1" x14ac:dyDescent="0.3">
      <c r="B956" s="1112"/>
      <c r="C956" s="1126"/>
      <c r="D956" s="22" t="s">
        <v>111</v>
      </c>
      <c r="E956" s="3">
        <v>0</v>
      </c>
      <c r="F956" s="4">
        <f t="shared" ref="F956" si="753">G956+H956</f>
        <v>0</v>
      </c>
      <c r="G956" s="4">
        <v>0</v>
      </c>
      <c r="H956" s="8">
        <v>0</v>
      </c>
      <c r="I956" s="6">
        <f>+R1999+F956</f>
        <v>0</v>
      </c>
      <c r="J956" s="4">
        <f t="shared" si="751"/>
        <v>0</v>
      </c>
      <c r="K956" s="4">
        <f t="shared" si="752"/>
        <v>0</v>
      </c>
      <c r="L956" s="51" t="e">
        <f t="shared" si="748"/>
        <v>#DIV/0!</v>
      </c>
      <c r="M956" s="144">
        <v>4.4065000000000003</v>
      </c>
      <c r="N956" s="11">
        <f t="shared" si="749"/>
        <v>0</v>
      </c>
      <c r="O956" s="94">
        <f t="shared" si="750"/>
        <v>0</v>
      </c>
      <c r="P956" s="1123"/>
    </row>
    <row r="957" spans="2:16" ht="15.75" thickBot="1" x14ac:dyDescent="0.3">
      <c r="B957" s="1112"/>
      <c r="C957" s="41" t="s">
        <v>31</v>
      </c>
      <c r="D957" s="18" t="str">
        <f>+C957</f>
        <v>TOTAL 4/4</v>
      </c>
      <c r="E957" s="42">
        <f t="shared" ref="E957:K957" si="754">SUM(E953:E956)</f>
        <v>0</v>
      </c>
      <c r="F957" s="43">
        <f t="shared" si="754"/>
        <v>27980</v>
      </c>
      <c r="G957" s="43">
        <f t="shared" si="754"/>
        <v>26500</v>
      </c>
      <c r="H957" s="44">
        <f t="shared" si="754"/>
        <v>1480</v>
      </c>
      <c r="I957" s="45">
        <f t="shared" si="754"/>
        <v>137200</v>
      </c>
      <c r="J957" s="43">
        <f t="shared" si="754"/>
        <v>252250</v>
      </c>
      <c r="K957" s="43">
        <f t="shared" si="754"/>
        <v>8180</v>
      </c>
      <c r="L957" s="46" t="e">
        <f t="shared" si="748"/>
        <v>#DIV/0!</v>
      </c>
      <c r="M957" s="47"/>
      <c r="N957" s="48">
        <f>SUM(N953:N956)</f>
        <v>127957.9</v>
      </c>
      <c r="O957" s="92">
        <f>SUM(O953:O956)</f>
        <v>1148504.875</v>
      </c>
      <c r="P957" s="1124"/>
    </row>
    <row r="958" spans="2:16" ht="15.75" thickBot="1" x14ac:dyDescent="0.3">
      <c r="B958" s="1121"/>
      <c r="C958" s="41" t="s">
        <v>68</v>
      </c>
      <c r="D958" s="27" t="s">
        <v>64</v>
      </c>
      <c r="E958" s="25">
        <v>0</v>
      </c>
      <c r="F958" s="20">
        <f>G958+H958</f>
        <v>0</v>
      </c>
      <c r="G958" s="20">
        <v>0</v>
      </c>
      <c r="H958" s="24">
        <v>0</v>
      </c>
      <c r="I958" s="19">
        <f>J958+K958</f>
        <v>0</v>
      </c>
      <c r="J958" s="4">
        <f>G958+J893</f>
        <v>0</v>
      </c>
      <c r="K958" s="4">
        <f>H958+K893</f>
        <v>0</v>
      </c>
      <c r="L958" s="52" t="e">
        <f t="shared" si="748"/>
        <v>#DIV/0!</v>
      </c>
      <c r="M958" s="149">
        <v>1.4086000000000001</v>
      </c>
      <c r="N958" s="26">
        <f t="shared" ref="N958" si="755">+M958*G958</f>
        <v>0</v>
      </c>
      <c r="O958" s="95">
        <f t="shared" ref="O958" si="756">+M958*J958</f>
        <v>0</v>
      </c>
      <c r="P958" s="53"/>
    </row>
    <row r="959" spans="2:16" ht="15.75" thickBot="1" x14ac:dyDescent="0.3">
      <c r="B959" s="1096" t="s">
        <v>95</v>
      </c>
      <c r="C959" s="1097"/>
      <c r="D959" s="1097"/>
      <c r="E959" s="1097"/>
      <c r="F959" s="1097"/>
      <c r="G959" s="1097"/>
      <c r="H959" s="1097"/>
      <c r="I959" s="110">
        <f>J959+K959</f>
        <v>828377</v>
      </c>
      <c r="J959" s="110">
        <f>J952+J957+J958</f>
        <v>805000</v>
      </c>
      <c r="K959" s="110">
        <f>K952+K957+K958</f>
        <v>23377</v>
      </c>
      <c r="L959" s="111"/>
      <c r="M959" s="112"/>
      <c r="N959" s="109"/>
      <c r="O959" s="77">
        <f>+O958+O957+O952</f>
        <v>2372348.6500000004</v>
      </c>
      <c r="P959" s="84"/>
    </row>
    <row r="960" spans="2:16" x14ac:dyDescent="0.25">
      <c r="B960" s="1098" t="s">
        <v>69</v>
      </c>
      <c r="C960" s="1101" t="s">
        <v>70</v>
      </c>
      <c r="D960" s="54" t="s">
        <v>71</v>
      </c>
      <c r="E960" s="55">
        <v>0</v>
      </c>
      <c r="F960" s="56">
        <f>G960+H960</f>
        <v>6689</v>
      </c>
      <c r="G960" s="56">
        <v>6600</v>
      </c>
      <c r="H960" s="57">
        <v>89</v>
      </c>
      <c r="I960" s="78">
        <f>J960+K960</f>
        <v>36953</v>
      </c>
      <c r="J960" s="4">
        <f>G960+J895</f>
        <v>36600</v>
      </c>
      <c r="K960" s="4">
        <f>H960+K895</f>
        <v>353</v>
      </c>
      <c r="L960" s="58" t="e">
        <f t="shared" ref="L960" si="757">+J960/E960</f>
        <v>#DIV/0!</v>
      </c>
      <c r="M960" s="59">
        <v>32.946300000000001</v>
      </c>
      <c r="N960" s="60">
        <f>+M960*G960</f>
        <v>217445.58000000002</v>
      </c>
      <c r="O960" s="60">
        <f>M960*J960</f>
        <v>1205834.58</v>
      </c>
      <c r="P960" s="1103"/>
    </row>
    <row r="961" spans="2:16" x14ac:dyDescent="0.25">
      <c r="B961" s="1099"/>
      <c r="C961" s="1102"/>
      <c r="D961" s="61" t="s">
        <v>72</v>
      </c>
      <c r="E961" s="62">
        <v>0</v>
      </c>
      <c r="F961" s="63">
        <f>G961+H961</f>
        <v>0</v>
      </c>
      <c r="G961" s="63">
        <v>0</v>
      </c>
      <c r="H961" s="64">
        <v>0</v>
      </c>
      <c r="I961" s="79">
        <f>J961+K961</f>
        <v>31833</v>
      </c>
      <c r="J961" s="4">
        <f>G961+J896</f>
        <v>31420</v>
      </c>
      <c r="K961" s="4">
        <f>H961+K896</f>
        <v>413</v>
      </c>
      <c r="L961" s="65" t="e">
        <f>+J961/E961</f>
        <v>#DIV/0!</v>
      </c>
      <c r="M961" s="66">
        <v>35.398400000000002</v>
      </c>
      <c r="N961" s="67">
        <f>+M961*G961</f>
        <v>0</v>
      </c>
      <c r="O961" s="67">
        <f>M961*J961</f>
        <v>1112217.7280000001</v>
      </c>
      <c r="P961" s="1104"/>
    </row>
    <row r="962" spans="2:16" x14ac:dyDescent="0.25">
      <c r="B962" s="1099"/>
      <c r="C962" s="1102"/>
      <c r="D962" s="61" t="s">
        <v>73</v>
      </c>
      <c r="E962" s="62">
        <v>0</v>
      </c>
      <c r="F962" s="63">
        <f t="shared" ref="F962:F965" si="758">G962+H962</f>
        <v>0</v>
      </c>
      <c r="G962" s="63">
        <v>0</v>
      </c>
      <c r="H962" s="64">
        <v>0</v>
      </c>
      <c r="I962" s="79">
        <f t="shared" ref="I962:I971" si="759">J962+K962</f>
        <v>0</v>
      </c>
      <c r="J962" s="4">
        <f t="shared" ref="J962:J987" si="760">G962+J897</f>
        <v>0</v>
      </c>
      <c r="K962" s="4">
        <f t="shared" ref="K962:K966" si="761">H962+K897</f>
        <v>0</v>
      </c>
      <c r="L962" s="65" t="e">
        <f t="shared" ref="L962:L975" si="762">+J962/E962</f>
        <v>#DIV/0!</v>
      </c>
      <c r="M962" s="66">
        <v>32.946300000000001</v>
      </c>
      <c r="N962" s="67">
        <f t="shared" ref="N962:N982" si="763">+M962*G962</f>
        <v>0</v>
      </c>
      <c r="O962" s="67">
        <f t="shared" ref="O962:O970" si="764">M962*J962</f>
        <v>0</v>
      </c>
      <c r="P962" s="1104"/>
    </row>
    <row r="963" spans="2:16" x14ac:dyDescent="0.25">
      <c r="B963" s="1099"/>
      <c r="C963" s="1102" t="s">
        <v>74</v>
      </c>
      <c r="D963" s="61" t="s">
        <v>75</v>
      </c>
      <c r="E963" s="62">
        <v>0</v>
      </c>
      <c r="F963" s="63">
        <f t="shared" si="758"/>
        <v>9750</v>
      </c>
      <c r="G963" s="63">
        <v>9600</v>
      </c>
      <c r="H963" s="64">
        <v>150</v>
      </c>
      <c r="I963" s="79">
        <f t="shared" si="759"/>
        <v>29535</v>
      </c>
      <c r="J963" s="4">
        <f t="shared" si="760"/>
        <v>28800</v>
      </c>
      <c r="K963" s="4">
        <f t="shared" si="761"/>
        <v>735</v>
      </c>
      <c r="L963" s="65" t="e">
        <f t="shared" si="762"/>
        <v>#DIV/0!</v>
      </c>
      <c r="M963" s="66">
        <v>55.4758</v>
      </c>
      <c r="N963" s="67">
        <f t="shared" si="763"/>
        <v>532567.68000000005</v>
      </c>
      <c r="O963" s="67">
        <f t="shared" si="764"/>
        <v>1597703.04</v>
      </c>
      <c r="P963" s="1104"/>
    </row>
    <row r="964" spans="2:16" x14ac:dyDescent="0.25">
      <c r="B964" s="1099"/>
      <c r="C964" s="1102"/>
      <c r="D964" s="61" t="s">
        <v>134</v>
      </c>
      <c r="E964" s="62">
        <v>0</v>
      </c>
      <c r="F964" s="63">
        <f t="shared" si="758"/>
        <v>0</v>
      </c>
      <c r="G964" s="63">
        <v>0</v>
      </c>
      <c r="H964" s="64">
        <v>0</v>
      </c>
      <c r="I964" s="79">
        <f t="shared" si="759"/>
        <v>0</v>
      </c>
      <c r="J964" s="4">
        <f t="shared" si="760"/>
        <v>0</v>
      </c>
      <c r="K964" s="4">
        <f t="shared" si="761"/>
        <v>0</v>
      </c>
      <c r="L964" s="65" t="e">
        <f t="shared" si="762"/>
        <v>#DIV/0!</v>
      </c>
      <c r="M964" s="66">
        <v>53.515999999999998</v>
      </c>
      <c r="N964" s="67">
        <f t="shared" si="763"/>
        <v>0</v>
      </c>
      <c r="O964" s="67">
        <f t="shared" si="764"/>
        <v>0</v>
      </c>
      <c r="P964" s="1104"/>
    </row>
    <row r="965" spans="2:16" x14ac:dyDescent="0.25">
      <c r="B965" s="1099"/>
      <c r="C965" s="1102"/>
      <c r="D965" s="61" t="s">
        <v>72</v>
      </c>
      <c r="E965" s="62">
        <v>0</v>
      </c>
      <c r="F965" s="63">
        <f t="shared" si="758"/>
        <v>0</v>
      </c>
      <c r="G965" s="63">
        <v>0</v>
      </c>
      <c r="H965" s="64">
        <v>0</v>
      </c>
      <c r="I965" s="79">
        <f t="shared" si="759"/>
        <v>9804</v>
      </c>
      <c r="J965" s="4">
        <f t="shared" si="760"/>
        <v>9600</v>
      </c>
      <c r="K965" s="4">
        <f t="shared" si="761"/>
        <v>204</v>
      </c>
      <c r="L965" s="65" t="e">
        <f t="shared" si="762"/>
        <v>#DIV/0!</v>
      </c>
      <c r="M965" s="66">
        <v>58.836300000000001</v>
      </c>
      <c r="N965" s="67">
        <f t="shared" si="763"/>
        <v>0</v>
      </c>
      <c r="O965" s="67">
        <f t="shared" si="764"/>
        <v>564828.48</v>
      </c>
      <c r="P965" s="1104"/>
    </row>
    <row r="966" spans="2:16" x14ac:dyDescent="0.25">
      <c r="B966" s="1099"/>
      <c r="C966" s="1106" t="s">
        <v>76</v>
      </c>
      <c r="D966" s="61" t="s">
        <v>77</v>
      </c>
      <c r="E966" s="62">
        <v>0</v>
      </c>
      <c r="F966" s="63">
        <f>G966+H966</f>
        <v>0</v>
      </c>
      <c r="G966" s="63">
        <v>0</v>
      </c>
      <c r="H966" s="64">
        <v>0</v>
      </c>
      <c r="I966" s="79">
        <f t="shared" si="759"/>
        <v>13295</v>
      </c>
      <c r="J966" s="4">
        <f t="shared" si="760"/>
        <v>13000</v>
      </c>
      <c r="K966" s="4">
        <f t="shared" si="761"/>
        <v>295</v>
      </c>
      <c r="L966" s="65" t="e">
        <f t="shared" si="762"/>
        <v>#DIV/0!</v>
      </c>
      <c r="M966" s="66">
        <v>25.687200000000001</v>
      </c>
      <c r="N966" s="67">
        <f t="shared" si="763"/>
        <v>0</v>
      </c>
      <c r="O966" s="67">
        <f t="shared" si="764"/>
        <v>333933.60000000003</v>
      </c>
      <c r="P966" s="1104"/>
    </row>
    <row r="967" spans="2:16" x14ac:dyDescent="0.25">
      <c r="B967" s="1099"/>
      <c r="C967" s="1107"/>
      <c r="D967" s="61" t="s">
        <v>117</v>
      </c>
      <c r="E967" s="62">
        <v>0</v>
      </c>
      <c r="F967" s="63">
        <f>G967+H967</f>
        <v>0</v>
      </c>
      <c r="G967" s="63">
        <v>0</v>
      </c>
      <c r="H967" s="64">
        <v>0</v>
      </c>
      <c r="I967" s="79">
        <f t="shared" si="759"/>
        <v>0</v>
      </c>
      <c r="J967" s="4">
        <f t="shared" si="760"/>
        <v>0</v>
      </c>
      <c r="K967" s="4">
        <f>H967+K902</f>
        <v>0</v>
      </c>
      <c r="L967" s="65" t="e">
        <f t="shared" si="762"/>
        <v>#DIV/0!</v>
      </c>
      <c r="M967" s="66">
        <v>25.033899999999999</v>
      </c>
      <c r="N967" s="67">
        <f t="shared" si="763"/>
        <v>0</v>
      </c>
      <c r="O967" s="67">
        <f t="shared" si="764"/>
        <v>0</v>
      </c>
      <c r="P967" s="1104"/>
    </row>
    <row r="968" spans="2:16" x14ac:dyDescent="0.25">
      <c r="B968" s="1099"/>
      <c r="C968" s="1106" t="s">
        <v>78</v>
      </c>
      <c r="D968" s="61" t="s">
        <v>79</v>
      </c>
      <c r="E968" s="62">
        <v>0</v>
      </c>
      <c r="F968" s="63">
        <f t="shared" ref="F968:F987" si="765">G968+H968</f>
        <v>0</v>
      </c>
      <c r="G968" s="63">
        <v>0</v>
      </c>
      <c r="H968" s="64">
        <v>0</v>
      </c>
      <c r="I968" s="79">
        <f t="shared" si="759"/>
        <v>16343</v>
      </c>
      <c r="J968" s="4">
        <f t="shared" si="760"/>
        <v>16000</v>
      </c>
      <c r="K968" s="4">
        <f t="shared" ref="K968:K987" si="766">H968+K903</f>
        <v>343</v>
      </c>
      <c r="L968" s="65" t="e">
        <f t="shared" si="762"/>
        <v>#DIV/0!</v>
      </c>
      <c r="M968" s="66">
        <v>41.992699999999999</v>
      </c>
      <c r="N968" s="67">
        <f t="shared" si="763"/>
        <v>0</v>
      </c>
      <c r="O968" s="67">
        <f t="shared" si="764"/>
        <v>671883.2</v>
      </c>
      <c r="P968" s="1104"/>
    </row>
    <row r="969" spans="2:16" x14ac:dyDescent="0.25">
      <c r="B969" s="1099"/>
      <c r="C969" s="1107"/>
      <c r="D969" s="61" t="s">
        <v>72</v>
      </c>
      <c r="E969" s="62">
        <v>0</v>
      </c>
      <c r="F969" s="63">
        <f t="shared" si="765"/>
        <v>0</v>
      </c>
      <c r="G969" s="63">
        <v>0</v>
      </c>
      <c r="H969" s="64">
        <v>0</v>
      </c>
      <c r="I969" s="79">
        <f t="shared" si="759"/>
        <v>0</v>
      </c>
      <c r="J969" s="4">
        <f t="shared" si="760"/>
        <v>0</v>
      </c>
      <c r="K969" s="4">
        <f t="shared" si="766"/>
        <v>0</v>
      </c>
      <c r="L969" s="65" t="e">
        <f t="shared" si="762"/>
        <v>#DIV/0!</v>
      </c>
      <c r="M969" s="66">
        <v>42.283799999999999</v>
      </c>
      <c r="N969" s="67">
        <f t="shared" si="763"/>
        <v>0</v>
      </c>
      <c r="O969" s="67">
        <f t="shared" si="764"/>
        <v>0</v>
      </c>
      <c r="P969" s="1104"/>
    </row>
    <row r="970" spans="2:16" x14ac:dyDescent="0.25">
      <c r="B970" s="1099"/>
      <c r="C970" s="212" t="s">
        <v>80</v>
      </c>
      <c r="D970" s="61" t="s">
        <v>81</v>
      </c>
      <c r="E970" s="62">
        <v>0</v>
      </c>
      <c r="F970" s="63">
        <f t="shared" si="765"/>
        <v>0</v>
      </c>
      <c r="G970" s="63">
        <v>0</v>
      </c>
      <c r="H970" s="64">
        <v>0</v>
      </c>
      <c r="I970" s="79">
        <f t="shared" si="759"/>
        <v>24803</v>
      </c>
      <c r="J970" s="4">
        <f t="shared" si="760"/>
        <v>24000</v>
      </c>
      <c r="K970" s="4">
        <f t="shared" si="766"/>
        <v>803</v>
      </c>
      <c r="L970" s="65" t="e">
        <f t="shared" si="762"/>
        <v>#DIV/0!</v>
      </c>
      <c r="M970" s="66">
        <v>4.3535000000000004</v>
      </c>
      <c r="N970" s="67">
        <f t="shared" si="763"/>
        <v>0</v>
      </c>
      <c r="O970" s="67">
        <f t="shared" si="764"/>
        <v>104484.00000000001</v>
      </c>
      <c r="P970" s="1104"/>
    </row>
    <row r="971" spans="2:16" x14ac:dyDescent="0.25">
      <c r="B971" s="1099"/>
      <c r="C971" s="1102" t="s">
        <v>82</v>
      </c>
      <c r="D971" s="61" t="s">
        <v>77</v>
      </c>
      <c r="E971" s="62">
        <v>0</v>
      </c>
      <c r="F971" s="63">
        <f t="shared" si="765"/>
        <v>0</v>
      </c>
      <c r="G971" s="63">
        <v>0</v>
      </c>
      <c r="H971" s="64">
        <v>0</v>
      </c>
      <c r="I971" s="79">
        <f t="shared" si="759"/>
        <v>0</v>
      </c>
      <c r="J971" s="4">
        <f t="shared" si="760"/>
        <v>0</v>
      </c>
      <c r="K971" s="4">
        <f t="shared" si="766"/>
        <v>0</v>
      </c>
      <c r="L971" s="65" t="e">
        <f t="shared" si="762"/>
        <v>#DIV/0!</v>
      </c>
      <c r="M971" s="66">
        <v>4.6184000000000003</v>
      </c>
      <c r="N971" s="67">
        <f t="shared" si="763"/>
        <v>0</v>
      </c>
      <c r="O971" s="67">
        <f>M971*J971</f>
        <v>0</v>
      </c>
      <c r="P971" s="1104"/>
    </row>
    <row r="972" spans="2:16" x14ac:dyDescent="0.25">
      <c r="B972" s="1099"/>
      <c r="C972" s="1102"/>
      <c r="D972" s="61" t="s">
        <v>119</v>
      </c>
      <c r="E972" s="62">
        <v>0</v>
      </c>
      <c r="F972" s="63">
        <f t="shared" si="765"/>
        <v>9582</v>
      </c>
      <c r="G972" s="63">
        <v>9200</v>
      </c>
      <c r="H972" s="64">
        <v>382</v>
      </c>
      <c r="I972" s="79">
        <f>J972+K972</f>
        <v>9582</v>
      </c>
      <c r="J972" s="4">
        <f t="shared" si="760"/>
        <v>9200</v>
      </c>
      <c r="K972" s="4">
        <f t="shared" si="766"/>
        <v>382</v>
      </c>
      <c r="L972" s="65" t="e">
        <f t="shared" si="762"/>
        <v>#DIV/0!</v>
      </c>
      <c r="M972" s="153">
        <v>4.6184000000000003</v>
      </c>
      <c r="N972" s="67">
        <f t="shared" si="763"/>
        <v>42489.280000000006</v>
      </c>
      <c r="O972" s="67">
        <f>M972*J972</f>
        <v>42489.280000000006</v>
      </c>
      <c r="P972" s="1104"/>
    </row>
    <row r="973" spans="2:16" x14ac:dyDescent="0.25">
      <c r="B973" s="1099"/>
      <c r="C973" s="1102"/>
      <c r="D973" s="61" t="s">
        <v>123</v>
      </c>
      <c r="E973" s="62">
        <v>0</v>
      </c>
      <c r="F973" s="63">
        <f t="shared" si="765"/>
        <v>0</v>
      </c>
      <c r="G973" s="63">
        <v>0</v>
      </c>
      <c r="H973" s="64">
        <v>0</v>
      </c>
      <c r="I973" s="79">
        <f t="shared" ref="I973:I987" si="767">J973+K973</f>
        <v>0</v>
      </c>
      <c r="J973" s="4">
        <f t="shared" si="760"/>
        <v>0</v>
      </c>
      <c r="K973" s="4">
        <f t="shared" si="766"/>
        <v>0</v>
      </c>
      <c r="L973" s="65" t="e">
        <f t="shared" si="762"/>
        <v>#DIV/0!</v>
      </c>
      <c r="M973" s="153">
        <v>4.6184000000000003</v>
      </c>
      <c r="N973" s="67">
        <f t="shared" si="763"/>
        <v>0</v>
      </c>
      <c r="O973" s="67">
        <f t="shared" ref="O973:O978" si="768">M973*J973</f>
        <v>0</v>
      </c>
      <c r="P973" s="1104"/>
    </row>
    <row r="974" spans="2:16" x14ac:dyDescent="0.25">
      <c r="B974" s="1099"/>
      <c r="C974" s="1102"/>
      <c r="D974" s="61" t="s">
        <v>124</v>
      </c>
      <c r="E974" s="62">
        <v>0</v>
      </c>
      <c r="F974" s="63">
        <f t="shared" si="765"/>
        <v>0</v>
      </c>
      <c r="G974" s="63">
        <v>0</v>
      </c>
      <c r="H974" s="64">
        <v>0</v>
      </c>
      <c r="I974" s="79">
        <f t="shared" si="767"/>
        <v>281684</v>
      </c>
      <c r="J974" s="4">
        <f t="shared" si="760"/>
        <v>274275</v>
      </c>
      <c r="K974" s="4">
        <f t="shared" si="766"/>
        <v>7409</v>
      </c>
      <c r="L974" s="65" t="e">
        <f t="shared" si="762"/>
        <v>#DIV/0!</v>
      </c>
      <c r="M974" s="153">
        <v>4.7636000000000003</v>
      </c>
      <c r="N974" s="67">
        <f t="shared" si="763"/>
        <v>0</v>
      </c>
      <c r="O974" s="67">
        <f t="shared" si="768"/>
        <v>1306536.3900000001</v>
      </c>
      <c r="P974" s="1104"/>
    </row>
    <row r="975" spans="2:16" x14ac:dyDescent="0.25">
      <c r="B975" s="1099"/>
      <c r="C975" s="1102"/>
      <c r="D975" s="61" t="s">
        <v>83</v>
      </c>
      <c r="E975" s="62">
        <v>0</v>
      </c>
      <c r="F975" s="63">
        <f t="shared" si="765"/>
        <v>0</v>
      </c>
      <c r="G975" s="63">
        <v>0</v>
      </c>
      <c r="H975" s="64">
        <v>0</v>
      </c>
      <c r="I975" s="79">
        <f t="shared" si="767"/>
        <v>0</v>
      </c>
      <c r="J975" s="4">
        <f t="shared" si="760"/>
        <v>0</v>
      </c>
      <c r="K975" s="4">
        <f t="shared" si="766"/>
        <v>0</v>
      </c>
      <c r="L975" s="65" t="e">
        <f t="shared" si="762"/>
        <v>#DIV/0!</v>
      </c>
      <c r="M975" s="66">
        <v>4.8738000000000001</v>
      </c>
      <c r="N975" s="67">
        <f t="shared" si="763"/>
        <v>0</v>
      </c>
      <c r="O975" s="67">
        <f t="shared" si="768"/>
        <v>0</v>
      </c>
      <c r="P975" s="1104"/>
    </row>
    <row r="976" spans="2:16" x14ac:dyDescent="0.25">
      <c r="B976" s="1099"/>
      <c r="C976" s="212" t="s">
        <v>128</v>
      </c>
      <c r="D976" s="61" t="s">
        <v>124</v>
      </c>
      <c r="E976" s="62"/>
      <c r="F976" s="63">
        <f t="shared" si="765"/>
        <v>0</v>
      </c>
      <c r="G976" s="63">
        <v>0</v>
      </c>
      <c r="H976" s="64">
        <v>0</v>
      </c>
      <c r="I976" s="79">
        <f t="shared" si="767"/>
        <v>0</v>
      </c>
      <c r="J976" s="4">
        <f t="shared" si="760"/>
        <v>0</v>
      </c>
      <c r="K976" s="4">
        <f t="shared" si="766"/>
        <v>0</v>
      </c>
      <c r="L976" s="65"/>
      <c r="M976" s="66">
        <v>4.8738000000000001</v>
      </c>
      <c r="N976" s="67">
        <f t="shared" si="763"/>
        <v>0</v>
      </c>
      <c r="O976" s="67">
        <f t="shared" si="768"/>
        <v>0</v>
      </c>
      <c r="P976" s="1104"/>
    </row>
    <row r="977" spans="2:16" x14ac:dyDescent="0.25">
      <c r="B977" s="1099"/>
      <c r="C977" s="1102" t="s">
        <v>84</v>
      </c>
      <c r="D977" s="61" t="s">
        <v>77</v>
      </c>
      <c r="E977" s="62">
        <v>0</v>
      </c>
      <c r="F977" s="63">
        <f t="shared" si="765"/>
        <v>0</v>
      </c>
      <c r="G977" s="63">
        <v>0</v>
      </c>
      <c r="H977" s="64">
        <v>0</v>
      </c>
      <c r="I977" s="79">
        <f t="shared" si="767"/>
        <v>197600</v>
      </c>
      <c r="J977" s="4">
        <f t="shared" si="760"/>
        <v>194950</v>
      </c>
      <c r="K977" s="4">
        <f t="shared" si="766"/>
        <v>2650</v>
      </c>
      <c r="L977" s="65" t="e">
        <f t="shared" ref="L977:L987" si="769">+J977/E977</f>
        <v>#DIV/0!</v>
      </c>
      <c r="M977" s="66">
        <v>4.9344999999999999</v>
      </c>
      <c r="N977" s="67">
        <f t="shared" si="763"/>
        <v>0</v>
      </c>
      <c r="O977" s="67">
        <f t="shared" si="768"/>
        <v>961980.77500000002</v>
      </c>
      <c r="P977" s="1104"/>
    </row>
    <row r="978" spans="2:16" x14ac:dyDescent="0.25">
      <c r="B978" s="1099"/>
      <c r="C978" s="1102"/>
      <c r="D978" s="61" t="s">
        <v>135</v>
      </c>
      <c r="E978" s="62"/>
      <c r="F978" s="63">
        <f t="shared" si="765"/>
        <v>18296</v>
      </c>
      <c r="G978" s="63">
        <v>18000</v>
      </c>
      <c r="H978" s="64">
        <v>296</v>
      </c>
      <c r="I978" s="79">
        <f t="shared" si="767"/>
        <v>61578</v>
      </c>
      <c r="J978" s="4">
        <f t="shared" si="760"/>
        <v>58500</v>
      </c>
      <c r="K978" s="4">
        <f t="shared" si="766"/>
        <v>3078</v>
      </c>
      <c r="L978" s="65" t="e">
        <f t="shared" si="769"/>
        <v>#DIV/0!</v>
      </c>
      <c r="M978" s="66">
        <v>4.9344999999999999</v>
      </c>
      <c r="N978" s="67">
        <f t="shared" si="763"/>
        <v>88821</v>
      </c>
      <c r="O978" s="67">
        <f t="shared" si="768"/>
        <v>288668.25</v>
      </c>
      <c r="P978" s="1104"/>
    </row>
    <row r="979" spans="2:16" x14ac:dyDescent="0.25">
      <c r="B979" s="1099"/>
      <c r="C979" s="1102"/>
      <c r="D979" s="61" t="s">
        <v>129</v>
      </c>
      <c r="E979" s="62">
        <v>0</v>
      </c>
      <c r="F979" s="63">
        <f t="shared" si="765"/>
        <v>0</v>
      </c>
      <c r="G979" s="155">
        <v>0</v>
      </c>
      <c r="H979" s="156">
        <v>0</v>
      </c>
      <c r="I979" s="157">
        <f t="shared" si="767"/>
        <v>0</v>
      </c>
      <c r="J979" s="4">
        <f t="shared" si="760"/>
        <v>0</v>
      </c>
      <c r="K979" s="4">
        <f t="shared" si="766"/>
        <v>0</v>
      </c>
      <c r="L979" s="158" t="e">
        <f t="shared" si="769"/>
        <v>#DIV/0!</v>
      </c>
      <c r="M979" s="66">
        <v>4.9344999999999999</v>
      </c>
      <c r="N979" s="159">
        <f t="shared" si="763"/>
        <v>0</v>
      </c>
      <c r="O979" s="67">
        <f>M979*J979</f>
        <v>0</v>
      </c>
      <c r="P979" s="1104"/>
    </row>
    <row r="980" spans="2:16" x14ac:dyDescent="0.25">
      <c r="B980" s="1099"/>
      <c r="C980" s="1102" t="s">
        <v>85</v>
      </c>
      <c r="D980" s="61" t="s">
        <v>77</v>
      </c>
      <c r="E980" s="62">
        <v>0</v>
      </c>
      <c r="F980" s="63">
        <f t="shared" si="765"/>
        <v>0</v>
      </c>
      <c r="G980" s="63">
        <v>0</v>
      </c>
      <c r="H980" s="64">
        <v>0</v>
      </c>
      <c r="I980" s="79">
        <f t="shared" si="767"/>
        <v>138276</v>
      </c>
      <c r="J980" s="4">
        <f t="shared" si="760"/>
        <v>130950</v>
      </c>
      <c r="K980" s="4">
        <f t="shared" si="766"/>
        <v>7326</v>
      </c>
      <c r="L980" s="65" t="e">
        <f t="shared" si="769"/>
        <v>#DIV/0!</v>
      </c>
      <c r="M980" s="148">
        <v>5.5069999999999997</v>
      </c>
      <c r="N980" s="67">
        <f t="shared" si="763"/>
        <v>0</v>
      </c>
      <c r="O980" s="67">
        <f>M980*J980</f>
        <v>721141.64999999991</v>
      </c>
      <c r="P980" s="1104"/>
    </row>
    <row r="981" spans="2:16" x14ac:dyDescent="0.25">
      <c r="B981" s="1099"/>
      <c r="C981" s="1102"/>
      <c r="D981" s="61" t="s">
        <v>112</v>
      </c>
      <c r="E981" s="62">
        <v>0</v>
      </c>
      <c r="F981" s="63">
        <f t="shared" si="765"/>
        <v>10862</v>
      </c>
      <c r="G981" s="63">
        <v>10350</v>
      </c>
      <c r="H981" s="64">
        <v>512</v>
      </c>
      <c r="I981" s="79">
        <f t="shared" si="767"/>
        <v>95744</v>
      </c>
      <c r="J981" s="4">
        <f t="shared" si="760"/>
        <v>92250</v>
      </c>
      <c r="K981" s="4">
        <f t="shared" si="766"/>
        <v>3494</v>
      </c>
      <c r="L981" s="65" t="e">
        <f t="shared" si="769"/>
        <v>#DIV/0!</v>
      </c>
      <c r="M981" s="147">
        <v>5.6550000000000002</v>
      </c>
      <c r="N981" s="67">
        <f t="shared" si="763"/>
        <v>58529.25</v>
      </c>
      <c r="O981" s="67">
        <f>M981*J981</f>
        <v>521673.75</v>
      </c>
      <c r="P981" s="1104"/>
    </row>
    <row r="982" spans="2:16" x14ac:dyDescent="0.25">
      <c r="B982" s="1099"/>
      <c r="C982" s="1102"/>
      <c r="D982" s="61" t="s">
        <v>118</v>
      </c>
      <c r="E982" s="62">
        <v>0</v>
      </c>
      <c r="F982" s="63">
        <f t="shared" si="765"/>
        <v>0</v>
      </c>
      <c r="G982" s="63">
        <v>0</v>
      </c>
      <c r="H982" s="64">
        <v>0</v>
      </c>
      <c r="I982" s="79">
        <f t="shared" si="767"/>
        <v>0</v>
      </c>
      <c r="J982" s="4">
        <f t="shared" si="760"/>
        <v>0</v>
      </c>
      <c r="K982" s="4">
        <f t="shared" si="766"/>
        <v>0</v>
      </c>
      <c r="L982" s="65" t="e">
        <f t="shared" si="769"/>
        <v>#DIV/0!</v>
      </c>
      <c r="M982" s="152">
        <v>5.6550000000000002</v>
      </c>
      <c r="N982" s="67">
        <f t="shared" si="763"/>
        <v>0</v>
      </c>
      <c r="O982" s="67">
        <f>M982*J982</f>
        <v>0</v>
      </c>
      <c r="P982" s="1104"/>
    </row>
    <row r="983" spans="2:16" x14ac:dyDescent="0.25">
      <c r="B983" s="1099"/>
      <c r="C983" s="1102"/>
      <c r="D983" s="61" t="s">
        <v>121</v>
      </c>
      <c r="E983" s="62">
        <v>0</v>
      </c>
      <c r="F983" s="63">
        <f t="shared" si="765"/>
        <v>0</v>
      </c>
      <c r="G983" s="63">
        <v>0</v>
      </c>
      <c r="H983" s="64">
        <v>0</v>
      </c>
      <c r="I983" s="79">
        <f t="shared" si="767"/>
        <v>28324</v>
      </c>
      <c r="J983" s="4">
        <f t="shared" si="760"/>
        <v>26710</v>
      </c>
      <c r="K983" s="4">
        <f t="shared" si="766"/>
        <v>1614</v>
      </c>
      <c r="L983" s="65" t="e">
        <f t="shared" si="769"/>
        <v>#DIV/0!</v>
      </c>
      <c r="M983" s="66">
        <v>5.7885299999999997</v>
      </c>
      <c r="N983" s="67">
        <f>+M983*G983</f>
        <v>0</v>
      </c>
      <c r="O983" s="67">
        <f>M983*J983</f>
        <v>154611.63629999998</v>
      </c>
      <c r="P983" s="1104"/>
    </row>
    <row r="984" spans="2:16" x14ac:dyDescent="0.25">
      <c r="B984" s="1099"/>
      <c r="C984" s="1102"/>
      <c r="D984" s="61" t="s">
        <v>136</v>
      </c>
      <c r="E984" s="62">
        <v>0</v>
      </c>
      <c r="F984" s="63">
        <f t="shared" si="765"/>
        <v>0</v>
      </c>
      <c r="G984" s="63">
        <v>0</v>
      </c>
      <c r="H984" s="64">
        <v>0</v>
      </c>
      <c r="I984" s="79">
        <f t="shared" si="767"/>
        <v>0</v>
      </c>
      <c r="J984" s="4">
        <f t="shared" si="760"/>
        <v>0</v>
      </c>
      <c r="K984" s="4">
        <f t="shared" si="766"/>
        <v>0</v>
      </c>
      <c r="L984" s="65" t="e">
        <f t="shared" si="769"/>
        <v>#DIV/0!</v>
      </c>
      <c r="M984" s="152">
        <v>5.6550000000000002</v>
      </c>
      <c r="N984" s="67">
        <f t="shared" ref="N984:N986" si="770">+M984*G984</f>
        <v>0</v>
      </c>
      <c r="O984" s="67">
        <f t="shared" ref="O984:O987" si="771">M984*J984</f>
        <v>0</v>
      </c>
      <c r="P984" s="1104"/>
    </row>
    <row r="985" spans="2:16" x14ac:dyDescent="0.25">
      <c r="B985" s="1099"/>
      <c r="C985" s="212" t="s">
        <v>86</v>
      </c>
      <c r="D985" s="61" t="s">
        <v>77</v>
      </c>
      <c r="E985" s="62">
        <v>0</v>
      </c>
      <c r="F985" s="63">
        <f t="shared" si="765"/>
        <v>0</v>
      </c>
      <c r="G985" s="63">
        <v>0</v>
      </c>
      <c r="H985" s="64">
        <v>0</v>
      </c>
      <c r="I985" s="79">
        <f t="shared" si="767"/>
        <v>0</v>
      </c>
      <c r="J985" s="4">
        <f t="shared" si="760"/>
        <v>0</v>
      </c>
      <c r="K985" s="4">
        <f t="shared" si="766"/>
        <v>0</v>
      </c>
      <c r="L985" s="65" t="e">
        <f t="shared" si="769"/>
        <v>#DIV/0!</v>
      </c>
      <c r="M985" s="66">
        <v>3.2963</v>
      </c>
      <c r="N985" s="67">
        <f t="shared" si="770"/>
        <v>0</v>
      </c>
      <c r="O985" s="67">
        <f t="shared" si="771"/>
        <v>0</v>
      </c>
      <c r="P985" s="1104"/>
    </row>
    <row r="986" spans="2:16" x14ac:dyDescent="0.25">
      <c r="B986" s="1099"/>
      <c r="C986" s="212" t="s">
        <v>87</v>
      </c>
      <c r="D986" s="61" t="s">
        <v>77</v>
      </c>
      <c r="E986" s="62">
        <v>0</v>
      </c>
      <c r="F986" s="63">
        <f t="shared" si="765"/>
        <v>0</v>
      </c>
      <c r="G986" s="63">
        <v>0</v>
      </c>
      <c r="H986" s="64">
        <v>0</v>
      </c>
      <c r="I986" s="79">
        <f t="shared" si="767"/>
        <v>0</v>
      </c>
      <c r="J986" s="4">
        <f t="shared" si="760"/>
        <v>0</v>
      </c>
      <c r="K986" s="4">
        <f t="shared" si="766"/>
        <v>0</v>
      </c>
      <c r="L986" s="65" t="e">
        <f t="shared" si="769"/>
        <v>#DIV/0!</v>
      </c>
      <c r="M986" s="66">
        <v>3.2963</v>
      </c>
      <c r="N986" s="67">
        <f t="shared" si="770"/>
        <v>0</v>
      </c>
      <c r="O986" s="67">
        <f t="shared" si="771"/>
        <v>0</v>
      </c>
      <c r="P986" s="1104"/>
    </row>
    <row r="987" spans="2:16" ht="15.75" thickBot="1" x14ac:dyDescent="0.3">
      <c r="B987" s="1099"/>
      <c r="C987" s="68" t="s">
        <v>88</v>
      </c>
      <c r="D987" s="69" t="s">
        <v>89</v>
      </c>
      <c r="E987" s="70">
        <v>0</v>
      </c>
      <c r="F987" s="71">
        <f t="shared" si="765"/>
        <v>0</v>
      </c>
      <c r="G987" s="71">
        <v>0</v>
      </c>
      <c r="H987" s="72">
        <v>0</v>
      </c>
      <c r="I987" s="80">
        <f t="shared" si="767"/>
        <v>65030</v>
      </c>
      <c r="J987" s="4">
        <f t="shared" si="760"/>
        <v>65000</v>
      </c>
      <c r="K987" s="4">
        <f t="shared" si="766"/>
        <v>30</v>
      </c>
      <c r="L987" s="65" t="e">
        <f t="shared" si="769"/>
        <v>#DIV/0!</v>
      </c>
      <c r="M987" s="73">
        <v>2.3201000000000001</v>
      </c>
      <c r="N987" s="74">
        <f t="shared" ref="N987" si="772">M987*G987</f>
        <v>0</v>
      </c>
      <c r="O987" s="74">
        <f t="shared" si="771"/>
        <v>150806.5</v>
      </c>
      <c r="P987" s="1105"/>
    </row>
    <row r="988" spans="2:16" ht="15.75" thickBot="1" x14ac:dyDescent="0.3">
      <c r="B988" s="1100"/>
      <c r="C988" s="1108" t="s">
        <v>99</v>
      </c>
      <c r="D988" s="1109"/>
      <c r="E988" s="1109"/>
      <c r="F988" s="1109"/>
      <c r="G988" s="1109"/>
      <c r="H988" s="1110"/>
      <c r="I988" s="116">
        <f>J988+K988</f>
        <v>1040384</v>
      </c>
      <c r="J988" s="115">
        <f>SUM(J960:J987)</f>
        <v>1011255</v>
      </c>
      <c r="K988" s="115">
        <f>SUM(K960:K987)</f>
        <v>29129</v>
      </c>
      <c r="L988" s="114"/>
      <c r="M988" s="113"/>
      <c r="N988" s="114"/>
      <c r="O988" s="97">
        <f>SUM(O960:O987)</f>
        <v>9738792.8593000006</v>
      </c>
      <c r="P988" s="96"/>
    </row>
    <row r="989" spans="2:16" ht="15.75" thickBot="1" x14ac:dyDescent="0.3">
      <c r="B989" s="100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2"/>
    </row>
    <row r="990" spans="2:16" ht="15.75" thickBot="1" x14ac:dyDescent="0.3">
      <c r="B990" s="1093" t="s">
        <v>100</v>
      </c>
      <c r="C990" s="1094"/>
      <c r="D990" s="1094"/>
      <c r="E990" s="1094"/>
      <c r="F990" s="1094"/>
      <c r="G990" s="1094"/>
      <c r="H990" s="1094"/>
      <c r="I990" s="1094"/>
      <c r="J990" s="1094"/>
      <c r="K990" s="1094"/>
      <c r="L990" s="1094"/>
      <c r="M990" s="1094"/>
      <c r="N990" s="1095"/>
      <c r="O990" s="103">
        <f>+O988+O959+O944</f>
        <v>21158258.021300003</v>
      </c>
      <c r="P990" s="96"/>
    </row>
    <row r="991" spans="2:16" ht="15.75" thickBot="1" x14ac:dyDescent="0.3"/>
    <row r="992" spans="2:16" x14ac:dyDescent="0.25">
      <c r="B992" s="1127" t="s">
        <v>1</v>
      </c>
      <c r="C992" s="1129" t="s">
        <v>2</v>
      </c>
      <c r="D992" s="1132" t="s">
        <v>3</v>
      </c>
      <c r="E992" s="1135" t="s">
        <v>4</v>
      </c>
      <c r="F992" s="1136"/>
      <c r="G992" s="1136"/>
      <c r="H992" s="1136"/>
      <c r="I992" s="1136"/>
      <c r="J992" s="1136"/>
      <c r="K992" s="1136"/>
      <c r="L992" s="1137"/>
      <c r="M992" s="1138" t="s">
        <v>5</v>
      </c>
      <c r="N992" s="1139"/>
      <c r="O992" s="1140"/>
      <c r="P992" s="1132" t="s">
        <v>6</v>
      </c>
    </row>
    <row r="993" spans="2:16" x14ac:dyDescent="0.25">
      <c r="B993" s="1128"/>
      <c r="C993" s="1130"/>
      <c r="D993" s="1133"/>
      <c r="E993" s="1141" t="s">
        <v>7</v>
      </c>
      <c r="F993" s="1143" t="s">
        <v>155</v>
      </c>
      <c r="G993" s="1143"/>
      <c r="H993" s="1144"/>
      <c r="I993" s="1145" t="s">
        <v>8</v>
      </c>
      <c r="J993" s="1143"/>
      <c r="K993" s="1143"/>
      <c r="L993" s="1144" t="s">
        <v>9</v>
      </c>
      <c r="M993" s="1147" t="s">
        <v>10</v>
      </c>
      <c r="N993" s="1149" t="s">
        <v>11</v>
      </c>
      <c r="O993" s="1151" t="s">
        <v>12</v>
      </c>
      <c r="P993" s="1133"/>
    </row>
    <row r="994" spans="2:16" ht="15.75" thickBot="1" x14ac:dyDescent="0.3">
      <c r="B994" s="1128"/>
      <c r="C994" s="1131"/>
      <c r="D994" s="1134"/>
      <c r="E994" s="1142"/>
      <c r="F994" s="2" t="s">
        <v>13</v>
      </c>
      <c r="G994" s="2" t="s">
        <v>14</v>
      </c>
      <c r="H994" s="219" t="s">
        <v>15</v>
      </c>
      <c r="I994" s="142" t="s">
        <v>13</v>
      </c>
      <c r="J994" s="2" t="s">
        <v>14</v>
      </c>
      <c r="K994" s="2" t="s">
        <v>15</v>
      </c>
      <c r="L994" s="1146"/>
      <c r="M994" s="1148"/>
      <c r="N994" s="1150"/>
      <c r="O994" s="1152"/>
      <c r="P994" s="1134"/>
    </row>
    <row r="995" spans="2:16" x14ac:dyDescent="0.25">
      <c r="B995" s="1111" t="s">
        <v>53</v>
      </c>
      <c r="C995" s="29"/>
      <c r="D995" s="117" t="s">
        <v>143</v>
      </c>
      <c r="E995" s="98">
        <v>0</v>
      </c>
      <c r="F995" s="4">
        <f>+G995+H995</f>
        <v>45480</v>
      </c>
      <c r="G995" s="4">
        <v>44240</v>
      </c>
      <c r="H995" s="8">
        <v>1240</v>
      </c>
      <c r="I995" s="6">
        <f>J995+K995</f>
        <v>484326</v>
      </c>
      <c r="J995" s="4">
        <f>G995+J930</f>
        <v>475160</v>
      </c>
      <c r="K995" s="4">
        <f>H995+K930</f>
        <v>9166</v>
      </c>
      <c r="L995" s="33" t="e">
        <f>+J995/E995</f>
        <v>#DIV/0!</v>
      </c>
      <c r="M995" s="104">
        <v>1.3652</v>
      </c>
      <c r="N995" s="31">
        <f>G995*M995</f>
        <v>60396.447999999997</v>
      </c>
      <c r="O995" s="86">
        <f>M995*J995</f>
        <v>648688.43200000003</v>
      </c>
      <c r="P995" s="1113"/>
    </row>
    <row r="996" spans="2:16" x14ac:dyDescent="0.25">
      <c r="B996" s="1112"/>
      <c r="C996" s="32"/>
      <c r="D996" s="118" t="s">
        <v>109</v>
      </c>
      <c r="E996" s="99">
        <v>0</v>
      </c>
      <c r="F996" s="9">
        <f>+G996+H996</f>
        <v>0</v>
      </c>
      <c r="G996" s="9">
        <v>0</v>
      </c>
      <c r="H996" s="10">
        <v>0</v>
      </c>
      <c r="I996" s="6">
        <f>J996+K996</f>
        <v>0</v>
      </c>
      <c r="J996" s="4">
        <f>+G996+J931</f>
        <v>0</v>
      </c>
      <c r="K996" s="4">
        <f>+H996+K931</f>
        <v>0</v>
      </c>
      <c r="L996" s="33"/>
      <c r="M996" s="105">
        <v>5.9917999999999996</v>
      </c>
      <c r="N996" s="34">
        <f>M996*G996</f>
        <v>0</v>
      </c>
      <c r="O996" s="87">
        <f>M996*J996</f>
        <v>0</v>
      </c>
      <c r="P996" s="1114"/>
    </row>
    <row r="997" spans="2:16" x14ac:dyDescent="0.25">
      <c r="B997" s="1112"/>
      <c r="C997" s="35"/>
      <c r="D997" s="119" t="s">
        <v>55</v>
      </c>
      <c r="E997" s="99">
        <v>0</v>
      </c>
      <c r="F997" s="9">
        <f t="shared" ref="F997:F1001" si="773">+G997+H997</f>
        <v>161248</v>
      </c>
      <c r="G997" s="9">
        <v>160250</v>
      </c>
      <c r="H997" s="10">
        <v>998</v>
      </c>
      <c r="I997" s="6">
        <f t="shared" ref="I997:I1001" si="774">J997+K997</f>
        <v>3002799</v>
      </c>
      <c r="J997" s="4">
        <f t="shared" ref="J997:J1001" si="775">+G997+J932</f>
        <v>2981000</v>
      </c>
      <c r="K997" s="4">
        <f t="shared" ref="K997:K1001" si="776">+H997+K932</f>
        <v>21799</v>
      </c>
      <c r="L997" s="33" t="e">
        <f t="shared" ref="L997" si="777">+J997/E997</f>
        <v>#DIV/0!</v>
      </c>
      <c r="M997" s="106">
        <v>2.3807999999999998</v>
      </c>
      <c r="N997" s="36">
        <f>G997*M997</f>
        <v>381523.19999999995</v>
      </c>
      <c r="O997" s="88">
        <f>M997*J997</f>
        <v>7097164.7999999998</v>
      </c>
      <c r="P997" s="1114"/>
    </row>
    <row r="998" spans="2:16" x14ac:dyDescent="0.25">
      <c r="B998" s="1112"/>
      <c r="C998" s="35"/>
      <c r="D998" s="119" t="s">
        <v>56</v>
      </c>
      <c r="E998" s="99">
        <v>0</v>
      </c>
      <c r="F998" s="9">
        <f t="shared" si="773"/>
        <v>0</v>
      </c>
      <c r="G998" s="9">
        <v>0</v>
      </c>
      <c r="H998" s="10">
        <v>0</v>
      </c>
      <c r="I998" s="6">
        <f t="shared" si="774"/>
        <v>0</v>
      </c>
      <c r="J998" s="4">
        <f t="shared" si="775"/>
        <v>0</v>
      </c>
      <c r="K998" s="4">
        <f t="shared" si="776"/>
        <v>0</v>
      </c>
      <c r="L998" s="33"/>
      <c r="M998" s="106">
        <v>2.1457999999999999</v>
      </c>
      <c r="N998" s="36">
        <f t="shared" ref="N998:N1001" si="778">G998*M998</f>
        <v>0</v>
      </c>
      <c r="O998" s="88">
        <f>M998*J998</f>
        <v>0</v>
      </c>
      <c r="P998" s="1114"/>
    </row>
    <row r="999" spans="2:16" x14ac:dyDescent="0.25">
      <c r="B999" s="1112"/>
      <c r="C999" s="35"/>
      <c r="D999" s="119" t="s">
        <v>106</v>
      </c>
      <c r="E999" s="99">
        <v>0</v>
      </c>
      <c r="F999" s="9">
        <f t="shared" si="773"/>
        <v>0</v>
      </c>
      <c r="G999" s="9">
        <v>0</v>
      </c>
      <c r="H999" s="10">
        <v>0</v>
      </c>
      <c r="I999" s="6">
        <f t="shared" si="774"/>
        <v>53280</v>
      </c>
      <c r="J999" s="4">
        <f t="shared" si="775"/>
        <v>42000</v>
      </c>
      <c r="K999" s="4">
        <f t="shared" si="776"/>
        <v>11280</v>
      </c>
      <c r="L999" s="33" t="e">
        <f t="shared" ref="L999:L1000" si="779">+J999/E999</f>
        <v>#DIV/0!</v>
      </c>
      <c r="M999" s="143">
        <v>4.0426000000000002</v>
      </c>
      <c r="N999" s="36">
        <f t="shared" si="778"/>
        <v>0</v>
      </c>
      <c r="O999" s="88">
        <f>M999*J999</f>
        <v>169789.2</v>
      </c>
      <c r="P999" s="1114"/>
    </row>
    <row r="1000" spans="2:16" x14ac:dyDescent="0.25">
      <c r="B1000" s="1112"/>
      <c r="C1000" s="35"/>
      <c r="D1000" s="119" t="s">
        <v>110</v>
      </c>
      <c r="E1000" s="99">
        <v>0</v>
      </c>
      <c r="F1000" s="9">
        <f t="shared" si="773"/>
        <v>0</v>
      </c>
      <c r="G1000" s="9">
        <v>0</v>
      </c>
      <c r="H1000" s="10">
        <v>0</v>
      </c>
      <c r="I1000" s="6">
        <f t="shared" si="774"/>
        <v>0</v>
      </c>
      <c r="J1000" s="4">
        <f t="shared" si="775"/>
        <v>0</v>
      </c>
      <c r="K1000" s="4">
        <f t="shared" si="776"/>
        <v>0</v>
      </c>
      <c r="L1000" s="33" t="e">
        <f t="shared" si="779"/>
        <v>#DIV/0!</v>
      </c>
      <c r="M1000" s="143">
        <v>3.8715000000000002</v>
      </c>
      <c r="N1000" s="36">
        <f t="shared" si="778"/>
        <v>0</v>
      </c>
      <c r="O1000" s="88">
        <f t="shared" ref="O1000:O1001" si="780">M1000*J1000</f>
        <v>0</v>
      </c>
      <c r="P1000" s="1114"/>
    </row>
    <row r="1001" spans="2:16" ht="15.75" thickBot="1" x14ac:dyDescent="0.3">
      <c r="B1001" s="1112"/>
      <c r="C1001" s="82"/>
      <c r="D1001" s="120" t="s">
        <v>57</v>
      </c>
      <c r="E1001" s="108">
        <v>0</v>
      </c>
      <c r="F1001" s="12">
        <f t="shared" si="773"/>
        <v>0</v>
      </c>
      <c r="G1001" s="12">
        <v>0</v>
      </c>
      <c r="H1001" s="13">
        <v>0</v>
      </c>
      <c r="I1001" s="21">
        <f t="shared" si="774"/>
        <v>0</v>
      </c>
      <c r="J1001" s="4">
        <f t="shared" si="775"/>
        <v>0</v>
      </c>
      <c r="K1001" s="4">
        <f t="shared" si="776"/>
        <v>0</v>
      </c>
      <c r="L1001" s="81"/>
      <c r="M1001" s="127">
        <v>12.284700000000001</v>
      </c>
      <c r="N1001" s="36">
        <f t="shared" si="778"/>
        <v>0</v>
      </c>
      <c r="O1001" s="128">
        <f t="shared" si="780"/>
        <v>0</v>
      </c>
      <c r="P1001" s="1114"/>
    </row>
    <row r="1002" spans="2:16" ht="15.75" thickBot="1" x14ac:dyDescent="0.3">
      <c r="B1002" s="1112"/>
      <c r="C1002" s="1117" t="s">
        <v>104</v>
      </c>
      <c r="D1002" s="1118"/>
      <c r="E1002" s="129"/>
      <c r="F1002" s="130">
        <f>SUM(F995:F1001)</f>
        <v>206728</v>
      </c>
      <c r="G1002" s="130">
        <f>SUM(G995:G1001)</f>
        <v>204490</v>
      </c>
      <c r="H1002" s="131">
        <f>SUM(H995:H1001)</f>
        <v>2238</v>
      </c>
      <c r="I1002" s="132">
        <f>+J1002+K1002</f>
        <v>3540405</v>
      </c>
      <c r="J1002" s="133">
        <f>SUM(J995:J1001)</f>
        <v>3498160</v>
      </c>
      <c r="K1002" s="133">
        <f>SUM(K995:K1001)</f>
        <v>42245</v>
      </c>
      <c r="L1002" s="134"/>
      <c r="M1002" s="135"/>
      <c r="N1002" s="136"/>
      <c r="O1002" s="137">
        <f>SUM(O995:O1001)</f>
        <v>7915642.432</v>
      </c>
      <c r="P1002" s="1115"/>
    </row>
    <row r="1003" spans="2:16" x14ac:dyDescent="0.25">
      <c r="B1003" s="1112"/>
      <c r="C1003" s="32"/>
      <c r="D1003" s="118" t="s">
        <v>58</v>
      </c>
      <c r="E1003" s="98">
        <v>0</v>
      </c>
      <c r="F1003" s="4">
        <f t="shared" ref="F1003:F1006" si="781">+G1003+H1003</f>
        <v>0</v>
      </c>
      <c r="G1003" s="4">
        <v>0</v>
      </c>
      <c r="H1003" s="8">
        <v>0</v>
      </c>
      <c r="I1003" s="6">
        <f t="shared" ref="I1003:I1007" si="782">J1003+K1003</f>
        <v>0</v>
      </c>
      <c r="J1003" s="4">
        <f>G1003+J938</f>
        <v>0</v>
      </c>
      <c r="K1003" s="4">
        <f>H1003+K938</f>
        <v>0</v>
      </c>
      <c r="L1003" s="33" t="e">
        <f t="shared" ref="L1003" si="783">+J1003/E1003</f>
        <v>#DIV/0!</v>
      </c>
      <c r="M1003" s="105">
        <v>12.029500000000001</v>
      </c>
      <c r="N1003" s="34">
        <f>M1003*G1003</f>
        <v>0</v>
      </c>
      <c r="O1003" s="87">
        <f t="shared" ref="O1003:O1005" si="784">M1003*J1003</f>
        <v>0</v>
      </c>
      <c r="P1003" s="1114"/>
    </row>
    <row r="1004" spans="2:16" x14ac:dyDescent="0.25">
      <c r="B1004" s="1112"/>
      <c r="C1004" s="35"/>
      <c r="D1004" s="119" t="s">
        <v>59</v>
      </c>
      <c r="E1004" s="99">
        <v>0</v>
      </c>
      <c r="F1004" s="9">
        <f t="shared" si="781"/>
        <v>0</v>
      </c>
      <c r="G1004" s="9">
        <v>0</v>
      </c>
      <c r="H1004" s="10">
        <v>0</v>
      </c>
      <c r="I1004" s="6">
        <f t="shared" si="782"/>
        <v>0</v>
      </c>
      <c r="J1004" s="4">
        <f>G1004+J939</f>
        <v>0</v>
      </c>
      <c r="K1004" s="4">
        <f>H1004+K939</f>
        <v>0</v>
      </c>
      <c r="L1004" s="33"/>
      <c r="M1004" s="106">
        <v>0</v>
      </c>
      <c r="N1004" s="36"/>
      <c r="O1004" s="88">
        <f t="shared" si="784"/>
        <v>0</v>
      </c>
      <c r="P1004" s="1114"/>
    </row>
    <row r="1005" spans="2:16" x14ac:dyDescent="0.25">
      <c r="B1005" s="1112"/>
      <c r="C1005" s="35"/>
      <c r="D1005" s="119" t="s">
        <v>97</v>
      </c>
      <c r="E1005" s="99">
        <v>0</v>
      </c>
      <c r="F1005" s="9">
        <f t="shared" si="781"/>
        <v>0</v>
      </c>
      <c r="G1005" s="9">
        <v>0</v>
      </c>
      <c r="H1005" s="10">
        <v>0</v>
      </c>
      <c r="I1005" s="6">
        <f t="shared" si="782"/>
        <v>0</v>
      </c>
      <c r="J1005" s="4">
        <f t="shared" ref="J1005:J1007" si="785">G1005+J940</f>
        <v>0</v>
      </c>
      <c r="K1005" s="4">
        <f t="shared" ref="K1005:K1007" si="786">H1005+K940</f>
        <v>0</v>
      </c>
      <c r="L1005" s="33" t="e">
        <f t="shared" ref="L1005:L1007" si="787">+J1005/E1005</f>
        <v>#DIV/0!</v>
      </c>
      <c r="M1005" s="106">
        <v>19.688600000000001</v>
      </c>
      <c r="N1005" s="36">
        <f>M1005*G1005</f>
        <v>0</v>
      </c>
      <c r="O1005" s="88">
        <f t="shared" si="784"/>
        <v>0</v>
      </c>
      <c r="P1005" s="1114"/>
    </row>
    <row r="1006" spans="2:16" x14ac:dyDescent="0.25">
      <c r="B1006" s="1112"/>
      <c r="C1006" s="35"/>
      <c r="D1006" s="119" t="s">
        <v>61</v>
      </c>
      <c r="E1006" s="99">
        <v>0</v>
      </c>
      <c r="F1006" s="9">
        <f t="shared" si="781"/>
        <v>0</v>
      </c>
      <c r="G1006" s="9">
        <v>0</v>
      </c>
      <c r="H1006" s="10">
        <v>0</v>
      </c>
      <c r="I1006" s="6">
        <f t="shared" si="782"/>
        <v>60000</v>
      </c>
      <c r="J1006" s="4">
        <f t="shared" si="785"/>
        <v>60000</v>
      </c>
      <c r="K1006" s="4">
        <f t="shared" si="786"/>
        <v>0</v>
      </c>
      <c r="L1006" s="33" t="e">
        <f t="shared" si="787"/>
        <v>#DIV/0!</v>
      </c>
      <c r="M1006" s="106">
        <v>1.2824</v>
      </c>
      <c r="N1006" s="151">
        <f>M1006*G1006</f>
        <v>0</v>
      </c>
      <c r="O1006" s="88">
        <f>M1006*J1006</f>
        <v>76944</v>
      </c>
      <c r="P1006" s="1114"/>
    </row>
    <row r="1007" spans="2:16" ht="15.75" thickBot="1" x14ac:dyDescent="0.3">
      <c r="B1007" s="1112"/>
      <c r="C1007" s="82"/>
      <c r="D1007" s="120" t="s">
        <v>60</v>
      </c>
      <c r="E1007" s="108">
        <v>0</v>
      </c>
      <c r="F1007" s="12">
        <v>0</v>
      </c>
      <c r="G1007" s="12">
        <v>12960</v>
      </c>
      <c r="H1007" s="13">
        <v>182</v>
      </c>
      <c r="I1007" s="21">
        <f t="shared" si="782"/>
        <v>96284</v>
      </c>
      <c r="J1007" s="4">
        <f t="shared" si="785"/>
        <v>95040</v>
      </c>
      <c r="K1007" s="4">
        <f t="shared" si="786"/>
        <v>1244</v>
      </c>
      <c r="L1007" s="81" t="e">
        <f t="shared" si="787"/>
        <v>#DIV/0!</v>
      </c>
      <c r="M1007" s="107">
        <v>18.2316</v>
      </c>
      <c r="N1007" s="75"/>
      <c r="O1007" s="89">
        <f t="shared" ref="O1007" si="788">M1007*J1007</f>
        <v>1732731.264</v>
      </c>
      <c r="P1007" s="1116"/>
    </row>
    <row r="1008" spans="2:16" ht="15.75" thickBot="1" x14ac:dyDescent="0.3">
      <c r="B1008" s="1096" t="s">
        <v>105</v>
      </c>
      <c r="C1008" s="1097"/>
      <c r="D1008" s="1097"/>
      <c r="E1008" s="124"/>
      <c r="F1008" s="125">
        <f>+G1008+H1008</f>
        <v>13142</v>
      </c>
      <c r="G1008" s="125">
        <f>SUM(G1003:G1007)</f>
        <v>12960</v>
      </c>
      <c r="H1008" s="126">
        <f>SUM(H1003:H1007)</f>
        <v>182</v>
      </c>
      <c r="I1008" s="121">
        <f>J1008+K1008</f>
        <v>156284</v>
      </c>
      <c r="J1008" s="122">
        <f>SUM(J1003:J1007)</f>
        <v>155040</v>
      </c>
      <c r="K1008" s="123">
        <f>SUM(K1003:K1007)</f>
        <v>1244</v>
      </c>
      <c r="L1008" s="138"/>
      <c r="M1008" s="139"/>
      <c r="N1008" s="140"/>
      <c r="O1008" s="141">
        <f>SUM(O1003:O1007)</f>
        <v>1809675.264</v>
      </c>
      <c r="P1008" s="217"/>
    </row>
    <row r="1009" spans="2:16" ht="15.75" thickBot="1" x14ac:dyDescent="0.3">
      <c r="B1009" s="1096" t="s">
        <v>98</v>
      </c>
      <c r="C1009" s="1097"/>
      <c r="D1009" s="1097"/>
      <c r="E1009" s="1119"/>
      <c r="F1009" s="1119"/>
      <c r="G1009" s="1119"/>
      <c r="H1009" s="1119"/>
      <c r="I1009" s="1097"/>
      <c r="J1009" s="1097"/>
      <c r="K1009" s="1097"/>
      <c r="L1009" s="1097"/>
      <c r="M1009" s="1097"/>
      <c r="N1009" s="1120"/>
      <c r="O1009" s="83">
        <f>O1002+O1008</f>
        <v>9725317.6960000005</v>
      </c>
      <c r="P1009" s="217"/>
    </row>
    <row r="1010" spans="2:16" x14ac:dyDescent="0.25">
      <c r="B1010" s="1111" t="s">
        <v>62</v>
      </c>
      <c r="C1010" s="37" t="s">
        <v>63</v>
      </c>
      <c r="D1010" s="28" t="s">
        <v>64</v>
      </c>
      <c r="E1010" s="38">
        <v>0</v>
      </c>
      <c r="F1010" s="14">
        <f>+G1010+H1010</f>
        <v>0</v>
      </c>
      <c r="G1010" s="14">
        <v>0</v>
      </c>
      <c r="H1010" s="5">
        <v>0</v>
      </c>
      <c r="I1010" s="17">
        <f t="shared" ref="I1010:I1016" si="789">J1010+K1010</f>
        <v>0</v>
      </c>
      <c r="J1010" s="4">
        <f>G1010+J945</f>
        <v>0</v>
      </c>
      <c r="K1010" s="4">
        <f>H1010+K945</f>
        <v>0</v>
      </c>
      <c r="L1010" s="30" t="e">
        <f>+J1010/E1010</f>
        <v>#DIV/0!</v>
      </c>
      <c r="M1010" s="146">
        <v>2.2141000000000002</v>
      </c>
      <c r="N1010" s="15">
        <f>+M1010*G1010</f>
        <v>0</v>
      </c>
      <c r="O1010" s="90">
        <f>+M1010*J1010</f>
        <v>0</v>
      </c>
      <c r="P1010" s="1122"/>
    </row>
    <row r="1011" spans="2:16" x14ac:dyDescent="0.25">
      <c r="B1011" s="1112"/>
      <c r="C1011" s="39"/>
      <c r="D1011" s="22" t="s">
        <v>65</v>
      </c>
      <c r="E1011" s="3">
        <v>0</v>
      </c>
      <c r="F1011" s="9">
        <f t="shared" ref="F1011:F1016" si="790">+G1011+H1011</f>
        <v>0</v>
      </c>
      <c r="G1011" s="4">
        <v>0</v>
      </c>
      <c r="H1011" s="8">
        <v>0</v>
      </c>
      <c r="I1011" s="6">
        <f t="shared" si="789"/>
        <v>0</v>
      </c>
      <c r="J1011" s="4">
        <f>+G1011+J946</f>
        <v>0</v>
      </c>
      <c r="K1011" s="4">
        <f>+H1011+K946</f>
        <v>0</v>
      </c>
      <c r="L1011" s="40" t="e">
        <f t="shared" ref="L1011:L1012" si="791">+J1011/E1011</f>
        <v>#DIV/0!</v>
      </c>
      <c r="M1011" s="145">
        <v>2.4565999999999999</v>
      </c>
      <c r="N1011" s="11">
        <f t="shared" ref="N1011:N1013" si="792">+M1011*G1011</f>
        <v>0</v>
      </c>
      <c r="O1011" s="91">
        <f t="shared" ref="O1011:O1013" si="793">+M1011*J1011</f>
        <v>0</v>
      </c>
      <c r="P1011" s="1123"/>
    </row>
    <row r="1012" spans="2:16" x14ac:dyDescent="0.25">
      <c r="B1012" s="1112"/>
      <c r="C1012" s="39"/>
      <c r="D1012" s="23" t="s">
        <v>126</v>
      </c>
      <c r="E1012" s="3">
        <v>0</v>
      </c>
      <c r="F1012" s="9">
        <f t="shared" si="790"/>
        <v>0</v>
      </c>
      <c r="G1012" s="4">
        <v>0</v>
      </c>
      <c r="H1012" s="8">
        <v>0</v>
      </c>
      <c r="I1012" s="6">
        <f t="shared" si="789"/>
        <v>0</v>
      </c>
      <c r="J1012" s="4">
        <f t="shared" ref="J1012:J1013" si="794">+G1012+J947</f>
        <v>0</v>
      </c>
      <c r="K1012" s="4">
        <f t="shared" ref="K1012:K1016" si="795">+H1012+K947</f>
        <v>0</v>
      </c>
      <c r="L1012" s="40" t="e">
        <f t="shared" si="791"/>
        <v>#DIV/0!</v>
      </c>
      <c r="M1012" s="145">
        <v>2.2907000000000002</v>
      </c>
      <c r="N1012" s="11">
        <f t="shared" si="792"/>
        <v>0</v>
      </c>
      <c r="O1012" s="91">
        <f t="shared" si="793"/>
        <v>0</v>
      </c>
      <c r="P1012" s="1123"/>
    </row>
    <row r="1013" spans="2:16" x14ac:dyDescent="0.25">
      <c r="B1013" s="1112"/>
      <c r="C1013" s="39"/>
      <c r="D1013" s="22" t="s">
        <v>131</v>
      </c>
      <c r="E1013" s="3"/>
      <c r="F1013" s="9">
        <f t="shared" si="790"/>
        <v>0</v>
      </c>
      <c r="G1013" s="4">
        <v>0</v>
      </c>
      <c r="H1013" s="8">
        <v>0</v>
      </c>
      <c r="I1013" s="6">
        <f t="shared" si="789"/>
        <v>0</v>
      </c>
      <c r="J1013" s="4">
        <f t="shared" si="794"/>
        <v>0</v>
      </c>
      <c r="K1013" s="4">
        <f t="shared" si="795"/>
        <v>0</v>
      </c>
      <c r="L1013" s="33"/>
      <c r="M1013" s="150">
        <v>2.544</v>
      </c>
      <c r="N1013" s="11">
        <f t="shared" si="792"/>
        <v>0</v>
      </c>
      <c r="O1013" s="91">
        <f t="shared" si="793"/>
        <v>0</v>
      </c>
      <c r="P1013" s="1123"/>
    </row>
    <row r="1014" spans="2:16" x14ac:dyDescent="0.25">
      <c r="B1014" s="1112"/>
      <c r="C1014" s="39" t="s">
        <v>66</v>
      </c>
      <c r="D1014" s="22" t="s">
        <v>133</v>
      </c>
      <c r="E1014" s="3">
        <v>0</v>
      </c>
      <c r="F1014" s="9">
        <f t="shared" si="790"/>
        <v>0</v>
      </c>
      <c r="G1014" s="4">
        <v>0</v>
      </c>
      <c r="H1014" s="8">
        <v>0</v>
      </c>
      <c r="I1014" s="6">
        <f t="shared" si="789"/>
        <v>567947</v>
      </c>
      <c r="J1014" s="4">
        <f>+G1014+J949</f>
        <v>552750</v>
      </c>
      <c r="K1014" s="4">
        <f t="shared" si="795"/>
        <v>15197</v>
      </c>
      <c r="L1014" s="33" t="e">
        <f>+J1014/E1014</f>
        <v>#DIV/0!</v>
      </c>
      <c r="M1014" s="144">
        <v>2.2141000000000002</v>
      </c>
      <c r="N1014" s="7">
        <f>+M1014*G1014</f>
        <v>0</v>
      </c>
      <c r="O1014" s="85">
        <f>+M1014*J1014</f>
        <v>1223843.7750000001</v>
      </c>
      <c r="P1014" s="1123"/>
    </row>
    <row r="1015" spans="2:16" x14ac:dyDescent="0.25">
      <c r="B1015" s="1112"/>
      <c r="C1015" s="39"/>
      <c r="D1015" s="22" t="s">
        <v>65</v>
      </c>
      <c r="E1015" s="3">
        <v>0</v>
      </c>
      <c r="F1015" s="9">
        <f t="shared" si="790"/>
        <v>0</v>
      </c>
      <c r="G1015" s="4">
        <v>0</v>
      </c>
      <c r="H1015" s="8">
        <v>0</v>
      </c>
      <c r="I1015" s="6">
        <f t="shared" si="789"/>
        <v>0</v>
      </c>
      <c r="J1015" s="4">
        <f t="shared" ref="J1015:J1016" si="796">+G1015+J950</f>
        <v>0</v>
      </c>
      <c r="K1015" s="4">
        <f t="shared" si="795"/>
        <v>0</v>
      </c>
      <c r="L1015" s="40" t="e">
        <f t="shared" ref="L1015:L1016" si="797">+J1015/E1015</f>
        <v>#DIV/0!</v>
      </c>
      <c r="M1015" s="145">
        <v>2.4565999999999999</v>
      </c>
      <c r="N1015" s="11">
        <f t="shared" ref="N1015:N1016" si="798">+M1015*G1015</f>
        <v>0</v>
      </c>
      <c r="O1015" s="91">
        <f t="shared" ref="O1015" si="799">+M1015*J1015</f>
        <v>0</v>
      </c>
      <c r="P1015" s="1123"/>
    </row>
    <row r="1016" spans="2:16" ht="15.75" thickBot="1" x14ac:dyDescent="0.3">
      <c r="B1016" s="1112"/>
      <c r="C1016" s="39"/>
      <c r="D1016" s="22" t="s">
        <v>126</v>
      </c>
      <c r="E1016" s="3">
        <v>0</v>
      </c>
      <c r="F1016" s="9">
        <f t="shared" si="790"/>
        <v>0</v>
      </c>
      <c r="G1016" s="4">
        <v>0</v>
      </c>
      <c r="H1016" s="8">
        <v>0</v>
      </c>
      <c r="I1016" s="6">
        <f t="shared" si="789"/>
        <v>0</v>
      </c>
      <c r="J1016" s="4">
        <f t="shared" si="796"/>
        <v>0</v>
      </c>
      <c r="K1016" s="4">
        <f t="shared" si="795"/>
        <v>0</v>
      </c>
      <c r="L1016" s="40" t="e">
        <f t="shared" si="797"/>
        <v>#DIV/0!</v>
      </c>
      <c r="M1016" s="145">
        <v>2.2907000000000002</v>
      </c>
      <c r="N1016" s="11">
        <f t="shared" si="798"/>
        <v>0</v>
      </c>
      <c r="O1016" s="154">
        <f>+M1016*J1016</f>
        <v>0</v>
      </c>
      <c r="P1016" s="1124"/>
    </row>
    <row r="1017" spans="2:16" ht="15.75" thickBot="1" x14ac:dyDescent="0.3">
      <c r="B1017" s="1112"/>
      <c r="C1017" s="41" t="s">
        <v>29</v>
      </c>
      <c r="D1017" s="27" t="str">
        <f>+C1017</f>
        <v>TOTAL 1/2</v>
      </c>
      <c r="E1017" s="42">
        <f>SUM(E1010:E1016)</f>
        <v>0</v>
      </c>
      <c r="F1017" s="43">
        <f>SUM(F1010:F1016)</f>
        <v>0</v>
      </c>
      <c r="G1017" s="43">
        <f>SUM(G1010:G1016)</f>
        <v>0</v>
      </c>
      <c r="H1017" s="44">
        <f>SUM(H1010:H1016)</f>
        <v>0</v>
      </c>
      <c r="I1017" s="45">
        <f>SUM(I1014:I1016)</f>
        <v>567947</v>
      </c>
      <c r="J1017" s="43">
        <f>SUM(J1010:J1016)</f>
        <v>552750</v>
      </c>
      <c r="K1017" s="43">
        <f>SUM(K1010:K1016)</f>
        <v>15197</v>
      </c>
      <c r="L1017" s="46" t="e">
        <f>+J1017/E1017</f>
        <v>#DIV/0!</v>
      </c>
      <c r="M1017" s="47"/>
      <c r="N1017" s="48">
        <f>SUM(N1014:N1016)</f>
        <v>0</v>
      </c>
      <c r="O1017" s="49">
        <f>SUM(O1010:O1016)</f>
        <v>1223843.7750000001</v>
      </c>
      <c r="P1017" s="218"/>
    </row>
    <row r="1018" spans="2:16" x14ac:dyDescent="0.25">
      <c r="B1018" s="1112"/>
      <c r="C1018" s="1125" t="s">
        <v>67</v>
      </c>
      <c r="D1018" s="22" t="s">
        <v>64</v>
      </c>
      <c r="E1018" s="3">
        <v>0</v>
      </c>
      <c r="F1018" s="4">
        <f>G1018+H1018</f>
        <v>0</v>
      </c>
      <c r="G1018" s="4">
        <v>0</v>
      </c>
      <c r="H1018" s="8">
        <v>0</v>
      </c>
      <c r="I1018" s="16">
        <f>J1018+K1018</f>
        <v>109220</v>
      </c>
      <c r="J1018" s="4">
        <f>G1018+J953</f>
        <v>105750</v>
      </c>
      <c r="K1018" s="4">
        <f>H1018+K953</f>
        <v>3470</v>
      </c>
      <c r="L1018" s="50" t="e">
        <f>+J1018/E1018</f>
        <v>#DIV/0!</v>
      </c>
      <c r="M1018" s="144">
        <v>4.1712999999999996</v>
      </c>
      <c r="N1018" s="7">
        <f>+M1018*G1018</f>
        <v>0</v>
      </c>
      <c r="O1018" s="93">
        <f>+M1018*J1018</f>
        <v>441114.97499999998</v>
      </c>
      <c r="P1018" s="1122"/>
    </row>
    <row r="1019" spans="2:16" x14ac:dyDescent="0.25">
      <c r="B1019" s="1112"/>
      <c r="C1019" s="1126"/>
      <c r="D1019" s="22" t="s">
        <v>65</v>
      </c>
      <c r="E1019" s="3">
        <v>0</v>
      </c>
      <c r="F1019" s="4">
        <f>G1019+H1019</f>
        <v>31370</v>
      </c>
      <c r="G1019" s="4">
        <v>30000</v>
      </c>
      <c r="H1019" s="8">
        <v>1370</v>
      </c>
      <c r="I1019" s="6">
        <f>+R2063+F1019</f>
        <v>31370</v>
      </c>
      <c r="J1019" s="4">
        <f>G1019+J954</f>
        <v>176500</v>
      </c>
      <c r="K1019" s="4">
        <f>H1019+K954</f>
        <v>6080</v>
      </c>
      <c r="L1019" s="51" t="e">
        <f t="shared" ref="L1019:L1023" si="800">+J1019/E1019</f>
        <v>#DIV/0!</v>
      </c>
      <c r="M1019" s="145">
        <v>4.8285999999999998</v>
      </c>
      <c r="N1019" s="11">
        <f t="shared" ref="N1019:N1021" si="801">+M1019*G1019</f>
        <v>144858</v>
      </c>
      <c r="O1019" s="94">
        <f t="shared" ref="O1019:O1021" si="802">+M1019*J1019</f>
        <v>852247.89999999991</v>
      </c>
      <c r="P1019" s="1123"/>
    </row>
    <row r="1020" spans="2:16" x14ac:dyDescent="0.25">
      <c r="B1020" s="1112"/>
      <c r="C1020" s="1126"/>
      <c r="D1020" s="22" t="s">
        <v>127</v>
      </c>
      <c r="E1020" s="3"/>
      <c r="F1020" s="4">
        <f>G1020+H1020</f>
        <v>0</v>
      </c>
      <c r="G1020" s="4">
        <v>0</v>
      </c>
      <c r="H1020" s="8">
        <v>0</v>
      </c>
      <c r="I1020" s="6">
        <f>+R2064+F1020</f>
        <v>0</v>
      </c>
      <c r="J1020" s="4">
        <f t="shared" ref="J1020:J1021" si="803">G1020+J955</f>
        <v>0</v>
      </c>
      <c r="K1020" s="4">
        <f t="shared" ref="K1020:K1021" si="804">H1020+K955</f>
        <v>0</v>
      </c>
      <c r="L1020" s="51" t="e">
        <f t="shared" si="800"/>
        <v>#DIV/0!</v>
      </c>
      <c r="M1020" s="144">
        <v>4.5023</v>
      </c>
      <c r="N1020" s="11">
        <f t="shared" si="801"/>
        <v>0</v>
      </c>
      <c r="O1020" s="94">
        <f t="shared" si="802"/>
        <v>0</v>
      </c>
      <c r="P1020" s="1123"/>
    </row>
    <row r="1021" spans="2:16" ht="15.75" thickBot="1" x14ac:dyDescent="0.3">
      <c r="B1021" s="1112"/>
      <c r="C1021" s="1126"/>
      <c r="D1021" s="22" t="s">
        <v>111</v>
      </c>
      <c r="E1021" s="3">
        <v>0</v>
      </c>
      <c r="F1021" s="4">
        <f t="shared" ref="F1021" si="805">G1021+H1021</f>
        <v>0</v>
      </c>
      <c r="G1021" s="4">
        <v>0</v>
      </c>
      <c r="H1021" s="8">
        <v>0</v>
      </c>
      <c r="I1021" s="6">
        <f>+R2064+F1021</f>
        <v>0</v>
      </c>
      <c r="J1021" s="4">
        <f t="shared" si="803"/>
        <v>0</v>
      </c>
      <c r="K1021" s="4">
        <f t="shared" si="804"/>
        <v>0</v>
      </c>
      <c r="L1021" s="51" t="e">
        <f t="shared" si="800"/>
        <v>#DIV/0!</v>
      </c>
      <c r="M1021" s="144">
        <v>4.4065000000000003</v>
      </c>
      <c r="N1021" s="11">
        <f t="shared" si="801"/>
        <v>0</v>
      </c>
      <c r="O1021" s="94">
        <f t="shared" si="802"/>
        <v>0</v>
      </c>
      <c r="P1021" s="1123"/>
    </row>
    <row r="1022" spans="2:16" ht="15.75" thickBot="1" x14ac:dyDescent="0.3">
      <c r="B1022" s="1112"/>
      <c r="C1022" s="41" t="s">
        <v>31</v>
      </c>
      <c r="D1022" s="18" t="str">
        <f>+C1022</f>
        <v>TOTAL 4/4</v>
      </c>
      <c r="E1022" s="42">
        <f t="shared" ref="E1022:K1022" si="806">SUM(E1018:E1021)</f>
        <v>0</v>
      </c>
      <c r="F1022" s="43">
        <f t="shared" si="806"/>
        <v>31370</v>
      </c>
      <c r="G1022" s="43">
        <f t="shared" si="806"/>
        <v>30000</v>
      </c>
      <c r="H1022" s="44">
        <f t="shared" si="806"/>
        <v>1370</v>
      </c>
      <c r="I1022" s="45">
        <f t="shared" si="806"/>
        <v>140590</v>
      </c>
      <c r="J1022" s="43">
        <f t="shared" si="806"/>
        <v>282250</v>
      </c>
      <c r="K1022" s="43">
        <f t="shared" si="806"/>
        <v>9550</v>
      </c>
      <c r="L1022" s="46" t="e">
        <f t="shared" si="800"/>
        <v>#DIV/0!</v>
      </c>
      <c r="M1022" s="47"/>
      <c r="N1022" s="48">
        <f>SUM(N1018:N1021)</f>
        <v>144858</v>
      </c>
      <c r="O1022" s="92">
        <f>SUM(O1018:O1021)</f>
        <v>1293362.875</v>
      </c>
      <c r="P1022" s="1124"/>
    </row>
    <row r="1023" spans="2:16" ht="15.75" thickBot="1" x14ac:dyDescent="0.3">
      <c r="B1023" s="1121"/>
      <c r="C1023" s="41" t="s">
        <v>68</v>
      </c>
      <c r="D1023" s="27" t="s">
        <v>64</v>
      </c>
      <c r="E1023" s="25">
        <v>0</v>
      </c>
      <c r="F1023" s="20">
        <f>G1023+H1023</f>
        <v>0</v>
      </c>
      <c r="G1023" s="20">
        <v>0</v>
      </c>
      <c r="H1023" s="24">
        <v>0</v>
      </c>
      <c r="I1023" s="19">
        <f>J1023+K1023</f>
        <v>0</v>
      </c>
      <c r="J1023" s="4">
        <f>G1023+J958</f>
        <v>0</v>
      </c>
      <c r="K1023" s="4">
        <f>H1023+K958</f>
        <v>0</v>
      </c>
      <c r="L1023" s="52" t="e">
        <f t="shared" si="800"/>
        <v>#DIV/0!</v>
      </c>
      <c r="M1023" s="149">
        <v>1.4086000000000001</v>
      </c>
      <c r="N1023" s="26">
        <f t="shared" ref="N1023" si="807">+M1023*G1023</f>
        <v>0</v>
      </c>
      <c r="O1023" s="95">
        <f t="shared" ref="O1023" si="808">+M1023*J1023</f>
        <v>0</v>
      </c>
      <c r="P1023" s="53"/>
    </row>
    <row r="1024" spans="2:16" ht="15.75" thickBot="1" x14ac:dyDescent="0.3">
      <c r="B1024" s="1096" t="s">
        <v>95</v>
      </c>
      <c r="C1024" s="1097"/>
      <c r="D1024" s="1097"/>
      <c r="E1024" s="1097"/>
      <c r="F1024" s="1097"/>
      <c r="G1024" s="1097"/>
      <c r="H1024" s="1097"/>
      <c r="I1024" s="110">
        <f>J1024+K1024</f>
        <v>859747</v>
      </c>
      <c r="J1024" s="110">
        <f>J1017+J1022+J1023</f>
        <v>835000</v>
      </c>
      <c r="K1024" s="110">
        <f>K1017+K1022+K1023</f>
        <v>24747</v>
      </c>
      <c r="L1024" s="111"/>
      <c r="M1024" s="112"/>
      <c r="N1024" s="109"/>
      <c r="O1024" s="77">
        <f>+O1023+O1022+O1017</f>
        <v>2517206.6500000004</v>
      </c>
      <c r="P1024" s="84"/>
    </row>
    <row r="1025" spans="2:16" x14ac:dyDescent="0.25">
      <c r="B1025" s="1098" t="s">
        <v>69</v>
      </c>
      <c r="C1025" s="1101" t="s">
        <v>70</v>
      </c>
      <c r="D1025" s="54" t="s">
        <v>71</v>
      </c>
      <c r="E1025" s="55">
        <v>0</v>
      </c>
      <c r="F1025" s="56">
        <f>G1025+H1025</f>
        <v>10089</v>
      </c>
      <c r="G1025" s="56">
        <v>10000</v>
      </c>
      <c r="H1025" s="57">
        <v>89</v>
      </c>
      <c r="I1025" s="78">
        <f>J1025+K1025</f>
        <v>47042</v>
      </c>
      <c r="J1025" s="4">
        <f>G1025+J960</f>
        <v>46600</v>
      </c>
      <c r="K1025" s="4">
        <f>H1025+K960</f>
        <v>442</v>
      </c>
      <c r="L1025" s="58" t="e">
        <f t="shared" ref="L1025" si="809">+J1025/E1025</f>
        <v>#DIV/0!</v>
      </c>
      <c r="M1025" s="59">
        <v>32.946300000000001</v>
      </c>
      <c r="N1025" s="60">
        <f>+M1025*G1025</f>
        <v>329463</v>
      </c>
      <c r="O1025" s="60">
        <f>M1025*J1025</f>
        <v>1535297.58</v>
      </c>
      <c r="P1025" s="1103"/>
    </row>
    <row r="1026" spans="2:16" x14ac:dyDescent="0.25">
      <c r="B1026" s="1099"/>
      <c r="C1026" s="1102"/>
      <c r="D1026" s="61" t="s">
        <v>72</v>
      </c>
      <c r="E1026" s="62">
        <v>0</v>
      </c>
      <c r="F1026" s="63">
        <f>G1026+H1026</f>
        <v>0</v>
      </c>
      <c r="G1026" s="63">
        <v>0</v>
      </c>
      <c r="H1026" s="64">
        <v>0</v>
      </c>
      <c r="I1026" s="79">
        <f>J1026+K1026</f>
        <v>31833</v>
      </c>
      <c r="J1026" s="4">
        <f>G1026+J961</f>
        <v>31420</v>
      </c>
      <c r="K1026" s="4">
        <f>H1026+K961</f>
        <v>413</v>
      </c>
      <c r="L1026" s="65" t="e">
        <f>+J1026/E1026</f>
        <v>#DIV/0!</v>
      </c>
      <c r="M1026" s="66">
        <v>35.398400000000002</v>
      </c>
      <c r="N1026" s="67">
        <f>+M1026*G1026</f>
        <v>0</v>
      </c>
      <c r="O1026" s="67">
        <f>M1026*J1026</f>
        <v>1112217.7280000001</v>
      </c>
      <c r="P1026" s="1104"/>
    </row>
    <row r="1027" spans="2:16" x14ac:dyDescent="0.25">
      <c r="B1027" s="1099"/>
      <c r="C1027" s="1102"/>
      <c r="D1027" s="61" t="s">
        <v>73</v>
      </c>
      <c r="E1027" s="62">
        <v>0</v>
      </c>
      <c r="F1027" s="63">
        <f t="shared" ref="F1027:F1030" si="810">G1027+H1027</f>
        <v>0</v>
      </c>
      <c r="G1027" s="63">
        <v>0</v>
      </c>
      <c r="H1027" s="64">
        <v>0</v>
      </c>
      <c r="I1027" s="79">
        <f t="shared" ref="I1027:I1036" si="811">J1027+K1027</f>
        <v>0</v>
      </c>
      <c r="J1027" s="4">
        <f t="shared" ref="J1027:J1052" si="812">G1027+J962</f>
        <v>0</v>
      </c>
      <c r="K1027" s="4">
        <f t="shared" ref="K1027:K1031" si="813">H1027+K962</f>
        <v>0</v>
      </c>
      <c r="L1027" s="65" t="e">
        <f t="shared" ref="L1027:L1040" si="814">+J1027/E1027</f>
        <v>#DIV/0!</v>
      </c>
      <c r="M1027" s="66">
        <v>32.946300000000001</v>
      </c>
      <c r="N1027" s="67">
        <f t="shared" ref="N1027:N1047" si="815">+M1027*G1027</f>
        <v>0</v>
      </c>
      <c r="O1027" s="67">
        <f t="shared" ref="O1027:O1035" si="816">M1027*J1027</f>
        <v>0</v>
      </c>
      <c r="P1027" s="1104"/>
    </row>
    <row r="1028" spans="2:16" x14ac:dyDescent="0.25">
      <c r="B1028" s="1099"/>
      <c r="C1028" s="1102" t="s">
        <v>74</v>
      </c>
      <c r="D1028" s="61" t="s">
        <v>75</v>
      </c>
      <c r="E1028" s="62">
        <v>0</v>
      </c>
      <c r="F1028" s="63">
        <f t="shared" si="810"/>
        <v>4980</v>
      </c>
      <c r="G1028" s="63">
        <v>4800</v>
      </c>
      <c r="H1028" s="64">
        <v>180</v>
      </c>
      <c r="I1028" s="79">
        <f t="shared" si="811"/>
        <v>34515</v>
      </c>
      <c r="J1028" s="4">
        <f t="shared" si="812"/>
        <v>33600</v>
      </c>
      <c r="K1028" s="4">
        <f t="shared" si="813"/>
        <v>915</v>
      </c>
      <c r="L1028" s="65" t="e">
        <f t="shared" si="814"/>
        <v>#DIV/0!</v>
      </c>
      <c r="M1028" s="66">
        <v>55.4758</v>
      </c>
      <c r="N1028" s="67">
        <f t="shared" si="815"/>
        <v>266283.84000000003</v>
      </c>
      <c r="O1028" s="67">
        <f t="shared" si="816"/>
        <v>1863986.88</v>
      </c>
      <c r="P1028" s="1104"/>
    </row>
    <row r="1029" spans="2:16" x14ac:dyDescent="0.25">
      <c r="B1029" s="1099"/>
      <c r="C1029" s="1102"/>
      <c r="D1029" s="61" t="s">
        <v>134</v>
      </c>
      <c r="E1029" s="62">
        <v>0</v>
      </c>
      <c r="F1029" s="63">
        <f t="shared" si="810"/>
        <v>0</v>
      </c>
      <c r="G1029" s="63">
        <v>0</v>
      </c>
      <c r="H1029" s="64">
        <v>0</v>
      </c>
      <c r="I1029" s="79">
        <f t="shared" si="811"/>
        <v>0</v>
      </c>
      <c r="J1029" s="4">
        <f t="shared" si="812"/>
        <v>0</v>
      </c>
      <c r="K1029" s="4">
        <f t="shared" si="813"/>
        <v>0</v>
      </c>
      <c r="L1029" s="65" t="e">
        <f t="shared" si="814"/>
        <v>#DIV/0!</v>
      </c>
      <c r="M1029" s="66">
        <v>53.515999999999998</v>
      </c>
      <c r="N1029" s="67">
        <f t="shared" si="815"/>
        <v>0</v>
      </c>
      <c r="O1029" s="67">
        <f t="shared" si="816"/>
        <v>0</v>
      </c>
      <c r="P1029" s="1104"/>
    </row>
    <row r="1030" spans="2:16" x14ac:dyDescent="0.25">
      <c r="B1030" s="1099"/>
      <c r="C1030" s="1102"/>
      <c r="D1030" s="61" t="s">
        <v>72</v>
      </c>
      <c r="E1030" s="62">
        <v>0</v>
      </c>
      <c r="F1030" s="63">
        <f t="shared" si="810"/>
        <v>0</v>
      </c>
      <c r="G1030" s="63">
        <v>0</v>
      </c>
      <c r="H1030" s="64">
        <v>0</v>
      </c>
      <c r="I1030" s="79">
        <f t="shared" si="811"/>
        <v>9804</v>
      </c>
      <c r="J1030" s="4">
        <f t="shared" si="812"/>
        <v>9600</v>
      </c>
      <c r="K1030" s="4">
        <f t="shared" si="813"/>
        <v>204</v>
      </c>
      <c r="L1030" s="65" t="e">
        <f t="shared" si="814"/>
        <v>#DIV/0!</v>
      </c>
      <c r="M1030" s="66">
        <v>58.836300000000001</v>
      </c>
      <c r="N1030" s="67">
        <f t="shared" si="815"/>
        <v>0</v>
      </c>
      <c r="O1030" s="67">
        <f t="shared" si="816"/>
        <v>564828.48</v>
      </c>
      <c r="P1030" s="1104"/>
    </row>
    <row r="1031" spans="2:16" x14ac:dyDescent="0.25">
      <c r="B1031" s="1099"/>
      <c r="C1031" s="1106" t="s">
        <v>76</v>
      </c>
      <c r="D1031" s="61" t="s">
        <v>77</v>
      </c>
      <c r="E1031" s="62">
        <v>0</v>
      </c>
      <c r="F1031" s="63">
        <f>G1031+H1031</f>
        <v>0</v>
      </c>
      <c r="G1031" s="63">
        <v>0</v>
      </c>
      <c r="H1031" s="64">
        <v>0</v>
      </c>
      <c r="I1031" s="79">
        <f t="shared" si="811"/>
        <v>13295</v>
      </c>
      <c r="J1031" s="4">
        <f t="shared" si="812"/>
        <v>13000</v>
      </c>
      <c r="K1031" s="4">
        <f t="shared" si="813"/>
        <v>295</v>
      </c>
      <c r="L1031" s="65" t="e">
        <f t="shared" si="814"/>
        <v>#DIV/0!</v>
      </c>
      <c r="M1031" s="66">
        <v>25.687200000000001</v>
      </c>
      <c r="N1031" s="67">
        <f t="shared" si="815"/>
        <v>0</v>
      </c>
      <c r="O1031" s="67">
        <f t="shared" si="816"/>
        <v>333933.60000000003</v>
      </c>
      <c r="P1031" s="1104"/>
    </row>
    <row r="1032" spans="2:16" x14ac:dyDescent="0.25">
      <c r="B1032" s="1099"/>
      <c r="C1032" s="1107"/>
      <c r="D1032" s="61" t="s">
        <v>117</v>
      </c>
      <c r="E1032" s="62">
        <v>0</v>
      </c>
      <c r="F1032" s="63">
        <f>G1032+H1032</f>
        <v>0</v>
      </c>
      <c r="G1032" s="63">
        <v>0</v>
      </c>
      <c r="H1032" s="64">
        <v>0</v>
      </c>
      <c r="I1032" s="79">
        <f t="shared" si="811"/>
        <v>0</v>
      </c>
      <c r="J1032" s="4">
        <f t="shared" si="812"/>
        <v>0</v>
      </c>
      <c r="K1032" s="4">
        <f>H1032+K967</f>
        <v>0</v>
      </c>
      <c r="L1032" s="65" t="e">
        <f t="shared" si="814"/>
        <v>#DIV/0!</v>
      </c>
      <c r="M1032" s="66">
        <v>25.033899999999999</v>
      </c>
      <c r="N1032" s="67">
        <f t="shared" si="815"/>
        <v>0</v>
      </c>
      <c r="O1032" s="67">
        <f t="shared" si="816"/>
        <v>0</v>
      </c>
      <c r="P1032" s="1104"/>
    </row>
    <row r="1033" spans="2:16" x14ac:dyDescent="0.25">
      <c r="B1033" s="1099"/>
      <c r="C1033" s="1106" t="s">
        <v>78</v>
      </c>
      <c r="D1033" s="61" t="s">
        <v>79</v>
      </c>
      <c r="E1033" s="62">
        <v>0</v>
      </c>
      <c r="F1033" s="63">
        <f t="shared" ref="F1033:F1052" si="817">G1033+H1033</f>
        <v>0</v>
      </c>
      <c r="G1033" s="63">
        <v>0</v>
      </c>
      <c r="H1033" s="64">
        <v>0</v>
      </c>
      <c r="I1033" s="79">
        <f t="shared" si="811"/>
        <v>16343</v>
      </c>
      <c r="J1033" s="4">
        <f t="shared" si="812"/>
        <v>16000</v>
      </c>
      <c r="K1033" s="4">
        <f t="shared" ref="K1033:K1052" si="818">H1033+K968</f>
        <v>343</v>
      </c>
      <c r="L1033" s="65" t="e">
        <f t="shared" si="814"/>
        <v>#DIV/0!</v>
      </c>
      <c r="M1033" s="66">
        <v>41.992699999999999</v>
      </c>
      <c r="N1033" s="67">
        <f t="shared" si="815"/>
        <v>0</v>
      </c>
      <c r="O1033" s="67">
        <f t="shared" si="816"/>
        <v>671883.2</v>
      </c>
      <c r="P1033" s="1104"/>
    </row>
    <row r="1034" spans="2:16" x14ac:dyDescent="0.25">
      <c r="B1034" s="1099"/>
      <c r="C1034" s="1107"/>
      <c r="D1034" s="61" t="s">
        <v>72</v>
      </c>
      <c r="E1034" s="62">
        <v>0</v>
      </c>
      <c r="F1034" s="63">
        <f t="shared" si="817"/>
        <v>0</v>
      </c>
      <c r="G1034" s="63">
        <v>0</v>
      </c>
      <c r="H1034" s="64">
        <v>0</v>
      </c>
      <c r="I1034" s="79">
        <f t="shared" si="811"/>
        <v>0</v>
      </c>
      <c r="J1034" s="4">
        <f t="shared" si="812"/>
        <v>0</v>
      </c>
      <c r="K1034" s="4">
        <f t="shared" si="818"/>
        <v>0</v>
      </c>
      <c r="L1034" s="65" t="e">
        <f t="shared" si="814"/>
        <v>#DIV/0!</v>
      </c>
      <c r="M1034" s="66">
        <v>42.283799999999999</v>
      </c>
      <c r="N1034" s="67">
        <f t="shared" si="815"/>
        <v>0</v>
      </c>
      <c r="O1034" s="67">
        <f t="shared" si="816"/>
        <v>0</v>
      </c>
      <c r="P1034" s="1104"/>
    </row>
    <row r="1035" spans="2:16" x14ac:dyDescent="0.25">
      <c r="B1035" s="1099"/>
      <c r="C1035" s="216" t="s">
        <v>80</v>
      </c>
      <c r="D1035" s="61" t="s">
        <v>81</v>
      </c>
      <c r="E1035" s="62">
        <v>0</v>
      </c>
      <c r="F1035" s="63">
        <f t="shared" si="817"/>
        <v>0</v>
      </c>
      <c r="G1035" s="63">
        <v>0</v>
      </c>
      <c r="H1035" s="64">
        <v>0</v>
      </c>
      <c r="I1035" s="79">
        <f t="shared" si="811"/>
        <v>24803</v>
      </c>
      <c r="J1035" s="4">
        <f t="shared" si="812"/>
        <v>24000</v>
      </c>
      <c r="K1035" s="4">
        <f t="shared" si="818"/>
        <v>803</v>
      </c>
      <c r="L1035" s="65" t="e">
        <f t="shared" si="814"/>
        <v>#DIV/0!</v>
      </c>
      <c r="M1035" s="66">
        <v>4.3535000000000004</v>
      </c>
      <c r="N1035" s="67">
        <f t="shared" si="815"/>
        <v>0</v>
      </c>
      <c r="O1035" s="67">
        <f t="shared" si="816"/>
        <v>104484.00000000001</v>
      </c>
      <c r="P1035" s="1104"/>
    </row>
    <row r="1036" spans="2:16" x14ac:dyDescent="0.25">
      <c r="B1036" s="1099"/>
      <c r="C1036" s="1102" t="s">
        <v>82</v>
      </c>
      <c r="D1036" s="61" t="s">
        <v>77</v>
      </c>
      <c r="E1036" s="62">
        <v>0</v>
      </c>
      <c r="F1036" s="63">
        <f t="shared" si="817"/>
        <v>0</v>
      </c>
      <c r="G1036" s="63">
        <v>0</v>
      </c>
      <c r="H1036" s="64">
        <v>0</v>
      </c>
      <c r="I1036" s="79">
        <f t="shared" si="811"/>
        <v>0</v>
      </c>
      <c r="J1036" s="4">
        <f t="shared" si="812"/>
        <v>0</v>
      </c>
      <c r="K1036" s="4">
        <f t="shared" si="818"/>
        <v>0</v>
      </c>
      <c r="L1036" s="65" t="e">
        <f t="shared" si="814"/>
        <v>#DIV/0!</v>
      </c>
      <c r="M1036" s="66">
        <v>4.6184000000000003</v>
      </c>
      <c r="N1036" s="67">
        <f t="shared" si="815"/>
        <v>0</v>
      </c>
      <c r="O1036" s="67">
        <f>M1036*J1036</f>
        <v>0</v>
      </c>
      <c r="P1036" s="1104"/>
    </row>
    <row r="1037" spans="2:16" x14ac:dyDescent="0.25">
      <c r="B1037" s="1099"/>
      <c r="C1037" s="1102"/>
      <c r="D1037" s="61" t="s">
        <v>119</v>
      </c>
      <c r="E1037" s="62">
        <v>0</v>
      </c>
      <c r="F1037" s="63">
        <f t="shared" si="817"/>
        <v>20139</v>
      </c>
      <c r="G1037" s="63">
        <v>19800</v>
      </c>
      <c r="H1037" s="64">
        <v>339</v>
      </c>
      <c r="I1037" s="79">
        <f>J1037+K1037</f>
        <v>29721</v>
      </c>
      <c r="J1037" s="4">
        <f t="shared" si="812"/>
        <v>29000</v>
      </c>
      <c r="K1037" s="4">
        <f t="shared" si="818"/>
        <v>721</v>
      </c>
      <c r="L1037" s="65" t="e">
        <f t="shared" si="814"/>
        <v>#DIV/0!</v>
      </c>
      <c r="M1037" s="153">
        <v>4.6184000000000003</v>
      </c>
      <c r="N1037" s="67">
        <f t="shared" si="815"/>
        <v>91444.32</v>
      </c>
      <c r="O1037" s="67">
        <f>M1037*J1037</f>
        <v>133933.6</v>
      </c>
      <c r="P1037" s="1104"/>
    </row>
    <row r="1038" spans="2:16" x14ac:dyDescent="0.25">
      <c r="B1038" s="1099"/>
      <c r="C1038" s="1102"/>
      <c r="D1038" s="61" t="s">
        <v>123</v>
      </c>
      <c r="E1038" s="62">
        <v>0</v>
      </c>
      <c r="F1038" s="63">
        <f t="shared" si="817"/>
        <v>0</v>
      </c>
      <c r="G1038" s="63">
        <v>0</v>
      </c>
      <c r="H1038" s="64">
        <v>0</v>
      </c>
      <c r="I1038" s="79">
        <f t="shared" ref="I1038:I1052" si="819">J1038+K1038</f>
        <v>0</v>
      </c>
      <c r="J1038" s="4">
        <f t="shared" si="812"/>
        <v>0</v>
      </c>
      <c r="K1038" s="4">
        <f t="shared" si="818"/>
        <v>0</v>
      </c>
      <c r="L1038" s="65" t="e">
        <f t="shared" si="814"/>
        <v>#DIV/0!</v>
      </c>
      <c r="M1038" s="153">
        <v>4.6184000000000003</v>
      </c>
      <c r="N1038" s="67">
        <f t="shared" si="815"/>
        <v>0</v>
      </c>
      <c r="O1038" s="67">
        <f t="shared" ref="O1038:O1043" si="820">M1038*J1038</f>
        <v>0</v>
      </c>
      <c r="P1038" s="1104"/>
    </row>
    <row r="1039" spans="2:16" x14ac:dyDescent="0.25">
      <c r="B1039" s="1099"/>
      <c r="C1039" s="1102"/>
      <c r="D1039" s="61" t="s">
        <v>124</v>
      </c>
      <c r="E1039" s="62">
        <v>0</v>
      </c>
      <c r="F1039" s="63">
        <f t="shared" si="817"/>
        <v>0</v>
      </c>
      <c r="G1039" s="63">
        <v>0</v>
      </c>
      <c r="H1039" s="64">
        <v>0</v>
      </c>
      <c r="I1039" s="79">
        <f t="shared" si="819"/>
        <v>281684</v>
      </c>
      <c r="J1039" s="4">
        <f t="shared" si="812"/>
        <v>274275</v>
      </c>
      <c r="K1039" s="4">
        <f t="shared" si="818"/>
        <v>7409</v>
      </c>
      <c r="L1039" s="65" t="e">
        <f t="shared" si="814"/>
        <v>#DIV/0!</v>
      </c>
      <c r="M1039" s="153">
        <v>4.7636000000000003</v>
      </c>
      <c r="N1039" s="67">
        <f t="shared" si="815"/>
        <v>0</v>
      </c>
      <c r="O1039" s="67">
        <f t="shared" si="820"/>
        <v>1306536.3900000001</v>
      </c>
      <c r="P1039" s="1104"/>
    </row>
    <row r="1040" spans="2:16" x14ac:dyDescent="0.25">
      <c r="B1040" s="1099"/>
      <c r="C1040" s="1102"/>
      <c r="D1040" s="61" t="s">
        <v>83</v>
      </c>
      <c r="E1040" s="62">
        <v>0</v>
      </c>
      <c r="F1040" s="63">
        <f t="shared" si="817"/>
        <v>0</v>
      </c>
      <c r="G1040" s="63">
        <v>0</v>
      </c>
      <c r="H1040" s="64">
        <v>0</v>
      </c>
      <c r="I1040" s="79">
        <f t="shared" si="819"/>
        <v>0</v>
      </c>
      <c r="J1040" s="4">
        <f t="shared" si="812"/>
        <v>0</v>
      </c>
      <c r="K1040" s="4">
        <f t="shared" si="818"/>
        <v>0</v>
      </c>
      <c r="L1040" s="65" t="e">
        <f t="shared" si="814"/>
        <v>#DIV/0!</v>
      </c>
      <c r="M1040" s="66">
        <v>4.8738000000000001</v>
      </c>
      <c r="N1040" s="67">
        <f t="shared" si="815"/>
        <v>0</v>
      </c>
      <c r="O1040" s="67">
        <f t="shared" si="820"/>
        <v>0</v>
      </c>
      <c r="P1040" s="1104"/>
    </row>
    <row r="1041" spans="2:16" x14ac:dyDescent="0.25">
      <c r="B1041" s="1099"/>
      <c r="C1041" s="216" t="s">
        <v>128</v>
      </c>
      <c r="D1041" s="61" t="s">
        <v>124</v>
      </c>
      <c r="E1041" s="62"/>
      <c r="F1041" s="63">
        <f t="shared" si="817"/>
        <v>0</v>
      </c>
      <c r="G1041" s="63">
        <v>0</v>
      </c>
      <c r="H1041" s="64">
        <v>0</v>
      </c>
      <c r="I1041" s="79">
        <f t="shared" si="819"/>
        <v>0</v>
      </c>
      <c r="J1041" s="4">
        <f t="shared" si="812"/>
        <v>0</v>
      </c>
      <c r="K1041" s="4">
        <f t="shared" si="818"/>
        <v>0</v>
      </c>
      <c r="L1041" s="65"/>
      <c r="M1041" s="66">
        <v>4.8738000000000001</v>
      </c>
      <c r="N1041" s="67">
        <f t="shared" si="815"/>
        <v>0</v>
      </c>
      <c r="O1041" s="67">
        <f t="shared" si="820"/>
        <v>0</v>
      </c>
      <c r="P1041" s="1104"/>
    </row>
    <row r="1042" spans="2:16" x14ac:dyDescent="0.25">
      <c r="B1042" s="1099"/>
      <c r="C1042" s="1102" t="s">
        <v>84</v>
      </c>
      <c r="D1042" s="61" t="s">
        <v>77</v>
      </c>
      <c r="E1042" s="62">
        <v>0</v>
      </c>
      <c r="F1042" s="63">
        <f t="shared" si="817"/>
        <v>0</v>
      </c>
      <c r="G1042" s="63">
        <v>0</v>
      </c>
      <c r="H1042" s="64">
        <v>0</v>
      </c>
      <c r="I1042" s="79">
        <f t="shared" si="819"/>
        <v>197600</v>
      </c>
      <c r="J1042" s="4">
        <f t="shared" si="812"/>
        <v>194950</v>
      </c>
      <c r="K1042" s="4">
        <f t="shared" si="818"/>
        <v>2650</v>
      </c>
      <c r="L1042" s="65" t="e">
        <f t="shared" ref="L1042:L1052" si="821">+J1042/E1042</f>
        <v>#DIV/0!</v>
      </c>
      <c r="M1042" s="66">
        <v>4.9344999999999999</v>
      </c>
      <c r="N1042" s="67">
        <f t="shared" si="815"/>
        <v>0</v>
      </c>
      <c r="O1042" s="67">
        <f t="shared" si="820"/>
        <v>961980.77500000002</v>
      </c>
      <c r="P1042" s="1104"/>
    </row>
    <row r="1043" spans="2:16" x14ac:dyDescent="0.25">
      <c r="B1043" s="1099"/>
      <c r="C1043" s="1102"/>
      <c r="D1043" s="61" t="s">
        <v>135</v>
      </c>
      <c r="E1043" s="62"/>
      <c r="F1043" s="63">
        <f t="shared" si="817"/>
        <v>25559</v>
      </c>
      <c r="G1043" s="63">
        <v>25200</v>
      </c>
      <c r="H1043" s="64">
        <v>359</v>
      </c>
      <c r="I1043" s="79">
        <f t="shared" si="819"/>
        <v>87137</v>
      </c>
      <c r="J1043" s="4">
        <f t="shared" si="812"/>
        <v>83700</v>
      </c>
      <c r="K1043" s="4">
        <f t="shared" si="818"/>
        <v>3437</v>
      </c>
      <c r="L1043" s="65" t="e">
        <f t="shared" si="821"/>
        <v>#DIV/0!</v>
      </c>
      <c r="M1043" s="66">
        <v>4.9344999999999999</v>
      </c>
      <c r="N1043" s="67">
        <f t="shared" si="815"/>
        <v>124349.4</v>
      </c>
      <c r="O1043" s="67">
        <f t="shared" si="820"/>
        <v>413017.64999999997</v>
      </c>
      <c r="P1043" s="1104"/>
    </row>
    <row r="1044" spans="2:16" x14ac:dyDescent="0.25">
      <c r="B1044" s="1099"/>
      <c r="C1044" s="1102"/>
      <c r="D1044" s="61" t="s">
        <v>129</v>
      </c>
      <c r="E1044" s="62">
        <v>0</v>
      </c>
      <c r="F1044" s="63">
        <f t="shared" si="817"/>
        <v>0</v>
      </c>
      <c r="G1044" s="155">
        <v>0</v>
      </c>
      <c r="H1044" s="156">
        <v>0</v>
      </c>
      <c r="I1044" s="157">
        <f t="shared" si="819"/>
        <v>0</v>
      </c>
      <c r="J1044" s="4">
        <f t="shared" si="812"/>
        <v>0</v>
      </c>
      <c r="K1044" s="4">
        <f t="shared" si="818"/>
        <v>0</v>
      </c>
      <c r="L1044" s="158" t="e">
        <f t="shared" si="821"/>
        <v>#DIV/0!</v>
      </c>
      <c r="M1044" s="66">
        <v>4.9344999999999999</v>
      </c>
      <c r="N1044" s="159">
        <f t="shared" si="815"/>
        <v>0</v>
      </c>
      <c r="O1044" s="67">
        <f>M1044*J1044</f>
        <v>0</v>
      </c>
      <c r="P1044" s="1104"/>
    </row>
    <row r="1045" spans="2:16" x14ac:dyDescent="0.25">
      <c r="B1045" s="1099"/>
      <c r="C1045" s="1102" t="s">
        <v>85</v>
      </c>
      <c r="D1045" s="61" t="s">
        <v>77</v>
      </c>
      <c r="E1045" s="62">
        <v>0</v>
      </c>
      <c r="F1045" s="63">
        <f t="shared" si="817"/>
        <v>0</v>
      </c>
      <c r="G1045" s="63">
        <v>0</v>
      </c>
      <c r="H1045" s="64">
        <v>0</v>
      </c>
      <c r="I1045" s="79">
        <f t="shared" si="819"/>
        <v>138276</v>
      </c>
      <c r="J1045" s="4">
        <f t="shared" si="812"/>
        <v>130950</v>
      </c>
      <c r="K1045" s="4">
        <f t="shared" si="818"/>
        <v>7326</v>
      </c>
      <c r="L1045" s="65" t="e">
        <f t="shared" si="821"/>
        <v>#DIV/0!</v>
      </c>
      <c r="M1045" s="148">
        <v>5.5069999999999997</v>
      </c>
      <c r="N1045" s="67">
        <f t="shared" si="815"/>
        <v>0</v>
      </c>
      <c r="O1045" s="67">
        <f>M1045*J1045</f>
        <v>721141.64999999991</v>
      </c>
      <c r="P1045" s="1104"/>
    </row>
    <row r="1046" spans="2:16" x14ac:dyDescent="0.25">
      <c r="B1046" s="1099"/>
      <c r="C1046" s="1102"/>
      <c r="D1046" s="61" t="s">
        <v>112</v>
      </c>
      <c r="E1046" s="62">
        <v>0</v>
      </c>
      <c r="F1046" s="63">
        <f t="shared" si="817"/>
        <v>15714</v>
      </c>
      <c r="G1046" s="63">
        <v>15300</v>
      </c>
      <c r="H1046" s="64">
        <v>414</v>
      </c>
      <c r="I1046" s="79">
        <f t="shared" si="819"/>
        <v>111458</v>
      </c>
      <c r="J1046" s="4">
        <f t="shared" si="812"/>
        <v>107550</v>
      </c>
      <c r="K1046" s="4">
        <f t="shared" si="818"/>
        <v>3908</v>
      </c>
      <c r="L1046" s="65" t="e">
        <f t="shared" si="821"/>
        <v>#DIV/0!</v>
      </c>
      <c r="M1046" s="147">
        <v>5.6550000000000002</v>
      </c>
      <c r="N1046" s="67">
        <f t="shared" si="815"/>
        <v>86521.5</v>
      </c>
      <c r="O1046" s="67">
        <f>M1046*J1046</f>
        <v>608195.25</v>
      </c>
      <c r="P1046" s="1104"/>
    </row>
    <row r="1047" spans="2:16" x14ac:dyDescent="0.25">
      <c r="B1047" s="1099"/>
      <c r="C1047" s="1102"/>
      <c r="D1047" s="61" t="s">
        <v>118</v>
      </c>
      <c r="E1047" s="62">
        <v>0</v>
      </c>
      <c r="F1047" s="63">
        <f t="shared" si="817"/>
        <v>0</v>
      </c>
      <c r="G1047" s="63">
        <v>0</v>
      </c>
      <c r="H1047" s="64">
        <v>0</v>
      </c>
      <c r="I1047" s="79">
        <f t="shared" si="819"/>
        <v>0</v>
      </c>
      <c r="J1047" s="4">
        <f t="shared" si="812"/>
        <v>0</v>
      </c>
      <c r="K1047" s="4">
        <f t="shared" si="818"/>
        <v>0</v>
      </c>
      <c r="L1047" s="65" t="e">
        <f t="shared" si="821"/>
        <v>#DIV/0!</v>
      </c>
      <c r="M1047" s="152">
        <v>5.6550000000000002</v>
      </c>
      <c r="N1047" s="67">
        <f t="shared" si="815"/>
        <v>0</v>
      </c>
      <c r="O1047" s="67">
        <f>M1047*J1047</f>
        <v>0</v>
      </c>
      <c r="P1047" s="1104"/>
    </row>
    <row r="1048" spans="2:16" x14ac:dyDescent="0.25">
      <c r="B1048" s="1099"/>
      <c r="C1048" s="1102"/>
      <c r="D1048" s="61" t="s">
        <v>121</v>
      </c>
      <c r="E1048" s="62">
        <v>0</v>
      </c>
      <c r="F1048" s="63">
        <f t="shared" si="817"/>
        <v>0</v>
      </c>
      <c r="G1048" s="63">
        <v>0</v>
      </c>
      <c r="H1048" s="64">
        <v>0</v>
      </c>
      <c r="I1048" s="79">
        <f t="shared" si="819"/>
        <v>28324</v>
      </c>
      <c r="J1048" s="4">
        <f t="shared" si="812"/>
        <v>26710</v>
      </c>
      <c r="K1048" s="4">
        <f t="shared" si="818"/>
        <v>1614</v>
      </c>
      <c r="L1048" s="65" t="e">
        <f t="shared" si="821"/>
        <v>#DIV/0!</v>
      </c>
      <c r="M1048" s="66">
        <v>5.7885299999999997</v>
      </c>
      <c r="N1048" s="67">
        <f>+M1048*G1048</f>
        <v>0</v>
      </c>
      <c r="O1048" s="67">
        <f>M1048*J1048</f>
        <v>154611.63629999998</v>
      </c>
      <c r="P1048" s="1104"/>
    </row>
    <row r="1049" spans="2:16" x14ac:dyDescent="0.25">
      <c r="B1049" s="1099"/>
      <c r="C1049" s="1102"/>
      <c r="D1049" s="61" t="s">
        <v>136</v>
      </c>
      <c r="E1049" s="62">
        <v>0</v>
      </c>
      <c r="F1049" s="63">
        <f t="shared" si="817"/>
        <v>0</v>
      </c>
      <c r="G1049" s="63">
        <v>0</v>
      </c>
      <c r="H1049" s="64">
        <v>0</v>
      </c>
      <c r="I1049" s="79">
        <f t="shared" si="819"/>
        <v>0</v>
      </c>
      <c r="J1049" s="4">
        <f t="shared" si="812"/>
        <v>0</v>
      </c>
      <c r="K1049" s="4">
        <f t="shared" si="818"/>
        <v>0</v>
      </c>
      <c r="L1049" s="65" t="e">
        <f t="shared" si="821"/>
        <v>#DIV/0!</v>
      </c>
      <c r="M1049" s="152">
        <v>5.6550000000000002</v>
      </c>
      <c r="N1049" s="67">
        <f t="shared" ref="N1049:N1051" si="822">+M1049*G1049</f>
        <v>0</v>
      </c>
      <c r="O1049" s="67">
        <f t="shared" ref="O1049:O1052" si="823">M1049*J1049</f>
        <v>0</v>
      </c>
      <c r="P1049" s="1104"/>
    </row>
    <row r="1050" spans="2:16" x14ac:dyDescent="0.25">
      <c r="B1050" s="1099"/>
      <c r="C1050" s="216" t="s">
        <v>86</v>
      </c>
      <c r="D1050" s="61" t="s">
        <v>77</v>
      </c>
      <c r="E1050" s="62">
        <v>0</v>
      </c>
      <c r="F1050" s="63">
        <f t="shared" si="817"/>
        <v>0</v>
      </c>
      <c r="G1050" s="63">
        <v>0</v>
      </c>
      <c r="H1050" s="64">
        <v>0</v>
      </c>
      <c r="I1050" s="79">
        <f t="shared" si="819"/>
        <v>0</v>
      </c>
      <c r="J1050" s="4">
        <f t="shared" si="812"/>
        <v>0</v>
      </c>
      <c r="K1050" s="4">
        <f t="shared" si="818"/>
        <v>0</v>
      </c>
      <c r="L1050" s="65" t="e">
        <f t="shared" si="821"/>
        <v>#DIV/0!</v>
      </c>
      <c r="M1050" s="66">
        <v>3.2963</v>
      </c>
      <c r="N1050" s="67">
        <f t="shared" si="822"/>
        <v>0</v>
      </c>
      <c r="O1050" s="67">
        <f t="shared" si="823"/>
        <v>0</v>
      </c>
      <c r="P1050" s="1104"/>
    </row>
    <row r="1051" spans="2:16" x14ac:dyDescent="0.25">
      <c r="B1051" s="1099"/>
      <c r="C1051" s="216" t="s">
        <v>87</v>
      </c>
      <c r="D1051" s="61" t="s">
        <v>77</v>
      </c>
      <c r="E1051" s="62">
        <v>0</v>
      </c>
      <c r="F1051" s="63">
        <f t="shared" si="817"/>
        <v>0</v>
      </c>
      <c r="G1051" s="63">
        <v>0</v>
      </c>
      <c r="H1051" s="64">
        <v>0</v>
      </c>
      <c r="I1051" s="79">
        <f t="shared" si="819"/>
        <v>0</v>
      </c>
      <c r="J1051" s="4">
        <f t="shared" si="812"/>
        <v>0</v>
      </c>
      <c r="K1051" s="4">
        <f t="shared" si="818"/>
        <v>0</v>
      </c>
      <c r="L1051" s="65" t="e">
        <f t="shared" si="821"/>
        <v>#DIV/0!</v>
      </c>
      <c r="M1051" s="66">
        <v>3.2963</v>
      </c>
      <c r="N1051" s="67">
        <f t="shared" si="822"/>
        <v>0</v>
      </c>
      <c r="O1051" s="67">
        <f t="shared" si="823"/>
        <v>0</v>
      </c>
      <c r="P1051" s="1104"/>
    </row>
    <row r="1052" spans="2:16" ht="15.75" thickBot="1" x14ac:dyDescent="0.3">
      <c r="B1052" s="1099"/>
      <c r="C1052" s="68" t="s">
        <v>88</v>
      </c>
      <c r="D1052" s="69" t="s">
        <v>89</v>
      </c>
      <c r="E1052" s="70">
        <v>0</v>
      </c>
      <c r="F1052" s="71">
        <f t="shared" si="817"/>
        <v>0</v>
      </c>
      <c r="G1052" s="71">
        <v>0</v>
      </c>
      <c r="H1052" s="72">
        <v>0</v>
      </c>
      <c r="I1052" s="80">
        <f t="shared" si="819"/>
        <v>65030</v>
      </c>
      <c r="J1052" s="4">
        <f t="shared" si="812"/>
        <v>65000</v>
      </c>
      <c r="K1052" s="4">
        <f t="shared" si="818"/>
        <v>30</v>
      </c>
      <c r="L1052" s="65" t="e">
        <f t="shared" si="821"/>
        <v>#DIV/0!</v>
      </c>
      <c r="M1052" s="73">
        <v>2.3201000000000001</v>
      </c>
      <c r="N1052" s="74">
        <f t="shared" ref="N1052" si="824">M1052*G1052</f>
        <v>0</v>
      </c>
      <c r="O1052" s="74">
        <f t="shared" si="823"/>
        <v>150806.5</v>
      </c>
      <c r="P1052" s="1105"/>
    </row>
    <row r="1053" spans="2:16" ht="15.75" thickBot="1" x14ac:dyDescent="0.3">
      <c r="B1053" s="1100"/>
      <c r="C1053" s="1108" t="s">
        <v>99</v>
      </c>
      <c r="D1053" s="1109"/>
      <c r="E1053" s="1109"/>
      <c r="F1053" s="1109"/>
      <c r="G1053" s="1109"/>
      <c r="H1053" s="1110"/>
      <c r="I1053" s="116">
        <f>J1053+K1053</f>
        <v>1116865</v>
      </c>
      <c r="J1053" s="115">
        <f>SUM(J1025:J1052)</f>
        <v>1086355</v>
      </c>
      <c r="K1053" s="115">
        <f>SUM(K1025:K1052)</f>
        <v>30510</v>
      </c>
      <c r="L1053" s="114"/>
      <c r="M1053" s="113"/>
      <c r="N1053" s="114"/>
      <c r="O1053" s="97">
        <f>SUM(O1025:O1052)</f>
        <v>10636854.919299999</v>
      </c>
      <c r="P1053" s="96"/>
    </row>
    <row r="1054" spans="2:16" ht="15.75" thickBot="1" x14ac:dyDescent="0.3">
      <c r="B1054" s="100"/>
      <c r="C1054" s="101"/>
      <c r="D1054" s="101"/>
      <c r="E1054" s="101"/>
      <c r="F1054" s="101"/>
      <c r="G1054" s="101"/>
      <c r="H1054" s="101"/>
      <c r="I1054" s="101"/>
      <c r="J1054" s="101"/>
      <c r="K1054" s="101"/>
      <c r="L1054" s="101"/>
      <c r="M1054" s="101"/>
      <c r="N1054" s="101"/>
      <c r="O1054" s="101"/>
      <c r="P1054" s="102"/>
    </row>
    <row r="1055" spans="2:16" ht="15.75" thickBot="1" x14ac:dyDescent="0.3">
      <c r="B1055" s="1093" t="s">
        <v>100</v>
      </c>
      <c r="C1055" s="1094"/>
      <c r="D1055" s="1094"/>
      <c r="E1055" s="1094"/>
      <c r="F1055" s="1094"/>
      <c r="G1055" s="1094"/>
      <c r="H1055" s="1094"/>
      <c r="I1055" s="1094"/>
      <c r="J1055" s="1094"/>
      <c r="K1055" s="1094"/>
      <c r="L1055" s="1094"/>
      <c r="M1055" s="1094"/>
      <c r="N1055" s="1095"/>
      <c r="O1055" s="103">
        <f>+O1053+O1024+O1009</f>
        <v>22879379.265299998</v>
      </c>
      <c r="P1055" s="96"/>
    </row>
  </sheetData>
  <mergeCells count="546">
    <mergeCell ref="B1055:N1055"/>
    <mergeCell ref="B1024:H1024"/>
    <mergeCell ref="B1025:B1053"/>
    <mergeCell ref="C1025:C1027"/>
    <mergeCell ref="P1025:P1052"/>
    <mergeCell ref="C1028:C1030"/>
    <mergeCell ref="C1031:C1032"/>
    <mergeCell ref="C1033:C1034"/>
    <mergeCell ref="C1036:C1040"/>
    <mergeCell ref="C1042:C1044"/>
    <mergeCell ref="C1045:C1049"/>
    <mergeCell ref="C1053:H1053"/>
    <mergeCell ref="B995:B1007"/>
    <mergeCell ref="P995:P1007"/>
    <mergeCell ref="C1002:D1002"/>
    <mergeCell ref="B1008:D1008"/>
    <mergeCell ref="B1009:N1009"/>
    <mergeCell ref="B1010:B1023"/>
    <mergeCell ref="P1010:P1016"/>
    <mergeCell ref="C1018:C1021"/>
    <mergeCell ref="P1018:P1022"/>
    <mergeCell ref="B992:B994"/>
    <mergeCell ref="C992:C994"/>
    <mergeCell ref="D992:D994"/>
    <mergeCell ref="E992:L992"/>
    <mergeCell ref="M992:O992"/>
    <mergeCell ref="P992:P994"/>
    <mergeCell ref="E993:E994"/>
    <mergeCell ref="F993:H993"/>
    <mergeCell ref="I993:K993"/>
    <mergeCell ref="L993:L994"/>
    <mergeCell ref="M993:M994"/>
    <mergeCell ref="N993:N994"/>
    <mergeCell ref="O993:O994"/>
    <mergeCell ref="B990:N990"/>
    <mergeCell ref="B959:H959"/>
    <mergeCell ref="B960:B988"/>
    <mergeCell ref="C960:C962"/>
    <mergeCell ref="P960:P987"/>
    <mergeCell ref="C963:C965"/>
    <mergeCell ref="C966:C967"/>
    <mergeCell ref="C968:C969"/>
    <mergeCell ref="C971:C975"/>
    <mergeCell ref="C977:C979"/>
    <mergeCell ref="C980:C984"/>
    <mergeCell ref="C988:H988"/>
    <mergeCell ref="B930:B942"/>
    <mergeCell ref="P930:P942"/>
    <mergeCell ref="C937:D937"/>
    <mergeCell ref="B943:D943"/>
    <mergeCell ref="B944:N944"/>
    <mergeCell ref="B945:B958"/>
    <mergeCell ref="P945:P951"/>
    <mergeCell ref="C953:C956"/>
    <mergeCell ref="P953:P957"/>
    <mergeCell ref="B927:B929"/>
    <mergeCell ref="C927:C929"/>
    <mergeCell ref="D927:D929"/>
    <mergeCell ref="E927:L927"/>
    <mergeCell ref="M927:O927"/>
    <mergeCell ref="P927:P929"/>
    <mergeCell ref="E928:E929"/>
    <mergeCell ref="F928:H928"/>
    <mergeCell ref="I928:K928"/>
    <mergeCell ref="L928:L929"/>
    <mergeCell ref="M928:M929"/>
    <mergeCell ref="N928:N929"/>
    <mergeCell ref="O928:O929"/>
    <mergeCell ref="B925:N925"/>
    <mergeCell ref="B894:H894"/>
    <mergeCell ref="B895:B923"/>
    <mergeCell ref="C895:C897"/>
    <mergeCell ref="P895:P922"/>
    <mergeCell ref="C898:C900"/>
    <mergeCell ref="C901:C902"/>
    <mergeCell ref="C903:C904"/>
    <mergeCell ref="C906:C910"/>
    <mergeCell ref="C912:C914"/>
    <mergeCell ref="C915:C919"/>
    <mergeCell ref="C923:H923"/>
    <mergeCell ref="B865:B877"/>
    <mergeCell ref="P865:P877"/>
    <mergeCell ref="C872:D872"/>
    <mergeCell ref="B878:D878"/>
    <mergeCell ref="B879:N879"/>
    <mergeCell ref="B880:B893"/>
    <mergeCell ref="P880:P886"/>
    <mergeCell ref="C888:C891"/>
    <mergeCell ref="P888:P892"/>
    <mergeCell ref="B862:B864"/>
    <mergeCell ref="C862:C864"/>
    <mergeCell ref="D862:D864"/>
    <mergeCell ref="E862:L862"/>
    <mergeCell ref="M862:O862"/>
    <mergeCell ref="P862:P864"/>
    <mergeCell ref="E863:E864"/>
    <mergeCell ref="F863:H863"/>
    <mergeCell ref="I863:K863"/>
    <mergeCell ref="L863:L864"/>
    <mergeCell ref="M863:M864"/>
    <mergeCell ref="N863:N864"/>
    <mergeCell ref="O863:O864"/>
    <mergeCell ref="B860:N860"/>
    <mergeCell ref="B829:H829"/>
    <mergeCell ref="B830:B858"/>
    <mergeCell ref="C830:C832"/>
    <mergeCell ref="P830:P857"/>
    <mergeCell ref="C833:C835"/>
    <mergeCell ref="C836:C837"/>
    <mergeCell ref="C838:C839"/>
    <mergeCell ref="C841:C845"/>
    <mergeCell ref="C847:C849"/>
    <mergeCell ref="C850:C854"/>
    <mergeCell ref="C858:H858"/>
    <mergeCell ref="B800:B812"/>
    <mergeCell ref="P800:P812"/>
    <mergeCell ref="C807:D807"/>
    <mergeCell ref="B813:D813"/>
    <mergeCell ref="B814:N814"/>
    <mergeCell ref="B815:B828"/>
    <mergeCell ref="P815:P821"/>
    <mergeCell ref="C823:C826"/>
    <mergeCell ref="P823:P827"/>
    <mergeCell ref="B797:B799"/>
    <mergeCell ref="C797:C799"/>
    <mergeCell ref="D797:D799"/>
    <mergeCell ref="E797:L797"/>
    <mergeCell ref="M797:O797"/>
    <mergeCell ref="P797:P799"/>
    <mergeCell ref="E798:E799"/>
    <mergeCell ref="F798:H798"/>
    <mergeCell ref="I798:K798"/>
    <mergeCell ref="L798:L799"/>
    <mergeCell ref="M798:M799"/>
    <mergeCell ref="N798:N799"/>
    <mergeCell ref="O798:O799"/>
    <mergeCell ref="B795:N795"/>
    <mergeCell ref="B764:H764"/>
    <mergeCell ref="B765:B793"/>
    <mergeCell ref="C765:C767"/>
    <mergeCell ref="P765:P792"/>
    <mergeCell ref="C768:C770"/>
    <mergeCell ref="C771:C772"/>
    <mergeCell ref="C773:C774"/>
    <mergeCell ref="C776:C780"/>
    <mergeCell ref="C782:C784"/>
    <mergeCell ref="C785:C789"/>
    <mergeCell ref="C793:H793"/>
    <mergeCell ref="B735:B747"/>
    <mergeCell ref="P735:P747"/>
    <mergeCell ref="C742:D742"/>
    <mergeCell ref="B748:D748"/>
    <mergeCell ref="B749:N749"/>
    <mergeCell ref="B750:B763"/>
    <mergeCell ref="P750:P756"/>
    <mergeCell ref="C758:C761"/>
    <mergeCell ref="P758:P762"/>
    <mergeCell ref="B732:B734"/>
    <mergeCell ref="C732:C734"/>
    <mergeCell ref="D732:D734"/>
    <mergeCell ref="E732:L732"/>
    <mergeCell ref="M732:O732"/>
    <mergeCell ref="P732:P734"/>
    <mergeCell ref="E733:E734"/>
    <mergeCell ref="F733:H733"/>
    <mergeCell ref="I733:K733"/>
    <mergeCell ref="L733:L734"/>
    <mergeCell ref="M733:M734"/>
    <mergeCell ref="N733:N734"/>
    <mergeCell ref="O733:O734"/>
    <mergeCell ref="B600:N600"/>
    <mergeCell ref="B569:H569"/>
    <mergeCell ref="B570:B598"/>
    <mergeCell ref="C570:C572"/>
    <mergeCell ref="P570:P597"/>
    <mergeCell ref="C573:C575"/>
    <mergeCell ref="C576:C577"/>
    <mergeCell ref="C578:C579"/>
    <mergeCell ref="C581:C585"/>
    <mergeCell ref="C587:C589"/>
    <mergeCell ref="C590:C594"/>
    <mergeCell ref="C598:H598"/>
    <mergeCell ref="B540:B552"/>
    <mergeCell ref="P540:P552"/>
    <mergeCell ref="C547:D547"/>
    <mergeCell ref="B553:D553"/>
    <mergeCell ref="B554:N554"/>
    <mergeCell ref="B555:B568"/>
    <mergeCell ref="P555:P561"/>
    <mergeCell ref="C563:C566"/>
    <mergeCell ref="P563:P567"/>
    <mergeCell ref="B537:B539"/>
    <mergeCell ref="C537:C539"/>
    <mergeCell ref="D537:D539"/>
    <mergeCell ref="E537:L537"/>
    <mergeCell ref="M537:O537"/>
    <mergeCell ref="P537:P539"/>
    <mergeCell ref="E538:E539"/>
    <mergeCell ref="F538:H538"/>
    <mergeCell ref="I538:K538"/>
    <mergeCell ref="L538:L539"/>
    <mergeCell ref="M538:M539"/>
    <mergeCell ref="N538:N539"/>
    <mergeCell ref="O538:O539"/>
    <mergeCell ref="B535:N535"/>
    <mergeCell ref="B504:H504"/>
    <mergeCell ref="B505:B533"/>
    <mergeCell ref="C505:C507"/>
    <mergeCell ref="P505:P532"/>
    <mergeCell ref="C508:C510"/>
    <mergeCell ref="C511:C512"/>
    <mergeCell ref="C513:C514"/>
    <mergeCell ref="C516:C520"/>
    <mergeCell ref="C522:C524"/>
    <mergeCell ref="C525:C529"/>
    <mergeCell ref="C533:H533"/>
    <mergeCell ref="B475:B487"/>
    <mergeCell ref="P475:P487"/>
    <mergeCell ref="C482:D482"/>
    <mergeCell ref="B488:D488"/>
    <mergeCell ref="B489:N489"/>
    <mergeCell ref="B490:B503"/>
    <mergeCell ref="P490:P496"/>
    <mergeCell ref="C498:C501"/>
    <mergeCell ref="P498:P502"/>
    <mergeCell ref="B470:N470"/>
    <mergeCell ref="B472:B474"/>
    <mergeCell ref="C472:C474"/>
    <mergeCell ref="D472:D474"/>
    <mergeCell ref="E472:L472"/>
    <mergeCell ref="M472:O472"/>
    <mergeCell ref="P472:P474"/>
    <mergeCell ref="E473:E474"/>
    <mergeCell ref="F473:H473"/>
    <mergeCell ref="I473:K473"/>
    <mergeCell ref="L473:L474"/>
    <mergeCell ref="M473:M474"/>
    <mergeCell ref="N473:N474"/>
    <mergeCell ref="O473:O474"/>
    <mergeCell ref="B439:H439"/>
    <mergeCell ref="B440:B468"/>
    <mergeCell ref="C440:C442"/>
    <mergeCell ref="P440:P467"/>
    <mergeCell ref="C443:C445"/>
    <mergeCell ref="C446:C447"/>
    <mergeCell ref="C448:C449"/>
    <mergeCell ref="C451:C455"/>
    <mergeCell ref="C457:C459"/>
    <mergeCell ref="C460:C464"/>
    <mergeCell ref="C468:H468"/>
    <mergeCell ref="B410:B422"/>
    <mergeCell ref="P410:P422"/>
    <mergeCell ref="C417:D417"/>
    <mergeCell ref="B423:D423"/>
    <mergeCell ref="B424:N424"/>
    <mergeCell ref="B425:B438"/>
    <mergeCell ref="P425:P431"/>
    <mergeCell ref="C433:C436"/>
    <mergeCell ref="P433:P437"/>
    <mergeCell ref="B407:B409"/>
    <mergeCell ref="C407:C409"/>
    <mergeCell ref="D407:D409"/>
    <mergeCell ref="E407:L407"/>
    <mergeCell ref="M407:O407"/>
    <mergeCell ref="P407:P409"/>
    <mergeCell ref="E408:E409"/>
    <mergeCell ref="F408:H408"/>
    <mergeCell ref="I408:K408"/>
    <mergeCell ref="L408:L409"/>
    <mergeCell ref="M408:M409"/>
    <mergeCell ref="N408:N409"/>
    <mergeCell ref="O408:O409"/>
    <mergeCell ref="B405:N405"/>
    <mergeCell ref="B374:H374"/>
    <mergeCell ref="B375:B403"/>
    <mergeCell ref="C375:C377"/>
    <mergeCell ref="P375:P402"/>
    <mergeCell ref="C378:C380"/>
    <mergeCell ref="C381:C382"/>
    <mergeCell ref="C383:C384"/>
    <mergeCell ref="C386:C390"/>
    <mergeCell ref="C392:C394"/>
    <mergeCell ref="C395:C399"/>
    <mergeCell ref="C403:H403"/>
    <mergeCell ref="B345:B357"/>
    <mergeCell ref="P345:P357"/>
    <mergeCell ref="C352:D352"/>
    <mergeCell ref="B358:D358"/>
    <mergeCell ref="B359:N359"/>
    <mergeCell ref="B360:B373"/>
    <mergeCell ref="P360:P366"/>
    <mergeCell ref="C368:C371"/>
    <mergeCell ref="P368:P372"/>
    <mergeCell ref="B342:B344"/>
    <mergeCell ref="C342:C344"/>
    <mergeCell ref="D342:D344"/>
    <mergeCell ref="E342:L342"/>
    <mergeCell ref="M342:O342"/>
    <mergeCell ref="P342:P344"/>
    <mergeCell ref="E343:E344"/>
    <mergeCell ref="F343:H343"/>
    <mergeCell ref="I343:K343"/>
    <mergeCell ref="L343:L344"/>
    <mergeCell ref="M343:M344"/>
    <mergeCell ref="N343:N344"/>
    <mergeCell ref="O343:O344"/>
    <mergeCell ref="B210:N210"/>
    <mergeCell ref="B180:B208"/>
    <mergeCell ref="C180:C182"/>
    <mergeCell ref="P180:P207"/>
    <mergeCell ref="C183:C185"/>
    <mergeCell ref="C186:C187"/>
    <mergeCell ref="C188:C189"/>
    <mergeCell ref="C191:C195"/>
    <mergeCell ref="C197:C199"/>
    <mergeCell ref="C200:C204"/>
    <mergeCell ref="C208:H208"/>
    <mergeCell ref="B165:B178"/>
    <mergeCell ref="P165:P171"/>
    <mergeCell ref="C173:C176"/>
    <mergeCell ref="P173:P177"/>
    <mergeCell ref="B179:H179"/>
    <mergeCell ref="B150:B162"/>
    <mergeCell ref="P150:P162"/>
    <mergeCell ref="C157:D157"/>
    <mergeCell ref="B163:D163"/>
    <mergeCell ref="B164:N164"/>
    <mergeCell ref="P147:P149"/>
    <mergeCell ref="E148:E149"/>
    <mergeCell ref="F148:H148"/>
    <mergeCell ref="I148:K148"/>
    <mergeCell ref="L148:L149"/>
    <mergeCell ref="M148:M149"/>
    <mergeCell ref="N148:N149"/>
    <mergeCell ref="O148:O149"/>
    <mergeCell ref="B147:B149"/>
    <mergeCell ref="C147:C149"/>
    <mergeCell ref="D147:D149"/>
    <mergeCell ref="E147:L147"/>
    <mergeCell ref="M147:O147"/>
    <mergeCell ref="P35:P41"/>
    <mergeCell ref="C43:C46"/>
    <mergeCell ref="P43:P47"/>
    <mergeCell ref="B80:N80"/>
    <mergeCell ref="B49:H49"/>
    <mergeCell ref="B50:B78"/>
    <mergeCell ref="C50:C52"/>
    <mergeCell ref="P50:P77"/>
    <mergeCell ref="C53:C55"/>
    <mergeCell ref="C56:C57"/>
    <mergeCell ref="C58:C59"/>
    <mergeCell ref="C61:C65"/>
    <mergeCell ref="C67:C69"/>
    <mergeCell ref="C70:C74"/>
    <mergeCell ref="C78:H78"/>
    <mergeCell ref="P20:P32"/>
    <mergeCell ref="C27:D27"/>
    <mergeCell ref="B33:D33"/>
    <mergeCell ref="B34:N34"/>
    <mergeCell ref="P17:P19"/>
    <mergeCell ref="E18:E19"/>
    <mergeCell ref="F18:H18"/>
    <mergeCell ref="I18:K18"/>
    <mergeCell ref="L18:L19"/>
    <mergeCell ref="M18:M19"/>
    <mergeCell ref="N18:N19"/>
    <mergeCell ref="O18:O19"/>
    <mergeCell ref="B13:O13"/>
    <mergeCell ref="B14:O14"/>
    <mergeCell ref="B17:B19"/>
    <mergeCell ref="C17:C19"/>
    <mergeCell ref="D17:D19"/>
    <mergeCell ref="E17:L17"/>
    <mergeCell ref="M17:O17"/>
    <mergeCell ref="B82:B84"/>
    <mergeCell ref="C82:C84"/>
    <mergeCell ref="D82:D84"/>
    <mergeCell ref="E82:L82"/>
    <mergeCell ref="M82:O82"/>
    <mergeCell ref="B20:B32"/>
    <mergeCell ref="B35:B48"/>
    <mergeCell ref="P82:P84"/>
    <mergeCell ref="E83:E84"/>
    <mergeCell ref="F83:H83"/>
    <mergeCell ref="I83:K83"/>
    <mergeCell ref="L83:L84"/>
    <mergeCell ref="M83:M84"/>
    <mergeCell ref="N83:N84"/>
    <mergeCell ref="O83:O84"/>
    <mergeCell ref="B85:B97"/>
    <mergeCell ref="P85:P97"/>
    <mergeCell ref="C92:D92"/>
    <mergeCell ref="B98:D98"/>
    <mergeCell ref="B99:N99"/>
    <mergeCell ref="B100:B113"/>
    <mergeCell ref="P100:P106"/>
    <mergeCell ref="C108:C111"/>
    <mergeCell ref="P108:P112"/>
    <mergeCell ref="B114:H114"/>
    <mergeCell ref="B145:N145"/>
    <mergeCell ref="B115:B143"/>
    <mergeCell ref="C115:C117"/>
    <mergeCell ref="P115:P142"/>
    <mergeCell ref="C118:C120"/>
    <mergeCell ref="C121:C122"/>
    <mergeCell ref="C123:C124"/>
    <mergeCell ref="C126:C130"/>
    <mergeCell ref="C132:C134"/>
    <mergeCell ref="C135:C139"/>
    <mergeCell ref="C143:H143"/>
    <mergeCell ref="B212:B214"/>
    <mergeCell ref="C212:C214"/>
    <mergeCell ref="D212:D214"/>
    <mergeCell ref="E212:L212"/>
    <mergeCell ref="M212:O212"/>
    <mergeCell ref="P212:P214"/>
    <mergeCell ref="E213:E214"/>
    <mergeCell ref="F213:H213"/>
    <mergeCell ref="I213:K213"/>
    <mergeCell ref="L213:L214"/>
    <mergeCell ref="M213:M214"/>
    <mergeCell ref="N213:N214"/>
    <mergeCell ref="O213:O214"/>
    <mergeCell ref="B215:B227"/>
    <mergeCell ref="P215:P227"/>
    <mergeCell ref="C222:D222"/>
    <mergeCell ref="B228:D228"/>
    <mergeCell ref="B229:N229"/>
    <mergeCell ref="B230:B243"/>
    <mergeCell ref="P230:P236"/>
    <mergeCell ref="C238:C241"/>
    <mergeCell ref="P238:P242"/>
    <mergeCell ref="B275:N275"/>
    <mergeCell ref="B244:H244"/>
    <mergeCell ref="B245:B273"/>
    <mergeCell ref="C245:C247"/>
    <mergeCell ref="P245:P272"/>
    <mergeCell ref="C248:C250"/>
    <mergeCell ref="C251:C252"/>
    <mergeCell ref="C253:C254"/>
    <mergeCell ref="C256:C260"/>
    <mergeCell ref="C262:C264"/>
    <mergeCell ref="C265:C269"/>
    <mergeCell ref="C273:H273"/>
    <mergeCell ref="B277:B279"/>
    <mergeCell ref="C277:C279"/>
    <mergeCell ref="D277:D279"/>
    <mergeCell ref="E277:L277"/>
    <mergeCell ref="M277:O277"/>
    <mergeCell ref="P277:P279"/>
    <mergeCell ref="E278:E279"/>
    <mergeCell ref="F278:H278"/>
    <mergeCell ref="I278:K278"/>
    <mergeCell ref="L278:L279"/>
    <mergeCell ref="M278:M279"/>
    <mergeCell ref="N278:N279"/>
    <mergeCell ref="O278:O279"/>
    <mergeCell ref="B280:B292"/>
    <mergeCell ref="P280:P292"/>
    <mergeCell ref="C287:D287"/>
    <mergeCell ref="B293:D293"/>
    <mergeCell ref="B294:N294"/>
    <mergeCell ref="B295:B308"/>
    <mergeCell ref="P295:P301"/>
    <mergeCell ref="C303:C306"/>
    <mergeCell ref="P303:P307"/>
    <mergeCell ref="B340:N340"/>
    <mergeCell ref="B309:H309"/>
    <mergeCell ref="B310:B338"/>
    <mergeCell ref="C310:C312"/>
    <mergeCell ref="P310:P337"/>
    <mergeCell ref="C313:C315"/>
    <mergeCell ref="C316:C317"/>
    <mergeCell ref="C318:C319"/>
    <mergeCell ref="C321:C325"/>
    <mergeCell ref="C327:C329"/>
    <mergeCell ref="C330:C334"/>
    <mergeCell ref="C338:H338"/>
    <mergeCell ref="B602:B604"/>
    <mergeCell ref="C602:C604"/>
    <mergeCell ref="D602:D604"/>
    <mergeCell ref="E602:L602"/>
    <mergeCell ref="M602:O602"/>
    <mergeCell ref="P602:P604"/>
    <mergeCell ref="E603:E604"/>
    <mergeCell ref="F603:H603"/>
    <mergeCell ref="I603:K603"/>
    <mergeCell ref="L603:L604"/>
    <mergeCell ref="M603:M604"/>
    <mergeCell ref="N603:N604"/>
    <mergeCell ref="O603:O604"/>
    <mergeCell ref="B605:B617"/>
    <mergeCell ref="P605:P617"/>
    <mergeCell ref="C612:D612"/>
    <mergeCell ref="B618:D618"/>
    <mergeCell ref="B619:N619"/>
    <mergeCell ref="B620:B633"/>
    <mergeCell ref="P620:P626"/>
    <mergeCell ref="C628:C631"/>
    <mergeCell ref="P628:P632"/>
    <mergeCell ref="B665:N665"/>
    <mergeCell ref="B634:H634"/>
    <mergeCell ref="B635:B663"/>
    <mergeCell ref="C635:C637"/>
    <mergeCell ref="P635:P662"/>
    <mergeCell ref="C638:C640"/>
    <mergeCell ref="C641:C642"/>
    <mergeCell ref="C643:C644"/>
    <mergeCell ref="C646:C650"/>
    <mergeCell ref="C652:C654"/>
    <mergeCell ref="C655:C659"/>
    <mergeCell ref="C663:H663"/>
    <mergeCell ref="B667:B669"/>
    <mergeCell ref="C667:C669"/>
    <mergeCell ref="D667:D669"/>
    <mergeCell ref="E667:L667"/>
    <mergeCell ref="M667:O667"/>
    <mergeCell ref="P667:P669"/>
    <mergeCell ref="E668:E669"/>
    <mergeCell ref="F668:H668"/>
    <mergeCell ref="I668:K668"/>
    <mergeCell ref="L668:L669"/>
    <mergeCell ref="M668:M669"/>
    <mergeCell ref="N668:N669"/>
    <mergeCell ref="O668:O669"/>
    <mergeCell ref="B670:B682"/>
    <mergeCell ref="P670:P682"/>
    <mergeCell ref="C677:D677"/>
    <mergeCell ref="B683:D683"/>
    <mergeCell ref="B684:N684"/>
    <mergeCell ref="B685:B698"/>
    <mergeCell ref="P685:P691"/>
    <mergeCell ref="C693:C696"/>
    <mergeCell ref="P693:P697"/>
    <mergeCell ref="B730:N730"/>
    <mergeCell ref="B699:H699"/>
    <mergeCell ref="B700:B728"/>
    <mergeCell ref="C700:C702"/>
    <mergeCell ref="P700:P727"/>
    <mergeCell ref="C703:C705"/>
    <mergeCell ref="C706:C707"/>
    <mergeCell ref="C708:C709"/>
    <mergeCell ref="C711:C715"/>
    <mergeCell ref="C717:C719"/>
    <mergeCell ref="C720:C724"/>
    <mergeCell ref="C728:H728"/>
  </mergeCells>
  <conditionalFormatting sqref="F35">
    <cfRule type="cellIs" dxfId="31" priority="31" operator="equal">
      <formula>0</formula>
    </cfRule>
  </conditionalFormatting>
  <conditionalFormatting sqref="F36:F41">
    <cfRule type="cellIs" dxfId="30" priority="32" operator="equal">
      <formula>0</formula>
    </cfRule>
  </conditionalFormatting>
  <conditionalFormatting sqref="F100">
    <cfRule type="cellIs" dxfId="29" priority="29" operator="equal">
      <formula>0</formula>
    </cfRule>
  </conditionalFormatting>
  <conditionalFormatting sqref="F101:F106">
    <cfRule type="cellIs" dxfId="28" priority="30" operator="equal">
      <formula>0</formula>
    </cfRule>
  </conditionalFormatting>
  <conditionalFormatting sqref="F165">
    <cfRule type="cellIs" dxfId="27" priority="27" operator="equal">
      <formula>0</formula>
    </cfRule>
  </conditionalFormatting>
  <conditionalFormatting sqref="F166:F171">
    <cfRule type="cellIs" dxfId="26" priority="28" operator="equal">
      <formula>0</formula>
    </cfRule>
  </conditionalFormatting>
  <conditionalFormatting sqref="F230">
    <cfRule type="cellIs" dxfId="25" priority="25" operator="equal">
      <formula>0</formula>
    </cfRule>
  </conditionalFormatting>
  <conditionalFormatting sqref="F231:F236">
    <cfRule type="cellIs" dxfId="24" priority="26" operator="equal">
      <formula>0</formula>
    </cfRule>
  </conditionalFormatting>
  <conditionalFormatting sqref="F295">
    <cfRule type="cellIs" dxfId="23" priority="23" operator="equal">
      <formula>0</formula>
    </cfRule>
  </conditionalFormatting>
  <conditionalFormatting sqref="F296:F301">
    <cfRule type="cellIs" dxfId="22" priority="24" operator="equal">
      <formula>0</formula>
    </cfRule>
  </conditionalFormatting>
  <conditionalFormatting sqref="F360">
    <cfRule type="cellIs" dxfId="21" priority="21" operator="equal">
      <formula>0</formula>
    </cfRule>
  </conditionalFormatting>
  <conditionalFormatting sqref="F361:F366">
    <cfRule type="cellIs" dxfId="20" priority="22" operator="equal">
      <formula>0</formula>
    </cfRule>
  </conditionalFormatting>
  <conditionalFormatting sqref="F425">
    <cfRule type="cellIs" dxfId="19" priority="19" operator="equal">
      <formula>0</formula>
    </cfRule>
  </conditionalFormatting>
  <conditionalFormatting sqref="F426:F431">
    <cfRule type="cellIs" dxfId="18" priority="20" operator="equal">
      <formula>0</formula>
    </cfRule>
  </conditionalFormatting>
  <conditionalFormatting sqref="F490">
    <cfRule type="cellIs" dxfId="17" priority="17" operator="equal">
      <formula>0</formula>
    </cfRule>
  </conditionalFormatting>
  <conditionalFormatting sqref="F491:F496">
    <cfRule type="cellIs" dxfId="16" priority="18" operator="equal">
      <formula>0</formula>
    </cfRule>
  </conditionalFormatting>
  <conditionalFormatting sqref="F555">
    <cfRule type="cellIs" dxfId="15" priority="15" operator="equal">
      <formula>0</formula>
    </cfRule>
  </conditionalFormatting>
  <conditionalFormatting sqref="F556:F561">
    <cfRule type="cellIs" dxfId="14" priority="16" operator="equal">
      <formula>0</formula>
    </cfRule>
  </conditionalFormatting>
  <conditionalFormatting sqref="F620">
    <cfRule type="cellIs" dxfId="13" priority="13" operator="equal">
      <formula>0</formula>
    </cfRule>
  </conditionalFormatting>
  <conditionalFormatting sqref="F621:F626">
    <cfRule type="cellIs" dxfId="12" priority="14" operator="equal">
      <formula>0</formula>
    </cfRule>
  </conditionalFormatting>
  <conditionalFormatting sqref="F685">
    <cfRule type="cellIs" dxfId="11" priority="11" operator="equal">
      <formula>0</formula>
    </cfRule>
  </conditionalFormatting>
  <conditionalFormatting sqref="F686:F691">
    <cfRule type="cellIs" dxfId="10" priority="12" operator="equal">
      <formula>0</formula>
    </cfRule>
  </conditionalFormatting>
  <conditionalFormatting sqref="F750">
    <cfRule type="cellIs" dxfId="9" priority="9" operator="equal">
      <formula>0</formula>
    </cfRule>
  </conditionalFormatting>
  <conditionalFormatting sqref="F751:F756">
    <cfRule type="cellIs" dxfId="8" priority="10" operator="equal">
      <formula>0</formula>
    </cfRule>
  </conditionalFormatting>
  <conditionalFormatting sqref="F815">
    <cfRule type="cellIs" dxfId="7" priority="7" operator="equal">
      <formula>0</formula>
    </cfRule>
  </conditionalFormatting>
  <conditionalFormatting sqref="F816:F821">
    <cfRule type="cellIs" dxfId="6" priority="8" operator="equal">
      <formula>0</formula>
    </cfRule>
  </conditionalFormatting>
  <conditionalFormatting sqref="F880">
    <cfRule type="cellIs" dxfId="5" priority="5" operator="equal">
      <formula>0</formula>
    </cfRule>
  </conditionalFormatting>
  <conditionalFormatting sqref="F881:F886">
    <cfRule type="cellIs" dxfId="4" priority="6" operator="equal">
      <formula>0</formula>
    </cfRule>
  </conditionalFormatting>
  <conditionalFormatting sqref="F945">
    <cfRule type="cellIs" dxfId="3" priority="3" operator="equal">
      <formula>0</formula>
    </cfRule>
  </conditionalFormatting>
  <conditionalFormatting sqref="F946:F951">
    <cfRule type="cellIs" dxfId="2" priority="4" operator="equal">
      <formula>0</formula>
    </cfRule>
  </conditionalFormatting>
  <conditionalFormatting sqref="F1010">
    <cfRule type="cellIs" dxfId="1" priority="1" operator="equal">
      <formula>0</formula>
    </cfRule>
  </conditionalFormatting>
  <conditionalFormatting sqref="F1011:F1016">
    <cfRule type="cellIs" dxfId="0" priority="2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" orientation="landscape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7</vt:i4>
      </vt:variant>
    </vt:vector>
  </HeadingPairs>
  <TitlesOfParts>
    <vt:vector size="15" baseType="lpstr">
      <vt:lpstr>01 Prod Physique Boites</vt:lpstr>
      <vt:lpstr>02 Prod Valorisée Boites</vt:lpstr>
      <vt:lpstr>03 Prod Accessoires</vt:lpstr>
      <vt:lpstr>04 Ventes</vt:lpstr>
      <vt:lpstr>05 Activité Consolidée</vt:lpstr>
      <vt:lpstr>06 TRS</vt:lpstr>
      <vt:lpstr>07 Graphique</vt:lpstr>
      <vt:lpstr>REFERENCE PU</vt:lpstr>
      <vt:lpstr>'01 Prod Physique Boites'!Zone_d_impression</vt:lpstr>
      <vt:lpstr>'02 Prod Valorisée Boites'!Zone_d_impression</vt:lpstr>
      <vt:lpstr>'03 Prod Accessoires'!Zone_d_impression</vt:lpstr>
      <vt:lpstr>'04 Ventes'!Zone_d_impression</vt:lpstr>
      <vt:lpstr>'05 Activité Consolidée'!Zone_d_impression</vt:lpstr>
      <vt:lpstr>'06 TRS'!Zone_d_impression</vt:lpstr>
      <vt:lpstr>'07 Graphique'!Zone_d_impression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2022-01-20T13:25:35Z</dcterms:modified>
</cp:coreProperties>
</file>