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drawings/drawing18.xml" ContentType="application/vnd.openxmlformats-officedocument.drawing+xml"/>
  <Override PartName="/xl/tables/table18.xml" ContentType="application/vnd.openxmlformats-officedocument.spreadsheetml.table+xml"/>
  <Override PartName="/xl/drawings/drawing19.xml" ContentType="application/vnd.openxmlformats-officedocument.drawing+xml"/>
  <Override PartName="/xl/tables/table19.xml" ContentType="application/vnd.openxmlformats-officedocument.spreadsheetml.table+xml"/>
  <Override PartName="/xl/drawings/drawing20.xml" ContentType="application/vnd.openxmlformats-officedocument.drawing+xml"/>
  <Override PartName="/xl/tables/table20.xml" ContentType="application/vnd.openxmlformats-officedocument.spreadsheetml.table+xml"/>
  <Override PartName="/xl/comments14.xml" ContentType="application/vnd.openxmlformats-officedocument.spreadsheetml.comments+xml"/>
  <Override PartName="/xl/drawings/drawing21.xml" ContentType="application/vnd.openxmlformats-officedocument.drawing+xml"/>
  <Override PartName="/xl/tables/table21.xml" ContentType="application/vnd.openxmlformats-officedocument.spreadsheetml.table+xml"/>
  <Override PartName="/xl/drawings/drawing22.xml" ContentType="application/vnd.openxmlformats-officedocument.drawing+xml"/>
  <Override PartName="/xl/tables/table22.xml" ContentType="application/vnd.openxmlformats-officedocument.spreadsheetml.table+xml"/>
  <Override PartName="/xl/comments15.xml" ContentType="application/vnd.openxmlformats-officedocument.spreadsheetml.comments+xml"/>
  <Override PartName="/xl/drawings/drawing23.xml" ContentType="application/vnd.openxmlformats-officedocument.drawing+xml"/>
  <Override PartName="/xl/tables/table23.xml" ContentType="application/vnd.openxmlformats-officedocument.spreadsheetml.table+xml"/>
  <Override PartName="/xl/comments1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Mes Documents\01 CONTROLE DE GESTION EMB\00 TCR EPE EMB Spa\TCR 2019 2020 2021\"/>
    </mc:Choice>
  </mc:AlternateContent>
  <bookViews>
    <workbookView xWindow="-108" yWindow="-108" windowWidth="23256" windowHeight="12576" tabRatio="920" firstSheet="11" activeTab="16"/>
  </bookViews>
  <sheets>
    <sheet name="contrôler la prod " sheetId="2" state="hidden" r:id="rId1"/>
    <sheet name="01 2020" sheetId="3" r:id="rId2"/>
    <sheet name="02 2020" sheetId="4" r:id="rId3"/>
    <sheet name="03 2020" sheetId="5" r:id="rId4"/>
    <sheet name="T01 2020" sheetId="6" r:id="rId5"/>
    <sheet name="04 2020" sheetId="7" r:id="rId6"/>
    <sheet name="05 2020" sheetId="8" r:id="rId7"/>
    <sheet name="06 2020" sheetId="9" r:id="rId8"/>
    <sheet name="T02 2020" sheetId="10" r:id="rId9"/>
    <sheet name="07 2020" sheetId="11" r:id="rId10"/>
    <sheet name="08 2020" sheetId="12" r:id="rId11"/>
    <sheet name="09 2020" sheetId="13" r:id="rId12"/>
    <sheet name="T03 2020" sheetId="14" r:id="rId13"/>
    <sheet name="10 2020" sheetId="17" r:id="rId14"/>
    <sheet name="11 2020" sheetId="18" r:id="rId15"/>
    <sheet name="12 2020" sheetId="16" r:id="rId16"/>
    <sheet name="T04 2020" sheetId="15" r:id="rId17"/>
    <sheet name="EX 2020" sheetId="19" r:id="rId18"/>
    <sheet name="CONSOLIDE" sheetId="25" r:id="rId19"/>
    <sheet name="SIEGE 2020" sheetId="21" r:id="rId20"/>
    <sheet name="KDU 2020" sheetId="22" r:id="rId21"/>
    <sheet name="SKDU 2020" sheetId="23" r:id="rId22"/>
    <sheet name="AZDU 2020" sheetId="24" r:id="rId23"/>
    <sheet name="TCR 12 2020 Consolidé" sheetId="20" state="hidden" r:id="rId24"/>
  </sheets>
  <definedNames>
    <definedName name="anneprecd" localSheetId="22">#REF!</definedName>
    <definedName name="anneprecd" localSheetId="18">#REF!</definedName>
    <definedName name="anneprecd" localSheetId="20">#REF!</definedName>
    <definedName name="anneprecd" localSheetId="19">#REF!</definedName>
    <definedName name="anneprecd" localSheetId="21">#REF!</definedName>
    <definedName name="anneprecd">#REF!</definedName>
    <definedName name="dataprecedent" localSheetId="22">#REF!</definedName>
    <definedName name="dataprecedent" localSheetId="18">#REF!</definedName>
    <definedName name="dataprecedent" localSheetId="20">#REF!</definedName>
    <definedName name="dataprecedent" localSheetId="19">#REF!</definedName>
    <definedName name="dataprecedent" localSheetId="21">#REF!</definedName>
    <definedName name="dataprecedent">#REF!</definedName>
    <definedName name="dataprev" localSheetId="22">#REF!</definedName>
    <definedName name="dataprev" localSheetId="18">#REF!</definedName>
    <definedName name="dataprev" localSheetId="20">#REF!</definedName>
    <definedName name="dataprev" localSheetId="19">#REF!</definedName>
    <definedName name="dataprev" localSheetId="21">#REF!</definedName>
    <definedName name="dataprev">#REF!</definedName>
    <definedName name="datareal" localSheetId="22">#REF!</definedName>
    <definedName name="datareal" localSheetId="18">#REF!</definedName>
    <definedName name="datareal" localSheetId="20">#REF!</definedName>
    <definedName name="datareal" localSheetId="19">#REF!</definedName>
    <definedName name="datareal" localSheetId="21">#REF!</definedName>
    <definedName name="datareal">#REF!</definedName>
    <definedName name="dataréal" localSheetId="22">#REF!</definedName>
    <definedName name="dataréal" localSheetId="18">#REF!</definedName>
    <definedName name="dataréal" localSheetId="20">#REF!</definedName>
    <definedName name="dataréal" localSheetId="19">#REF!</definedName>
    <definedName name="dataréal" localSheetId="21">#REF!</definedName>
    <definedName name="dataréal">#REF!</definedName>
    <definedName name="Décembre" localSheetId="22">#REF!</definedName>
    <definedName name="Décembre" localSheetId="18">#REF!</definedName>
    <definedName name="Décembre" localSheetId="20">#REF!</definedName>
    <definedName name="Décembre" localSheetId="19">#REF!</definedName>
    <definedName name="Décembre" localSheetId="21">#REF!</definedName>
    <definedName name="Décembre">#REF!</definedName>
    <definedName name="Des" localSheetId="22">#REF!</definedName>
    <definedName name="Des" localSheetId="18">#REF!</definedName>
    <definedName name="Des" localSheetId="20">#REF!</definedName>
    <definedName name="Des" localSheetId="19">#REF!</definedName>
    <definedName name="Des" localSheetId="21">#REF!</definedName>
    <definedName name="Des">#REF!</definedName>
    <definedName name="Desig1" localSheetId="22">#REF!</definedName>
    <definedName name="Desig1" localSheetId="18">#REF!</definedName>
    <definedName name="Desig1" localSheetId="20">#REF!</definedName>
    <definedName name="Desig1" localSheetId="19">#REF!</definedName>
    <definedName name="Desig1" localSheetId="21">#REF!</definedName>
    <definedName name="Desig1">#REF!</definedName>
    <definedName name="Desig2" localSheetId="22">#REF!</definedName>
    <definedName name="Desig2" localSheetId="18">#REF!</definedName>
    <definedName name="Desig2" localSheetId="20">#REF!</definedName>
    <definedName name="Desig2" localSheetId="19">#REF!</definedName>
    <definedName name="Desig2" localSheetId="21">#REF!</definedName>
    <definedName name="Desig2">#REF!</definedName>
    <definedName name="designation" localSheetId="22">#REF!</definedName>
    <definedName name="designation" localSheetId="18">#REF!</definedName>
    <definedName name="designation" localSheetId="20">#REF!</definedName>
    <definedName name="designation" localSheetId="19">#REF!</definedName>
    <definedName name="designation" localSheetId="21">#REF!</definedName>
    <definedName name="designation">#REF!</definedName>
    <definedName name="Février" localSheetId="22">#REF!</definedName>
    <definedName name="Février" localSheetId="18">#REF!</definedName>
    <definedName name="Février" localSheetId="20">#REF!</definedName>
    <definedName name="Février" localSheetId="19">#REF!</definedName>
    <definedName name="Février" localSheetId="21">#REF!</definedName>
    <definedName name="Février">#REF!</definedName>
    <definedName name="Janvier" localSheetId="22">#REF!</definedName>
    <definedName name="Janvier" localSheetId="18">#REF!</definedName>
    <definedName name="Janvier" localSheetId="20">#REF!</definedName>
    <definedName name="Janvier" localSheetId="19">#REF!</definedName>
    <definedName name="Janvier" localSheetId="21">#REF!</definedName>
    <definedName name="Janvier">#REF!</definedName>
    <definedName name="Juillet" localSheetId="22">#REF!</definedName>
    <definedName name="Juillet" localSheetId="18">#REF!</definedName>
    <definedName name="Juillet" localSheetId="20">#REF!</definedName>
    <definedName name="Juillet" localSheetId="19">#REF!</definedName>
    <definedName name="Juillet" localSheetId="21">#REF!</definedName>
    <definedName name="Juillet">#REF!</definedName>
    <definedName name="Juin" localSheetId="22">#REF!</definedName>
    <definedName name="Juin" localSheetId="18">#REF!</definedName>
    <definedName name="Juin" localSheetId="20">#REF!</definedName>
    <definedName name="Juin" localSheetId="19">#REF!</definedName>
    <definedName name="Juin" localSheetId="21">#REF!</definedName>
    <definedName name="Juin">#REF!</definedName>
    <definedName name="Mai" localSheetId="22">#REF!</definedName>
    <definedName name="Mai" localSheetId="18">#REF!</definedName>
    <definedName name="Mai" localSheetId="20">#REF!</definedName>
    <definedName name="Mai" localSheetId="19">#REF!</definedName>
    <definedName name="Mai" localSheetId="21">#REF!</definedName>
    <definedName name="Mai">#REF!</definedName>
    <definedName name="Mars" localSheetId="22">#REF!</definedName>
    <definedName name="Mars" localSheetId="18">#REF!</definedName>
    <definedName name="Mars" localSheetId="20">#REF!</definedName>
    <definedName name="Mars" localSheetId="19">#REF!</definedName>
    <definedName name="Mars" localSheetId="21">#REF!</definedName>
    <definedName name="Mars">#REF!</definedName>
    <definedName name="Mois1" localSheetId="22">OFFSET(#REF!,0,#REF!,1,COUNTA(#REF!))</definedName>
    <definedName name="Mois1" localSheetId="18">OFFSET(#REF!,0,#REF!,1,COUNTA(#REF!))</definedName>
    <definedName name="Mois1" localSheetId="20">OFFSET(#REF!,0,#REF!,1,COUNTA(#REF!))</definedName>
    <definedName name="Mois1" localSheetId="19">OFFSET(#REF!,0,#REF!,1,COUNTA(#REF!))</definedName>
    <definedName name="Mois1" localSheetId="21">OFFSET(#REF!,0,#REF!,1,COUNTA(#REF!))</definedName>
    <definedName name="Mois1">OFFSET(#REF!,0,#REF!,1,COUNTA(#REF!))</definedName>
    <definedName name="Mois2" localSheetId="22">#REF!</definedName>
    <definedName name="Mois2" localSheetId="18">#REF!</definedName>
    <definedName name="Mois2" localSheetId="20">#REF!</definedName>
    <definedName name="Mois2" localSheetId="19">#REF!</definedName>
    <definedName name="Mois2" localSheetId="21">#REF!</definedName>
    <definedName name="Mois2">#REF!</definedName>
    <definedName name="mois4" localSheetId="22">#REF!</definedName>
    <definedName name="mois4" localSheetId="18">#REF!</definedName>
    <definedName name="mois4" localSheetId="20">#REF!</definedName>
    <definedName name="mois4" localSheetId="19">#REF!</definedName>
    <definedName name="mois4" localSheetId="21">#REF!</definedName>
    <definedName name="mois4">#REF!</definedName>
    <definedName name="Mois5" localSheetId="22">#REF!</definedName>
    <definedName name="Mois5" localSheetId="18">#REF!</definedName>
    <definedName name="Mois5" localSheetId="20">#REF!</definedName>
    <definedName name="Mois5" localSheetId="19">#REF!</definedName>
    <definedName name="Mois5" localSheetId="21">#REF!</definedName>
    <definedName name="Mois5">#REF!</definedName>
    <definedName name="ms" localSheetId="22">#REF!</definedName>
    <definedName name="ms" localSheetId="18">#REF!</definedName>
    <definedName name="ms" localSheetId="20">#REF!</definedName>
    <definedName name="ms" localSheetId="19">#REF!</definedName>
    <definedName name="ms" localSheetId="21">#REF!</definedName>
    <definedName name="ms">#REF!</definedName>
    <definedName name="msdeux" localSheetId="22">#REF!</definedName>
    <definedName name="msdeux" localSheetId="18">#REF!</definedName>
    <definedName name="msdeux" localSheetId="20">#REF!</definedName>
    <definedName name="msdeux" localSheetId="19">#REF!</definedName>
    <definedName name="msdeux" localSheetId="21">#REF!</definedName>
    <definedName name="msdeux">#REF!</definedName>
    <definedName name="mstrois" localSheetId="22">#REF!</definedName>
    <definedName name="mstrois" localSheetId="18">#REF!</definedName>
    <definedName name="mstrois" localSheetId="20">#REF!</definedName>
    <definedName name="mstrois" localSheetId="19">#REF!</definedName>
    <definedName name="mstrois" localSheetId="21">#REF!</definedName>
    <definedName name="mstrois">#REF!</definedName>
    <definedName name="Novembre" localSheetId="22">#REF!</definedName>
    <definedName name="Novembre" localSheetId="18">#REF!</definedName>
    <definedName name="Novembre" localSheetId="20">#REF!</definedName>
    <definedName name="Novembre" localSheetId="19">#REF!</definedName>
    <definedName name="Novembre" localSheetId="21">#REF!</definedName>
    <definedName name="Novembre">#REF!</definedName>
    <definedName name="Octobre" localSheetId="22">#REF!</definedName>
    <definedName name="Octobre" localSheetId="18">#REF!</definedName>
    <definedName name="Octobre" localSheetId="20">#REF!</definedName>
    <definedName name="Octobre" localSheetId="19">#REF!</definedName>
    <definedName name="Octobre" localSheetId="21">#REF!</definedName>
    <definedName name="Octobre">#REF!</definedName>
    <definedName name="qqs" localSheetId="22">#REF!</definedName>
    <definedName name="qqs" localSheetId="18">#REF!</definedName>
    <definedName name="qqs" localSheetId="20">#REF!</definedName>
    <definedName name="qqs" localSheetId="19">#REF!</definedName>
    <definedName name="qqs" localSheetId="21">#REF!</definedName>
    <definedName name="qqs">#REF!</definedName>
    <definedName name="réal1" localSheetId="22">#REF!</definedName>
    <definedName name="réal1" localSheetId="18">#REF!</definedName>
    <definedName name="réal1" localSheetId="20">#REF!</definedName>
    <definedName name="réal1" localSheetId="19">#REF!</definedName>
    <definedName name="réal1" localSheetId="21">#REF!</definedName>
    <definedName name="réal1">#REF!</definedName>
    <definedName name="réal2" localSheetId="22">#REF!</definedName>
    <definedName name="réal2" localSheetId="18">#REF!</definedName>
    <definedName name="réal2" localSheetId="20">#REF!</definedName>
    <definedName name="réal2" localSheetId="19">#REF!</definedName>
    <definedName name="réal2" localSheetId="21">#REF!</definedName>
    <definedName name="réal2">#REF!</definedName>
    <definedName name="réal3" localSheetId="22">#REF!</definedName>
    <definedName name="réal3" localSheetId="18">#REF!</definedName>
    <definedName name="réal3" localSheetId="20">#REF!</definedName>
    <definedName name="réal3" localSheetId="19">#REF!</definedName>
    <definedName name="réal3" localSheetId="21">#REF!</definedName>
    <definedName name="réal3">#REF!</definedName>
    <definedName name="réal4" localSheetId="22">#REF!</definedName>
    <definedName name="réal4" localSheetId="18">#REF!</definedName>
    <definedName name="réal4" localSheetId="20">#REF!</definedName>
    <definedName name="réal4" localSheetId="19">#REF!</definedName>
    <definedName name="réal4" localSheetId="21">#REF!</definedName>
    <definedName name="réal4">#REF!</definedName>
    <definedName name="realprev" localSheetId="22">#REF!</definedName>
    <definedName name="realprev" localSheetId="18">#REF!</definedName>
    <definedName name="realprev" localSheetId="20">#REF!</definedName>
    <definedName name="realprev" localSheetId="19">#REF!</definedName>
    <definedName name="realprev" localSheetId="21">#REF!</definedName>
    <definedName name="realprev">#REF!</definedName>
    <definedName name="Septembre" localSheetId="22">#REF!</definedName>
    <definedName name="Septembre" localSheetId="18">#REF!</definedName>
    <definedName name="Septembre" localSheetId="20">#REF!</definedName>
    <definedName name="Septembre" localSheetId="19">#REF!</definedName>
    <definedName name="Septembre" localSheetId="21">#REF!</definedName>
    <definedName name="Septembre">#REF!</definedName>
    <definedName name="titreprev" localSheetId="22">#REF!</definedName>
    <definedName name="titreprev" localSheetId="18">#REF!</definedName>
    <definedName name="titreprev" localSheetId="20">#REF!</definedName>
    <definedName name="titreprev" localSheetId="19">#REF!</definedName>
    <definedName name="titreprev" localSheetId="21">#REF!</definedName>
    <definedName name="titreprev">#REF!</definedName>
    <definedName name="titreréal" localSheetId="22">#REF!</definedName>
    <definedName name="titreréal" localSheetId="18">#REF!</definedName>
    <definedName name="titreréal" localSheetId="20">#REF!</definedName>
    <definedName name="titreréal" localSheetId="19">#REF!</definedName>
    <definedName name="titreréal" localSheetId="21">#REF!</definedName>
    <definedName name="titreréal">#REF!</definedName>
    <definedName name="_xlnm.Print_Area" localSheetId="1">'01 2020'!$A$1:$G$48</definedName>
    <definedName name="_xlnm.Print_Area" localSheetId="2">'02 2020'!$A$1:$G$48</definedName>
    <definedName name="_xlnm.Print_Area" localSheetId="3">'03 2020'!$A$1:$G$48</definedName>
    <definedName name="_xlnm.Print_Area" localSheetId="5">'04 2020'!$A$1:$G$48</definedName>
    <definedName name="_xlnm.Print_Area" localSheetId="6">'05 2020'!$A$1:$G$48</definedName>
    <definedName name="_xlnm.Print_Area" localSheetId="7">'06 2020'!$A$1:$G$48</definedName>
    <definedName name="_xlnm.Print_Area" localSheetId="9">'07 2020'!$A$1:$G$48</definedName>
    <definedName name="_xlnm.Print_Area" localSheetId="10">'08 2020'!$A$1:$G$48</definedName>
    <definedName name="_xlnm.Print_Area" localSheetId="11">'09 2020'!$A$1:$G$48</definedName>
    <definedName name="_xlnm.Print_Area" localSheetId="13">'10 2020'!$A$1:$G$48</definedName>
    <definedName name="_xlnm.Print_Area" localSheetId="14">'11 2020'!$A$1:$G$48</definedName>
    <definedName name="_xlnm.Print_Area" localSheetId="15">'12 2020'!$A$1:$G$48</definedName>
    <definedName name="_xlnm.Print_Area" localSheetId="22">'AZDU 2020'!$A$1:$O$48</definedName>
    <definedName name="_xlnm.Print_Area" localSheetId="18">CONSOLIDE!$A$1:$S$49</definedName>
    <definedName name="_xlnm.Print_Area" localSheetId="17">'EX 2020'!$A$1:$G$48</definedName>
    <definedName name="_xlnm.Print_Area" localSheetId="20">'KDU 2020'!$A$1:$O$48</definedName>
    <definedName name="_xlnm.Print_Area" localSheetId="19">'SIEGE 2020'!$A$1:$O$48</definedName>
    <definedName name="_xlnm.Print_Area" localSheetId="21">'SKDU 2020'!$A$1:$O$48</definedName>
    <definedName name="_xlnm.Print_Area" localSheetId="4">'T01 2020'!$A$1:$G$48</definedName>
    <definedName name="_xlnm.Print_Area" localSheetId="8">'T02 2020'!$A$1:$G$48</definedName>
    <definedName name="_xlnm.Print_Area" localSheetId="12">'T03 2020'!$A$1:$G$48</definedName>
    <definedName name="_xlnm.Print_Area" localSheetId="16">'T04 2020'!$A$1:$G$48</definedName>
    <definedName name="_xlnm.Print_Area" localSheetId="23">'TCR 12 2020 Consolidé'!$A$1:$S$48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9" i="23" l="1"/>
  <c r="P39" i="23"/>
  <c r="Q38" i="23"/>
  <c r="P38" i="23"/>
  <c r="Q37" i="23"/>
  <c r="P37" i="23"/>
  <c r="Q36" i="23"/>
  <c r="P36" i="23"/>
  <c r="Q35" i="23"/>
  <c r="P35" i="23"/>
  <c r="Q34" i="23"/>
  <c r="P34" i="23"/>
  <c r="Q33" i="23"/>
  <c r="P33" i="23"/>
  <c r="Q32" i="23"/>
  <c r="P32" i="23"/>
  <c r="Q31" i="23"/>
  <c r="P31" i="23"/>
  <c r="Q30" i="23"/>
  <c r="P30" i="23"/>
  <c r="Q29" i="23"/>
  <c r="P29" i="23"/>
  <c r="Q28" i="23"/>
  <c r="P28" i="23"/>
  <c r="Q27" i="23"/>
  <c r="P27" i="23"/>
  <c r="Q26" i="23"/>
  <c r="P26" i="23"/>
  <c r="Q25" i="23"/>
  <c r="P25" i="23"/>
  <c r="Q24" i="23"/>
  <c r="P24" i="23"/>
  <c r="Q23" i="23"/>
  <c r="P23" i="23"/>
  <c r="Q22" i="23"/>
  <c r="P22" i="23"/>
  <c r="Q21" i="23"/>
  <c r="P21" i="23"/>
  <c r="Q20" i="23"/>
  <c r="P20" i="23"/>
  <c r="Q19" i="23"/>
  <c r="P19" i="23"/>
  <c r="Q18" i="23"/>
  <c r="P18" i="23"/>
  <c r="Q17" i="23"/>
  <c r="P17" i="23"/>
  <c r="Q16" i="23"/>
  <c r="P16" i="23"/>
  <c r="Q15" i="23"/>
  <c r="P15" i="23"/>
  <c r="Q14" i="23"/>
  <c r="P14" i="23"/>
  <c r="Q13" i="23"/>
  <c r="P13" i="23"/>
  <c r="Q12" i="23"/>
  <c r="P12" i="23"/>
  <c r="Q11" i="23"/>
  <c r="P11" i="23"/>
  <c r="Q10" i="23"/>
  <c r="P10" i="23"/>
  <c r="Q9" i="23"/>
  <c r="P9" i="23"/>
  <c r="Q8" i="23"/>
  <c r="P8" i="23"/>
  <c r="Q7" i="23"/>
  <c r="P7" i="23"/>
  <c r="Q39" i="22"/>
  <c r="P39" i="22"/>
  <c r="Q38" i="22"/>
  <c r="P38" i="22"/>
  <c r="Q37" i="22"/>
  <c r="P37" i="22"/>
  <c r="Q36" i="22"/>
  <c r="P36" i="22"/>
  <c r="Q35" i="22"/>
  <c r="P35" i="22"/>
  <c r="Q34" i="22"/>
  <c r="P34" i="22"/>
  <c r="Q33" i="22"/>
  <c r="P33" i="22"/>
  <c r="Q32" i="22"/>
  <c r="P32" i="22"/>
  <c r="Q31" i="22"/>
  <c r="P31" i="22"/>
  <c r="Q30" i="22"/>
  <c r="P30" i="22"/>
  <c r="Q29" i="22"/>
  <c r="P29" i="22"/>
  <c r="Q28" i="22"/>
  <c r="P28" i="22"/>
  <c r="Q27" i="22"/>
  <c r="P27" i="22"/>
  <c r="Q26" i="22"/>
  <c r="P26" i="22"/>
  <c r="Q25" i="22"/>
  <c r="P25" i="22"/>
  <c r="Q24" i="22"/>
  <c r="P24" i="22"/>
  <c r="Q23" i="22"/>
  <c r="P23" i="22"/>
  <c r="Q22" i="22"/>
  <c r="P22" i="22"/>
  <c r="Q21" i="22"/>
  <c r="P21" i="22"/>
  <c r="Q20" i="22"/>
  <c r="P20" i="22"/>
  <c r="Q19" i="22"/>
  <c r="P19" i="22"/>
  <c r="Q18" i="22"/>
  <c r="P18" i="22"/>
  <c r="Q17" i="22"/>
  <c r="P17" i="22"/>
  <c r="Q16" i="22"/>
  <c r="P16" i="22"/>
  <c r="Q15" i="22"/>
  <c r="P15" i="22"/>
  <c r="Q14" i="22"/>
  <c r="P14" i="22"/>
  <c r="Q13" i="22"/>
  <c r="P13" i="22"/>
  <c r="Q12" i="22"/>
  <c r="P12" i="22"/>
  <c r="Q11" i="22"/>
  <c r="P11" i="22"/>
  <c r="Q10" i="22"/>
  <c r="P10" i="22"/>
  <c r="Q9" i="22"/>
  <c r="P9" i="22"/>
  <c r="Q8" i="22"/>
  <c r="P8" i="22"/>
  <c r="Q7" i="22"/>
  <c r="P7" i="22"/>
  <c r="P8" i="21"/>
  <c r="Q8" i="21"/>
  <c r="P9" i="21"/>
  <c r="Q9" i="21"/>
  <c r="P10" i="21"/>
  <c r="Q10" i="21"/>
  <c r="P11" i="21"/>
  <c r="Q11" i="21"/>
  <c r="P12" i="21"/>
  <c r="Q12" i="21"/>
  <c r="P13" i="21"/>
  <c r="Q13" i="21"/>
  <c r="P14" i="21"/>
  <c r="Q14" i="21"/>
  <c r="P15" i="21"/>
  <c r="Q15" i="21"/>
  <c r="P16" i="21"/>
  <c r="Q16" i="21"/>
  <c r="P17" i="21"/>
  <c r="Q17" i="21"/>
  <c r="P18" i="21"/>
  <c r="Q18" i="21"/>
  <c r="P19" i="21"/>
  <c r="Q19" i="21"/>
  <c r="P20" i="21"/>
  <c r="Q20" i="21"/>
  <c r="P21" i="21"/>
  <c r="Q21" i="21"/>
  <c r="P22" i="21"/>
  <c r="Q22" i="21"/>
  <c r="P23" i="21"/>
  <c r="Q23" i="21"/>
  <c r="P24" i="21"/>
  <c r="Q24" i="21"/>
  <c r="P25" i="21"/>
  <c r="Q25" i="21"/>
  <c r="P26" i="21"/>
  <c r="Q26" i="21"/>
  <c r="P27" i="21"/>
  <c r="Q27" i="21"/>
  <c r="P28" i="21"/>
  <c r="Q28" i="21"/>
  <c r="P29" i="21"/>
  <c r="Q29" i="21"/>
  <c r="P30" i="21"/>
  <c r="Q30" i="21"/>
  <c r="P31" i="21"/>
  <c r="Q31" i="21"/>
  <c r="P32" i="21"/>
  <c r="Q32" i="21"/>
  <c r="P33" i="21"/>
  <c r="Q33" i="21"/>
  <c r="P34" i="21"/>
  <c r="Q34" i="21"/>
  <c r="P35" i="21"/>
  <c r="Q35" i="21"/>
  <c r="P36" i="21"/>
  <c r="Q36" i="21"/>
  <c r="P37" i="21"/>
  <c r="Q37" i="21"/>
  <c r="P38" i="21"/>
  <c r="Q38" i="21"/>
  <c r="P39" i="21"/>
  <c r="Q39" i="21"/>
  <c r="Q7" i="21"/>
  <c r="P7" i="21"/>
  <c r="G7" i="19" l="1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34" i="15"/>
  <c r="C35" i="15"/>
  <c r="D34" i="15"/>
  <c r="E34" i="15"/>
  <c r="F34" i="15"/>
  <c r="G34" i="15"/>
  <c r="D35" i="15"/>
  <c r="E35" i="15"/>
  <c r="F35" i="15"/>
  <c r="G35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6" i="15"/>
  <c r="F37" i="15"/>
  <c r="F38" i="15"/>
  <c r="F39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6" i="15"/>
  <c r="E37" i="15"/>
  <c r="E38" i="15"/>
  <c r="E39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6" i="15"/>
  <c r="D37" i="15"/>
  <c r="D38" i="15"/>
  <c r="D39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6" i="15"/>
  <c r="C37" i="15"/>
  <c r="C38" i="15"/>
  <c r="C39" i="15"/>
  <c r="C34" i="14"/>
  <c r="C34" i="10"/>
  <c r="C35" i="14"/>
  <c r="C35" i="10"/>
  <c r="C35" i="9"/>
  <c r="G34" i="14"/>
  <c r="F34" i="14"/>
  <c r="E34" i="14"/>
  <c r="D34" i="14"/>
  <c r="G33" i="14"/>
  <c r="F33" i="14"/>
  <c r="E33" i="14"/>
  <c r="D33" i="14"/>
  <c r="C33" i="14"/>
  <c r="G34" i="6"/>
  <c r="F34" i="6"/>
  <c r="E34" i="6"/>
  <c r="D34" i="6"/>
  <c r="C34" i="6"/>
  <c r="G33" i="6"/>
  <c r="F33" i="6"/>
  <c r="E33" i="6"/>
  <c r="D33" i="6"/>
  <c r="C33" i="6"/>
  <c r="C7" i="6"/>
  <c r="G7" i="6" s="1"/>
  <c r="D7" i="6"/>
  <c r="D12" i="6" s="1"/>
  <c r="E7" i="6"/>
  <c r="E12" i="6" s="1"/>
  <c r="F7" i="6"/>
  <c r="C8" i="6"/>
  <c r="D8" i="6"/>
  <c r="G8" i="6" s="1"/>
  <c r="E8" i="6"/>
  <c r="F8" i="6"/>
  <c r="C9" i="6"/>
  <c r="G9" i="6" s="1"/>
  <c r="D9" i="6"/>
  <c r="E9" i="6"/>
  <c r="F9" i="6"/>
  <c r="C10" i="6"/>
  <c r="G10" i="6" s="1"/>
  <c r="D10" i="6"/>
  <c r="E10" i="6"/>
  <c r="F10" i="6"/>
  <c r="C11" i="6"/>
  <c r="D11" i="6"/>
  <c r="G11" i="6" s="1"/>
  <c r="E11" i="6"/>
  <c r="F11" i="6"/>
  <c r="C13" i="6"/>
  <c r="G13" i="6" s="1"/>
  <c r="D13" i="6"/>
  <c r="E13" i="6"/>
  <c r="E15" i="6" s="1"/>
  <c r="F13" i="6"/>
  <c r="C14" i="6"/>
  <c r="D14" i="6"/>
  <c r="G14" i="6" s="1"/>
  <c r="E14" i="6"/>
  <c r="F14" i="6"/>
  <c r="C17" i="6"/>
  <c r="G17" i="6" s="1"/>
  <c r="D17" i="6"/>
  <c r="E17" i="6"/>
  <c r="F17" i="6"/>
  <c r="C18" i="6"/>
  <c r="D18" i="6"/>
  <c r="E18" i="6"/>
  <c r="F18" i="6"/>
  <c r="G18" i="6"/>
  <c r="C20" i="6"/>
  <c r="G20" i="6" s="1"/>
  <c r="D20" i="6"/>
  <c r="E20" i="6"/>
  <c r="F20" i="6"/>
  <c r="C21" i="6"/>
  <c r="D21" i="6"/>
  <c r="G21" i="6" s="1"/>
  <c r="E21" i="6"/>
  <c r="F21" i="6"/>
  <c r="C22" i="6"/>
  <c r="G22" i="6" s="1"/>
  <c r="D22" i="6"/>
  <c r="E22" i="6"/>
  <c r="F22" i="6"/>
  <c r="C23" i="6"/>
  <c r="D23" i="6"/>
  <c r="G23" i="6" s="1"/>
  <c r="E23" i="6"/>
  <c r="F23" i="6"/>
  <c r="C24" i="6"/>
  <c r="D24" i="6"/>
  <c r="E24" i="6"/>
  <c r="F24" i="6"/>
  <c r="C25" i="6"/>
  <c r="G25" i="6" s="1"/>
  <c r="D25" i="6"/>
  <c r="E25" i="6"/>
  <c r="F25" i="6"/>
  <c r="C27" i="6"/>
  <c r="G27" i="6" s="1"/>
  <c r="D27" i="6"/>
  <c r="D29" i="6" s="1"/>
  <c r="E27" i="6"/>
  <c r="F27" i="6"/>
  <c r="F29" i="6" s="1"/>
  <c r="C28" i="6"/>
  <c r="D28" i="6"/>
  <c r="E28" i="6"/>
  <c r="F28" i="6"/>
  <c r="G28" i="6"/>
  <c r="C31" i="6"/>
  <c r="D31" i="6"/>
  <c r="E31" i="6"/>
  <c r="F31" i="6"/>
  <c r="G31" i="6"/>
  <c r="C32" i="6"/>
  <c r="G32" i="6" s="1"/>
  <c r="D32" i="6"/>
  <c r="E32" i="6"/>
  <c r="F32" i="6"/>
  <c r="C36" i="6"/>
  <c r="G36" i="6" s="1"/>
  <c r="D36" i="6"/>
  <c r="E36" i="6"/>
  <c r="F36" i="6"/>
  <c r="C37" i="6"/>
  <c r="D37" i="6"/>
  <c r="E37" i="6"/>
  <c r="F37" i="6"/>
  <c r="G37" i="6"/>
  <c r="F12" i="6"/>
  <c r="C15" i="6"/>
  <c r="D15" i="6"/>
  <c r="F15" i="6"/>
  <c r="E29" i="6"/>
  <c r="C39" i="5"/>
  <c r="G12" i="6" l="1"/>
  <c r="C12" i="6"/>
  <c r="F16" i="6"/>
  <c r="G15" i="6"/>
  <c r="E16" i="6"/>
  <c r="D16" i="6"/>
  <c r="F19" i="6"/>
  <c r="F26" i="6" s="1"/>
  <c r="F30" i="6" s="1"/>
  <c r="F35" i="6" s="1"/>
  <c r="F39" i="6" s="1"/>
  <c r="D19" i="6"/>
  <c r="D26" i="6" s="1"/>
  <c r="D30" i="6" s="1"/>
  <c r="D35" i="6" s="1"/>
  <c r="D39" i="6" s="1"/>
  <c r="E19" i="6"/>
  <c r="E26" i="6"/>
  <c r="E30" i="6" s="1"/>
  <c r="E35" i="6" s="1"/>
  <c r="E39" i="6" s="1"/>
  <c r="G24" i="6"/>
  <c r="G29" i="6"/>
  <c r="C29" i="6"/>
  <c r="C29" i="16"/>
  <c r="C14" i="16"/>
  <c r="D35" i="17"/>
  <c r="G36" i="13"/>
  <c r="G37" i="13"/>
  <c r="F14" i="9"/>
  <c r="G16" i="6" l="1"/>
  <c r="G19" i="6" s="1"/>
  <c r="G26" i="6" s="1"/>
  <c r="G30" i="6" s="1"/>
  <c r="G35" i="6" s="1"/>
  <c r="G39" i="6" s="1"/>
  <c r="C16" i="6"/>
  <c r="C19" i="6" s="1"/>
  <c r="C26" i="6" s="1"/>
  <c r="C30" i="6"/>
  <c r="C35" i="6" s="1"/>
  <c r="C39" i="6" s="1"/>
  <c r="G7" i="16"/>
  <c r="G8" i="16"/>
  <c r="G9" i="16"/>
  <c r="G10" i="16"/>
  <c r="G11" i="16"/>
  <c r="G13" i="16"/>
  <c r="G14" i="16"/>
  <c r="G17" i="16"/>
  <c r="G18" i="16"/>
  <c r="G20" i="16"/>
  <c r="G21" i="16"/>
  <c r="G22" i="16"/>
  <c r="G23" i="16"/>
  <c r="G24" i="16"/>
  <c r="G25" i="16"/>
  <c r="G27" i="16"/>
  <c r="G28" i="16"/>
  <c r="G31" i="16"/>
  <c r="G32" i="16"/>
  <c r="G36" i="16"/>
  <c r="G37" i="16"/>
  <c r="E15" i="16" l="1"/>
  <c r="E34" i="16" s="1"/>
  <c r="E12" i="16"/>
  <c r="E33" i="16" s="1"/>
  <c r="E16" i="16" l="1"/>
  <c r="E19" i="16" s="1"/>
  <c r="E26" i="16" s="1"/>
  <c r="E30" i="16" s="1"/>
  <c r="D38" i="16"/>
  <c r="D29" i="16"/>
  <c r="D15" i="16"/>
  <c r="D34" i="16" s="1"/>
  <c r="D12" i="16"/>
  <c r="D33" i="16" s="1"/>
  <c r="F38" i="16"/>
  <c r="F29" i="16"/>
  <c r="F15" i="16"/>
  <c r="F34" i="16" s="1"/>
  <c r="F12" i="16"/>
  <c r="F16" i="16" l="1"/>
  <c r="F19" i="16" s="1"/>
  <c r="F26" i="16" s="1"/>
  <c r="F30" i="16" s="1"/>
  <c r="F33" i="16"/>
  <c r="F35" i="16" s="1"/>
  <c r="F39" i="16" s="1"/>
  <c r="D35" i="16"/>
  <c r="D39" i="16" s="1"/>
  <c r="D16" i="16"/>
  <c r="D19" i="16" s="1"/>
  <c r="D26" i="16" s="1"/>
  <c r="D30" i="16" s="1"/>
  <c r="C38" i="25" l="1"/>
  <c r="D38" i="25"/>
  <c r="C7" i="25"/>
  <c r="C9" i="25"/>
  <c r="C10" i="25"/>
  <c r="C11" i="25"/>
  <c r="C13" i="25"/>
  <c r="C14" i="25"/>
  <c r="C15" i="25"/>
  <c r="C17" i="25"/>
  <c r="C18" i="25"/>
  <c r="C20" i="25"/>
  <c r="C21" i="25"/>
  <c r="C22" i="25"/>
  <c r="C23" i="25"/>
  <c r="C24" i="25"/>
  <c r="C25" i="25"/>
  <c r="C27" i="25"/>
  <c r="C28" i="25"/>
  <c r="C29" i="25"/>
  <c r="C31" i="25"/>
  <c r="C32" i="25"/>
  <c r="C34" i="25"/>
  <c r="C36" i="25"/>
  <c r="C37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9" i="25"/>
  <c r="E38" i="16"/>
  <c r="G38" i="16" s="1"/>
  <c r="L33" i="24" l="1"/>
  <c r="J33" i="24"/>
  <c r="I33" i="24"/>
  <c r="G33" i="24"/>
  <c r="F33" i="24"/>
  <c r="E33" i="24"/>
  <c r="D33" i="24"/>
  <c r="J26" i="24"/>
  <c r="I26" i="24"/>
  <c r="G26" i="24"/>
  <c r="F26" i="24"/>
  <c r="E26" i="24"/>
  <c r="D26" i="24"/>
  <c r="E14" i="9" l="1"/>
  <c r="E50" i="24" l="1"/>
  <c r="J50" i="24"/>
  <c r="I50" i="24"/>
  <c r="G50" i="24"/>
  <c r="F50" i="24"/>
  <c r="D50" i="24"/>
  <c r="O7" i="25" l="1"/>
  <c r="O8" i="25"/>
  <c r="O10" i="25"/>
  <c r="O11" i="25"/>
  <c r="O25" i="25"/>
  <c r="O31" i="25"/>
  <c r="O32" i="25"/>
  <c r="O36" i="25"/>
  <c r="O37" i="25"/>
  <c r="O38" i="25"/>
  <c r="L7" i="25"/>
  <c r="L8" i="25"/>
  <c r="L9" i="25"/>
  <c r="L10" i="25"/>
  <c r="L11" i="25"/>
  <c r="L12" i="25"/>
  <c r="L13" i="25"/>
  <c r="L17" i="25"/>
  <c r="L18" i="25"/>
  <c r="L20" i="25"/>
  <c r="L21" i="25"/>
  <c r="L22" i="25"/>
  <c r="L23" i="25"/>
  <c r="L24" i="25"/>
  <c r="L25" i="25"/>
  <c r="L27" i="25"/>
  <c r="L28" i="25"/>
  <c r="L29" i="25"/>
  <c r="L31" i="25"/>
  <c r="L32" i="25"/>
  <c r="L33" i="25"/>
  <c r="L36" i="25"/>
  <c r="L37" i="25"/>
  <c r="L38" i="25"/>
  <c r="K7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K28" i="25"/>
  <c r="K29" i="25"/>
  <c r="K30" i="25"/>
  <c r="K31" i="25"/>
  <c r="K32" i="25"/>
  <c r="K33" i="25"/>
  <c r="K34" i="25"/>
  <c r="K35" i="25"/>
  <c r="K36" i="25"/>
  <c r="K37" i="25"/>
  <c r="K38" i="25"/>
  <c r="K39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G7" i="25"/>
  <c r="G8" i="25"/>
  <c r="G9" i="25"/>
  <c r="G10" i="25"/>
  <c r="G11" i="25"/>
  <c r="G12" i="25"/>
  <c r="G13" i="25"/>
  <c r="G14" i="25"/>
  <c r="G15" i="25"/>
  <c r="G45" i="25" s="1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F22" i="25" s="1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F38" i="25" s="1"/>
  <c r="F13" i="25"/>
  <c r="F14" i="25"/>
  <c r="F21" i="25"/>
  <c r="F29" i="25"/>
  <c r="F37" i="25"/>
  <c r="L42" i="25" l="1"/>
  <c r="H47" i="25"/>
  <c r="G48" i="25"/>
  <c r="H42" i="25"/>
  <c r="K45" i="25"/>
  <c r="K48" i="25"/>
  <c r="F10" i="25"/>
  <c r="F34" i="25"/>
  <c r="F18" i="25"/>
  <c r="F25" i="25"/>
  <c r="K43" i="25"/>
  <c r="K44" i="25"/>
  <c r="F32" i="25"/>
  <c r="F24" i="25"/>
  <c r="F31" i="25"/>
  <c r="F23" i="25"/>
  <c r="F15" i="25"/>
  <c r="F7" i="25"/>
  <c r="H48" i="25"/>
  <c r="K42" i="25"/>
  <c r="L43" i="25"/>
  <c r="L44" i="25"/>
  <c r="G47" i="25"/>
  <c r="H46" i="25"/>
  <c r="F36" i="25"/>
  <c r="F20" i="25"/>
  <c r="K46" i="25"/>
  <c r="G46" i="25"/>
  <c r="F28" i="25"/>
  <c r="F27" i="25"/>
  <c r="F11" i="25"/>
  <c r="H45" i="25"/>
  <c r="K47" i="25"/>
  <c r="L46" i="25"/>
  <c r="G43" i="25"/>
  <c r="G44" i="25"/>
  <c r="F17" i="25"/>
  <c r="F9" i="25"/>
  <c r="G42" i="25"/>
  <c r="H43" i="25"/>
  <c r="H44" i="25"/>
  <c r="J48" i="24"/>
  <c r="I48" i="24"/>
  <c r="G48" i="24"/>
  <c r="F48" i="24"/>
  <c r="E48" i="24"/>
  <c r="D48" i="24"/>
  <c r="J47" i="24"/>
  <c r="I47" i="24"/>
  <c r="G47" i="24"/>
  <c r="F47" i="24"/>
  <c r="E47" i="24"/>
  <c r="D47" i="24"/>
  <c r="J46" i="24"/>
  <c r="I46" i="24"/>
  <c r="G46" i="24"/>
  <c r="F46" i="24"/>
  <c r="E46" i="24"/>
  <c r="D46" i="24"/>
  <c r="J45" i="24"/>
  <c r="I45" i="24"/>
  <c r="G45" i="24"/>
  <c r="F45" i="24"/>
  <c r="E45" i="24"/>
  <c r="D45" i="24"/>
  <c r="J44" i="24"/>
  <c r="I44" i="24"/>
  <c r="G44" i="24"/>
  <c r="F44" i="24"/>
  <c r="E44" i="24"/>
  <c r="D44" i="24"/>
  <c r="J43" i="24"/>
  <c r="I43" i="24"/>
  <c r="G43" i="24"/>
  <c r="F43" i="24"/>
  <c r="E43" i="24"/>
  <c r="D43" i="24"/>
  <c r="C43" i="24"/>
  <c r="J42" i="24"/>
  <c r="I42" i="24"/>
  <c r="G42" i="24"/>
  <c r="F42" i="24"/>
  <c r="E42" i="24"/>
  <c r="D42" i="24"/>
  <c r="J48" i="23"/>
  <c r="I48" i="23"/>
  <c r="G48" i="23"/>
  <c r="F48" i="23"/>
  <c r="E48" i="23"/>
  <c r="D48" i="23"/>
  <c r="C48" i="23"/>
  <c r="J47" i="23"/>
  <c r="I47" i="23"/>
  <c r="G47" i="23"/>
  <c r="F47" i="23"/>
  <c r="E47" i="23"/>
  <c r="D47" i="23"/>
  <c r="C47" i="23"/>
  <c r="J46" i="23"/>
  <c r="I46" i="23"/>
  <c r="G46" i="23"/>
  <c r="F46" i="23"/>
  <c r="E46" i="23"/>
  <c r="D46" i="23"/>
  <c r="C46" i="23"/>
  <c r="J45" i="23"/>
  <c r="I45" i="23"/>
  <c r="G45" i="23"/>
  <c r="F45" i="23"/>
  <c r="E45" i="23"/>
  <c r="D45" i="23"/>
  <c r="C45" i="23"/>
  <c r="J44" i="23"/>
  <c r="I44" i="23"/>
  <c r="G44" i="23"/>
  <c r="F44" i="23"/>
  <c r="E44" i="23"/>
  <c r="D44" i="23"/>
  <c r="C44" i="23"/>
  <c r="J43" i="23"/>
  <c r="I43" i="23"/>
  <c r="G43" i="23"/>
  <c r="F43" i="23"/>
  <c r="E43" i="23"/>
  <c r="D43" i="23"/>
  <c r="C43" i="23"/>
  <c r="J42" i="23"/>
  <c r="I42" i="23"/>
  <c r="G42" i="23"/>
  <c r="F42" i="23"/>
  <c r="E42" i="23"/>
  <c r="D42" i="23"/>
  <c r="C42" i="23"/>
  <c r="J48" i="22"/>
  <c r="I48" i="22"/>
  <c r="G48" i="22"/>
  <c r="F48" i="22"/>
  <c r="E48" i="22"/>
  <c r="D48" i="22"/>
  <c r="C48" i="22"/>
  <c r="J47" i="22"/>
  <c r="I47" i="22"/>
  <c r="G47" i="22"/>
  <c r="F47" i="22"/>
  <c r="E47" i="22"/>
  <c r="D47" i="22"/>
  <c r="C47" i="22"/>
  <c r="J46" i="22"/>
  <c r="I46" i="22"/>
  <c r="G46" i="22"/>
  <c r="F46" i="22"/>
  <c r="E46" i="22"/>
  <c r="D46" i="22"/>
  <c r="C46" i="22"/>
  <c r="J45" i="22"/>
  <c r="I45" i="22"/>
  <c r="G45" i="22"/>
  <c r="F45" i="22"/>
  <c r="E45" i="22"/>
  <c r="D45" i="22"/>
  <c r="C45" i="22"/>
  <c r="J44" i="22"/>
  <c r="I44" i="22"/>
  <c r="G44" i="22"/>
  <c r="F44" i="22"/>
  <c r="E44" i="22"/>
  <c r="D44" i="22"/>
  <c r="C44" i="22"/>
  <c r="J43" i="22"/>
  <c r="I43" i="22"/>
  <c r="G43" i="22"/>
  <c r="F43" i="22"/>
  <c r="E43" i="22"/>
  <c r="D43" i="22"/>
  <c r="C43" i="22"/>
  <c r="J42" i="22"/>
  <c r="I42" i="22"/>
  <c r="G42" i="22"/>
  <c r="F42" i="22"/>
  <c r="E42" i="22"/>
  <c r="D42" i="22"/>
  <c r="C42" i="22"/>
  <c r="I48" i="21"/>
  <c r="G48" i="21"/>
  <c r="F48" i="21"/>
  <c r="E48" i="21"/>
  <c r="D48" i="21"/>
  <c r="C48" i="21"/>
  <c r="I47" i="21"/>
  <c r="G47" i="21"/>
  <c r="F47" i="21"/>
  <c r="E47" i="21"/>
  <c r="D47" i="21"/>
  <c r="C47" i="21"/>
  <c r="L46" i="21"/>
  <c r="J46" i="21"/>
  <c r="I46" i="21"/>
  <c r="G46" i="21"/>
  <c r="F46" i="21"/>
  <c r="E46" i="21"/>
  <c r="D46" i="21"/>
  <c r="C46" i="21"/>
  <c r="I45" i="21"/>
  <c r="G45" i="21"/>
  <c r="F45" i="21"/>
  <c r="E45" i="21"/>
  <c r="D45" i="21"/>
  <c r="C45" i="21"/>
  <c r="J44" i="21"/>
  <c r="I44" i="21"/>
  <c r="G44" i="21"/>
  <c r="F44" i="21"/>
  <c r="E44" i="21"/>
  <c r="D44" i="21"/>
  <c r="C44" i="21"/>
  <c r="L43" i="21"/>
  <c r="J43" i="21"/>
  <c r="I43" i="21"/>
  <c r="G43" i="21"/>
  <c r="F43" i="21"/>
  <c r="E43" i="21"/>
  <c r="D43" i="21"/>
  <c r="C43" i="21"/>
  <c r="L42" i="21"/>
  <c r="J42" i="21"/>
  <c r="I42" i="21"/>
  <c r="G42" i="21"/>
  <c r="F42" i="21"/>
  <c r="E42" i="21"/>
  <c r="D42" i="21"/>
  <c r="C42" i="21"/>
  <c r="J39" i="24"/>
  <c r="I39" i="24"/>
  <c r="G39" i="24"/>
  <c r="F39" i="24"/>
  <c r="E39" i="24"/>
  <c r="D39" i="24"/>
  <c r="M38" i="24"/>
  <c r="L38" i="24"/>
  <c r="K38" i="24"/>
  <c r="J38" i="24"/>
  <c r="I38" i="24"/>
  <c r="H38" i="24"/>
  <c r="G38" i="24"/>
  <c r="F38" i="24"/>
  <c r="E38" i="24"/>
  <c r="D38" i="24"/>
  <c r="C38" i="24"/>
  <c r="M37" i="24"/>
  <c r="L37" i="24"/>
  <c r="K37" i="24"/>
  <c r="J37" i="24"/>
  <c r="I37" i="24"/>
  <c r="H37" i="24"/>
  <c r="G37" i="24"/>
  <c r="F37" i="24"/>
  <c r="E37" i="24"/>
  <c r="D37" i="24"/>
  <c r="C37" i="24"/>
  <c r="M36" i="24"/>
  <c r="L36" i="24"/>
  <c r="K36" i="24"/>
  <c r="J36" i="24"/>
  <c r="I36" i="24"/>
  <c r="H36" i="24"/>
  <c r="G36" i="24"/>
  <c r="F36" i="24"/>
  <c r="E36" i="24"/>
  <c r="D36" i="24"/>
  <c r="C36" i="24"/>
  <c r="J35" i="24"/>
  <c r="I35" i="24"/>
  <c r="G35" i="24"/>
  <c r="F35" i="24"/>
  <c r="E35" i="24"/>
  <c r="D35" i="24"/>
  <c r="J34" i="24"/>
  <c r="I34" i="24"/>
  <c r="G34" i="24"/>
  <c r="F34" i="24"/>
  <c r="E34" i="24"/>
  <c r="D34" i="24"/>
  <c r="C34" i="24"/>
  <c r="M32" i="24"/>
  <c r="L32" i="24"/>
  <c r="K32" i="24"/>
  <c r="J32" i="24"/>
  <c r="I32" i="24"/>
  <c r="H32" i="24"/>
  <c r="G32" i="24"/>
  <c r="F32" i="24"/>
  <c r="E32" i="24"/>
  <c r="D32" i="24"/>
  <c r="C32" i="24"/>
  <c r="M31" i="24"/>
  <c r="L31" i="24"/>
  <c r="K31" i="24"/>
  <c r="J31" i="24"/>
  <c r="I31" i="24"/>
  <c r="H31" i="24"/>
  <c r="G31" i="24"/>
  <c r="F31" i="24"/>
  <c r="E31" i="24"/>
  <c r="D31" i="24"/>
  <c r="C31" i="24"/>
  <c r="J30" i="24"/>
  <c r="I30" i="24"/>
  <c r="G30" i="24"/>
  <c r="F30" i="24"/>
  <c r="E30" i="24"/>
  <c r="D30" i="24"/>
  <c r="L29" i="24"/>
  <c r="J29" i="24"/>
  <c r="I29" i="24"/>
  <c r="G29" i="24"/>
  <c r="F29" i="24"/>
  <c r="E29" i="24"/>
  <c r="D29" i="24"/>
  <c r="C29" i="24"/>
  <c r="M28" i="24"/>
  <c r="L28" i="24"/>
  <c r="K28" i="24"/>
  <c r="J28" i="24"/>
  <c r="I28" i="24"/>
  <c r="H28" i="24"/>
  <c r="G28" i="24"/>
  <c r="F28" i="24"/>
  <c r="E28" i="24"/>
  <c r="D28" i="24"/>
  <c r="C28" i="24"/>
  <c r="M27" i="24"/>
  <c r="L27" i="24"/>
  <c r="K27" i="24"/>
  <c r="J27" i="24"/>
  <c r="I27" i="24"/>
  <c r="H27" i="24"/>
  <c r="G27" i="24"/>
  <c r="F27" i="24"/>
  <c r="E27" i="24"/>
  <c r="D27" i="24"/>
  <c r="C27" i="24"/>
  <c r="M25" i="24"/>
  <c r="L25" i="24"/>
  <c r="K25" i="24"/>
  <c r="J25" i="24"/>
  <c r="I25" i="24"/>
  <c r="H25" i="24"/>
  <c r="G25" i="24"/>
  <c r="F25" i="24"/>
  <c r="E25" i="24"/>
  <c r="D25" i="24"/>
  <c r="C25" i="24"/>
  <c r="M24" i="24"/>
  <c r="L24" i="24"/>
  <c r="K24" i="24"/>
  <c r="J24" i="24"/>
  <c r="I24" i="24"/>
  <c r="H24" i="24"/>
  <c r="G24" i="24"/>
  <c r="F24" i="24"/>
  <c r="E24" i="24"/>
  <c r="D24" i="24"/>
  <c r="C24" i="24"/>
  <c r="M23" i="24"/>
  <c r="L23" i="24"/>
  <c r="K23" i="24"/>
  <c r="J23" i="24"/>
  <c r="I23" i="24"/>
  <c r="H23" i="24"/>
  <c r="G23" i="24"/>
  <c r="F23" i="24"/>
  <c r="E23" i="24"/>
  <c r="D23" i="24"/>
  <c r="C23" i="24"/>
  <c r="M22" i="24"/>
  <c r="L22" i="24"/>
  <c r="K22" i="24"/>
  <c r="J22" i="24"/>
  <c r="I22" i="24"/>
  <c r="H22" i="24"/>
  <c r="G22" i="24"/>
  <c r="F22" i="24"/>
  <c r="E22" i="24"/>
  <c r="D22" i="24"/>
  <c r="C22" i="24"/>
  <c r="M21" i="24"/>
  <c r="L21" i="24"/>
  <c r="K21" i="24"/>
  <c r="J21" i="24"/>
  <c r="I21" i="24"/>
  <c r="H21" i="24"/>
  <c r="G21" i="24"/>
  <c r="F21" i="24"/>
  <c r="E21" i="24"/>
  <c r="D21" i="24"/>
  <c r="C21" i="24"/>
  <c r="M20" i="24"/>
  <c r="L20" i="24"/>
  <c r="K20" i="24"/>
  <c r="J20" i="24"/>
  <c r="I20" i="24"/>
  <c r="H20" i="24"/>
  <c r="G20" i="24"/>
  <c r="F20" i="24"/>
  <c r="E20" i="24"/>
  <c r="D20" i="24"/>
  <c r="C20" i="24"/>
  <c r="J19" i="24"/>
  <c r="I19" i="24"/>
  <c r="G19" i="24"/>
  <c r="F19" i="24"/>
  <c r="E19" i="24"/>
  <c r="D19" i="24"/>
  <c r="M18" i="24"/>
  <c r="L18" i="24"/>
  <c r="K18" i="24"/>
  <c r="J18" i="24"/>
  <c r="I18" i="24"/>
  <c r="H18" i="24"/>
  <c r="G18" i="24"/>
  <c r="F18" i="24"/>
  <c r="E18" i="24"/>
  <c r="D18" i="24"/>
  <c r="C18" i="24"/>
  <c r="M17" i="24"/>
  <c r="L17" i="24"/>
  <c r="K17" i="24"/>
  <c r="J17" i="24"/>
  <c r="I17" i="24"/>
  <c r="H17" i="24"/>
  <c r="G17" i="24"/>
  <c r="F17" i="24"/>
  <c r="E17" i="24"/>
  <c r="D17" i="24"/>
  <c r="C17" i="24"/>
  <c r="J16" i="24"/>
  <c r="I16" i="24"/>
  <c r="G16" i="24"/>
  <c r="F16" i="24"/>
  <c r="E16" i="24"/>
  <c r="D16" i="24"/>
  <c r="J15" i="24"/>
  <c r="I15" i="24"/>
  <c r="G15" i="24"/>
  <c r="F15" i="24"/>
  <c r="E15" i="24"/>
  <c r="D15" i="24"/>
  <c r="C15" i="24"/>
  <c r="M14" i="24"/>
  <c r="L14" i="24"/>
  <c r="K14" i="24"/>
  <c r="J14" i="24"/>
  <c r="I14" i="24"/>
  <c r="H14" i="24"/>
  <c r="G14" i="24"/>
  <c r="F14" i="24"/>
  <c r="E14" i="24"/>
  <c r="D14" i="24"/>
  <c r="C14" i="24"/>
  <c r="M13" i="24"/>
  <c r="L13" i="24"/>
  <c r="K13" i="24"/>
  <c r="J13" i="24"/>
  <c r="I13" i="24"/>
  <c r="H13" i="24"/>
  <c r="G13" i="24"/>
  <c r="F13" i="24"/>
  <c r="E13" i="24"/>
  <c r="D13" i="24"/>
  <c r="C13" i="24"/>
  <c r="J12" i="24"/>
  <c r="I12" i="24"/>
  <c r="G12" i="24"/>
  <c r="F12" i="24"/>
  <c r="E12" i="24"/>
  <c r="D12" i="24"/>
  <c r="M11" i="24"/>
  <c r="L11" i="24"/>
  <c r="K11" i="24"/>
  <c r="J11" i="24"/>
  <c r="I11" i="24"/>
  <c r="H11" i="24"/>
  <c r="G11" i="24"/>
  <c r="F11" i="24"/>
  <c r="E11" i="24"/>
  <c r="D11" i="24"/>
  <c r="C11" i="24"/>
  <c r="M10" i="24"/>
  <c r="L10" i="24"/>
  <c r="K10" i="24"/>
  <c r="J10" i="24"/>
  <c r="I10" i="24"/>
  <c r="H10" i="24"/>
  <c r="G10" i="24"/>
  <c r="F10" i="24"/>
  <c r="E10" i="24"/>
  <c r="D10" i="24"/>
  <c r="C10" i="24"/>
  <c r="M9" i="24"/>
  <c r="L9" i="24"/>
  <c r="K9" i="24"/>
  <c r="J9" i="24"/>
  <c r="I9" i="24"/>
  <c r="H9" i="24"/>
  <c r="G9" i="24"/>
  <c r="F9" i="24"/>
  <c r="E9" i="24"/>
  <c r="D9" i="24"/>
  <c r="C9" i="24"/>
  <c r="M8" i="24"/>
  <c r="L8" i="24"/>
  <c r="K8" i="24"/>
  <c r="J8" i="24"/>
  <c r="I8" i="24"/>
  <c r="H8" i="24"/>
  <c r="G8" i="24"/>
  <c r="F8" i="24"/>
  <c r="E8" i="24"/>
  <c r="D8" i="24"/>
  <c r="C8" i="24"/>
  <c r="C8" i="25" s="1"/>
  <c r="F8" i="25" s="1"/>
  <c r="M7" i="24"/>
  <c r="L7" i="24"/>
  <c r="K7" i="24"/>
  <c r="J7" i="24"/>
  <c r="I7" i="24"/>
  <c r="H7" i="24"/>
  <c r="G7" i="24"/>
  <c r="F7" i="24"/>
  <c r="E7" i="24"/>
  <c r="D7" i="24"/>
  <c r="C7" i="24"/>
  <c r="J39" i="23"/>
  <c r="I39" i="23"/>
  <c r="G39" i="23"/>
  <c r="F39" i="23"/>
  <c r="E39" i="23"/>
  <c r="D39" i="23"/>
  <c r="C39" i="23"/>
  <c r="N38" i="23"/>
  <c r="M38" i="23"/>
  <c r="L38" i="23"/>
  <c r="K38" i="23"/>
  <c r="J38" i="23"/>
  <c r="I38" i="23"/>
  <c r="H38" i="23"/>
  <c r="G38" i="23"/>
  <c r="F38" i="23"/>
  <c r="E38" i="23"/>
  <c r="D38" i="23"/>
  <c r="C38" i="23"/>
  <c r="N37" i="23"/>
  <c r="M37" i="23"/>
  <c r="L37" i="23"/>
  <c r="K37" i="23"/>
  <c r="J37" i="23"/>
  <c r="I37" i="23"/>
  <c r="H37" i="23"/>
  <c r="G37" i="23"/>
  <c r="F37" i="23"/>
  <c r="E37" i="23"/>
  <c r="D37" i="23"/>
  <c r="C37" i="23"/>
  <c r="N36" i="23"/>
  <c r="M36" i="23"/>
  <c r="L36" i="23"/>
  <c r="K36" i="23"/>
  <c r="J36" i="23"/>
  <c r="I36" i="23"/>
  <c r="H36" i="23"/>
  <c r="G36" i="23"/>
  <c r="F36" i="23"/>
  <c r="E36" i="23"/>
  <c r="D36" i="23"/>
  <c r="C36" i="23"/>
  <c r="J35" i="23"/>
  <c r="I35" i="23"/>
  <c r="G35" i="23"/>
  <c r="F35" i="23"/>
  <c r="E35" i="23"/>
  <c r="D35" i="23"/>
  <c r="C35" i="23"/>
  <c r="J34" i="23"/>
  <c r="I34" i="23"/>
  <c r="G34" i="23"/>
  <c r="F34" i="23"/>
  <c r="E34" i="23"/>
  <c r="D34" i="23"/>
  <c r="C34" i="23"/>
  <c r="J33" i="23"/>
  <c r="I33" i="23"/>
  <c r="G33" i="23"/>
  <c r="F33" i="23"/>
  <c r="E33" i="23"/>
  <c r="D33" i="23"/>
  <c r="C33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J30" i="23"/>
  <c r="I30" i="23"/>
  <c r="G30" i="23"/>
  <c r="F30" i="23"/>
  <c r="E30" i="23"/>
  <c r="D30" i="23"/>
  <c r="C30" i="23"/>
  <c r="L29" i="23"/>
  <c r="J29" i="23"/>
  <c r="I29" i="23"/>
  <c r="G29" i="23"/>
  <c r="F29" i="23"/>
  <c r="E29" i="23"/>
  <c r="D29" i="23"/>
  <c r="C29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J26" i="23"/>
  <c r="I26" i="23"/>
  <c r="G26" i="23"/>
  <c r="F26" i="23"/>
  <c r="E26" i="23"/>
  <c r="D26" i="23"/>
  <c r="C26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J19" i="23"/>
  <c r="I19" i="23"/>
  <c r="G19" i="23"/>
  <c r="F19" i="23"/>
  <c r="E19" i="23"/>
  <c r="D19" i="23"/>
  <c r="C19" i="23"/>
  <c r="N18" i="23"/>
  <c r="M18" i="23"/>
  <c r="L18" i="23"/>
  <c r="O18" i="25" s="1"/>
  <c r="K18" i="23"/>
  <c r="J18" i="23"/>
  <c r="I18" i="23"/>
  <c r="H18" i="23"/>
  <c r="G18" i="23"/>
  <c r="F18" i="23"/>
  <c r="E18" i="23"/>
  <c r="D18" i="23"/>
  <c r="C18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J16" i="23"/>
  <c r="I16" i="23"/>
  <c r="G16" i="23"/>
  <c r="F16" i="23"/>
  <c r="E16" i="23"/>
  <c r="D16" i="23"/>
  <c r="C16" i="23"/>
  <c r="J15" i="23"/>
  <c r="I15" i="23"/>
  <c r="G15" i="23"/>
  <c r="F15" i="23"/>
  <c r="E15" i="23"/>
  <c r="D15" i="23"/>
  <c r="C15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N13" i="23"/>
  <c r="M13" i="23"/>
  <c r="L13" i="23"/>
  <c r="L43" i="23" s="1"/>
  <c r="K13" i="23"/>
  <c r="J13" i="23"/>
  <c r="I13" i="23"/>
  <c r="H13" i="23"/>
  <c r="G13" i="23"/>
  <c r="F13" i="23"/>
  <c r="E13" i="23"/>
  <c r="D13" i="23"/>
  <c r="C13" i="23"/>
  <c r="J12" i="23"/>
  <c r="I12" i="23"/>
  <c r="G12" i="23"/>
  <c r="F12" i="23"/>
  <c r="E12" i="23"/>
  <c r="D12" i="23"/>
  <c r="C12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N9" i="23"/>
  <c r="M9" i="23"/>
  <c r="L9" i="23"/>
  <c r="K9" i="23"/>
  <c r="J9" i="23"/>
  <c r="I9" i="23"/>
  <c r="H9" i="23"/>
  <c r="G9" i="23"/>
  <c r="F9" i="23"/>
  <c r="E9" i="23"/>
  <c r="D9" i="23"/>
  <c r="C9" i="23"/>
  <c r="N8" i="23"/>
  <c r="M8" i="23"/>
  <c r="L8" i="23"/>
  <c r="K8" i="23"/>
  <c r="J8" i="23"/>
  <c r="I8" i="23"/>
  <c r="H8" i="23"/>
  <c r="G8" i="23"/>
  <c r="F8" i="23"/>
  <c r="E8" i="23"/>
  <c r="D8" i="23"/>
  <c r="C8" i="23"/>
  <c r="N7" i="23"/>
  <c r="M7" i="23"/>
  <c r="L7" i="23"/>
  <c r="K7" i="23"/>
  <c r="J7" i="23"/>
  <c r="I7" i="23"/>
  <c r="H7" i="23"/>
  <c r="G7" i="23"/>
  <c r="F7" i="23"/>
  <c r="E7" i="23"/>
  <c r="D7" i="23"/>
  <c r="C7" i="23"/>
  <c r="J39" i="22"/>
  <c r="I39" i="22"/>
  <c r="G39" i="22"/>
  <c r="F39" i="22"/>
  <c r="E39" i="22"/>
  <c r="D39" i="22"/>
  <c r="C39" i="22"/>
  <c r="N38" i="22"/>
  <c r="M38" i="22"/>
  <c r="L38" i="22"/>
  <c r="K38" i="22"/>
  <c r="J38" i="22"/>
  <c r="I38" i="22"/>
  <c r="H38" i="22"/>
  <c r="G38" i="22"/>
  <c r="F38" i="22"/>
  <c r="E38" i="22"/>
  <c r="D38" i="22"/>
  <c r="C38" i="22"/>
  <c r="N37" i="22"/>
  <c r="M37" i="22"/>
  <c r="L37" i="22"/>
  <c r="K37" i="22"/>
  <c r="J37" i="22"/>
  <c r="I37" i="22"/>
  <c r="H37" i="22"/>
  <c r="G37" i="22"/>
  <c r="F37" i="22"/>
  <c r="E37" i="22"/>
  <c r="D37" i="22"/>
  <c r="C37" i="22"/>
  <c r="N36" i="22"/>
  <c r="M36" i="22"/>
  <c r="L36" i="22"/>
  <c r="K36" i="22"/>
  <c r="J36" i="22"/>
  <c r="I36" i="22"/>
  <c r="H36" i="22"/>
  <c r="G36" i="22"/>
  <c r="F36" i="22"/>
  <c r="E36" i="22"/>
  <c r="D36" i="22"/>
  <c r="C36" i="22"/>
  <c r="J35" i="22"/>
  <c r="I35" i="22"/>
  <c r="G35" i="22"/>
  <c r="F35" i="22"/>
  <c r="E35" i="22"/>
  <c r="D35" i="22"/>
  <c r="C35" i="22"/>
  <c r="J34" i="22"/>
  <c r="I34" i="22"/>
  <c r="G34" i="22"/>
  <c r="F34" i="22"/>
  <c r="E34" i="22"/>
  <c r="D34" i="22"/>
  <c r="C34" i="22"/>
  <c r="J33" i="22"/>
  <c r="I33" i="22"/>
  <c r="G33" i="22"/>
  <c r="F33" i="22"/>
  <c r="E33" i="22"/>
  <c r="D33" i="22"/>
  <c r="C33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J30" i="22"/>
  <c r="I30" i="22"/>
  <c r="G30" i="22"/>
  <c r="F30" i="22"/>
  <c r="E30" i="22"/>
  <c r="D30" i="22"/>
  <c r="C30" i="22"/>
  <c r="J29" i="22"/>
  <c r="I29" i="22"/>
  <c r="G29" i="22"/>
  <c r="F29" i="22"/>
  <c r="E29" i="22"/>
  <c r="D29" i="22"/>
  <c r="C29" i="22"/>
  <c r="N28" i="22"/>
  <c r="M28" i="22"/>
  <c r="L28" i="22"/>
  <c r="O28" i="25" s="1"/>
  <c r="K28" i="22"/>
  <c r="J28" i="22"/>
  <c r="I28" i="22"/>
  <c r="H28" i="22"/>
  <c r="G28" i="22"/>
  <c r="F28" i="22"/>
  <c r="E28" i="22"/>
  <c r="D28" i="22"/>
  <c r="C28" i="22"/>
  <c r="N27" i="22"/>
  <c r="M27" i="22"/>
  <c r="L27" i="22"/>
  <c r="O27" i="25" s="1"/>
  <c r="K27" i="22"/>
  <c r="J27" i="22"/>
  <c r="I27" i="22"/>
  <c r="H27" i="22"/>
  <c r="G27" i="22"/>
  <c r="F27" i="22"/>
  <c r="E27" i="22"/>
  <c r="D27" i="22"/>
  <c r="C27" i="22"/>
  <c r="J26" i="22"/>
  <c r="I26" i="22"/>
  <c r="G26" i="22"/>
  <c r="F26" i="22"/>
  <c r="E26" i="22"/>
  <c r="D26" i="22"/>
  <c r="C26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N23" i="22"/>
  <c r="M23" i="22"/>
  <c r="L23" i="22"/>
  <c r="O23" i="25" s="1"/>
  <c r="K23" i="22"/>
  <c r="J23" i="22"/>
  <c r="I23" i="22"/>
  <c r="H23" i="22"/>
  <c r="G23" i="22"/>
  <c r="F23" i="22"/>
  <c r="E23" i="22"/>
  <c r="D23" i="22"/>
  <c r="C23" i="22"/>
  <c r="N22" i="22"/>
  <c r="M22" i="22"/>
  <c r="L22" i="22"/>
  <c r="O22" i="25" s="1"/>
  <c r="K22" i="22"/>
  <c r="J22" i="22"/>
  <c r="I22" i="22"/>
  <c r="H22" i="22"/>
  <c r="G22" i="22"/>
  <c r="F22" i="22"/>
  <c r="E22" i="22"/>
  <c r="D22" i="22"/>
  <c r="C22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N20" i="22"/>
  <c r="M20" i="22"/>
  <c r="L20" i="22"/>
  <c r="O20" i="25" s="1"/>
  <c r="K20" i="22"/>
  <c r="J20" i="22"/>
  <c r="I20" i="22"/>
  <c r="H20" i="22"/>
  <c r="G20" i="22"/>
  <c r="F20" i="22"/>
  <c r="E20" i="22"/>
  <c r="D20" i="22"/>
  <c r="C20" i="22"/>
  <c r="J19" i="22"/>
  <c r="I19" i="22"/>
  <c r="G19" i="22"/>
  <c r="F19" i="22"/>
  <c r="E19" i="22"/>
  <c r="D19" i="22"/>
  <c r="C19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J16" i="22"/>
  <c r="I16" i="22"/>
  <c r="G16" i="22"/>
  <c r="F16" i="22"/>
  <c r="E16" i="22"/>
  <c r="D16" i="22"/>
  <c r="C16" i="22"/>
  <c r="J15" i="22"/>
  <c r="I15" i="22"/>
  <c r="G15" i="22"/>
  <c r="F15" i="22"/>
  <c r="E15" i="22"/>
  <c r="D15" i="22"/>
  <c r="C15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J12" i="22"/>
  <c r="I12" i="22"/>
  <c r="G12" i="22"/>
  <c r="F12" i="22"/>
  <c r="E12" i="22"/>
  <c r="D12" i="22"/>
  <c r="C12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N9" i="22"/>
  <c r="M9" i="22"/>
  <c r="L9" i="22"/>
  <c r="O9" i="25" s="1"/>
  <c r="K9" i="22"/>
  <c r="J9" i="22"/>
  <c r="I9" i="22"/>
  <c r="H9" i="22"/>
  <c r="G9" i="22"/>
  <c r="F9" i="22"/>
  <c r="E9" i="22"/>
  <c r="D9" i="22"/>
  <c r="C9" i="22"/>
  <c r="N8" i="22"/>
  <c r="M8" i="22"/>
  <c r="L8" i="22"/>
  <c r="K8" i="22"/>
  <c r="J8" i="22"/>
  <c r="I8" i="22"/>
  <c r="H8" i="22"/>
  <c r="G8" i="22"/>
  <c r="F8" i="22"/>
  <c r="E8" i="22"/>
  <c r="D8" i="22"/>
  <c r="C8" i="22"/>
  <c r="N7" i="22"/>
  <c r="M7" i="22"/>
  <c r="L7" i="22"/>
  <c r="K7" i="22"/>
  <c r="J7" i="22"/>
  <c r="I7" i="22"/>
  <c r="H7" i="22"/>
  <c r="G7" i="22"/>
  <c r="F7" i="22"/>
  <c r="E7" i="22"/>
  <c r="D7" i="22"/>
  <c r="C7" i="22"/>
  <c r="I39" i="21"/>
  <c r="G39" i="21"/>
  <c r="F39" i="21"/>
  <c r="E39" i="21"/>
  <c r="E39" i="25" s="1"/>
  <c r="D39" i="21"/>
  <c r="C39" i="21"/>
  <c r="N38" i="21"/>
  <c r="M38" i="21"/>
  <c r="P38" i="25" s="1"/>
  <c r="L38" i="21"/>
  <c r="K38" i="21"/>
  <c r="J38" i="21"/>
  <c r="I38" i="21"/>
  <c r="H38" i="21"/>
  <c r="G38" i="21"/>
  <c r="F38" i="21"/>
  <c r="E38" i="21"/>
  <c r="D38" i="21"/>
  <c r="C38" i="21"/>
  <c r="N37" i="21"/>
  <c r="M37" i="21"/>
  <c r="L37" i="21"/>
  <c r="K37" i="21"/>
  <c r="J37" i="21"/>
  <c r="I37" i="21"/>
  <c r="H37" i="21"/>
  <c r="G37" i="21"/>
  <c r="F37" i="21"/>
  <c r="E37" i="21"/>
  <c r="D37" i="21"/>
  <c r="C37" i="21"/>
  <c r="N36" i="21"/>
  <c r="M36" i="21"/>
  <c r="P36" i="25" s="1"/>
  <c r="L36" i="21"/>
  <c r="K36" i="21"/>
  <c r="J36" i="21"/>
  <c r="I36" i="21"/>
  <c r="H36" i="21"/>
  <c r="G36" i="21"/>
  <c r="F36" i="21"/>
  <c r="E36" i="21"/>
  <c r="D36" i="21"/>
  <c r="C36" i="21"/>
  <c r="I35" i="21"/>
  <c r="G35" i="21"/>
  <c r="F35" i="21"/>
  <c r="E35" i="21"/>
  <c r="D35" i="21"/>
  <c r="C35" i="21"/>
  <c r="I34" i="21"/>
  <c r="G34" i="21"/>
  <c r="F34" i="21"/>
  <c r="E34" i="21"/>
  <c r="D34" i="21"/>
  <c r="C34" i="21"/>
  <c r="L33" i="21"/>
  <c r="J33" i="21"/>
  <c r="I33" i="21"/>
  <c r="G33" i="21"/>
  <c r="F33" i="21"/>
  <c r="E33" i="21"/>
  <c r="D33" i="21"/>
  <c r="C33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I30" i="21"/>
  <c r="G30" i="21"/>
  <c r="F30" i="21"/>
  <c r="E30" i="21"/>
  <c r="D30" i="21"/>
  <c r="C30" i="21"/>
  <c r="L29" i="21"/>
  <c r="J29" i="21"/>
  <c r="I29" i="21"/>
  <c r="G29" i="21"/>
  <c r="F29" i="21"/>
  <c r="E29" i="21"/>
  <c r="D29" i="21"/>
  <c r="C29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N27" i="21"/>
  <c r="M27" i="21"/>
  <c r="P27" i="25" s="1"/>
  <c r="L27" i="21"/>
  <c r="K27" i="21"/>
  <c r="J27" i="21"/>
  <c r="I27" i="21"/>
  <c r="H27" i="21"/>
  <c r="G27" i="21"/>
  <c r="F27" i="21"/>
  <c r="E27" i="21"/>
  <c r="D27" i="21"/>
  <c r="C27" i="21"/>
  <c r="I26" i="21"/>
  <c r="G26" i="21"/>
  <c r="F26" i="21"/>
  <c r="E26" i="21"/>
  <c r="D26" i="21"/>
  <c r="C26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N22" i="21"/>
  <c r="M22" i="21"/>
  <c r="L22" i="21"/>
  <c r="K22" i="21"/>
  <c r="M22" i="25" s="1"/>
  <c r="N22" i="25" s="1"/>
  <c r="J22" i="21"/>
  <c r="I22" i="21"/>
  <c r="H22" i="21"/>
  <c r="G22" i="21"/>
  <c r="F22" i="21"/>
  <c r="E22" i="21"/>
  <c r="D22" i="21"/>
  <c r="C22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N20" i="21"/>
  <c r="M20" i="21"/>
  <c r="L20" i="21"/>
  <c r="K20" i="21"/>
  <c r="M20" i="25" s="1"/>
  <c r="N20" i="25" s="1"/>
  <c r="J20" i="21"/>
  <c r="I20" i="21"/>
  <c r="H20" i="21"/>
  <c r="G20" i="21"/>
  <c r="F20" i="21"/>
  <c r="E20" i="21"/>
  <c r="D20" i="21"/>
  <c r="C20" i="21"/>
  <c r="I19" i="21"/>
  <c r="G19" i="21"/>
  <c r="F19" i="21"/>
  <c r="E19" i="21"/>
  <c r="D19" i="21"/>
  <c r="C19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I16" i="21"/>
  <c r="G16" i="21"/>
  <c r="F16" i="21"/>
  <c r="E16" i="21"/>
  <c r="D16" i="21"/>
  <c r="C16" i="21"/>
  <c r="I15" i="21"/>
  <c r="G15" i="21"/>
  <c r="F15" i="21"/>
  <c r="E15" i="21"/>
  <c r="D15" i="21"/>
  <c r="C15" i="21"/>
  <c r="N14" i="21"/>
  <c r="M14" i="21"/>
  <c r="L14" i="21"/>
  <c r="K14" i="21"/>
  <c r="J14" i="21"/>
  <c r="L14" i="25" s="1"/>
  <c r="I14" i="21"/>
  <c r="H14" i="21"/>
  <c r="G14" i="21"/>
  <c r="F14" i="21"/>
  <c r="E14" i="21"/>
  <c r="D14" i="21"/>
  <c r="C14" i="21"/>
  <c r="N13" i="21"/>
  <c r="M13" i="21"/>
  <c r="L13" i="21"/>
  <c r="L44" i="21" s="1"/>
  <c r="K13" i="21"/>
  <c r="J13" i="21"/>
  <c r="I13" i="21"/>
  <c r="H13" i="21"/>
  <c r="I13" i="25" s="1"/>
  <c r="J13" i="25" s="1"/>
  <c r="G13" i="21"/>
  <c r="F13" i="21"/>
  <c r="E13" i="21"/>
  <c r="D13" i="21"/>
  <c r="C13" i="21"/>
  <c r="L12" i="21"/>
  <c r="J12" i="21"/>
  <c r="I12" i="21"/>
  <c r="G12" i="21"/>
  <c r="F12" i="21"/>
  <c r="E12" i="21"/>
  <c r="D12" i="21"/>
  <c r="C12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N9" i="21"/>
  <c r="M9" i="21"/>
  <c r="L9" i="21"/>
  <c r="K9" i="21"/>
  <c r="J9" i="21"/>
  <c r="I9" i="21"/>
  <c r="H9" i="21"/>
  <c r="G9" i="21"/>
  <c r="F9" i="21"/>
  <c r="E9" i="21"/>
  <c r="D9" i="21"/>
  <c r="C9" i="21"/>
  <c r="N8" i="21"/>
  <c r="M8" i="21"/>
  <c r="L8" i="21"/>
  <c r="K8" i="21"/>
  <c r="J8" i="21"/>
  <c r="I8" i="21"/>
  <c r="H8" i="21"/>
  <c r="G8" i="21"/>
  <c r="F8" i="21"/>
  <c r="E8" i="21"/>
  <c r="D8" i="21"/>
  <c r="C8" i="21"/>
  <c r="N7" i="21"/>
  <c r="M7" i="21"/>
  <c r="L7" i="21"/>
  <c r="J7" i="21"/>
  <c r="K7" i="21"/>
  <c r="I7" i="21"/>
  <c r="H7" i="21"/>
  <c r="G7" i="21"/>
  <c r="F7" i="21"/>
  <c r="E7" i="21"/>
  <c r="D7" i="21"/>
  <c r="C7" i="21"/>
  <c r="F43" i="25" l="1"/>
  <c r="I18" i="25"/>
  <c r="J18" i="25" s="1"/>
  <c r="I28" i="25"/>
  <c r="J28" i="25" s="1"/>
  <c r="I17" i="25"/>
  <c r="J17" i="25" s="1"/>
  <c r="K43" i="21"/>
  <c r="L43" i="24"/>
  <c r="L50" i="24"/>
  <c r="O17" i="25"/>
  <c r="O24" i="25"/>
  <c r="O21" i="25"/>
  <c r="M32" i="25"/>
  <c r="N32" i="25" s="1"/>
  <c r="M36" i="25"/>
  <c r="N36" i="25" s="1"/>
  <c r="M38" i="25"/>
  <c r="N38" i="25" s="1"/>
  <c r="M11" i="25"/>
  <c r="N11" i="25" s="1"/>
  <c r="M17" i="25"/>
  <c r="N17" i="25" s="1"/>
  <c r="M31" i="25"/>
  <c r="N31" i="25" s="1"/>
  <c r="M37" i="25"/>
  <c r="N37" i="25" s="1"/>
  <c r="M18" i="25"/>
  <c r="N18" i="25" s="1"/>
  <c r="M27" i="25"/>
  <c r="N27" i="25" s="1"/>
  <c r="M13" i="25"/>
  <c r="N13" i="25" s="1"/>
  <c r="K43" i="22"/>
  <c r="M14" i="25"/>
  <c r="N14" i="25" s="1"/>
  <c r="O38" i="23"/>
  <c r="M10" i="25"/>
  <c r="N10" i="25" s="1"/>
  <c r="M24" i="25"/>
  <c r="N24" i="25" s="1"/>
  <c r="M7" i="25"/>
  <c r="N7" i="25" s="1"/>
  <c r="M9" i="25"/>
  <c r="N9" i="25" s="1"/>
  <c r="K43" i="24"/>
  <c r="M8" i="25"/>
  <c r="N8" i="25" s="1"/>
  <c r="M28" i="25"/>
  <c r="N28" i="25" s="1"/>
  <c r="M21" i="25"/>
  <c r="N21" i="25" s="1"/>
  <c r="M23" i="25"/>
  <c r="N23" i="25" s="1"/>
  <c r="M25" i="25"/>
  <c r="N25" i="25" s="1"/>
  <c r="K43" i="23"/>
  <c r="I20" i="25"/>
  <c r="J20" i="25" s="1"/>
  <c r="I22" i="25"/>
  <c r="J22" i="25" s="1"/>
  <c r="I24" i="25"/>
  <c r="J24" i="25" s="1"/>
  <c r="H43" i="22"/>
  <c r="I9" i="25"/>
  <c r="J9" i="25" s="1"/>
  <c r="I11" i="25"/>
  <c r="J11" i="25" s="1"/>
  <c r="O23" i="21"/>
  <c r="H43" i="23"/>
  <c r="I7" i="25"/>
  <c r="J7" i="25" s="1"/>
  <c r="J43" i="25" s="1"/>
  <c r="I37" i="25"/>
  <c r="J37" i="25" s="1"/>
  <c r="H43" i="24"/>
  <c r="I32" i="25"/>
  <c r="J32" i="25" s="1"/>
  <c r="O7" i="22"/>
  <c r="O38" i="22"/>
  <c r="H43" i="21"/>
  <c r="I27" i="25"/>
  <c r="J27" i="25" s="1"/>
  <c r="I31" i="25"/>
  <c r="J31" i="25" s="1"/>
  <c r="I10" i="25"/>
  <c r="J10" i="25" s="1"/>
  <c r="I8" i="25"/>
  <c r="J8" i="25" s="1"/>
  <c r="I23" i="25"/>
  <c r="J23" i="25" s="1"/>
  <c r="I36" i="25"/>
  <c r="J36" i="25" s="1"/>
  <c r="I38" i="25"/>
  <c r="J38" i="25" s="1"/>
  <c r="O20" i="23"/>
  <c r="I21" i="25"/>
  <c r="J21" i="25" s="1"/>
  <c r="I25" i="25"/>
  <c r="J25" i="25" s="1"/>
  <c r="I14" i="25"/>
  <c r="J14" i="25" s="1"/>
  <c r="O28" i="23"/>
  <c r="O25" i="23"/>
  <c r="O28" i="21"/>
  <c r="O22" i="22"/>
  <c r="O14" i="23"/>
  <c r="O32" i="23"/>
  <c r="N43" i="22"/>
  <c r="O17" i="23"/>
  <c r="O22" i="23"/>
  <c r="O31" i="23"/>
  <c r="N43" i="23"/>
  <c r="O25" i="22"/>
  <c r="O36" i="23"/>
  <c r="N43" i="21"/>
  <c r="O7" i="21"/>
  <c r="O32" i="21"/>
  <c r="O21" i="21"/>
  <c r="O25" i="21"/>
  <c r="M43" i="23"/>
  <c r="O17" i="21"/>
  <c r="P17" i="25"/>
  <c r="O27" i="22"/>
  <c r="O32" i="22"/>
  <c r="O36" i="22"/>
  <c r="P20" i="25"/>
  <c r="P22" i="25"/>
  <c r="O27" i="23"/>
  <c r="O24" i="23"/>
  <c r="M43" i="21"/>
  <c r="P11" i="25"/>
  <c r="O8" i="21"/>
  <c r="O10" i="21"/>
  <c r="O24" i="22"/>
  <c r="O21" i="23"/>
  <c r="O23" i="23"/>
  <c r="O37" i="21"/>
  <c r="O8" i="22"/>
  <c r="O13" i="21"/>
  <c r="O28" i="22"/>
  <c r="P31" i="25"/>
  <c r="O31" i="22"/>
  <c r="O37" i="22"/>
  <c r="O9" i="21"/>
  <c r="O11" i="21"/>
  <c r="O14" i="21"/>
  <c r="O18" i="21"/>
  <c r="O27" i="21"/>
  <c r="O10" i="22"/>
  <c r="O11" i="22"/>
  <c r="O11" i="23"/>
  <c r="O37" i="23"/>
  <c r="M43" i="24"/>
  <c r="P21" i="25"/>
  <c r="P23" i="25"/>
  <c r="P25" i="25"/>
  <c r="P32" i="25"/>
  <c r="O18" i="23"/>
  <c r="P9" i="25"/>
  <c r="P7" i="25"/>
  <c r="P8" i="25"/>
  <c r="P10" i="25"/>
  <c r="P28" i="25"/>
  <c r="O36" i="21"/>
  <c r="O38" i="21"/>
  <c r="O21" i="22"/>
  <c r="O23" i="22"/>
  <c r="O8" i="23"/>
  <c r="O10" i="23"/>
  <c r="P37" i="25"/>
  <c r="O22" i="21"/>
  <c r="O31" i="21"/>
  <c r="P18" i="25"/>
  <c r="O20" i="21"/>
  <c r="P14" i="25"/>
  <c r="P13" i="25"/>
  <c r="O24" i="21"/>
  <c r="P24" i="25"/>
  <c r="O13" i="25"/>
  <c r="O43" i="25" s="1"/>
  <c r="O13" i="23"/>
  <c r="O14" i="25"/>
  <c r="O9" i="23"/>
  <c r="O17" i="22"/>
  <c r="M43" i="22"/>
  <c r="O13" i="22"/>
  <c r="L43" i="22"/>
  <c r="O9" i="22"/>
  <c r="O20" i="22"/>
  <c r="O18" i="22"/>
  <c r="O14" i="22"/>
  <c r="O7" i="23"/>
  <c r="G24" i="7"/>
  <c r="I43" i="25" l="1"/>
  <c r="N43" i="25"/>
  <c r="M43" i="25"/>
  <c r="O43" i="22"/>
  <c r="O43" i="21"/>
  <c r="P43" i="25"/>
  <c r="O43" i="23"/>
  <c r="D33" i="12"/>
  <c r="F26" i="12"/>
  <c r="D26" i="12"/>
  <c r="F34" i="12"/>
  <c r="F29" i="12"/>
  <c r="F15" i="12"/>
  <c r="F12" i="12"/>
  <c r="F33" i="12" s="1"/>
  <c r="F34" i="11"/>
  <c r="F33" i="11"/>
  <c r="F29" i="11"/>
  <c r="F15" i="11"/>
  <c r="F12" i="11"/>
  <c r="F16" i="11" s="1"/>
  <c r="F19" i="11" s="1"/>
  <c r="F26" i="11" s="1"/>
  <c r="F30" i="11" s="1"/>
  <c r="F35" i="11" s="1"/>
  <c r="F39" i="11" s="1"/>
  <c r="F29" i="9"/>
  <c r="H29" i="24" s="1"/>
  <c r="F15" i="9"/>
  <c r="F12" i="9"/>
  <c r="F33" i="8"/>
  <c r="F29" i="8"/>
  <c r="F15" i="8"/>
  <c r="F34" i="8" s="1"/>
  <c r="F12" i="8"/>
  <c r="F16" i="8" s="1"/>
  <c r="F19" i="8" s="1"/>
  <c r="F26" i="8" s="1"/>
  <c r="F30" i="8" s="1"/>
  <c r="F35" i="8" s="1"/>
  <c r="F39" i="8" s="1"/>
  <c r="F29" i="7"/>
  <c r="F15" i="7"/>
  <c r="F34" i="7" s="1"/>
  <c r="F12" i="7"/>
  <c r="F33" i="7" s="1"/>
  <c r="F34" i="5"/>
  <c r="F29" i="5"/>
  <c r="F15" i="5"/>
  <c r="F12" i="5"/>
  <c r="F33" i="5" s="1"/>
  <c r="F34" i="4"/>
  <c r="F33" i="4"/>
  <c r="F29" i="4"/>
  <c r="F15" i="4"/>
  <c r="F12" i="4"/>
  <c r="F16" i="4" s="1"/>
  <c r="F19" i="4" s="1"/>
  <c r="F26" i="4" s="1"/>
  <c r="F30" i="4" s="1"/>
  <c r="F35" i="4" s="1"/>
  <c r="F39" i="4" s="1"/>
  <c r="F34" i="3"/>
  <c r="F29" i="3"/>
  <c r="F15" i="3"/>
  <c r="F12" i="3"/>
  <c r="C33" i="17"/>
  <c r="D33" i="3"/>
  <c r="D34" i="3"/>
  <c r="H15" i="24" l="1"/>
  <c r="F34" i="9"/>
  <c r="H34" i="24" s="1"/>
  <c r="F33" i="3"/>
  <c r="C12" i="24"/>
  <c r="F33" i="9"/>
  <c r="H12" i="24"/>
  <c r="F16" i="12"/>
  <c r="F19" i="12" s="1"/>
  <c r="F30" i="12" s="1"/>
  <c r="F35" i="12" s="1"/>
  <c r="F39" i="12" s="1"/>
  <c r="F16" i="9"/>
  <c r="F16" i="7"/>
  <c r="F19" i="7" s="1"/>
  <c r="F26" i="7" s="1"/>
  <c r="F30" i="7" s="1"/>
  <c r="F35" i="7" s="1"/>
  <c r="F39" i="7" s="1"/>
  <c r="F16" i="5"/>
  <c r="F19" i="5" s="1"/>
  <c r="F26" i="5" s="1"/>
  <c r="F30" i="5" s="1"/>
  <c r="F35" i="5" s="1"/>
  <c r="F39" i="5" s="1"/>
  <c r="F16" i="3"/>
  <c r="C12" i="25" l="1"/>
  <c r="F12" i="25" s="1"/>
  <c r="C33" i="24"/>
  <c r="C33" i="25" s="1"/>
  <c r="F33" i="25" s="1"/>
  <c r="C50" i="24"/>
  <c r="C45" i="24"/>
  <c r="C44" i="24"/>
  <c r="C42" i="24"/>
  <c r="C46" i="24"/>
  <c r="F19" i="3"/>
  <c r="C16" i="24"/>
  <c r="H33" i="24"/>
  <c r="H50" i="24"/>
  <c r="H42" i="24"/>
  <c r="H46" i="24"/>
  <c r="H45" i="24"/>
  <c r="H44" i="24"/>
  <c r="F19" i="9"/>
  <c r="H16" i="24"/>
  <c r="H47" i="24" s="1"/>
  <c r="D15" i="17"/>
  <c r="F26" i="3" l="1"/>
  <c r="F30" i="3" s="1"/>
  <c r="C19" i="24"/>
  <c r="C16" i="25"/>
  <c r="F16" i="25" s="1"/>
  <c r="C47" i="24"/>
  <c r="F44" i="25"/>
  <c r="F46" i="25"/>
  <c r="F42" i="25"/>
  <c r="F45" i="25"/>
  <c r="F26" i="9"/>
  <c r="F30" i="9" s="1"/>
  <c r="F35" i="9" s="1"/>
  <c r="H19" i="24"/>
  <c r="L15" i="22"/>
  <c r="D34" i="17"/>
  <c r="L34" i="22" s="1"/>
  <c r="X15" i="20"/>
  <c r="X14" i="20"/>
  <c r="X13" i="20"/>
  <c r="X12" i="20"/>
  <c r="X11" i="20"/>
  <c r="X10" i="20"/>
  <c r="X9" i="20"/>
  <c r="X8" i="20"/>
  <c r="X7" i="20"/>
  <c r="F47" i="25" l="1"/>
  <c r="C19" i="25"/>
  <c r="F19" i="25" s="1"/>
  <c r="C26" i="24"/>
  <c r="C26" i="25" s="1"/>
  <c r="F26" i="25" s="1"/>
  <c r="C48" i="24"/>
  <c r="F35" i="3"/>
  <c r="C30" i="24"/>
  <c r="C30" i="25" s="1"/>
  <c r="F30" i="25" s="1"/>
  <c r="H26" i="24"/>
  <c r="H48" i="24"/>
  <c r="H30" i="24"/>
  <c r="N34" i="20"/>
  <c r="N33" i="20"/>
  <c r="N32" i="20"/>
  <c r="N31" i="20"/>
  <c r="N28" i="20"/>
  <c r="N27" i="20"/>
  <c r="N25" i="20"/>
  <c r="N24" i="20"/>
  <c r="N23" i="20"/>
  <c r="N22" i="20"/>
  <c r="N21" i="20"/>
  <c r="N20" i="20"/>
  <c r="N18" i="20"/>
  <c r="N17" i="20"/>
  <c r="N14" i="20"/>
  <c r="N13" i="20"/>
  <c r="N11" i="20"/>
  <c r="N10" i="20"/>
  <c r="N9" i="20"/>
  <c r="N8" i="20"/>
  <c r="N7" i="20"/>
  <c r="F48" i="25" l="1"/>
  <c r="F39" i="3"/>
  <c r="C39" i="24" s="1"/>
  <c r="C39" i="25" s="1"/>
  <c r="F39" i="25" s="1"/>
  <c r="C35" i="24"/>
  <c r="C35" i="25" s="1"/>
  <c r="F35" i="25" s="1"/>
  <c r="F39" i="9"/>
  <c r="H39" i="24" s="1"/>
  <c r="H35" i="24"/>
  <c r="S37" i="20"/>
  <c r="S36" i="20"/>
  <c r="S31" i="20"/>
  <c r="S28" i="20"/>
  <c r="S27" i="20"/>
  <c r="S24" i="20"/>
  <c r="S21" i="20"/>
  <c r="S20" i="20"/>
  <c r="S18" i="20"/>
  <c r="S17" i="20"/>
  <c r="S14" i="20"/>
  <c r="S13" i="20"/>
  <c r="S10" i="20"/>
  <c r="S9" i="20"/>
  <c r="S7" i="20"/>
  <c r="R31" i="20" l="1"/>
  <c r="R28" i="20"/>
  <c r="R27" i="20"/>
  <c r="R29" i="20" s="1"/>
  <c r="R24" i="20"/>
  <c r="R21" i="20"/>
  <c r="R20" i="20"/>
  <c r="R18" i="20"/>
  <c r="R17" i="20"/>
  <c r="R15" i="20"/>
  <c r="R34" i="20" s="1"/>
  <c r="R14" i="20"/>
  <c r="R13" i="20"/>
  <c r="R10" i="20"/>
  <c r="R12" i="20" s="1"/>
  <c r="R9" i="20"/>
  <c r="R7" i="20"/>
  <c r="N29" i="20"/>
  <c r="N15" i="20"/>
  <c r="N12" i="20"/>
  <c r="J31" i="20"/>
  <c r="J28" i="20"/>
  <c r="J29" i="20" s="1"/>
  <c r="J27" i="20"/>
  <c r="J24" i="20"/>
  <c r="J21" i="20"/>
  <c r="J20" i="20"/>
  <c r="J18" i="20"/>
  <c r="J17" i="20"/>
  <c r="J14" i="20"/>
  <c r="J13" i="20"/>
  <c r="J15" i="20" s="1"/>
  <c r="J10" i="20"/>
  <c r="J12" i="20" s="1"/>
  <c r="J9" i="20"/>
  <c r="J7" i="20"/>
  <c r="F28" i="20"/>
  <c r="F26" i="20"/>
  <c r="F19" i="20"/>
  <c r="F15" i="20"/>
  <c r="F34" i="20" s="1"/>
  <c r="F12" i="20"/>
  <c r="F33" i="20" s="1"/>
  <c r="F43" i="20"/>
  <c r="F29" i="20"/>
  <c r="F27" i="20"/>
  <c r="F24" i="20"/>
  <c r="F21" i="20"/>
  <c r="F20" i="20"/>
  <c r="F18" i="20"/>
  <c r="F17" i="20"/>
  <c r="F14" i="20"/>
  <c r="F13" i="20"/>
  <c r="F10" i="20"/>
  <c r="F9" i="20"/>
  <c r="F7" i="20"/>
  <c r="D29" i="20"/>
  <c r="D15" i="20"/>
  <c r="E44" i="20"/>
  <c r="E43" i="20"/>
  <c r="E33" i="20"/>
  <c r="E29" i="20"/>
  <c r="E15" i="20"/>
  <c r="E34" i="20" s="1"/>
  <c r="E12" i="20"/>
  <c r="E42" i="20" s="1"/>
  <c r="Q43" i="20"/>
  <c r="P43" i="20"/>
  <c r="O43" i="20"/>
  <c r="M43" i="20"/>
  <c r="L43" i="20"/>
  <c r="K43" i="20"/>
  <c r="I43" i="20"/>
  <c r="H43" i="20"/>
  <c r="G43" i="20"/>
  <c r="S29" i="20"/>
  <c r="Q29" i="20"/>
  <c r="P29" i="20"/>
  <c r="O29" i="20"/>
  <c r="M29" i="20"/>
  <c r="L29" i="20"/>
  <c r="K29" i="20"/>
  <c r="I29" i="20"/>
  <c r="H29" i="20"/>
  <c r="G29" i="20"/>
  <c r="S15" i="20"/>
  <c r="S34" i="20" s="1"/>
  <c r="Q15" i="20"/>
  <c r="Q34" i="20" s="1"/>
  <c r="P15" i="20"/>
  <c r="P34" i="20" s="1"/>
  <c r="O15" i="20"/>
  <c r="M15" i="20"/>
  <c r="M34" i="20" s="1"/>
  <c r="L15" i="20"/>
  <c r="L34" i="20" s="1"/>
  <c r="K15" i="20"/>
  <c r="K34" i="20" s="1"/>
  <c r="I15" i="20"/>
  <c r="I34" i="20" s="1"/>
  <c r="H15" i="20"/>
  <c r="H34" i="20" s="1"/>
  <c r="G15" i="20"/>
  <c r="G34" i="20" s="1"/>
  <c r="Q12" i="20"/>
  <c r="Q42" i="20" s="1"/>
  <c r="P12" i="20"/>
  <c r="P33" i="20" s="1"/>
  <c r="O12" i="20"/>
  <c r="O46" i="20" s="1"/>
  <c r="M12" i="20"/>
  <c r="M46" i="20" s="1"/>
  <c r="L12" i="20"/>
  <c r="L44" i="20" s="1"/>
  <c r="K12" i="20"/>
  <c r="K44" i="20" s="1"/>
  <c r="I12" i="20"/>
  <c r="I42" i="20" s="1"/>
  <c r="H12" i="20"/>
  <c r="H42" i="20" s="1"/>
  <c r="G12" i="20"/>
  <c r="G42" i="20" s="1"/>
  <c r="C43" i="20"/>
  <c r="C29" i="20"/>
  <c r="C15" i="20"/>
  <c r="C34" i="20" s="1"/>
  <c r="C12" i="20"/>
  <c r="C46" i="20" s="1"/>
  <c r="R33" i="20" l="1"/>
  <c r="R35" i="20" s="1"/>
  <c r="R39" i="20" s="1"/>
  <c r="R16" i="20"/>
  <c r="R19" i="20" s="1"/>
  <c r="R26" i="20" s="1"/>
  <c r="R30" i="20" s="1"/>
  <c r="N16" i="20"/>
  <c r="N19" i="20" s="1"/>
  <c r="N26" i="20" s="1"/>
  <c r="N30" i="20" s="1"/>
  <c r="J33" i="20"/>
  <c r="J34" i="20"/>
  <c r="J16" i="20"/>
  <c r="J19" i="20" s="1"/>
  <c r="J26" i="20" s="1"/>
  <c r="J30" i="20" s="1"/>
  <c r="S43" i="20"/>
  <c r="F30" i="20"/>
  <c r="F35" i="20" s="1"/>
  <c r="F39" i="20" s="1"/>
  <c r="F16" i="20"/>
  <c r="F47" i="20" s="1"/>
  <c r="F48" i="20"/>
  <c r="F45" i="20"/>
  <c r="F44" i="20"/>
  <c r="F42" i="20"/>
  <c r="F46" i="20"/>
  <c r="C33" i="20"/>
  <c r="E45" i="20"/>
  <c r="G33" i="20"/>
  <c r="E46" i="20"/>
  <c r="D34" i="20"/>
  <c r="D12" i="20"/>
  <c r="D45" i="20" s="1"/>
  <c r="D43" i="20"/>
  <c r="K33" i="20"/>
  <c r="L33" i="20"/>
  <c r="M33" i="20"/>
  <c r="O33" i="20"/>
  <c r="O45" i="20"/>
  <c r="H33" i="20"/>
  <c r="H32" i="20" s="1"/>
  <c r="Q33" i="20"/>
  <c r="E16" i="20"/>
  <c r="I33" i="20"/>
  <c r="I35" i="20" s="1"/>
  <c r="H46" i="20"/>
  <c r="O34" i="20"/>
  <c r="P16" i="20"/>
  <c r="P19" i="20" s="1"/>
  <c r="P26" i="20" s="1"/>
  <c r="M16" i="20"/>
  <c r="M19" i="20" s="1"/>
  <c r="M26" i="20" s="1"/>
  <c r="L42" i="20"/>
  <c r="I45" i="20"/>
  <c r="M42" i="20"/>
  <c r="H45" i="20"/>
  <c r="M44" i="20"/>
  <c r="P45" i="20"/>
  <c r="G45" i="20"/>
  <c r="Q45" i="20"/>
  <c r="K42" i="20"/>
  <c r="G46" i="20"/>
  <c r="C45" i="20"/>
  <c r="L46" i="20"/>
  <c r="K45" i="20"/>
  <c r="H16" i="20"/>
  <c r="H47" i="20" s="1"/>
  <c r="P46" i="20"/>
  <c r="G16" i="20"/>
  <c r="G47" i="20" s="1"/>
  <c r="L16" i="20"/>
  <c r="L19" i="20" s="1"/>
  <c r="L26" i="20" s="1"/>
  <c r="Q16" i="20"/>
  <c r="Q47" i="20" s="1"/>
  <c r="Q46" i="20"/>
  <c r="O44" i="20"/>
  <c r="I16" i="20"/>
  <c r="P44" i="20"/>
  <c r="L45" i="20"/>
  <c r="K16" i="20"/>
  <c r="O42" i="20"/>
  <c r="G44" i="20"/>
  <c r="Q44" i="20"/>
  <c r="M45" i="20"/>
  <c r="I46" i="20"/>
  <c r="P42" i="20"/>
  <c r="H44" i="20"/>
  <c r="K46" i="20"/>
  <c r="I44" i="20"/>
  <c r="O16" i="20"/>
  <c r="C42" i="20"/>
  <c r="C44" i="20"/>
  <c r="C16" i="20"/>
  <c r="N35" i="20" l="1"/>
  <c r="N39" i="20" s="1"/>
  <c r="J35" i="20"/>
  <c r="J39" i="20" s="1"/>
  <c r="S12" i="20"/>
  <c r="S33" i="20" s="1"/>
  <c r="Q19" i="20"/>
  <c r="Q26" i="20" s="1"/>
  <c r="Q30" i="20" s="1"/>
  <c r="Q35" i="20" s="1"/>
  <c r="Q39" i="20" s="1"/>
  <c r="P47" i="20"/>
  <c r="M47" i="20"/>
  <c r="D16" i="20"/>
  <c r="D44" i="20"/>
  <c r="D42" i="20"/>
  <c r="D46" i="20"/>
  <c r="D33" i="20"/>
  <c r="G19" i="20"/>
  <c r="G26" i="20" s="1"/>
  <c r="G30" i="20" s="1"/>
  <c r="G35" i="20" s="1"/>
  <c r="G39" i="20" s="1"/>
  <c r="E19" i="20"/>
  <c r="E47" i="20"/>
  <c r="H19" i="20"/>
  <c r="H26" i="20" s="1"/>
  <c r="H30" i="20" s="1"/>
  <c r="H35" i="20" s="1"/>
  <c r="H39" i="20" s="1"/>
  <c r="D19" i="20"/>
  <c r="D26" i="20" s="1"/>
  <c r="D47" i="20"/>
  <c r="L47" i="20"/>
  <c r="M48" i="20"/>
  <c r="M30" i="20"/>
  <c r="M35" i="20" s="1"/>
  <c r="M39" i="20" s="1"/>
  <c r="I19" i="20"/>
  <c r="I26" i="20" s="1"/>
  <c r="I47" i="20"/>
  <c r="O19" i="20"/>
  <c r="O26" i="20" s="1"/>
  <c r="O47" i="20"/>
  <c r="K47" i="20"/>
  <c r="K19" i="20"/>
  <c r="K26" i="20" s="1"/>
  <c r="L48" i="20"/>
  <c r="L30" i="20"/>
  <c r="L35" i="20" s="1"/>
  <c r="L39" i="20" s="1"/>
  <c r="P48" i="20"/>
  <c r="P30" i="20"/>
  <c r="P35" i="20" s="1"/>
  <c r="P39" i="20" s="1"/>
  <c r="C19" i="20"/>
  <c r="C26" i="20" s="1"/>
  <c r="C47" i="20"/>
  <c r="H28" i="2"/>
  <c r="I28" i="2" s="1"/>
  <c r="I26" i="2"/>
  <c r="I31" i="2"/>
  <c r="S42" i="20" l="1"/>
  <c r="S44" i="20"/>
  <c r="S45" i="20"/>
  <c r="S16" i="20"/>
  <c r="S47" i="20" s="1"/>
  <c r="S46" i="20"/>
  <c r="Q48" i="20"/>
  <c r="G48" i="20"/>
  <c r="E26" i="20"/>
  <c r="E30" i="20" s="1"/>
  <c r="E35" i="20" s="1"/>
  <c r="E39" i="20" s="1"/>
  <c r="E48" i="20"/>
  <c r="H48" i="20"/>
  <c r="D30" i="20"/>
  <c r="D35" i="20" s="1"/>
  <c r="D39" i="20" s="1"/>
  <c r="D48" i="20"/>
  <c r="I30" i="20"/>
  <c r="I39" i="20" s="1"/>
  <c r="I48" i="20"/>
  <c r="O48" i="20"/>
  <c r="O30" i="20"/>
  <c r="O35" i="20" s="1"/>
  <c r="O39" i="20" s="1"/>
  <c r="K30" i="20"/>
  <c r="K35" i="20" s="1"/>
  <c r="K39" i="20" s="1"/>
  <c r="K48" i="20"/>
  <c r="C48" i="20"/>
  <c r="C30" i="20"/>
  <c r="C35" i="20" s="1"/>
  <c r="C39" i="20" s="1"/>
  <c r="F29" i="13"/>
  <c r="K29" i="24" s="1"/>
  <c r="E29" i="13"/>
  <c r="K29" i="23" s="1"/>
  <c r="D29" i="13"/>
  <c r="K29" i="22" s="1"/>
  <c r="C29" i="13"/>
  <c r="K29" i="21" s="1"/>
  <c r="M29" i="25" s="1"/>
  <c r="N29" i="25" s="1"/>
  <c r="F15" i="13"/>
  <c r="E15" i="13"/>
  <c r="D15" i="13"/>
  <c r="C15" i="13"/>
  <c r="K15" i="21" s="1"/>
  <c r="F12" i="13"/>
  <c r="K12" i="24" s="1"/>
  <c r="E12" i="13"/>
  <c r="D12" i="13"/>
  <c r="D45" i="13" s="1"/>
  <c r="C12" i="13"/>
  <c r="F37" i="14"/>
  <c r="E37" i="14"/>
  <c r="D37" i="14"/>
  <c r="C37" i="14"/>
  <c r="F36" i="14"/>
  <c r="E36" i="14"/>
  <c r="D36" i="14"/>
  <c r="C36" i="14"/>
  <c r="F32" i="14"/>
  <c r="E32" i="14"/>
  <c r="D32" i="14"/>
  <c r="C32" i="14"/>
  <c r="F31" i="14"/>
  <c r="E31" i="14"/>
  <c r="D31" i="14"/>
  <c r="C31" i="14"/>
  <c r="F28" i="14"/>
  <c r="E28" i="14"/>
  <c r="D28" i="14"/>
  <c r="C28" i="14"/>
  <c r="F27" i="14"/>
  <c r="E27" i="14"/>
  <c r="E29" i="14" s="1"/>
  <c r="D27" i="14"/>
  <c r="C27" i="14"/>
  <c r="F25" i="14"/>
  <c r="E25" i="14"/>
  <c r="D25" i="14"/>
  <c r="C25" i="14"/>
  <c r="F24" i="14"/>
  <c r="E24" i="14"/>
  <c r="D24" i="14"/>
  <c r="C24" i="14"/>
  <c r="F23" i="14"/>
  <c r="E23" i="14"/>
  <c r="D23" i="14"/>
  <c r="C23" i="14"/>
  <c r="F22" i="14"/>
  <c r="E22" i="14"/>
  <c r="D22" i="14"/>
  <c r="C22" i="14"/>
  <c r="F21" i="14"/>
  <c r="E21" i="14"/>
  <c r="D21" i="14"/>
  <c r="C21" i="14"/>
  <c r="F20" i="14"/>
  <c r="E20" i="14"/>
  <c r="D20" i="14"/>
  <c r="C20" i="14"/>
  <c r="F18" i="14"/>
  <c r="E18" i="14"/>
  <c r="D18" i="14"/>
  <c r="C18" i="14"/>
  <c r="F17" i="14"/>
  <c r="E17" i="14"/>
  <c r="D17" i="14"/>
  <c r="C17" i="14"/>
  <c r="F14" i="14"/>
  <c r="E14" i="14"/>
  <c r="D14" i="14"/>
  <c r="C14" i="14"/>
  <c r="F13" i="14"/>
  <c r="E13" i="14"/>
  <c r="D13" i="14"/>
  <c r="C13" i="14"/>
  <c r="F11" i="14"/>
  <c r="E11" i="14"/>
  <c r="D11" i="14"/>
  <c r="C11" i="14"/>
  <c r="F10" i="14"/>
  <c r="E10" i="14"/>
  <c r="D10" i="14"/>
  <c r="C10" i="14"/>
  <c r="F9" i="14"/>
  <c r="E9" i="14"/>
  <c r="D9" i="14"/>
  <c r="C9" i="14"/>
  <c r="F8" i="14"/>
  <c r="E8" i="14"/>
  <c r="D8" i="14"/>
  <c r="C8" i="14"/>
  <c r="F7" i="14"/>
  <c r="E7" i="14"/>
  <c r="D7" i="14"/>
  <c r="C7" i="14"/>
  <c r="F37" i="10"/>
  <c r="E37" i="10"/>
  <c r="D37" i="10"/>
  <c r="C37" i="10"/>
  <c r="F36" i="10"/>
  <c r="E36" i="10"/>
  <c r="D36" i="10"/>
  <c r="C36" i="10"/>
  <c r="F32" i="10"/>
  <c r="E32" i="10"/>
  <c r="D32" i="10"/>
  <c r="C32" i="10"/>
  <c r="F31" i="10"/>
  <c r="E31" i="10"/>
  <c r="D31" i="10"/>
  <c r="C31" i="10"/>
  <c r="F28" i="10"/>
  <c r="E28" i="10"/>
  <c r="D28" i="10"/>
  <c r="C28" i="10"/>
  <c r="F27" i="10"/>
  <c r="E27" i="10"/>
  <c r="D27" i="10"/>
  <c r="C27" i="10"/>
  <c r="F25" i="10"/>
  <c r="E25" i="10"/>
  <c r="D25" i="10"/>
  <c r="C25" i="10"/>
  <c r="F24" i="10"/>
  <c r="E24" i="10"/>
  <c r="D24" i="10"/>
  <c r="C24" i="10"/>
  <c r="F23" i="10"/>
  <c r="E23" i="10"/>
  <c r="D23" i="10"/>
  <c r="C23" i="10"/>
  <c r="F22" i="10"/>
  <c r="E22" i="10"/>
  <c r="D22" i="10"/>
  <c r="C22" i="10"/>
  <c r="F21" i="10"/>
  <c r="E21" i="10"/>
  <c r="D21" i="10"/>
  <c r="C21" i="10"/>
  <c r="F20" i="10"/>
  <c r="E20" i="10"/>
  <c r="D20" i="10"/>
  <c r="C20" i="10"/>
  <c r="F18" i="10"/>
  <c r="E18" i="10"/>
  <c r="D18" i="10"/>
  <c r="C18" i="10"/>
  <c r="F17" i="10"/>
  <c r="E17" i="10"/>
  <c r="D17" i="10"/>
  <c r="C17" i="10"/>
  <c r="F14" i="10"/>
  <c r="E14" i="10"/>
  <c r="D14" i="10"/>
  <c r="C14" i="10"/>
  <c r="F13" i="10"/>
  <c r="E13" i="10"/>
  <c r="D13" i="10"/>
  <c r="C13" i="10"/>
  <c r="F11" i="10"/>
  <c r="E11" i="10"/>
  <c r="D11" i="10"/>
  <c r="C11" i="10"/>
  <c r="F10" i="10"/>
  <c r="E10" i="10"/>
  <c r="D10" i="10"/>
  <c r="C10" i="10"/>
  <c r="F9" i="10"/>
  <c r="E9" i="10"/>
  <c r="D9" i="10"/>
  <c r="C9" i="10"/>
  <c r="F8" i="10"/>
  <c r="E8" i="10"/>
  <c r="D8" i="10"/>
  <c r="C8" i="10"/>
  <c r="F7" i="10"/>
  <c r="E7" i="10"/>
  <c r="D7" i="10"/>
  <c r="C7" i="10"/>
  <c r="G37" i="18"/>
  <c r="G36" i="18"/>
  <c r="G32" i="18"/>
  <c r="G31" i="18"/>
  <c r="G28" i="18"/>
  <c r="G27" i="18"/>
  <c r="G25" i="18"/>
  <c r="G24" i="18"/>
  <c r="G23" i="18"/>
  <c r="G22" i="18"/>
  <c r="G21" i="18"/>
  <c r="G20" i="18"/>
  <c r="G18" i="18"/>
  <c r="G17" i="18"/>
  <c r="G14" i="18"/>
  <c r="G13" i="18"/>
  <c r="G11" i="18"/>
  <c r="G10" i="18"/>
  <c r="G9" i="18"/>
  <c r="G8" i="18"/>
  <c r="G7" i="18"/>
  <c r="G37" i="17"/>
  <c r="G36" i="17"/>
  <c r="G32" i="17"/>
  <c r="G31" i="17"/>
  <c r="G28" i="17"/>
  <c r="G27" i="17"/>
  <c r="G25" i="17"/>
  <c r="G24" i="17"/>
  <c r="G23" i="17"/>
  <c r="G22" i="17"/>
  <c r="G21" i="17"/>
  <c r="G20" i="17"/>
  <c r="G18" i="17"/>
  <c r="G17" i="17"/>
  <c r="G14" i="17"/>
  <c r="G13" i="17"/>
  <c r="G43" i="17" s="1"/>
  <c r="G11" i="17"/>
  <c r="G10" i="17"/>
  <c r="G9" i="17"/>
  <c r="G8" i="17"/>
  <c r="G7" i="17"/>
  <c r="G32" i="13"/>
  <c r="G31" i="13"/>
  <c r="G28" i="13"/>
  <c r="G27" i="13"/>
  <c r="G25" i="13"/>
  <c r="G24" i="13"/>
  <c r="G23" i="13"/>
  <c r="G22" i="13"/>
  <c r="G21" i="13"/>
  <c r="G20" i="13"/>
  <c r="G18" i="13"/>
  <c r="G17" i="13"/>
  <c r="G14" i="13"/>
  <c r="G13" i="13"/>
  <c r="G11" i="13"/>
  <c r="G10" i="13"/>
  <c r="G9" i="13"/>
  <c r="G8" i="13"/>
  <c r="G7" i="13"/>
  <c r="G37" i="12"/>
  <c r="G36" i="12"/>
  <c r="G32" i="12"/>
  <c r="G31" i="12"/>
  <c r="G28" i="12"/>
  <c r="G29" i="12" s="1"/>
  <c r="G27" i="12"/>
  <c r="G25" i="12"/>
  <c r="G24" i="12"/>
  <c r="G23" i="12"/>
  <c r="G22" i="12"/>
  <c r="G21" i="12"/>
  <c r="G20" i="12"/>
  <c r="G18" i="12"/>
  <c r="G17" i="12"/>
  <c r="G14" i="12"/>
  <c r="G13" i="12"/>
  <c r="G11" i="12"/>
  <c r="G10" i="12"/>
  <c r="G9" i="12"/>
  <c r="G8" i="12"/>
  <c r="G7" i="12"/>
  <c r="G37" i="11"/>
  <c r="G36" i="11"/>
  <c r="G32" i="11"/>
  <c r="G31" i="11"/>
  <c r="G28" i="11"/>
  <c r="G27" i="11"/>
  <c r="G25" i="11"/>
  <c r="G24" i="11"/>
  <c r="G23" i="11"/>
  <c r="G22" i="11"/>
  <c r="G21" i="11"/>
  <c r="G20" i="11"/>
  <c r="G18" i="11"/>
  <c r="G17" i="11"/>
  <c r="G14" i="11"/>
  <c r="G13" i="11"/>
  <c r="G11" i="11"/>
  <c r="G10" i="11"/>
  <c r="G9" i="11"/>
  <c r="G8" i="11"/>
  <c r="G7" i="11"/>
  <c r="G37" i="9"/>
  <c r="G36" i="9"/>
  <c r="G32" i="9"/>
  <c r="G31" i="9"/>
  <c r="G28" i="9"/>
  <c r="G27" i="9"/>
  <c r="G25" i="9"/>
  <c r="G24" i="9"/>
  <c r="G23" i="9"/>
  <c r="G22" i="9"/>
  <c r="G21" i="9"/>
  <c r="G20" i="9"/>
  <c r="G18" i="9"/>
  <c r="G17" i="9"/>
  <c r="G14" i="9"/>
  <c r="G13" i="9"/>
  <c r="G11" i="9"/>
  <c r="G10" i="9"/>
  <c r="G9" i="9"/>
  <c r="G8" i="9"/>
  <c r="G7" i="9"/>
  <c r="G37" i="8"/>
  <c r="G36" i="8"/>
  <c r="G32" i="8"/>
  <c r="G31" i="8"/>
  <c r="G28" i="8"/>
  <c r="G27" i="8"/>
  <c r="G25" i="8"/>
  <c r="G24" i="8"/>
  <c r="G23" i="8"/>
  <c r="G22" i="8"/>
  <c r="G21" i="8"/>
  <c r="G20" i="8"/>
  <c r="G18" i="8"/>
  <c r="G17" i="8"/>
  <c r="G14" i="8"/>
  <c r="G13" i="8"/>
  <c r="G11" i="8"/>
  <c r="G10" i="8"/>
  <c r="G9" i="8"/>
  <c r="G8" i="8"/>
  <c r="G7" i="8"/>
  <c r="G37" i="7"/>
  <c r="G36" i="7"/>
  <c r="G32" i="7"/>
  <c r="G31" i="7"/>
  <c r="G28" i="7"/>
  <c r="G27" i="7"/>
  <c r="G29" i="7" s="1"/>
  <c r="G25" i="7"/>
  <c r="G23" i="7"/>
  <c r="G22" i="7"/>
  <c r="G21" i="7"/>
  <c r="G20" i="7"/>
  <c r="G18" i="7"/>
  <c r="G17" i="7"/>
  <c r="G14" i="7"/>
  <c r="G13" i="7"/>
  <c r="G11" i="7"/>
  <c r="G10" i="7"/>
  <c r="G9" i="7"/>
  <c r="G8" i="7"/>
  <c r="G7" i="7"/>
  <c r="G37" i="5"/>
  <c r="G36" i="5"/>
  <c r="G32" i="5"/>
  <c r="G31" i="5"/>
  <c r="G28" i="5"/>
  <c r="G27" i="5"/>
  <c r="G29" i="5" s="1"/>
  <c r="G25" i="5"/>
  <c r="G24" i="5"/>
  <c r="G23" i="5"/>
  <c r="G22" i="5"/>
  <c r="G21" i="5"/>
  <c r="G20" i="5"/>
  <c r="G18" i="5"/>
  <c r="G17" i="5"/>
  <c r="G14" i="5"/>
  <c r="G13" i="5"/>
  <c r="G11" i="5"/>
  <c r="G10" i="5"/>
  <c r="G9" i="5"/>
  <c r="G8" i="5"/>
  <c r="G7" i="5"/>
  <c r="G37" i="4"/>
  <c r="G36" i="4"/>
  <c r="G32" i="4"/>
  <c r="G31" i="4"/>
  <c r="G28" i="4"/>
  <c r="G27" i="4"/>
  <c r="G29" i="4" s="1"/>
  <c r="G25" i="4"/>
  <c r="G24" i="4"/>
  <c r="G23" i="4"/>
  <c r="G22" i="4"/>
  <c r="G21" i="4"/>
  <c r="G20" i="4"/>
  <c r="G18" i="4"/>
  <c r="G17" i="4"/>
  <c r="G14" i="4"/>
  <c r="G13" i="4"/>
  <c r="G11" i="4"/>
  <c r="G10" i="4"/>
  <c r="G9" i="4"/>
  <c r="G8" i="4"/>
  <c r="G7" i="4"/>
  <c r="G37" i="3"/>
  <c r="G36" i="3"/>
  <c r="G32" i="3"/>
  <c r="G31" i="3"/>
  <c r="G29" i="3"/>
  <c r="G28" i="3"/>
  <c r="G27" i="3"/>
  <c r="G25" i="3"/>
  <c r="G24" i="3"/>
  <c r="G23" i="3"/>
  <c r="G22" i="3"/>
  <c r="G21" i="3"/>
  <c r="G20" i="3"/>
  <c r="G18" i="3"/>
  <c r="G17" i="3"/>
  <c r="G14" i="3"/>
  <c r="G13" i="3"/>
  <c r="G11" i="3"/>
  <c r="G10" i="3"/>
  <c r="G9" i="3"/>
  <c r="G8" i="3"/>
  <c r="G7" i="3"/>
  <c r="F43" i="18"/>
  <c r="E43" i="18"/>
  <c r="D43" i="18"/>
  <c r="C43" i="18"/>
  <c r="F29" i="18"/>
  <c r="E29" i="18"/>
  <c r="M29" i="23" s="1"/>
  <c r="D29" i="18"/>
  <c r="M29" i="22" s="1"/>
  <c r="C29" i="18"/>
  <c r="M29" i="21" s="1"/>
  <c r="F15" i="18"/>
  <c r="E15" i="18"/>
  <c r="D15" i="18"/>
  <c r="C15" i="18"/>
  <c r="F12" i="18"/>
  <c r="E12" i="18"/>
  <c r="D12" i="18"/>
  <c r="C12" i="18"/>
  <c r="F43" i="17"/>
  <c r="E43" i="17"/>
  <c r="D43" i="17"/>
  <c r="C43" i="17"/>
  <c r="F29" i="17"/>
  <c r="E29" i="17"/>
  <c r="D29" i="17"/>
  <c r="L29" i="22" s="1"/>
  <c r="O29" i="25" s="1"/>
  <c r="C29" i="17"/>
  <c r="F15" i="17"/>
  <c r="E15" i="17"/>
  <c r="C15" i="17"/>
  <c r="F12" i="17"/>
  <c r="E12" i="17"/>
  <c r="D12" i="17"/>
  <c r="C12" i="17"/>
  <c r="E43" i="16"/>
  <c r="D43" i="16"/>
  <c r="C43" i="16"/>
  <c r="N29" i="23"/>
  <c r="N29" i="22"/>
  <c r="C15" i="16"/>
  <c r="C34" i="16" s="1"/>
  <c r="C12" i="16"/>
  <c r="G12" i="16" s="1"/>
  <c r="F43" i="13"/>
  <c r="E43" i="13"/>
  <c r="D43" i="13"/>
  <c r="C43" i="13"/>
  <c r="D42" i="13"/>
  <c r="F43" i="12"/>
  <c r="E43" i="12"/>
  <c r="D43" i="12"/>
  <c r="C43" i="12"/>
  <c r="F42" i="12"/>
  <c r="E29" i="12"/>
  <c r="D29" i="12"/>
  <c r="C29" i="12"/>
  <c r="F45" i="12"/>
  <c r="E15" i="12"/>
  <c r="E34" i="12" s="1"/>
  <c r="D15" i="12"/>
  <c r="D34" i="12" s="1"/>
  <c r="C15" i="12"/>
  <c r="J15" i="21" s="1"/>
  <c r="F46" i="12"/>
  <c r="E12" i="12"/>
  <c r="E33" i="12" s="1"/>
  <c r="D12" i="12"/>
  <c r="C12" i="12"/>
  <c r="C44" i="11"/>
  <c r="F43" i="11"/>
  <c r="E43" i="11"/>
  <c r="D43" i="11"/>
  <c r="C43" i="11"/>
  <c r="E29" i="11"/>
  <c r="D29" i="11"/>
  <c r="C29" i="11"/>
  <c r="E15" i="11"/>
  <c r="E34" i="11" s="1"/>
  <c r="D15" i="11"/>
  <c r="C15" i="11"/>
  <c r="E12" i="11"/>
  <c r="D12" i="11"/>
  <c r="C12" i="11"/>
  <c r="C46" i="11" s="1"/>
  <c r="F43" i="9"/>
  <c r="E43" i="9"/>
  <c r="D43" i="9"/>
  <c r="C43" i="9"/>
  <c r="F42" i="9"/>
  <c r="E29" i="9"/>
  <c r="H29" i="23" s="1"/>
  <c r="D29" i="9"/>
  <c r="H29" i="22" s="1"/>
  <c r="C29" i="9"/>
  <c r="F45" i="9"/>
  <c r="E15" i="9"/>
  <c r="D15" i="9"/>
  <c r="C15" i="9"/>
  <c r="F46" i="9"/>
  <c r="E12" i="9"/>
  <c r="H12" i="23" s="1"/>
  <c r="D12" i="9"/>
  <c r="H12" i="22" s="1"/>
  <c r="C12" i="9"/>
  <c r="F45" i="8"/>
  <c r="F43" i="8"/>
  <c r="E43" i="8"/>
  <c r="D43" i="8"/>
  <c r="C43" i="8"/>
  <c r="F42" i="8"/>
  <c r="E29" i="8"/>
  <c r="D29" i="8"/>
  <c r="C29" i="8"/>
  <c r="E15" i="8"/>
  <c r="E34" i="8" s="1"/>
  <c r="D15" i="8"/>
  <c r="D34" i="8" s="1"/>
  <c r="C15" i="8"/>
  <c r="F46" i="8"/>
  <c r="E12" i="8"/>
  <c r="D12" i="8"/>
  <c r="C12" i="8"/>
  <c r="F44" i="7"/>
  <c r="F43" i="7"/>
  <c r="E43" i="7"/>
  <c r="D43" i="7"/>
  <c r="C43" i="7"/>
  <c r="F42" i="7"/>
  <c r="E29" i="7"/>
  <c r="D29" i="7"/>
  <c r="C29" i="7"/>
  <c r="E15" i="7"/>
  <c r="E34" i="7" s="1"/>
  <c r="D15" i="7"/>
  <c r="D34" i="7" s="1"/>
  <c r="C15" i="7"/>
  <c r="F46" i="7"/>
  <c r="E12" i="7"/>
  <c r="D12" i="7"/>
  <c r="D42" i="7" s="1"/>
  <c r="C12" i="7"/>
  <c r="C44" i="5"/>
  <c r="F43" i="5"/>
  <c r="E43" i="5"/>
  <c r="D43" i="5"/>
  <c r="C43" i="5"/>
  <c r="E29" i="5"/>
  <c r="D29" i="5"/>
  <c r="C29" i="5"/>
  <c r="E15" i="5"/>
  <c r="E34" i="5" s="1"/>
  <c r="D15" i="5"/>
  <c r="D34" i="5" s="1"/>
  <c r="C15" i="5"/>
  <c r="F46" i="5"/>
  <c r="E12" i="5"/>
  <c r="E42" i="5" s="1"/>
  <c r="D12" i="5"/>
  <c r="C12" i="5"/>
  <c r="C42" i="5" s="1"/>
  <c r="F44" i="4"/>
  <c r="F43" i="4"/>
  <c r="E43" i="4"/>
  <c r="D43" i="4"/>
  <c r="C43" i="4"/>
  <c r="F42" i="4"/>
  <c r="E29" i="4"/>
  <c r="D29" i="4"/>
  <c r="C29" i="4"/>
  <c r="E15" i="4"/>
  <c r="E34" i="4" s="1"/>
  <c r="D15" i="4"/>
  <c r="D34" i="4" s="1"/>
  <c r="C15" i="4"/>
  <c r="F46" i="4"/>
  <c r="E12" i="4"/>
  <c r="D12" i="4"/>
  <c r="D42" i="4" s="1"/>
  <c r="C12" i="4"/>
  <c r="F43" i="3"/>
  <c r="E43" i="3"/>
  <c r="D43" i="3"/>
  <c r="C43" i="3"/>
  <c r="E29" i="3"/>
  <c r="D29" i="3"/>
  <c r="C29" i="3"/>
  <c r="E15" i="3"/>
  <c r="D15" i="3"/>
  <c r="C15" i="3"/>
  <c r="E12" i="3"/>
  <c r="E46" i="3" s="1"/>
  <c r="D12" i="3"/>
  <c r="D42" i="3" s="1"/>
  <c r="C12" i="3"/>
  <c r="H12" i="21" l="1"/>
  <c r="H29" i="21"/>
  <c r="C12" i="10"/>
  <c r="C33" i="10" s="1"/>
  <c r="S8" i="25"/>
  <c r="N29" i="21"/>
  <c r="G29" i="16"/>
  <c r="G15" i="16"/>
  <c r="G34" i="16" s="1"/>
  <c r="K12" i="22"/>
  <c r="D33" i="13"/>
  <c r="K33" i="22" s="1"/>
  <c r="K33" i="24"/>
  <c r="K42" i="24"/>
  <c r="K46" i="24"/>
  <c r="K44" i="24"/>
  <c r="K50" i="24"/>
  <c r="F29" i="14"/>
  <c r="C33" i="13"/>
  <c r="K33" i="21" s="1"/>
  <c r="K12" i="21"/>
  <c r="F34" i="13"/>
  <c r="K34" i="24" s="1"/>
  <c r="K15" i="24"/>
  <c r="K45" i="24" s="1"/>
  <c r="E33" i="13"/>
  <c r="K33" i="23" s="1"/>
  <c r="K12" i="23"/>
  <c r="G43" i="13"/>
  <c r="L15" i="25"/>
  <c r="L45" i="25" s="1"/>
  <c r="J45" i="21"/>
  <c r="I29" i="25"/>
  <c r="J29" i="25" s="1"/>
  <c r="C46" i="9"/>
  <c r="H44" i="22"/>
  <c r="H42" i="22"/>
  <c r="H46" i="22"/>
  <c r="H42" i="23"/>
  <c r="H46" i="23"/>
  <c r="H44" i="23"/>
  <c r="H15" i="21"/>
  <c r="H45" i="21" s="1"/>
  <c r="C34" i="9"/>
  <c r="H15" i="22"/>
  <c r="H45" i="22" s="1"/>
  <c r="D34" i="9"/>
  <c r="H34" i="22" s="1"/>
  <c r="H44" i="21"/>
  <c r="H42" i="21"/>
  <c r="H46" i="21"/>
  <c r="I12" i="25"/>
  <c r="E29" i="10"/>
  <c r="C29" i="10"/>
  <c r="E35" i="16"/>
  <c r="E39" i="16" s="1"/>
  <c r="D47" i="16"/>
  <c r="N16" i="22"/>
  <c r="N47" i="22" s="1"/>
  <c r="C33" i="16"/>
  <c r="C16" i="16"/>
  <c r="G16" i="16" s="1"/>
  <c r="D42" i="16"/>
  <c r="N33" i="22"/>
  <c r="N12" i="22"/>
  <c r="D44" i="16"/>
  <c r="E42" i="16"/>
  <c r="N33" i="23"/>
  <c r="N12" i="23"/>
  <c r="C46" i="16"/>
  <c r="D46" i="16"/>
  <c r="O29" i="22"/>
  <c r="D45" i="16"/>
  <c r="N15" i="22"/>
  <c r="N34" i="22"/>
  <c r="O29" i="23"/>
  <c r="N15" i="23"/>
  <c r="N34" i="23"/>
  <c r="C45" i="16"/>
  <c r="N15" i="21"/>
  <c r="C44" i="16"/>
  <c r="N12" i="21"/>
  <c r="G43" i="18"/>
  <c r="M12" i="21"/>
  <c r="C33" i="18"/>
  <c r="M33" i="21" s="1"/>
  <c r="C46" i="18"/>
  <c r="O29" i="21"/>
  <c r="M29" i="24"/>
  <c r="M15" i="21"/>
  <c r="C34" i="18"/>
  <c r="M34" i="21" s="1"/>
  <c r="L15" i="21"/>
  <c r="C34" i="17"/>
  <c r="L34" i="21" s="1"/>
  <c r="M15" i="24"/>
  <c r="F34" i="18"/>
  <c r="H15" i="23"/>
  <c r="E34" i="9"/>
  <c r="H34" i="23" s="1"/>
  <c r="E34" i="13"/>
  <c r="K34" i="23" s="1"/>
  <c r="K15" i="23"/>
  <c r="K15" i="22"/>
  <c r="D34" i="13"/>
  <c r="K34" i="22" s="1"/>
  <c r="M12" i="24"/>
  <c r="F33" i="18"/>
  <c r="L15" i="24"/>
  <c r="F34" i="17"/>
  <c r="L34" i="24" s="1"/>
  <c r="L12" i="24"/>
  <c r="F33" i="17"/>
  <c r="M15" i="23"/>
  <c r="E34" i="18"/>
  <c r="M34" i="23" s="1"/>
  <c r="M12" i="23"/>
  <c r="E33" i="18"/>
  <c r="M33" i="23" s="1"/>
  <c r="L15" i="23"/>
  <c r="E34" i="17"/>
  <c r="L34" i="23" s="1"/>
  <c r="E46" i="17"/>
  <c r="L12" i="23"/>
  <c r="E33" i="17"/>
  <c r="L33" i="23" s="1"/>
  <c r="M15" i="22"/>
  <c r="D34" i="18"/>
  <c r="M34" i="22" s="1"/>
  <c r="M12" i="22"/>
  <c r="D33" i="18"/>
  <c r="M33" i="22" s="1"/>
  <c r="L12" i="22"/>
  <c r="D33" i="17"/>
  <c r="L33" i="22" s="1"/>
  <c r="C34" i="13"/>
  <c r="K34" i="21" s="1"/>
  <c r="C44" i="13"/>
  <c r="C42" i="13"/>
  <c r="C45" i="13"/>
  <c r="C34" i="12"/>
  <c r="J34" i="21" s="1"/>
  <c r="L34" i="25" s="1"/>
  <c r="C44" i="12"/>
  <c r="C33" i="12"/>
  <c r="C16" i="12"/>
  <c r="C45" i="12"/>
  <c r="C34" i="11"/>
  <c r="C42" i="11"/>
  <c r="C33" i="11"/>
  <c r="C45" i="11"/>
  <c r="G29" i="9"/>
  <c r="C44" i="9"/>
  <c r="C33" i="9"/>
  <c r="C16" i="9"/>
  <c r="C45" i="9"/>
  <c r="C34" i="8"/>
  <c r="C42" i="8"/>
  <c r="C33" i="8"/>
  <c r="C44" i="8"/>
  <c r="C45" i="8"/>
  <c r="C16" i="8"/>
  <c r="C19" i="8" s="1"/>
  <c r="C45" i="5"/>
  <c r="C34" i="5"/>
  <c r="C46" i="5"/>
  <c r="C16" i="5"/>
  <c r="C33" i="5"/>
  <c r="C45" i="4"/>
  <c r="C34" i="4"/>
  <c r="C42" i="4"/>
  <c r="C33" i="4"/>
  <c r="C34" i="3"/>
  <c r="C46" i="3"/>
  <c r="C33" i="3"/>
  <c r="E45" i="13"/>
  <c r="E15" i="14"/>
  <c r="E16" i="4"/>
  <c r="E19" i="4" s="1"/>
  <c r="E48" i="4" s="1"/>
  <c r="G10" i="10"/>
  <c r="C45" i="7"/>
  <c r="C34" i="7"/>
  <c r="C43" i="10"/>
  <c r="G22" i="10"/>
  <c r="C42" i="7"/>
  <c r="C33" i="7"/>
  <c r="C42" i="10"/>
  <c r="G37" i="10"/>
  <c r="F45" i="13"/>
  <c r="F16" i="13"/>
  <c r="F47" i="13" s="1"/>
  <c r="F33" i="13"/>
  <c r="G43" i="11"/>
  <c r="G18" i="14"/>
  <c r="F29" i="10"/>
  <c r="G15" i="8"/>
  <c r="G34" i="8" s="1"/>
  <c r="G29" i="8"/>
  <c r="G18" i="10"/>
  <c r="G15" i="7"/>
  <c r="G34" i="7" s="1"/>
  <c r="G14" i="10"/>
  <c r="E45" i="7"/>
  <c r="G24" i="10"/>
  <c r="G31" i="10"/>
  <c r="G36" i="10"/>
  <c r="G8" i="10"/>
  <c r="F15" i="10"/>
  <c r="F34" i="10" s="1"/>
  <c r="F12" i="10"/>
  <c r="F33" i="10" s="1"/>
  <c r="F43" i="10"/>
  <c r="G11" i="10"/>
  <c r="G21" i="10"/>
  <c r="G23" i="10"/>
  <c r="G25" i="10"/>
  <c r="G32" i="10"/>
  <c r="G43" i="4"/>
  <c r="F43" i="6"/>
  <c r="E43" i="6"/>
  <c r="E42" i="6"/>
  <c r="E42" i="12"/>
  <c r="E45" i="12"/>
  <c r="E16" i="11"/>
  <c r="E47" i="11" s="1"/>
  <c r="E33" i="11"/>
  <c r="E44" i="11"/>
  <c r="E42" i="11"/>
  <c r="E46" i="11"/>
  <c r="E45" i="11"/>
  <c r="E15" i="10"/>
  <c r="E34" i="10" s="1"/>
  <c r="E42" i="9"/>
  <c r="E33" i="9"/>
  <c r="H33" i="23" s="1"/>
  <c r="E45" i="9"/>
  <c r="E46" i="8"/>
  <c r="E33" i="8"/>
  <c r="E45" i="8"/>
  <c r="E42" i="8"/>
  <c r="E42" i="7"/>
  <c r="E16" i="7"/>
  <c r="E47" i="7" s="1"/>
  <c r="E46" i="7"/>
  <c r="E33" i="7"/>
  <c r="G43" i="5"/>
  <c r="E46" i="5"/>
  <c r="E33" i="5"/>
  <c r="E44" i="5"/>
  <c r="E45" i="5"/>
  <c r="E45" i="4"/>
  <c r="E42" i="4"/>
  <c r="E46" i="4"/>
  <c r="E33" i="4"/>
  <c r="G15" i="3"/>
  <c r="G34" i="3" s="1"/>
  <c r="E45" i="3"/>
  <c r="E34" i="3"/>
  <c r="G43" i="3"/>
  <c r="E42" i="3"/>
  <c r="E33" i="3"/>
  <c r="D15" i="14"/>
  <c r="G15" i="12"/>
  <c r="G34" i="12" s="1"/>
  <c r="D45" i="12"/>
  <c r="D42" i="12"/>
  <c r="D16" i="12"/>
  <c r="D47" i="12" s="1"/>
  <c r="D44" i="12"/>
  <c r="G12" i="12"/>
  <c r="G33" i="12" s="1"/>
  <c r="G43" i="12"/>
  <c r="D29" i="14"/>
  <c r="G29" i="11"/>
  <c r="G15" i="11"/>
  <c r="G34" i="11" s="1"/>
  <c r="D45" i="11"/>
  <c r="D34" i="11"/>
  <c r="D42" i="11"/>
  <c r="D33" i="11"/>
  <c r="G12" i="11"/>
  <c r="G28" i="10"/>
  <c r="G15" i="9"/>
  <c r="G34" i="9" s="1"/>
  <c r="D45" i="9"/>
  <c r="G12" i="9"/>
  <c r="G33" i="9" s="1"/>
  <c r="G43" i="9"/>
  <c r="D42" i="9"/>
  <c r="D33" i="9"/>
  <c r="H33" i="22" s="1"/>
  <c r="D16" i="9"/>
  <c r="D44" i="9"/>
  <c r="D12" i="10"/>
  <c r="D33" i="10" s="1"/>
  <c r="D29" i="10"/>
  <c r="G27" i="10"/>
  <c r="G9" i="10"/>
  <c r="D42" i="8"/>
  <c r="D33" i="8"/>
  <c r="D43" i="10"/>
  <c r="G12" i="8"/>
  <c r="G43" i="8"/>
  <c r="D45" i="8"/>
  <c r="G20" i="10"/>
  <c r="G17" i="10"/>
  <c r="D45" i="7"/>
  <c r="G12" i="7"/>
  <c r="G43" i="7"/>
  <c r="D46" i="7"/>
  <c r="D33" i="7"/>
  <c r="G15" i="5"/>
  <c r="G34" i="5" s="1"/>
  <c r="G12" i="5"/>
  <c r="D42" i="5"/>
  <c r="D33" i="5"/>
  <c r="D16" i="5"/>
  <c r="D19" i="5" s="1"/>
  <c r="D26" i="5" s="1"/>
  <c r="D30" i="5" s="1"/>
  <c r="D35" i="5" s="1"/>
  <c r="D39" i="5" s="1"/>
  <c r="G15" i="4"/>
  <c r="G34" i="4" s="1"/>
  <c r="G12" i="4"/>
  <c r="D45" i="4"/>
  <c r="D46" i="4"/>
  <c r="D33" i="4"/>
  <c r="G12" i="3"/>
  <c r="D16" i="18"/>
  <c r="G29" i="18"/>
  <c r="D45" i="18"/>
  <c r="G12" i="18"/>
  <c r="E45" i="18"/>
  <c r="F45" i="18"/>
  <c r="F46" i="18"/>
  <c r="D42" i="18"/>
  <c r="D44" i="18"/>
  <c r="E42" i="18"/>
  <c r="E44" i="18"/>
  <c r="C45" i="18"/>
  <c r="C44" i="18"/>
  <c r="C16" i="18"/>
  <c r="M16" i="21" s="1"/>
  <c r="M47" i="21" s="1"/>
  <c r="G15" i="18"/>
  <c r="G34" i="18" s="1"/>
  <c r="E43" i="15"/>
  <c r="E44" i="17"/>
  <c r="G29" i="17"/>
  <c r="C42" i="17"/>
  <c r="C45" i="17"/>
  <c r="D16" i="17"/>
  <c r="L16" i="22" s="1"/>
  <c r="F42" i="17"/>
  <c r="F44" i="17"/>
  <c r="F46" i="17"/>
  <c r="F16" i="17"/>
  <c r="L16" i="24" s="1"/>
  <c r="G15" i="17"/>
  <c r="G34" i="17" s="1"/>
  <c r="E42" i="17"/>
  <c r="E45" i="17"/>
  <c r="E16" i="17"/>
  <c r="G12" i="17"/>
  <c r="D46" i="17"/>
  <c r="D43" i="15"/>
  <c r="D45" i="17"/>
  <c r="D42" i="17"/>
  <c r="S19" i="20"/>
  <c r="S26" i="20" s="1"/>
  <c r="S30" i="20" s="1"/>
  <c r="S35" i="20" s="1"/>
  <c r="S39" i="20" s="1"/>
  <c r="G24" i="14"/>
  <c r="G28" i="14"/>
  <c r="C16" i="13"/>
  <c r="K16" i="21" s="1"/>
  <c r="K47" i="21" s="1"/>
  <c r="G29" i="13"/>
  <c r="D16" i="13"/>
  <c r="G21" i="14"/>
  <c r="G23" i="14"/>
  <c r="G25" i="14"/>
  <c r="G37" i="14"/>
  <c r="E16" i="13"/>
  <c r="D43" i="14"/>
  <c r="G13" i="14"/>
  <c r="C43" i="6"/>
  <c r="G9" i="14"/>
  <c r="G11" i="14"/>
  <c r="G32" i="14"/>
  <c r="E46" i="13"/>
  <c r="G15" i="13"/>
  <c r="G22" i="14"/>
  <c r="E42" i="13"/>
  <c r="G8" i="14"/>
  <c r="G10" i="14"/>
  <c r="C43" i="14"/>
  <c r="G20" i="14"/>
  <c r="C29" i="14"/>
  <c r="G36" i="14"/>
  <c r="G12" i="13"/>
  <c r="F43" i="14"/>
  <c r="G14" i="14"/>
  <c r="F46" i="13"/>
  <c r="D12" i="14"/>
  <c r="G17" i="14"/>
  <c r="G31" i="14"/>
  <c r="C43" i="15"/>
  <c r="G27" i="14"/>
  <c r="F15" i="14"/>
  <c r="C15" i="14"/>
  <c r="E12" i="14"/>
  <c r="F12" i="14"/>
  <c r="E43" i="14"/>
  <c r="G7" i="14"/>
  <c r="C12" i="14"/>
  <c r="G13" i="10"/>
  <c r="C15" i="10"/>
  <c r="D15" i="10"/>
  <c r="D34" i="10" s="1"/>
  <c r="E12" i="10"/>
  <c r="E33" i="10" s="1"/>
  <c r="G7" i="10"/>
  <c r="E43" i="10"/>
  <c r="D43" i="6"/>
  <c r="F42" i="18"/>
  <c r="E16" i="18"/>
  <c r="M16" i="23" s="1"/>
  <c r="M47" i="23" s="1"/>
  <c r="F44" i="18"/>
  <c r="D46" i="18"/>
  <c r="F16" i="18"/>
  <c r="E46" i="18"/>
  <c r="C42" i="18"/>
  <c r="C44" i="17"/>
  <c r="F45" i="17"/>
  <c r="C16" i="17"/>
  <c r="L16" i="21" s="1"/>
  <c r="D44" i="17"/>
  <c r="C46" i="17"/>
  <c r="E44" i="16"/>
  <c r="N16" i="23"/>
  <c r="N47" i="23" s="1"/>
  <c r="E46" i="16"/>
  <c r="C42" i="16"/>
  <c r="E45" i="16"/>
  <c r="F42" i="13"/>
  <c r="D44" i="13"/>
  <c r="E44" i="13"/>
  <c r="C46" i="13"/>
  <c r="F44" i="13"/>
  <c r="D46" i="13"/>
  <c r="E44" i="12"/>
  <c r="C46" i="12"/>
  <c r="E16" i="12"/>
  <c r="F44" i="12"/>
  <c r="D46" i="12"/>
  <c r="E46" i="12"/>
  <c r="C42" i="12"/>
  <c r="D19" i="12"/>
  <c r="F47" i="11"/>
  <c r="F45" i="11"/>
  <c r="C16" i="11"/>
  <c r="F42" i="11"/>
  <c r="D44" i="11"/>
  <c r="D16" i="11"/>
  <c r="F44" i="11"/>
  <c r="D46" i="11"/>
  <c r="F46" i="11"/>
  <c r="E44" i="9"/>
  <c r="E16" i="9"/>
  <c r="H16" i="23" s="1"/>
  <c r="F44" i="9"/>
  <c r="D46" i="9"/>
  <c r="E46" i="9"/>
  <c r="C42" i="9"/>
  <c r="F48" i="8"/>
  <c r="D44" i="8"/>
  <c r="D16" i="8"/>
  <c r="E44" i="8"/>
  <c r="C46" i="8"/>
  <c r="F47" i="8"/>
  <c r="E16" i="8"/>
  <c r="F44" i="8"/>
  <c r="D46" i="8"/>
  <c r="F47" i="7"/>
  <c r="C44" i="7"/>
  <c r="F45" i="7"/>
  <c r="C16" i="7"/>
  <c r="D44" i="7"/>
  <c r="D16" i="7"/>
  <c r="E44" i="7"/>
  <c r="C46" i="7"/>
  <c r="D48" i="5"/>
  <c r="C47" i="5"/>
  <c r="F45" i="5"/>
  <c r="F42" i="5"/>
  <c r="D44" i="5"/>
  <c r="D46" i="5"/>
  <c r="E16" i="5"/>
  <c r="F44" i="5"/>
  <c r="D45" i="5"/>
  <c r="F47" i="4"/>
  <c r="C44" i="4"/>
  <c r="F45" i="4"/>
  <c r="C16" i="4"/>
  <c r="D44" i="4"/>
  <c r="D16" i="4"/>
  <c r="E44" i="4"/>
  <c r="C46" i="4"/>
  <c r="C44" i="3"/>
  <c r="E44" i="3"/>
  <c r="C45" i="3"/>
  <c r="C42" i="3"/>
  <c r="D45" i="3"/>
  <c r="F45" i="3"/>
  <c r="F42" i="3"/>
  <c r="D44" i="3"/>
  <c r="C16" i="3"/>
  <c r="D16" i="3"/>
  <c r="F44" i="3"/>
  <c r="D46" i="3"/>
  <c r="E16" i="3"/>
  <c r="F46" i="3"/>
  <c r="H33" i="21" l="1"/>
  <c r="H34" i="21"/>
  <c r="I34" i="25" s="1"/>
  <c r="J34" i="25" s="1"/>
  <c r="C16" i="10"/>
  <c r="C46" i="10"/>
  <c r="C44" i="10"/>
  <c r="N45" i="23"/>
  <c r="N33" i="21"/>
  <c r="O33" i="21" s="1"/>
  <c r="G33" i="16"/>
  <c r="N34" i="21"/>
  <c r="M33" i="24"/>
  <c r="M50" i="24"/>
  <c r="D47" i="17"/>
  <c r="G33" i="13"/>
  <c r="G34" i="13"/>
  <c r="M33" i="25"/>
  <c r="N33" i="25" s="1"/>
  <c r="F19" i="13"/>
  <c r="K19" i="24" s="1"/>
  <c r="K16" i="24"/>
  <c r="K47" i="24" s="1"/>
  <c r="K46" i="21"/>
  <c r="K42" i="21"/>
  <c r="K44" i="21"/>
  <c r="K45" i="21"/>
  <c r="K42" i="22"/>
  <c r="K46" i="22"/>
  <c r="K44" i="22"/>
  <c r="K45" i="23"/>
  <c r="M12" i="25"/>
  <c r="K44" i="23"/>
  <c r="K42" i="23"/>
  <c r="K46" i="23"/>
  <c r="C19" i="12"/>
  <c r="J19" i="21" s="1"/>
  <c r="J16" i="21"/>
  <c r="I44" i="25"/>
  <c r="I46" i="25"/>
  <c r="I42" i="25"/>
  <c r="J12" i="25"/>
  <c r="D47" i="9"/>
  <c r="H16" i="22"/>
  <c r="H47" i="22" s="1"/>
  <c r="C19" i="9"/>
  <c r="H16" i="21"/>
  <c r="H47" i="21" s="1"/>
  <c r="I33" i="25"/>
  <c r="J33" i="25" s="1"/>
  <c r="C35" i="16"/>
  <c r="D42" i="14"/>
  <c r="C44" i="6"/>
  <c r="N26" i="22"/>
  <c r="N19" i="22"/>
  <c r="N48" i="22" s="1"/>
  <c r="N45" i="22"/>
  <c r="N42" i="22"/>
  <c r="N44" i="22"/>
  <c r="N46" i="22"/>
  <c r="C46" i="15"/>
  <c r="N46" i="23"/>
  <c r="N42" i="23"/>
  <c r="N44" i="23"/>
  <c r="C47" i="16"/>
  <c r="N16" i="21"/>
  <c r="N45" i="21"/>
  <c r="N44" i="21"/>
  <c r="N42" i="21"/>
  <c r="N46" i="21"/>
  <c r="C19" i="16"/>
  <c r="G19" i="16" s="1"/>
  <c r="M45" i="21"/>
  <c r="P29" i="25"/>
  <c r="O33" i="23"/>
  <c r="M42" i="21"/>
  <c r="M46" i="21"/>
  <c r="M44" i="21"/>
  <c r="O12" i="21"/>
  <c r="M16" i="24"/>
  <c r="M47" i="24" s="1"/>
  <c r="M34" i="24"/>
  <c r="P34" i="25" s="1"/>
  <c r="L47" i="21"/>
  <c r="L45" i="21"/>
  <c r="O15" i="21"/>
  <c r="H47" i="23"/>
  <c r="I15" i="25"/>
  <c r="H45" i="23"/>
  <c r="E19" i="13"/>
  <c r="K19" i="23" s="1"/>
  <c r="K48" i="23" s="1"/>
  <c r="K16" i="23"/>
  <c r="K47" i="23" s="1"/>
  <c r="M34" i="25"/>
  <c r="N34" i="25" s="1"/>
  <c r="D19" i="13"/>
  <c r="K16" i="22"/>
  <c r="M15" i="25"/>
  <c r="K45" i="22"/>
  <c r="M45" i="24"/>
  <c r="M42" i="24"/>
  <c r="M44" i="24"/>
  <c r="M46" i="24"/>
  <c r="L47" i="24"/>
  <c r="L42" i="24"/>
  <c r="L45" i="24"/>
  <c r="L46" i="24"/>
  <c r="L44" i="24"/>
  <c r="M44" i="23"/>
  <c r="M46" i="23"/>
  <c r="M45" i="23"/>
  <c r="M42" i="23"/>
  <c r="O12" i="25"/>
  <c r="O46" i="25" s="1"/>
  <c r="O34" i="23"/>
  <c r="O34" i="25"/>
  <c r="O15" i="23"/>
  <c r="O15" i="25"/>
  <c r="E42" i="15"/>
  <c r="E47" i="17"/>
  <c r="L16" i="23"/>
  <c r="L46" i="23"/>
  <c r="L44" i="23"/>
  <c r="L45" i="23"/>
  <c r="L42" i="23"/>
  <c r="O12" i="23"/>
  <c r="E19" i="17"/>
  <c r="L19" i="23" s="1"/>
  <c r="P15" i="25"/>
  <c r="O15" i="22"/>
  <c r="O34" i="22"/>
  <c r="D47" i="18"/>
  <c r="M16" i="22"/>
  <c r="G46" i="18"/>
  <c r="G45" i="18"/>
  <c r="G44" i="18"/>
  <c r="G42" i="18"/>
  <c r="G33" i="18"/>
  <c r="P12" i="25"/>
  <c r="M44" i="22"/>
  <c r="M46" i="22"/>
  <c r="M45" i="22"/>
  <c r="M42" i="22"/>
  <c r="D19" i="17"/>
  <c r="L19" i="22" s="1"/>
  <c r="O33" i="22"/>
  <c r="O33" i="25"/>
  <c r="D44" i="15"/>
  <c r="G45" i="17"/>
  <c r="G46" i="17"/>
  <c r="G33" i="17"/>
  <c r="G44" i="17"/>
  <c r="G42" i="17"/>
  <c r="L47" i="22"/>
  <c r="L45" i="22"/>
  <c r="L46" i="22"/>
  <c r="L44" i="22"/>
  <c r="L42" i="22"/>
  <c r="O12" i="22"/>
  <c r="G29" i="10"/>
  <c r="F16" i="10"/>
  <c r="F47" i="10" s="1"/>
  <c r="C19" i="13"/>
  <c r="K19" i="21" s="1"/>
  <c r="K48" i="21" s="1"/>
  <c r="C26" i="12"/>
  <c r="C47" i="12"/>
  <c r="C42" i="14"/>
  <c r="C46" i="14"/>
  <c r="C47" i="9"/>
  <c r="C45" i="10"/>
  <c r="C47" i="8"/>
  <c r="C19" i="5"/>
  <c r="C42" i="6"/>
  <c r="E45" i="14"/>
  <c r="E44" i="14"/>
  <c r="G16" i="8"/>
  <c r="G47" i="8" s="1"/>
  <c r="E47" i="4"/>
  <c r="E26" i="4"/>
  <c r="E30" i="4" s="1"/>
  <c r="E35" i="4" s="1"/>
  <c r="E39" i="4" s="1"/>
  <c r="D42" i="10"/>
  <c r="F42" i="10"/>
  <c r="G16" i="7"/>
  <c r="G47" i="7" s="1"/>
  <c r="G16" i="13"/>
  <c r="E19" i="11"/>
  <c r="E26" i="11" s="1"/>
  <c r="E30" i="11" s="1"/>
  <c r="E35" i="11" s="1"/>
  <c r="E39" i="11" s="1"/>
  <c r="G15" i="10"/>
  <c r="G34" i="10" s="1"/>
  <c r="E19" i="7"/>
  <c r="F44" i="10"/>
  <c r="F46" i="10"/>
  <c r="F45" i="10"/>
  <c r="E44" i="6"/>
  <c r="F42" i="6"/>
  <c r="E47" i="6"/>
  <c r="E46" i="6"/>
  <c r="E45" i="6"/>
  <c r="F45" i="6"/>
  <c r="F44" i="6"/>
  <c r="F48" i="6"/>
  <c r="F46" i="6"/>
  <c r="G43" i="14"/>
  <c r="G15" i="14"/>
  <c r="G16" i="11"/>
  <c r="G19" i="11" s="1"/>
  <c r="E42" i="14"/>
  <c r="G16" i="9"/>
  <c r="E46" i="10"/>
  <c r="E44" i="10"/>
  <c r="E16" i="10"/>
  <c r="E19" i="10" s="1"/>
  <c r="G12" i="10"/>
  <c r="G33" i="10" s="1"/>
  <c r="G43" i="10"/>
  <c r="E42" i="10"/>
  <c r="E45" i="10"/>
  <c r="G33" i="5"/>
  <c r="G45" i="5"/>
  <c r="G44" i="5"/>
  <c r="G42" i="5"/>
  <c r="G46" i="5"/>
  <c r="G16" i="4"/>
  <c r="G19" i="4" s="1"/>
  <c r="G33" i="4"/>
  <c r="G44" i="4"/>
  <c r="G42" i="4"/>
  <c r="G46" i="4"/>
  <c r="G45" i="4"/>
  <c r="G43" i="6"/>
  <c r="G16" i="3"/>
  <c r="G44" i="3"/>
  <c r="G46" i="3"/>
  <c r="G33" i="3"/>
  <c r="G42" i="3"/>
  <c r="G45" i="3"/>
  <c r="G45" i="13"/>
  <c r="G44" i="13"/>
  <c r="G46" i="13"/>
  <c r="G42" i="13"/>
  <c r="G46" i="12"/>
  <c r="G42" i="12"/>
  <c r="G44" i="12"/>
  <c r="G45" i="12"/>
  <c r="D46" i="14"/>
  <c r="G16" i="12"/>
  <c r="D16" i="14"/>
  <c r="D47" i="14" s="1"/>
  <c r="D44" i="14"/>
  <c r="G29" i="14"/>
  <c r="D45" i="14"/>
  <c r="G42" i="11"/>
  <c r="G45" i="11"/>
  <c r="G33" i="11"/>
  <c r="G46" i="11"/>
  <c r="G44" i="11"/>
  <c r="D46" i="10"/>
  <c r="D44" i="10"/>
  <c r="D19" i="9"/>
  <c r="D48" i="9" s="1"/>
  <c r="D16" i="10"/>
  <c r="D47" i="10" s="1"/>
  <c r="G46" i="9"/>
  <c r="G44" i="9"/>
  <c r="G42" i="9"/>
  <c r="G45" i="9"/>
  <c r="G33" i="8"/>
  <c r="G42" i="8"/>
  <c r="G46" i="8"/>
  <c r="G45" i="8"/>
  <c r="G44" i="8"/>
  <c r="D45" i="10"/>
  <c r="G33" i="7"/>
  <c r="G42" i="7"/>
  <c r="G46" i="7"/>
  <c r="G44" i="7"/>
  <c r="G45" i="7"/>
  <c r="D47" i="5"/>
  <c r="G16" i="5"/>
  <c r="D45" i="6"/>
  <c r="D44" i="6"/>
  <c r="D19" i="18"/>
  <c r="C19" i="18"/>
  <c r="C47" i="18"/>
  <c r="G16" i="18"/>
  <c r="E43" i="19"/>
  <c r="F19" i="17"/>
  <c r="L19" i="24" s="1"/>
  <c r="L26" i="24" s="1"/>
  <c r="E46" i="15"/>
  <c r="E44" i="15"/>
  <c r="D43" i="19"/>
  <c r="F47" i="17"/>
  <c r="G16" i="17"/>
  <c r="D45" i="15"/>
  <c r="E45" i="15"/>
  <c r="D42" i="15"/>
  <c r="D46" i="15"/>
  <c r="S48" i="20"/>
  <c r="C44" i="14"/>
  <c r="E46" i="14"/>
  <c r="C45" i="6"/>
  <c r="C45" i="14"/>
  <c r="E16" i="14"/>
  <c r="E19" i="14" s="1"/>
  <c r="C43" i="19"/>
  <c r="F16" i="14"/>
  <c r="F47" i="14" s="1"/>
  <c r="G12" i="14"/>
  <c r="C16" i="14"/>
  <c r="C44" i="15"/>
  <c r="C42" i="15"/>
  <c r="C45" i="15"/>
  <c r="F46" i="14"/>
  <c r="F44" i="14"/>
  <c r="F42" i="14"/>
  <c r="F45" i="14"/>
  <c r="C46" i="6"/>
  <c r="D46" i="6"/>
  <c r="D42" i="6"/>
  <c r="F47" i="18"/>
  <c r="F19" i="18"/>
  <c r="E19" i="18"/>
  <c r="M19" i="23" s="1"/>
  <c r="M48" i="23" s="1"/>
  <c r="E47" i="18"/>
  <c r="D48" i="17"/>
  <c r="C19" i="17"/>
  <c r="L19" i="21" s="1"/>
  <c r="C47" i="17"/>
  <c r="D48" i="16"/>
  <c r="E47" i="16"/>
  <c r="D47" i="13"/>
  <c r="C47" i="13"/>
  <c r="E47" i="13"/>
  <c r="C48" i="12"/>
  <c r="F47" i="12"/>
  <c r="E19" i="12"/>
  <c r="E26" i="12" s="1"/>
  <c r="E47" i="12"/>
  <c r="D48" i="12"/>
  <c r="D30" i="12"/>
  <c r="D35" i="12" s="1"/>
  <c r="D39" i="12" s="1"/>
  <c r="D19" i="11"/>
  <c r="D47" i="11"/>
  <c r="F48" i="11"/>
  <c r="C47" i="11"/>
  <c r="C19" i="11"/>
  <c r="C19" i="10"/>
  <c r="C47" i="10"/>
  <c r="E19" i="9"/>
  <c r="H19" i="23" s="1"/>
  <c r="E47" i="9"/>
  <c r="F47" i="9"/>
  <c r="E47" i="8"/>
  <c r="E19" i="8"/>
  <c r="D19" i="8"/>
  <c r="D47" i="8"/>
  <c r="C48" i="8"/>
  <c r="C26" i="8"/>
  <c r="C30" i="8" s="1"/>
  <c r="D19" i="7"/>
  <c r="D47" i="7"/>
  <c r="C19" i="7"/>
  <c r="C47" i="7"/>
  <c r="F48" i="7"/>
  <c r="E47" i="5"/>
  <c r="E19" i="5"/>
  <c r="F47" i="5"/>
  <c r="D19" i="4"/>
  <c r="D47" i="4"/>
  <c r="C19" i="4"/>
  <c r="C47" i="4"/>
  <c r="F48" i="4"/>
  <c r="F47" i="3"/>
  <c r="E19" i="3"/>
  <c r="E47" i="3"/>
  <c r="C47" i="3"/>
  <c r="C19" i="3"/>
  <c r="D19" i="3"/>
  <c r="D47" i="3"/>
  <c r="I20" i="2"/>
  <c r="I15" i="2"/>
  <c r="G12" i="2"/>
  <c r="H12" i="2"/>
  <c r="H11" i="2"/>
  <c r="G11" i="2"/>
  <c r="F11" i="2"/>
  <c r="F8" i="2"/>
  <c r="F12" i="2" s="1"/>
  <c r="H19" i="21" l="1"/>
  <c r="H48" i="21" s="1"/>
  <c r="O34" i="21"/>
  <c r="C39" i="16"/>
  <c r="G39" i="16" s="1"/>
  <c r="G35" i="16"/>
  <c r="F48" i="13"/>
  <c r="F26" i="13"/>
  <c r="F30" i="13" s="1"/>
  <c r="F35" i="13" s="1"/>
  <c r="G47" i="13"/>
  <c r="K26" i="24"/>
  <c r="K48" i="24"/>
  <c r="E26" i="13"/>
  <c r="E30" i="13" s="1"/>
  <c r="M42" i="25"/>
  <c r="M46" i="25"/>
  <c r="N12" i="25"/>
  <c r="M44" i="25"/>
  <c r="L16" i="25"/>
  <c r="L47" i="25" s="1"/>
  <c r="J47" i="21"/>
  <c r="C30" i="12"/>
  <c r="J30" i="21" s="1"/>
  <c r="L30" i="25" s="1"/>
  <c r="J26" i="21"/>
  <c r="L26" i="25" s="1"/>
  <c r="L19" i="25"/>
  <c r="L48" i="25" s="1"/>
  <c r="J48" i="21"/>
  <c r="O16" i="22"/>
  <c r="O47" i="22" s="1"/>
  <c r="G19" i="9"/>
  <c r="C26" i="9"/>
  <c r="I16" i="25"/>
  <c r="I47" i="25" s="1"/>
  <c r="J46" i="25"/>
  <c r="J44" i="25"/>
  <c r="J42" i="25"/>
  <c r="D26" i="9"/>
  <c r="H19" i="22"/>
  <c r="H48" i="22" s="1"/>
  <c r="C48" i="9"/>
  <c r="O16" i="21"/>
  <c r="O47" i="21" s="1"/>
  <c r="F19" i="10"/>
  <c r="F26" i="10" s="1"/>
  <c r="F30" i="10" s="1"/>
  <c r="C19" i="14"/>
  <c r="C48" i="14" s="1"/>
  <c r="N19" i="21"/>
  <c r="C26" i="16"/>
  <c r="N26" i="23"/>
  <c r="N19" i="23"/>
  <c r="N48" i="23" s="1"/>
  <c r="N30" i="22"/>
  <c r="C48" i="16"/>
  <c r="N47" i="21"/>
  <c r="P33" i="25"/>
  <c r="O45" i="21"/>
  <c r="O42" i="21"/>
  <c r="O46" i="21"/>
  <c r="O44" i="21"/>
  <c r="M19" i="24"/>
  <c r="C48" i="18"/>
  <c r="M19" i="21"/>
  <c r="M48" i="21" s="1"/>
  <c r="L48" i="21"/>
  <c r="J15" i="25"/>
  <c r="I45" i="25"/>
  <c r="H48" i="23"/>
  <c r="K26" i="23"/>
  <c r="N15" i="25"/>
  <c r="M45" i="25"/>
  <c r="M16" i="25"/>
  <c r="K47" i="22"/>
  <c r="K19" i="22"/>
  <c r="D26" i="13"/>
  <c r="K26" i="22" s="1"/>
  <c r="O42" i="25"/>
  <c r="L48" i="24"/>
  <c r="O44" i="25"/>
  <c r="O45" i="25"/>
  <c r="E48" i="17"/>
  <c r="L47" i="23"/>
  <c r="O16" i="23"/>
  <c r="O47" i="23" s="1"/>
  <c r="E26" i="17"/>
  <c r="O19" i="25"/>
  <c r="O48" i="25" s="1"/>
  <c r="L48" i="23"/>
  <c r="O44" i="23"/>
  <c r="O42" i="23"/>
  <c r="O45" i="23"/>
  <c r="O46" i="23"/>
  <c r="O16" i="25"/>
  <c r="O47" i="25" s="1"/>
  <c r="G19" i="18"/>
  <c r="G47" i="18"/>
  <c r="P16" i="25"/>
  <c r="M47" i="22"/>
  <c r="P42" i="25"/>
  <c r="P46" i="25"/>
  <c r="P45" i="25"/>
  <c r="P44" i="25"/>
  <c r="D48" i="18"/>
  <c r="M19" i="22"/>
  <c r="L48" i="22"/>
  <c r="D26" i="17"/>
  <c r="D30" i="17" s="1"/>
  <c r="G19" i="17"/>
  <c r="G47" i="17"/>
  <c r="O46" i="22"/>
  <c r="O42" i="22"/>
  <c r="O45" i="22"/>
  <c r="O44" i="22"/>
  <c r="C47" i="14"/>
  <c r="C26" i="13"/>
  <c r="C35" i="12"/>
  <c r="J35" i="21" s="1"/>
  <c r="L35" i="25" s="1"/>
  <c r="C35" i="8"/>
  <c r="C48" i="5"/>
  <c r="C26" i="5"/>
  <c r="C30" i="5" s="1"/>
  <c r="C35" i="5" s="1"/>
  <c r="E48" i="11"/>
  <c r="E26" i="14"/>
  <c r="E30" i="14" s="1"/>
  <c r="E35" i="14" s="1"/>
  <c r="E39" i="14" s="1"/>
  <c r="G19" i="8"/>
  <c r="G26" i="8" s="1"/>
  <c r="G30" i="8" s="1"/>
  <c r="G35" i="8" s="1"/>
  <c r="G39" i="8" s="1"/>
  <c r="G19" i="7"/>
  <c r="G26" i="7" s="1"/>
  <c r="G30" i="7" s="1"/>
  <c r="G35" i="7" s="1"/>
  <c r="G39" i="7" s="1"/>
  <c r="D42" i="19"/>
  <c r="G19" i="13"/>
  <c r="G47" i="11"/>
  <c r="G16" i="10"/>
  <c r="E48" i="7"/>
  <c r="E26" i="7"/>
  <c r="E30" i="7" s="1"/>
  <c r="E35" i="7" s="1"/>
  <c r="E39" i="7" s="1"/>
  <c r="E48" i="6"/>
  <c r="F47" i="6"/>
  <c r="E48" i="14"/>
  <c r="E47" i="14"/>
  <c r="G46" i="14"/>
  <c r="G42" i="14"/>
  <c r="G45" i="14"/>
  <c r="G44" i="14"/>
  <c r="G47" i="9"/>
  <c r="E47" i="10"/>
  <c r="G42" i="10"/>
  <c r="G44" i="10"/>
  <c r="G46" i="10"/>
  <c r="G45" i="10"/>
  <c r="G19" i="5"/>
  <c r="G47" i="5"/>
  <c r="G47" i="4"/>
  <c r="G26" i="4"/>
  <c r="G30" i="4" s="1"/>
  <c r="G35" i="4" s="1"/>
  <c r="G39" i="4" s="1"/>
  <c r="G48" i="4"/>
  <c r="G19" i="3"/>
  <c r="G47" i="3"/>
  <c r="G45" i="6"/>
  <c r="G44" i="6"/>
  <c r="G42" i="6"/>
  <c r="G46" i="6"/>
  <c r="G19" i="12"/>
  <c r="G26" i="12" s="1"/>
  <c r="G47" i="12"/>
  <c r="D19" i="14"/>
  <c r="D26" i="14" s="1"/>
  <c r="D30" i="14" s="1"/>
  <c r="D35" i="14" s="1"/>
  <c r="D39" i="14" s="1"/>
  <c r="G16" i="14"/>
  <c r="G26" i="11"/>
  <c r="G30" i="11" s="1"/>
  <c r="G35" i="11" s="1"/>
  <c r="G39" i="11" s="1"/>
  <c r="G48" i="11"/>
  <c r="D19" i="10"/>
  <c r="D48" i="10" s="1"/>
  <c r="D47" i="6"/>
  <c r="D26" i="18"/>
  <c r="C26" i="18"/>
  <c r="M26" i="21" s="1"/>
  <c r="E45" i="19"/>
  <c r="F26" i="17"/>
  <c r="E42" i="19"/>
  <c r="E44" i="19"/>
  <c r="E46" i="19"/>
  <c r="E47" i="15"/>
  <c r="F48" i="17"/>
  <c r="D44" i="19"/>
  <c r="D46" i="19"/>
  <c r="D45" i="19"/>
  <c r="D47" i="15"/>
  <c r="C47" i="6"/>
  <c r="C42" i="19"/>
  <c r="C46" i="19"/>
  <c r="F19" i="14"/>
  <c r="C44" i="19"/>
  <c r="C45" i="19"/>
  <c r="C47" i="15"/>
  <c r="E48" i="18"/>
  <c r="E26" i="18"/>
  <c r="M26" i="23" s="1"/>
  <c r="F48" i="18"/>
  <c r="F26" i="18"/>
  <c r="C48" i="17"/>
  <c r="C26" i="17"/>
  <c r="E48" i="16"/>
  <c r="E48" i="15"/>
  <c r="D48" i="13"/>
  <c r="E48" i="13"/>
  <c r="C48" i="13"/>
  <c r="E48" i="12"/>
  <c r="E30" i="12"/>
  <c r="E35" i="12" s="1"/>
  <c r="E39" i="12" s="1"/>
  <c r="F48" i="12"/>
  <c r="D26" i="11"/>
  <c r="D30" i="11" s="1"/>
  <c r="D35" i="11" s="1"/>
  <c r="D39" i="11" s="1"/>
  <c r="D48" i="11"/>
  <c r="C48" i="11"/>
  <c r="C26" i="11"/>
  <c r="C30" i="11" s="1"/>
  <c r="E48" i="10"/>
  <c r="E26" i="10"/>
  <c r="E30" i="10" s="1"/>
  <c r="C48" i="10"/>
  <c r="C26" i="10"/>
  <c r="F48" i="9"/>
  <c r="E48" i="9"/>
  <c r="E26" i="9"/>
  <c r="D48" i="8"/>
  <c r="D26" i="8"/>
  <c r="D30" i="8" s="1"/>
  <c r="D35" i="8" s="1"/>
  <c r="D39" i="8" s="1"/>
  <c r="E48" i="8"/>
  <c r="E26" i="8"/>
  <c r="E30" i="8" s="1"/>
  <c r="E35" i="8" s="1"/>
  <c r="E39" i="8" s="1"/>
  <c r="D26" i="7"/>
  <c r="D30" i="7" s="1"/>
  <c r="D35" i="7" s="1"/>
  <c r="D39" i="7" s="1"/>
  <c r="D48" i="7"/>
  <c r="C26" i="7"/>
  <c r="C30" i="7" s="1"/>
  <c r="C48" i="7"/>
  <c r="D48" i="6"/>
  <c r="E48" i="5"/>
  <c r="E26" i="5"/>
  <c r="E30" i="5" s="1"/>
  <c r="E35" i="5" s="1"/>
  <c r="E39" i="5" s="1"/>
  <c r="F48" i="5"/>
  <c r="C48" i="4"/>
  <c r="C26" i="4"/>
  <c r="C30" i="4" s="1"/>
  <c r="D26" i="4"/>
  <c r="D30" i="4" s="1"/>
  <c r="D35" i="4" s="1"/>
  <c r="D39" i="4" s="1"/>
  <c r="D48" i="4"/>
  <c r="E26" i="3"/>
  <c r="E30" i="3" s="1"/>
  <c r="E35" i="3" s="1"/>
  <c r="E39" i="3" s="1"/>
  <c r="E48" i="3"/>
  <c r="F48" i="3"/>
  <c r="D48" i="3"/>
  <c r="D26" i="3"/>
  <c r="D30" i="3" s="1"/>
  <c r="D35" i="3" s="1"/>
  <c r="D39" i="3" s="1"/>
  <c r="C26" i="3"/>
  <c r="C30" i="3" s="1"/>
  <c r="C48" i="3"/>
  <c r="J15" i="2"/>
  <c r="K15" i="2" s="1"/>
  <c r="I12" i="2"/>
  <c r="I11" i="2"/>
  <c r="I19" i="2"/>
  <c r="I16" i="2"/>
  <c r="J16" i="2" s="1"/>
  <c r="K16" i="2" s="1"/>
  <c r="J45" i="25" l="1"/>
  <c r="H26" i="21"/>
  <c r="J16" i="25"/>
  <c r="C30" i="9"/>
  <c r="E35" i="10"/>
  <c r="E39" i="10" s="1"/>
  <c r="F35" i="10"/>
  <c r="F39" i="10" s="1"/>
  <c r="C30" i="16"/>
  <c r="G30" i="16" s="1"/>
  <c r="G26" i="16"/>
  <c r="M48" i="24"/>
  <c r="M26" i="24"/>
  <c r="L26" i="22"/>
  <c r="K30" i="24"/>
  <c r="G26" i="13"/>
  <c r="C30" i="13"/>
  <c r="K30" i="21" s="1"/>
  <c r="K26" i="21"/>
  <c r="N45" i="25"/>
  <c r="F39" i="13"/>
  <c r="K39" i="24" s="1"/>
  <c r="K35" i="24"/>
  <c r="M26" i="25"/>
  <c r="N26" i="25" s="1"/>
  <c r="N42" i="25"/>
  <c r="N44" i="25"/>
  <c r="N46" i="25"/>
  <c r="I19" i="25"/>
  <c r="I48" i="25" s="1"/>
  <c r="G48" i="9"/>
  <c r="G26" i="9"/>
  <c r="D30" i="9"/>
  <c r="D35" i="9" s="1"/>
  <c r="H26" i="22"/>
  <c r="F48" i="10"/>
  <c r="D47" i="19"/>
  <c r="D48" i="14"/>
  <c r="C26" i="14"/>
  <c r="C30" i="10"/>
  <c r="C48" i="6"/>
  <c r="N48" i="21"/>
  <c r="N26" i="21"/>
  <c r="O19" i="23"/>
  <c r="O48" i="23" s="1"/>
  <c r="N39" i="22"/>
  <c r="N35" i="22"/>
  <c r="O19" i="21"/>
  <c r="O48" i="21" s="1"/>
  <c r="C30" i="18"/>
  <c r="M30" i="21" s="1"/>
  <c r="C30" i="17"/>
  <c r="L26" i="21"/>
  <c r="E30" i="9"/>
  <c r="E35" i="9" s="1"/>
  <c r="H26" i="23"/>
  <c r="E35" i="13"/>
  <c r="K30" i="23"/>
  <c r="M19" i="25"/>
  <c r="K48" i="22"/>
  <c r="D30" i="13"/>
  <c r="N16" i="25"/>
  <c r="N47" i="25" s="1"/>
  <c r="M47" i="25"/>
  <c r="O19" i="22"/>
  <c r="O48" i="22" s="1"/>
  <c r="F30" i="18"/>
  <c r="F30" i="17"/>
  <c r="L30" i="24" s="1"/>
  <c r="E30" i="17"/>
  <c r="L26" i="23"/>
  <c r="P47" i="25"/>
  <c r="P19" i="25"/>
  <c r="M48" i="22"/>
  <c r="G26" i="18"/>
  <c r="G30" i="18" s="1"/>
  <c r="G35" i="18" s="1"/>
  <c r="G39" i="18" s="1"/>
  <c r="G48" i="18"/>
  <c r="D30" i="18"/>
  <c r="M26" i="22"/>
  <c r="L30" i="22"/>
  <c r="G26" i="17"/>
  <c r="G30" i="17" s="1"/>
  <c r="G35" i="17" s="1"/>
  <c r="G39" i="17" s="1"/>
  <c r="G48" i="17"/>
  <c r="G19" i="10"/>
  <c r="G26" i="10" s="1"/>
  <c r="C35" i="13"/>
  <c r="K35" i="21" s="1"/>
  <c r="C39" i="12"/>
  <c r="J39" i="21" s="1"/>
  <c r="L39" i="25" s="1"/>
  <c r="C35" i="11"/>
  <c r="C39" i="8"/>
  <c r="C35" i="7"/>
  <c r="C35" i="4"/>
  <c r="C35" i="3"/>
  <c r="G48" i="8"/>
  <c r="G48" i="7"/>
  <c r="G47" i="10"/>
  <c r="D26" i="10"/>
  <c r="D30" i="10" s="1"/>
  <c r="G48" i="13"/>
  <c r="F48" i="14"/>
  <c r="F26" i="14"/>
  <c r="F30" i="14" s="1"/>
  <c r="F35" i="14" s="1"/>
  <c r="F39" i="14" s="1"/>
  <c r="G47" i="6"/>
  <c r="G19" i="14"/>
  <c r="G26" i="14" s="1"/>
  <c r="G47" i="14"/>
  <c r="G26" i="5"/>
  <c r="G30" i="5" s="1"/>
  <c r="G35" i="5" s="1"/>
  <c r="G39" i="5" s="1"/>
  <c r="G48" i="5"/>
  <c r="G26" i="3"/>
  <c r="G30" i="3" s="1"/>
  <c r="G35" i="3" s="1"/>
  <c r="G39" i="3" s="1"/>
  <c r="G48" i="3"/>
  <c r="G48" i="6"/>
  <c r="G30" i="12"/>
  <c r="G35" i="12" s="1"/>
  <c r="G39" i="12" s="1"/>
  <c r="G48" i="12"/>
  <c r="E30" i="18"/>
  <c r="M30" i="23" s="1"/>
  <c r="E47" i="19"/>
  <c r="D48" i="15"/>
  <c r="C47" i="19"/>
  <c r="C48" i="15"/>
  <c r="J19" i="25" l="1"/>
  <c r="J48" i="25" s="1"/>
  <c r="J47" i="25"/>
  <c r="D35" i="10"/>
  <c r="D39" i="10" s="1"/>
  <c r="H30" i="21"/>
  <c r="N30" i="21"/>
  <c r="G30" i="13"/>
  <c r="G35" i="13" s="1"/>
  <c r="O26" i="21"/>
  <c r="I26" i="25"/>
  <c r="J26" i="25" s="1"/>
  <c r="G30" i="9"/>
  <c r="G35" i="9" s="1"/>
  <c r="H30" i="22"/>
  <c r="C30" i="14"/>
  <c r="N30" i="23"/>
  <c r="N39" i="23"/>
  <c r="N35" i="23"/>
  <c r="N39" i="21"/>
  <c r="N35" i="21"/>
  <c r="O26" i="23"/>
  <c r="C35" i="18"/>
  <c r="M35" i="21" s="1"/>
  <c r="C35" i="17"/>
  <c r="L30" i="21"/>
  <c r="P26" i="25"/>
  <c r="G48" i="10"/>
  <c r="H30" i="23"/>
  <c r="E39" i="13"/>
  <c r="K39" i="23" s="1"/>
  <c r="K35" i="23"/>
  <c r="M48" i="25"/>
  <c r="N19" i="25"/>
  <c r="N48" i="25" s="1"/>
  <c r="K30" i="22"/>
  <c r="M30" i="25" s="1"/>
  <c r="N30" i="25" s="1"/>
  <c r="D35" i="13"/>
  <c r="F35" i="18"/>
  <c r="M30" i="24"/>
  <c r="F35" i="17"/>
  <c r="L35" i="24" s="1"/>
  <c r="O26" i="25"/>
  <c r="E35" i="17"/>
  <c r="L30" i="23"/>
  <c r="P48" i="25"/>
  <c r="D35" i="18"/>
  <c r="M30" i="22"/>
  <c r="O26" i="22"/>
  <c r="D39" i="17"/>
  <c r="L39" i="22" s="1"/>
  <c r="L35" i="22"/>
  <c r="G30" i="10"/>
  <c r="G35" i="10" s="1"/>
  <c r="C39" i="13"/>
  <c r="K39" i="21" s="1"/>
  <c r="C39" i="11"/>
  <c r="C39" i="7"/>
  <c r="C39" i="4"/>
  <c r="C39" i="3"/>
  <c r="G30" i="14"/>
  <c r="G35" i="14" s="1"/>
  <c r="G39" i="14" s="1"/>
  <c r="G48" i="14"/>
  <c r="E35" i="18"/>
  <c r="M35" i="23" s="1"/>
  <c r="C39" i="18"/>
  <c r="M39" i="21" s="1"/>
  <c r="E48" i="19"/>
  <c r="D48" i="19"/>
  <c r="C48" i="19"/>
  <c r="H35" i="21" l="1"/>
  <c r="C39" i="9"/>
  <c r="I30" i="25"/>
  <c r="J30" i="25" s="1"/>
  <c r="O30" i="21"/>
  <c r="F39" i="17"/>
  <c r="L39" i="24" s="1"/>
  <c r="D39" i="9"/>
  <c r="H39" i="22" s="1"/>
  <c r="H35" i="22"/>
  <c r="C39" i="10"/>
  <c r="O30" i="23"/>
  <c r="C39" i="17"/>
  <c r="L39" i="21" s="1"/>
  <c r="L35" i="21"/>
  <c r="O35" i="21" s="1"/>
  <c r="P30" i="25"/>
  <c r="E39" i="9"/>
  <c r="H39" i="23" s="1"/>
  <c r="H35" i="23"/>
  <c r="I35" i="25" s="1"/>
  <c r="J35" i="25" s="1"/>
  <c r="D39" i="13"/>
  <c r="K39" i="22" s="1"/>
  <c r="M39" i="25" s="1"/>
  <c r="N39" i="25" s="1"/>
  <c r="K35" i="22"/>
  <c r="M35" i="25" s="1"/>
  <c r="N35" i="25" s="1"/>
  <c r="F39" i="18"/>
  <c r="M35" i="24"/>
  <c r="O30" i="25"/>
  <c r="E39" i="17"/>
  <c r="L39" i="23" s="1"/>
  <c r="L35" i="23"/>
  <c r="O30" i="22"/>
  <c r="D39" i="18"/>
  <c r="M39" i="22" s="1"/>
  <c r="M35" i="22"/>
  <c r="E39" i="18"/>
  <c r="M39" i="23" s="1"/>
  <c r="G39" i="13"/>
  <c r="H39" i="21" l="1"/>
  <c r="O39" i="21"/>
  <c r="G39" i="9"/>
  <c r="I39" i="25"/>
  <c r="J39" i="25" s="1"/>
  <c r="C39" i="14"/>
  <c r="O35" i="23"/>
  <c r="M39" i="24"/>
  <c r="P35" i="25"/>
  <c r="O39" i="23"/>
  <c r="O39" i="25"/>
  <c r="O35" i="25"/>
  <c r="O39" i="22"/>
  <c r="O35" i="22"/>
  <c r="G39" i="10"/>
  <c r="P39" i="25" l="1"/>
  <c r="F43" i="16"/>
  <c r="F44" i="16"/>
  <c r="F45" i="16"/>
  <c r="F42" i="16"/>
  <c r="F47" i="16"/>
  <c r="N36" i="24"/>
  <c r="O36" i="24" s="1"/>
  <c r="F46" i="16"/>
  <c r="N14" i="24"/>
  <c r="O14" i="24" s="1"/>
  <c r="F48" i="16"/>
  <c r="N7" i="24"/>
  <c r="Q7" i="25" s="1"/>
  <c r="R7" i="25" s="1"/>
  <c r="N28" i="24"/>
  <c r="Q28" i="25" s="1"/>
  <c r="R28" i="25" s="1"/>
  <c r="O28" i="24"/>
  <c r="N35" i="24"/>
  <c r="O35" i="24" s="1"/>
  <c r="N11" i="24"/>
  <c r="O11" i="24" s="1"/>
  <c r="G32" i="15"/>
  <c r="N32" i="24"/>
  <c r="Q32" i="25" s="1"/>
  <c r="R32" i="25" s="1"/>
  <c r="N8" i="24"/>
  <c r="Q8" i="25" s="1"/>
  <c r="R8" i="25" s="1"/>
  <c r="G21" i="15"/>
  <c r="N21" i="24"/>
  <c r="O21" i="24" s="1"/>
  <c r="N31" i="24"/>
  <c r="O31" i="24" s="1"/>
  <c r="N37" i="24"/>
  <c r="O37" i="24" s="1"/>
  <c r="N22" i="24"/>
  <c r="Q22" i="25" s="1"/>
  <c r="R22" i="25" s="1"/>
  <c r="N15" i="24"/>
  <c r="G28" i="15"/>
  <c r="G37" i="15"/>
  <c r="G31" i="15"/>
  <c r="G10" i="15"/>
  <c r="N10" i="24"/>
  <c r="O10" i="24" s="1"/>
  <c r="Q10" i="25"/>
  <c r="R10" i="25" s="1"/>
  <c r="G8" i="15"/>
  <c r="G14" i="15"/>
  <c r="G20" i="15"/>
  <c r="N20" i="24"/>
  <c r="O20" i="24" s="1"/>
  <c r="G25" i="15"/>
  <c r="N25" i="24"/>
  <c r="O25" i="24" s="1"/>
  <c r="N18" i="24"/>
  <c r="Q18" i="25" s="1"/>
  <c r="R18" i="25" s="1"/>
  <c r="N13" i="24"/>
  <c r="G17" i="15"/>
  <c r="N17" i="24"/>
  <c r="N27" i="24"/>
  <c r="O27" i="24" s="1"/>
  <c r="G13" i="15"/>
  <c r="N34" i="24"/>
  <c r="O34" i="24" s="1"/>
  <c r="G24" i="15"/>
  <c r="N24" i="24"/>
  <c r="O24" i="24" s="1"/>
  <c r="N12" i="24"/>
  <c r="O12" i="24" s="1"/>
  <c r="N19" i="24"/>
  <c r="G23" i="15"/>
  <c r="N23" i="24"/>
  <c r="O23" i="24" s="1"/>
  <c r="N38" i="24"/>
  <c r="O38" i="24" s="1"/>
  <c r="G9" i="15"/>
  <c r="N9" i="24"/>
  <c r="O9" i="24" s="1"/>
  <c r="G27" i="15"/>
  <c r="N29" i="24"/>
  <c r="O29" i="24" s="1"/>
  <c r="N16" i="24"/>
  <c r="Q16" i="25"/>
  <c r="R16" i="25" s="1"/>
  <c r="N39" i="24"/>
  <c r="Q39" i="25" s="1"/>
  <c r="G36" i="15"/>
  <c r="G7" i="15"/>
  <c r="N30" i="24"/>
  <c r="O30" i="24" s="1"/>
  <c r="Q20" i="25" l="1"/>
  <c r="R20" i="25" s="1"/>
  <c r="G11" i="15"/>
  <c r="Q36" i="25"/>
  <c r="R36" i="25" s="1"/>
  <c r="G22" i="15"/>
  <c r="R39" i="25"/>
  <c r="G18" i="15"/>
  <c r="Q9" i="25"/>
  <c r="R9" i="25" s="1"/>
  <c r="Q27" i="25"/>
  <c r="R27" i="25" s="1"/>
  <c r="G38" i="15"/>
  <c r="Q24" i="25"/>
  <c r="R24" i="25" s="1"/>
  <c r="Q23" i="25"/>
  <c r="R23" i="25" s="1"/>
  <c r="Q31" i="25"/>
  <c r="R31" i="25" s="1"/>
  <c r="Q21" i="25"/>
  <c r="R21" i="25" s="1"/>
  <c r="Q30" i="25"/>
  <c r="R30" i="25" s="1"/>
  <c r="G42" i="16"/>
  <c r="N46" i="24"/>
  <c r="N48" i="24"/>
  <c r="G46" i="16"/>
  <c r="Q12" i="25"/>
  <c r="Q25" i="25"/>
  <c r="R25" i="25" s="1"/>
  <c r="N43" i="24"/>
  <c r="N45" i="24"/>
  <c r="O18" i="24"/>
  <c r="F43" i="15"/>
  <c r="N47" i="24"/>
  <c r="N26" i="24"/>
  <c r="Q26" i="25" s="1"/>
  <c r="R26" i="25" s="1"/>
  <c r="Q29" i="25"/>
  <c r="R29" i="25" s="1"/>
  <c r="Q34" i="25"/>
  <c r="R34" i="25" s="1"/>
  <c r="Q17" i="25"/>
  <c r="Q47" i="25" s="1"/>
  <c r="O33" i="24"/>
  <c r="O16" i="24"/>
  <c r="Q35" i="25"/>
  <c r="R35" i="25" s="1"/>
  <c r="O17" i="24"/>
  <c r="O46" i="24" s="1"/>
  <c r="G44" i="16"/>
  <c r="Q14" i="25"/>
  <c r="R14" i="25" s="1"/>
  <c r="O22" i="24"/>
  <c r="O19" i="24"/>
  <c r="N42" i="24"/>
  <c r="O32" i="24"/>
  <c r="G43" i="16"/>
  <c r="O39" i="24"/>
  <c r="Q19" i="25"/>
  <c r="Q38" i="25"/>
  <c r="R38" i="25" s="1"/>
  <c r="N33" i="24"/>
  <c r="Q33" i="25" s="1"/>
  <c r="R33" i="25" s="1"/>
  <c r="O15" i="24"/>
  <c r="O45" i="24" s="1"/>
  <c r="Q37" i="25"/>
  <c r="R37" i="25" s="1"/>
  <c r="Q15" i="25"/>
  <c r="G29" i="15"/>
  <c r="O8" i="24"/>
  <c r="N44" i="24"/>
  <c r="Q11" i="25"/>
  <c r="R11" i="25" s="1"/>
  <c r="Q13" i="25"/>
  <c r="N50" i="24"/>
  <c r="O7" i="24"/>
  <c r="O42" i="24" s="1"/>
  <c r="O13" i="24"/>
  <c r="G15" i="15" l="1"/>
  <c r="G12" i="15"/>
  <c r="G42" i="15" s="1"/>
  <c r="F46" i="15"/>
  <c r="F44" i="15"/>
  <c r="S25" i="25"/>
  <c r="S9" i="25"/>
  <c r="S31" i="25"/>
  <c r="S27" i="25"/>
  <c r="S10" i="25"/>
  <c r="S7" i="25"/>
  <c r="S24" i="25"/>
  <c r="S21" i="25"/>
  <c r="S36" i="25"/>
  <c r="S22" i="25"/>
  <c r="S20" i="25"/>
  <c r="S37" i="25"/>
  <c r="S23" i="25"/>
  <c r="S17" i="25"/>
  <c r="S32" i="25"/>
  <c r="S14" i="25"/>
  <c r="S13" i="25"/>
  <c r="S28" i="25"/>
  <c r="S18" i="25"/>
  <c r="S11" i="25"/>
  <c r="F42" i="15"/>
  <c r="F43" i="19"/>
  <c r="O47" i="24"/>
  <c r="G47" i="16"/>
  <c r="G45" i="16"/>
  <c r="Q42" i="25"/>
  <c r="R12" i="25"/>
  <c r="Q46" i="25"/>
  <c r="R17" i="25"/>
  <c r="G44" i="15"/>
  <c r="Q45" i="25"/>
  <c r="R15" i="25"/>
  <c r="O44" i="24"/>
  <c r="O43" i="24"/>
  <c r="O50" i="24"/>
  <c r="O51" i="24" s="1"/>
  <c r="F45" i="15"/>
  <c r="G43" i="15"/>
  <c r="Q48" i="25"/>
  <c r="R19" i="25"/>
  <c r="G16" i="15"/>
  <c r="O26" i="24"/>
  <c r="O48" i="24"/>
  <c r="F46" i="19"/>
  <c r="Q44" i="25"/>
  <c r="R13" i="25"/>
  <c r="Q43" i="25"/>
  <c r="G45" i="15" l="1"/>
  <c r="G33" i="15"/>
  <c r="G46" i="15"/>
  <c r="G43" i="19"/>
  <c r="S29" i="25"/>
  <c r="S12" i="25"/>
  <c r="S15" i="25"/>
  <c r="S38" i="25"/>
  <c r="F42" i="19"/>
  <c r="F44" i="19"/>
  <c r="G48" i="16"/>
  <c r="R42" i="25"/>
  <c r="R46" i="25"/>
  <c r="R47" i="25"/>
  <c r="R48" i="25"/>
  <c r="R43" i="25"/>
  <c r="R44" i="25"/>
  <c r="F45" i="19"/>
  <c r="G47" i="15"/>
  <c r="R45" i="25"/>
  <c r="F47" i="15"/>
  <c r="G19" i="15"/>
  <c r="S16" i="25" l="1"/>
  <c r="S34" i="25"/>
  <c r="S33" i="25"/>
  <c r="G42" i="19"/>
  <c r="S42" i="25"/>
  <c r="F47" i="19"/>
  <c r="S19" i="25"/>
  <c r="S35" i="25"/>
  <c r="G45" i="19"/>
  <c r="S45" i="25"/>
  <c r="G46" i="19"/>
  <c r="G44" i="19"/>
  <c r="S46" i="25"/>
  <c r="G48" i="15"/>
  <c r="S43" i="25"/>
  <c r="S44" i="25"/>
  <c r="F48" i="15"/>
  <c r="S48" i="25" l="1"/>
  <c r="S47" i="25"/>
  <c r="F48" i="19"/>
  <c r="S26" i="25"/>
  <c r="G26" i="15"/>
  <c r="G47" i="19"/>
  <c r="G30" i="15" l="1"/>
  <c r="G39" i="15"/>
  <c r="S39" i="25"/>
  <c r="G48" i="19"/>
  <c r="S30" i="25" l="1"/>
</calcChain>
</file>

<file path=xl/comments1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85%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85%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85%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22"/>
            <color indexed="81"/>
            <rFont val="Tahoma"/>
            <family val="2"/>
          </rPr>
          <t>81%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85%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boussebah rabah</author>
    <author>user</author>
  </authors>
  <commentList>
    <comment ref="F7" authorId="0" shapeId="0">
      <text>
        <r>
          <rPr>
            <sz val="9"/>
            <color indexed="81"/>
            <rFont val="Tahoma"/>
            <family val="2"/>
          </rPr>
          <t xml:space="preserve">
56 564 470,96</t>
        </r>
      </text>
    </comment>
    <comment ref="E9" authorId="0" shapeId="0">
      <text>
        <r>
          <rPr>
            <sz val="9"/>
            <color indexed="81"/>
            <rFont val="Tahoma"/>
            <family val="2"/>
          </rPr>
          <t>-15 507 492,59</t>
        </r>
      </text>
    </comment>
    <comment ref="E13" authorId="1" shapeId="0">
      <text>
        <r>
          <rPr>
            <sz val="11"/>
            <color theme="1"/>
            <rFont val="Calibri"/>
            <family val="2"/>
            <scheme val="minor"/>
          </rPr>
          <t>31 306 894,56</t>
        </r>
      </text>
    </comment>
  </commentList>
</comments>
</file>

<file path=xl/comments13.xml><?xml version="1.0" encoding="utf-8"?>
<comments xmlns="http://schemas.openxmlformats.org/spreadsheetml/2006/main">
  <authors>
    <author>user</author>
  </authors>
  <commentList>
    <comment ref="E13" authorId="0" shapeId="0">
      <text>
        <r>
          <rPr>
            <b/>
            <sz val="24"/>
            <color indexed="81"/>
            <rFont val="Tahoma"/>
            <family val="2"/>
          </rPr>
          <t>46%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85%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user</author>
  </authors>
  <commentList>
    <comment ref="O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comments15.xml><?xml version="1.0" encoding="utf-8"?>
<comments xmlns="http://schemas.openxmlformats.org/spreadsheetml/2006/main">
  <authors>
    <author>user</author>
  </authors>
  <commentList>
    <comment ref="C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D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F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G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H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I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J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K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L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M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N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O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comments16.xml><?xml version="1.0" encoding="utf-8"?>
<comments xmlns="http://schemas.openxmlformats.org/spreadsheetml/2006/main">
  <authors>
    <author>user</author>
  </authors>
  <commentList>
    <comment ref="C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D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E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G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H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I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K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L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M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O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P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Q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  <comment ref="S13" authorId="0" shapeId="0">
      <text>
        <r>
          <rPr>
            <b/>
            <sz val="24"/>
            <color indexed="81"/>
            <rFont val="Tahoma"/>
            <family val="2"/>
          </rPr>
          <t>65%</t>
        </r>
      </text>
    </comment>
  </commentList>
</comments>
</file>

<file path=xl/sharedStrings.xml><?xml version="1.0" encoding="utf-8"?>
<sst xmlns="http://schemas.openxmlformats.org/spreadsheetml/2006/main" count="1491" uniqueCount="120">
  <si>
    <t>N°</t>
  </si>
  <si>
    <t xml:space="preserve">Désignation </t>
  </si>
  <si>
    <t>Chiffre d'affaires</t>
  </si>
  <si>
    <t>Variation stocks produits finis et en cours</t>
  </si>
  <si>
    <t>Production immobilisée</t>
  </si>
  <si>
    <t>Subventions d'exploitation</t>
  </si>
  <si>
    <t>PRODUCTION DE L'EXERCICE (I)</t>
  </si>
  <si>
    <t>Achats consommes</t>
  </si>
  <si>
    <t>61/62</t>
  </si>
  <si>
    <t>II.    </t>
  </si>
  <si>
    <t>CONSOMMATIONS DE L'EXERCICE (II)</t>
  </si>
  <si>
    <t xml:space="preserve"> III.    </t>
  </si>
  <si>
    <t>VALEUR AJOUTEE (I - II)</t>
  </si>
  <si>
    <t>Impôts, taxes et versements assimiles</t>
  </si>
  <si>
    <t xml:space="preserve"> IV.   </t>
  </si>
  <si>
    <t> EXCEDENT BRUT D'EXPLOITATION</t>
  </si>
  <si>
    <t>Autres produits opérationnels</t>
  </si>
  <si>
    <t>Autres charges opérationnelles</t>
  </si>
  <si>
    <t>Produits inter unités</t>
  </si>
  <si>
    <t>Charges inter unités</t>
  </si>
  <si>
    <t xml:space="preserve">Dotation aux amortissements, provisions et pertes de valeur </t>
  </si>
  <si>
    <t>Reprise sur pertes de valeur et provisions</t>
  </si>
  <si>
    <t>V.    </t>
  </si>
  <si>
    <t xml:space="preserve"> RESULTAT OPERATIONNEL</t>
  </si>
  <si>
    <t>Produits financiers</t>
  </si>
  <si>
    <t>Charges financières</t>
  </si>
  <si>
    <t xml:space="preserve">  VI.    </t>
  </si>
  <si>
    <t>RESULTAT FINANCIER</t>
  </si>
  <si>
    <t xml:space="preserve"> VII.    </t>
  </si>
  <si>
    <t>RESULTAT ORDINAIRE AVANT IMPOTS (V + VI)</t>
  </si>
  <si>
    <t>695/698</t>
  </si>
  <si>
    <t>Impôts exigibles sur résultats ordinaires</t>
  </si>
  <si>
    <t>692/693</t>
  </si>
  <si>
    <t>Impôts différés (Variations) sur résultats ordinaires</t>
  </si>
  <si>
    <t>VIII.    </t>
  </si>
  <si>
    <t xml:space="preserve">RESULTAT NET DES ACTIVITES ORDINAIRES </t>
  </si>
  <si>
    <t>Eléments extraordinaires produits</t>
  </si>
  <si>
    <t>Eléments extraordinaires charges</t>
  </si>
  <si>
    <t>IX.    </t>
  </si>
  <si>
    <t xml:space="preserve">RESULTAT EXTRAORDINAIRE </t>
  </si>
  <si>
    <t xml:space="preserve"> X.    </t>
  </si>
  <si>
    <t>RESULTAT NET DE L'EXERCICE</t>
  </si>
  <si>
    <t>Cessions et produits</t>
  </si>
  <si>
    <t>Services extérieurs et Autres consommation</t>
  </si>
  <si>
    <t>Charges de personnel</t>
  </si>
  <si>
    <t>Total des produits des activités ordinaires</t>
  </si>
  <si>
    <t>Total des charges des activités ordinaires</t>
  </si>
  <si>
    <t>KDU</t>
  </si>
  <si>
    <t>SKDU</t>
  </si>
  <si>
    <t>AZDU</t>
  </si>
  <si>
    <t>SIEGE</t>
  </si>
  <si>
    <t>RATIOS</t>
  </si>
  <si>
    <t>PR/CA</t>
  </si>
  <si>
    <t>ACHAT CONSOMMEES/CA</t>
  </si>
  <si>
    <t>VALEUR AJOUTEE/CHARGES DU PERSONNEL</t>
  </si>
  <si>
    <t>EBE/VAL TOTAL DE LA PRODUCTION DE L'EXERCICE</t>
  </si>
  <si>
    <t>ACHAT CONSOMMEES/VAL TOTAL DE LA PRODUCTION DE LA PERIODE</t>
  </si>
  <si>
    <t>CONSOMMATION INTERM/VAL TOTAL DE LA PRODUCTIONDE LA PERIODE</t>
  </si>
  <si>
    <t>CHARGES DU PERSONNEL/VAL TOTAL DE LA PRODUCTIONDE LA PERIODE</t>
  </si>
  <si>
    <t>TOTAL GENERAL</t>
  </si>
  <si>
    <t>TOTAL GENERAL HT</t>
  </si>
  <si>
    <t>TVA 19%</t>
  </si>
  <si>
    <t>TTC</t>
  </si>
  <si>
    <t>Production Physique</t>
  </si>
  <si>
    <t xml:space="preserve"> KDA</t>
  </si>
  <si>
    <t xml:space="preserve"> Cent-</t>
  </si>
  <si>
    <t xml:space="preserve">Ventes </t>
  </si>
  <si>
    <t>Désignations</t>
  </si>
  <si>
    <t>Conserves</t>
  </si>
  <si>
    <t>Diverses</t>
  </si>
  <si>
    <t>Consolidé
Entreprise</t>
  </si>
  <si>
    <t>POLE-EST</t>
  </si>
  <si>
    <t>Conserves AZDU</t>
  </si>
  <si>
    <t>Diverses SKDU</t>
  </si>
  <si>
    <t xml:space="preserve">Production Physique </t>
  </si>
  <si>
    <t>TCR JANVIER-2020</t>
  </si>
  <si>
    <t>TCR FEVRIER-2020</t>
  </si>
  <si>
    <t>TCR MARS-2020</t>
  </si>
  <si>
    <t>TCR AVRIL-2020</t>
  </si>
  <si>
    <t>TCR MAI-2020</t>
  </si>
  <si>
    <t>TCR JUIN-2020</t>
  </si>
  <si>
    <t>TCR JUILLET-2020</t>
  </si>
  <si>
    <t>TCR AOUT-2020</t>
  </si>
  <si>
    <t>TCR SEPTEMBRE-2020</t>
  </si>
  <si>
    <t>TCR OCTOBRE-2020</t>
  </si>
  <si>
    <t>TCR NOVEMBRE-2020</t>
  </si>
  <si>
    <t>TCR DECEMBRE-2020</t>
  </si>
  <si>
    <t>TCR 1er Trimestre 2020</t>
  </si>
  <si>
    <t>TCR 2éme Trimestre 2020</t>
  </si>
  <si>
    <t>TCR 3éme Trimestre 2020</t>
  </si>
  <si>
    <t>TCR 4éme Trimestre 2020</t>
  </si>
  <si>
    <t>TCR Exercice 2020</t>
  </si>
  <si>
    <t>ENTREPRISE</t>
  </si>
  <si>
    <t>T1 2020</t>
  </si>
  <si>
    <t>T2 2020</t>
  </si>
  <si>
    <t>TCR ENTREPRISE 2020</t>
  </si>
  <si>
    <t>T3 2020</t>
  </si>
  <si>
    <t>T4 2020</t>
  </si>
  <si>
    <t>trésorerie</t>
  </si>
  <si>
    <t>effecti</t>
  </si>
  <si>
    <t>ex-2019</t>
  </si>
  <si>
    <t>ex-2020</t>
  </si>
  <si>
    <t>janvier-20</t>
  </si>
  <si>
    <t>février-20</t>
  </si>
  <si>
    <t>mars-20</t>
  </si>
  <si>
    <t>avril-20</t>
  </si>
  <si>
    <t>mai-20</t>
  </si>
  <si>
    <t>juin-20</t>
  </si>
  <si>
    <t>juillet-20</t>
  </si>
  <si>
    <t>août-20</t>
  </si>
  <si>
    <t>septembre-20</t>
  </si>
  <si>
    <t>octobre-20</t>
  </si>
  <si>
    <t>novembre-20</t>
  </si>
  <si>
    <t>décembre-20</t>
  </si>
  <si>
    <t>TOTAL</t>
  </si>
  <si>
    <t>TCR SIEGE-2020</t>
  </si>
  <si>
    <t>TCR KDU-2020</t>
  </si>
  <si>
    <t>TCR AZDU-2020</t>
  </si>
  <si>
    <t>TCR SKDU-2020</t>
  </si>
  <si>
    <t>TCR CONSOLIDE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</si>
</sst>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40C]mmmm\-yy;@"/>
    <numFmt numFmtId="165" formatCode="_-* #,##0_-;\-* #,##0_-;_-* &quot;-&quot;??_-;_-@_-"/>
  </numFmts>
  <fonts count="49" x14ac:knownFonts="1">
    <font>
      <sz val="11"/>
      <color theme="1"/>
      <name val="Calibri"/>
      <family val="2"/>
      <scheme val="minor"/>
    </font>
    <font>
      <sz val="18"/>
      <name val="Times New Roman"/>
      <family val="1"/>
    </font>
    <font>
      <b/>
      <sz val="18"/>
      <name val="Times New Roman"/>
      <family val="1"/>
    </font>
    <font>
      <sz val="18"/>
      <name val="Arial"/>
      <family val="2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22"/>
      <name val="Arial"/>
      <family val="2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u val="singleAccounting"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2"/>
      <color indexed="81"/>
      <name val="Tahoma"/>
      <family val="2"/>
    </font>
    <font>
      <b/>
      <sz val="24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Segoe UI Semilight"/>
      <family val="2"/>
    </font>
    <font>
      <b/>
      <sz val="12"/>
      <color theme="1"/>
      <name val="Segoe UI Semilight"/>
      <family val="2"/>
    </font>
    <font>
      <b/>
      <sz val="12"/>
      <color rgb="FFFF0000"/>
      <name val="Segoe UI Semilight"/>
      <family val="2"/>
    </font>
    <font>
      <sz val="12"/>
      <color rgb="FFFF0000"/>
      <name val="Segoe UI Semilight"/>
      <family val="2"/>
    </font>
    <font>
      <sz val="12"/>
      <color theme="1"/>
      <name val="Segoe UI Semilight"/>
      <family val="2"/>
    </font>
    <font>
      <b/>
      <sz val="12"/>
      <name val="Times New Roman"/>
      <family val="1"/>
    </font>
    <font>
      <b/>
      <sz val="12"/>
      <name val="Segoe UI Semilight"/>
      <family val="2"/>
    </font>
    <font>
      <sz val="12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rgb="FFC00000"/>
      <name val="Segoe UI Semilight"/>
      <family val="2"/>
    </font>
    <font>
      <b/>
      <sz val="12"/>
      <color rgb="FFC00000"/>
      <name val="Calibri"/>
      <family val="2"/>
      <scheme val="minor"/>
    </font>
    <font>
      <b/>
      <sz val="12"/>
      <color rgb="FFC0000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2"/>
      <color theme="0"/>
      <name val="Times New Roman"/>
      <family val="1"/>
    </font>
    <font>
      <b/>
      <sz val="18"/>
      <name val="Arial"/>
      <family val="2"/>
    </font>
    <font>
      <b/>
      <sz val="18"/>
      <color theme="1"/>
      <name val="Calibri"/>
      <family val="2"/>
      <scheme val="minor"/>
    </font>
    <font>
      <sz val="9"/>
      <name val="Times New Roman"/>
      <family val="1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10"/>
      <name val="Times New Roman"/>
      <family val="1"/>
    </font>
    <font>
      <b/>
      <sz val="12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theme="3" tint="0.59999389629810485"/>
      </bottom>
      <diagonal/>
    </border>
    <border>
      <left style="medium">
        <color indexed="64"/>
      </left>
      <right/>
      <top style="hair">
        <color theme="3" tint="0.59999389629810485"/>
      </top>
      <bottom style="hair">
        <color theme="3" tint="0.59999389629810485"/>
      </bottom>
      <diagonal/>
    </border>
    <border>
      <left/>
      <right style="medium">
        <color indexed="64"/>
      </right>
      <top/>
      <bottom style="hair">
        <color theme="3" tint="0.59999389629810485"/>
      </bottom>
      <diagonal/>
    </border>
    <border>
      <left/>
      <right style="medium">
        <color indexed="64"/>
      </right>
      <top style="hair">
        <color theme="3" tint="0.59999389629810485"/>
      </top>
      <bottom style="hair">
        <color theme="3" tint="0.59999389629810485"/>
      </bottom>
      <diagonal/>
    </border>
    <border>
      <left style="medium">
        <color indexed="64"/>
      </left>
      <right style="medium">
        <color indexed="64"/>
      </right>
      <top/>
      <bottom style="hair">
        <color theme="3" tint="0.59999389629810485"/>
      </bottom>
      <diagonal/>
    </border>
    <border>
      <left style="medium">
        <color indexed="64"/>
      </left>
      <right style="medium">
        <color indexed="64"/>
      </right>
      <top style="hair">
        <color theme="3" tint="0.59999389629810485"/>
      </top>
      <bottom style="hair">
        <color theme="3" tint="0.59999389629810485"/>
      </bottom>
      <diagonal/>
    </border>
    <border>
      <left style="medium">
        <color indexed="64"/>
      </left>
      <right style="medium">
        <color indexed="64"/>
      </right>
      <top style="hair">
        <color theme="3" tint="0.59999389629810485"/>
      </top>
      <bottom/>
      <diagonal/>
    </border>
    <border>
      <left style="medium">
        <color indexed="64"/>
      </left>
      <right/>
      <top style="hair">
        <color theme="3" tint="0.59999389629810485"/>
      </top>
      <bottom/>
      <diagonal/>
    </border>
    <border>
      <left/>
      <right style="medium">
        <color indexed="64"/>
      </right>
      <top style="hair">
        <color theme="3" tint="0.5999938962981048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3" tint="0.59999389629810485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89">
    <xf numFmtId="0" fontId="0" fillId="0" borderId="0" xfId="0"/>
    <xf numFmtId="0" fontId="0" fillId="2" borderId="0" xfId="0" applyFill="1"/>
    <xf numFmtId="0" fontId="5" fillId="2" borderId="0" xfId="0" applyFont="1" applyFill="1"/>
    <xf numFmtId="4" fontId="5" fillId="2" borderId="0" xfId="0" applyNumberFormat="1" applyFont="1" applyFill="1"/>
    <xf numFmtId="0" fontId="9" fillId="2" borderId="0" xfId="0" applyFont="1" applyFill="1"/>
    <xf numFmtId="0" fontId="9" fillId="0" borderId="0" xfId="0" applyFont="1" applyFill="1"/>
    <xf numFmtId="43" fontId="10" fillId="0" borderId="0" xfId="3" applyFont="1" applyAlignment="1">
      <alignment horizontal="right" vertical="center"/>
    </xf>
    <xf numFmtId="164" fontId="11" fillId="10" borderId="20" xfId="3" applyNumberFormat="1" applyFont="1" applyFill="1" applyBorder="1" applyAlignment="1">
      <alignment horizontal="center" vertical="center"/>
    </xf>
    <xf numFmtId="164" fontId="11" fillId="10" borderId="21" xfId="3" applyNumberFormat="1" applyFont="1" applyFill="1" applyBorder="1" applyAlignment="1">
      <alignment horizontal="center" vertical="center"/>
    </xf>
    <xf numFmtId="43" fontId="10" fillId="9" borderId="0" xfId="3" applyFont="1" applyFill="1" applyAlignment="1">
      <alignment horizontal="right" vertical="center"/>
    </xf>
    <xf numFmtId="43" fontId="12" fillId="5" borderId="16" xfId="3" applyFont="1" applyFill="1" applyBorder="1" applyAlignment="1">
      <alignment horizontal="center" vertical="center"/>
    </xf>
    <xf numFmtId="4" fontId="10" fillId="0" borderId="16" xfId="3" applyNumberFormat="1" applyFont="1" applyBorder="1" applyAlignment="1">
      <alignment horizontal="center" vertical="center"/>
    </xf>
    <xf numFmtId="165" fontId="10" fillId="0" borderId="16" xfId="3" applyNumberFormat="1" applyFont="1" applyBorder="1" applyAlignment="1">
      <alignment horizontal="right" vertical="center"/>
    </xf>
    <xf numFmtId="43" fontId="10" fillId="0" borderId="16" xfId="3" applyFont="1" applyBorder="1" applyAlignment="1">
      <alignment horizontal="left" vertical="center"/>
    </xf>
    <xf numFmtId="43" fontId="10" fillId="0" borderId="0" xfId="3" applyFont="1" applyAlignment="1">
      <alignment horizontal="left" vertical="center"/>
    </xf>
    <xf numFmtId="43" fontId="10" fillId="9" borderId="0" xfId="3" applyFont="1" applyFill="1" applyAlignment="1">
      <alignment horizontal="left" vertical="center"/>
    </xf>
    <xf numFmtId="43" fontId="11" fillId="10" borderId="17" xfId="3" applyFont="1" applyFill="1" applyBorder="1" applyAlignment="1">
      <alignment horizontal="left" vertical="center"/>
    </xf>
    <xf numFmtId="9" fontId="10" fillId="9" borderId="0" xfId="4" applyFont="1" applyFill="1" applyAlignment="1">
      <alignment horizontal="right" vertical="center"/>
    </xf>
    <xf numFmtId="165" fontId="12" fillId="12" borderId="16" xfId="3" applyNumberFormat="1" applyFont="1" applyFill="1" applyBorder="1" applyAlignment="1">
      <alignment horizontal="right" vertical="center"/>
    </xf>
    <xf numFmtId="165" fontId="13" fillId="12" borderId="16" xfId="3" applyNumberFormat="1" applyFont="1" applyFill="1" applyBorder="1" applyAlignment="1">
      <alignment horizontal="right" vertical="center"/>
    </xf>
    <xf numFmtId="165" fontId="10" fillId="12" borderId="16" xfId="3" applyNumberFormat="1" applyFont="1" applyFill="1" applyBorder="1" applyAlignment="1">
      <alignment horizontal="right" vertical="center"/>
    </xf>
    <xf numFmtId="4" fontId="10" fillId="12" borderId="16" xfId="3" applyNumberFormat="1" applyFont="1" applyFill="1" applyBorder="1" applyAlignment="1">
      <alignment horizontal="center" vertical="center"/>
    </xf>
    <xf numFmtId="43" fontId="10" fillId="14" borderId="0" xfId="3" applyFont="1" applyFill="1" applyAlignment="1">
      <alignment horizontal="right" vertical="center"/>
    </xf>
    <xf numFmtId="43" fontId="12" fillId="5" borderId="18" xfId="3" applyFont="1" applyFill="1" applyBorder="1" applyAlignment="1">
      <alignment horizontal="center" vertical="center"/>
    </xf>
    <xf numFmtId="43" fontId="12" fillId="5" borderId="19" xfId="3" applyFont="1" applyFill="1" applyBorder="1" applyAlignment="1">
      <alignment horizontal="center" vertical="center"/>
    </xf>
    <xf numFmtId="0" fontId="5" fillId="0" borderId="0" xfId="0" applyFont="1" applyFill="1"/>
    <xf numFmtId="0" fontId="19" fillId="2" borderId="0" xfId="0" applyFont="1" applyFill="1"/>
    <xf numFmtId="0" fontId="10" fillId="2" borderId="0" xfId="0" applyFont="1" applyFill="1"/>
    <xf numFmtId="0" fontId="13" fillId="2" borderId="0" xfId="0" applyFont="1" applyFill="1"/>
    <xf numFmtId="0" fontId="12" fillId="2" borderId="0" xfId="0" applyFont="1" applyFill="1"/>
    <xf numFmtId="9" fontId="12" fillId="2" borderId="0" xfId="4" applyFont="1" applyFill="1"/>
    <xf numFmtId="0" fontId="19" fillId="0" borderId="0" xfId="0" applyFont="1"/>
    <xf numFmtId="0" fontId="10" fillId="0" borderId="0" xfId="0" applyFont="1"/>
    <xf numFmtId="4" fontId="19" fillId="0" borderId="0" xfId="0" applyNumberFormat="1" applyFont="1"/>
    <xf numFmtId="9" fontId="19" fillId="0" borderId="0" xfId="4" applyFont="1"/>
    <xf numFmtId="9" fontId="10" fillId="0" borderId="0" xfId="4" applyFont="1"/>
    <xf numFmtId="0" fontId="19" fillId="0" borderId="0" xfId="0" applyFont="1" applyFill="1"/>
    <xf numFmtId="0" fontId="10" fillId="0" borderId="0" xfId="0" applyFont="1" applyFill="1"/>
    <xf numFmtId="10" fontId="19" fillId="0" borderId="0" xfId="4" applyNumberFormat="1" applyFont="1" applyFill="1"/>
    <xf numFmtId="0" fontId="1" fillId="0" borderId="0" xfId="0" applyFont="1" applyFill="1"/>
    <xf numFmtId="4" fontId="1" fillId="0" borderId="0" xfId="0" applyNumberFormat="1" applyFont="1" applyFill="1" applyAlignment="1">
      <alignment horizontal="left"/>
    </xf>
    <xf numFmtId="0" fontId="7" fillId="0" borderId="0" xfId="0" applyFont="1" applyFill="1"/>
    <xf numFmtId="0" fontId="0" fillId="0" borderId="0" xfId="0" applyFill="1"/>
    <xf numFmtId="0" fontId="2" fillId="0" borderId="0" xfId="0" quotePrefix="1" applyFont="1" applyFill="1"/>
    <xf numFmtId="4" fontId="1" fillId="0" borderId="0" xfId="0" quotePrefix="1" applyNumberFormat="1" applyFont="1" applyFill="1" applyAlignment="1">
      <alignment horizontal="left"/>
    </xf>
    <xf numFmtId="0" fontId="1" fillId="0" borderId="0" xfId="0" quotePrefix="1" applyFont="1" applyFill="1"/>
    <xf numFmtId="0" fontId="3" fillId="0" borderId="0" xfId="0" quotePrefix="1" applyFont="1" applyFill="1"/>
    <xf numFmtId="0" fontId="2" fillId="0" borderId="0" xfId="0" quotePrefix="1" applyFont="1" applyFill="1" applyAlignment="1">
      <alignment horizontal="left"/>
    </xf>
    <xf numFmtId="4" fontId="3" fillId="0" borderId="0" xfId="0" quotePrefix="1" applyNumberFormat="1" applyFont="1" applyFill="1" applyAlignment="1">
      <alignment horizontal="left"/>
    </xf>
    <xf numFmtId="0" fontId="8" fillId="0" borderId="0" xfId="0" quotePrefix="1" applyFont="1" applyFill="1"/>
    <xf numFmtId="4" fontId="3" fillId="0" borderId="0" xfId="0" quotePrefix="1" applyNumberFormat="1" applyFont="1" applyFill="1"/>
    <xf numFmtId="4" fontId="20" fillId="0" borderId="2" xfId="2" applyNumberFormat="1" applyFont="1" applyBorder="1" applyAlignment="1">
      <alignment horizontal="right" vertical="center"/>
    </xf>
    <xf numFmtId="4" fontId="20" fillId="0" borderId="6" xfId="2" applyNumberFormat="1" applyFont="1" applyBorder="1" applyAlignment="1">
      <alignment horizontal="right" vertical="center"/>
    </xf>
    <xf numFmtId="4" fontId="20" fillId="0" borderId="4" xfId="2" applyNumberFormat="1" applyFont="1" applyBorder="1" applyAlignment="1">
      <alignment horizontal="right" vertical="center"/>
    </xf>
    <xf numFmtId="4" fontId="20" fillId="0" borderId="3" xfId="2" applyNumberFormat="1" applyFont="1" applyBorder="1" applyAlignment="1">
      <alignment horizontal="right" vertical="center"/>
    </xf>
    <xf numFmtId="4" fontId="20" fillId="0" borderId="7" xfId="2" applyNumberFormat="1" applyFont="1" applyBorder="1" applyAlignment="1">
      <alignment horizontal="right" vertical="center"/>
    </xf>
    <xf numFmtId="4" fontId="20" fillId="0" borderId="5" xfId="2" applyNumberFormat="1" applyFont="1" applyBorder="1" applyAlignment="1">
      <alignment horizontal="right" vertical="center"/>
    </xf>
    <xf numFmtId="4" fontId="20" fillId="0" borderId="3" xfId="2" applyNumberFormat="1" applyFont="1" applyFill="1" applyBorder="1" applyAlignment="1">
      <alignment horizontal="right" vertical="center"/>
    </xf>
    <xf numFmtId="4" fontId="20" fillId="0" borderId="9" xfId="2" applyNumberFormat="1" applyFont="1" applyBorder="1" applyAlignment="1">
      <alignment horizontal="right" vertical="center"/>
    </xf>
    <xf numFmtId="4" fontId="20" fillId="0" borderId="8" xfId="2" applyNumberFormat="1" applyFont="1" applyBorder="1" applyAlignment="1">
      <alignment horizontal="right" vertical="center"/>
    </xf>
    <xf numFmtId="4" fontId="20" fillId="0" borderId="10" xfId="2" applyNumberFormat="1" applyFont="1" applyBorder="1" applyAlignment="1">
      <alignment horizontal="right" vertical="center"/>
    </xf>
    <xf numFmtId="4" fontId="21" fillId="4" borderId="11" xfId="2" applyNumberFormat="1" applyFont="1" applyFill="1" applyBorder="1" applyAlignment="1">
      <alignment horizontal="right" vertical="center"/>
    </xf>
    <xf numFmtId="4" fontId="21" fillId="4" borderId="1" xfId="2" applyNumberFormat="1" applyFont="1" applyFill="1" applyBorder="1" applyAlignment="1">
      <alignment horizontal="right" vertical="center"/>
    </xf>
    <xf numFmtId="4" fontId="21" fillId="4" borderId="12" xfId="2" applyNumberFormat="1" applyFont="1" applyFill="1" applyBorder="1" applyAlignment="1">
      <alignment horizontal="right" vertical="center"/>
    </xf>
    <xf numFmtId="4" fontId="20" fillId="0" borderId="2" xfId="2" applyNumberFormat="1" applyFont="1" applyFill="1" applyBorder="1" applyAlignment="1">
      <alignment horizontal="right" vertical="center"/>
    </xf>
    <xf numFmtId="4" fontId="20" fillId="0" borderId="6" xfId="2" applyNumberFormat="1" applyFont="1" applyFill="1" applyBorder="1" applyAlignment="1">
      <alignment horizontal="right" vertical="center"/>
    </xf>
    <xf numFmtId="4" fontId="20" fillId="0" borderId="4" xfId="2" applyNumberFormat="1" applyFont="1" applyFill="1" applyBorder="1" applyAlignment="1">
      <alignment horizontal="right" vertical="center"/>
    </xf>
    <xf numFmtId="4" fontId="22" fillId="4" borderId="14" xfId="2" applyNumberFormat="1" applyFont="1" applyFill="1" applyBorder="1" applyAlignment="1">
      <alignment horizontal="right" vertical="center"/>
    </xf>
    <xf numFmtId="4" fontId="22" fillId="4" borderId="13" xfId="2" applyNumberFormat="1" applyFont="1" applyFill="1" applyBorder="1" applyAlignment="1">
      <alignment horizontal="right" vertical="center"/>
    </xf>
    <xf numFmtId="4" fontId="22" fillId="4" borderId="15" xfId="2" applyNumberFormat="1" applyFont="1" applyFill="1" applyBorder="1" applyAlignment="1">
      <alignment horizontal="right" vertical="center"/>
    </xf>
    <xf numFmtId="4" fontId="23" fillId="0" borderId="3" xfId="2" applyNumberFormat="1" applyFont="1" applyBorder="1" applyAlignment="1">
      <alignment horizontal="right" vertical="center"/>
    </xf>
    <xf numFmtId="4" fontId="23" fillId="0" borderId="7" xfId="2" applyNumberFormat="1" applyFont="1" applyBorder="1" applyAlignment="1">
      <alignment horizontal="right" vertical="center"/>
    </xf>
    <xf numFmtId="4" fontId="23" fillId="0" borderId="5" xfId="2" applyNumberFormat="1" applyFont="1" applyBorder="1" applyAlignment="1">
      <alignment horizontal="right" vertical="center"/>
    </xf>
    <xf numFmtId="4" fontId="20" fillId="0" borderId="9" xfId="2" applyNumberFormat="1" applyFont="1" applyFill="1" applyBorder="1" applyAlignment="1">
      <alignment horizontal="right" vertical="center"/>
    </xf>
    <xf numFmtId="4" fontId="24" fillId="0" borderId="3" xfId="2" applyNumberFormat="1" applyFont="1" applyFill="1" applyBorder="1" applyAlignment="1">
      <alignment horizontal="right" vertical="center"/>
    </xf>
    <xf numFmtId="4" fontId="24" fillId="0" borderId="7" xfId="2" applyNumberFormat="1" applyFont="1" applyFill="1" applyBorder="1" applyAlignment="1">
      <alignment horizontal="right" vertical="center"/>
    </xf>
    <xf numFmtId="4" fontId="24" fillId="0" borderId="5" xfId="2" applyNumberFormat="1" applyFont="1" applyFill="1" applyBorder="1" applyAlignment="1">
      <alignment horizontal="right" vertical="center"/>
    </xf>
    <xf numFmtId="4" fontId="20" fillId="0" borderId="8" xfId="2" applyNumberFormat="1" applyFont="1" applyFill="1" applyBorder="1" applyAlignment="1">
      <alignment horizontal="right" vertical="center"/>
    </xf>
    <xf numFmtId="4" fontId="20" fillId="0" borderId="10" xfId="2" applyNumberFormat="1" applyFont="1" applyFill="1" applyBorder="1" applyAlignment="1">
      <alignment horizontal="right" vertical="center"/>
    </xf>
    <xf numFmtId="0" fontId="20" fillId="0" borderId="6" xfId="2" applyFont="1" applyBorder="1" applyAlignment="1">
      <alignment horizontal="left" vertical="center"/>
    </xf>
    <xf numFmtId="0" fontId="20" fillId="0" borderId="7" xfId="2" applyFont="1" applyBorder="1" applyAlignment="1">
      <alignment horizontal="left" vertical="center"/>
    </xf>
    <xf numFmtId="0" fontId="20" fillId="0" borderId="7" xfId="2" applyFont="1" applyBorder="1" applyAlignment="1">
      <alignment vertical="center"/>
    </xf>
    <xf numFmtId="0" fontId="20" fillId="0" borderId="8" xfId="2" applyFont="1" applyBorder="1" applyAlignment="1">
      <alignment vertical="center"/>
    </xf>
    <xf numFmtId="0" fontId="21" fillId="4" borderId="1" xfId="2" applyFont="1" applyFill="1" applyBorder="1" applyAlignment="1">
      <alignment horizontal="left" vertical="center"/>
    </xf>
    <xf numFmtId="0" fontId="20" fillId="0" borderId="6" xfId="2" applyFont="1" applyBorder="1" applyAlignment="1">
      <alignment vertical="center"/>
    </xf>
    <xf numFmtId="0" fontId="21" fillId="4" borderId="1" xfId="2" applyFont="1" applyFill="1" applyBorder="1" applyAlignment="1">
      <alignment vertical="center"/>
    </xf>
    <xf numFmtId="0" fontId="21" fillId="4" borderId="13" xfId="2" applyFont="1" applyFill="1" applyBorder="1" applyAlignment="1">
      <alignment vertical="center"/>
    </xf>
    <xf numFmtId="0" fontId="23" fillId="0" borderId="7" xfId="2" applyFont="1" applyBorder="1" applyAlignment="1">
      <alignment vertical="center"/>
    </xf>
    <xf numFmtId="0" fontId="24" fillId="0" borderId="7" xfId="2" applyFont="1" applyFill="1" applyBorder="1" applyAlignment="1">
      <alignment vertical="center"/>
    </xf>
    <xf numFmtId="0" fontId="24" fillId="0" borderId="8" xfId="2" applyFont="1" applyFill="1" applyBorder="1" applyAlignment="1">
      <alignment vertical="center"/>
    </xf>
    <xf numFmtId="0" fontId="27" fillId="2" borderId="0" xfId="0" applyFont="1" applyFill="1"/>
    <xf numFmtId="4" fontId="27" fillId="2" borderId="0" xfId="0" applyNumberFormat="1" applyFont="1" applyFill="1" applyAlignment="1">
      <alignment horizontal="right"/>
    </xf>
    <xf numFmtId="0" fontId="27" fillId="0" borderId="16" xfId="0" applyFont="1" applyFill="1" applyBorder="1" applyAlignment="1">
      <alignment horizontal="center"/>
    </xf>
    <xf numFmtId="0" fontId="27" fillId="0" borderId="16" xfId="0" applyFont="1" applyFill="1" applyBorder="1"/>
    <xf numFmtId="9" fontId="27" fillId="0" borderId="16" xfId="4" applyFont="1" applyFill="1" applyBorder="1" applyAlignment="1">
      <alignment horizontal="center"/>
    </xf>
    <xf numFmtId="10" fontId="27" fillId="0" borderId="16" xfId="4" applyNumberFormat="1" applyFont="1" applyFill="1" applyBorder="1" applyAlignment="1">
      <alignment horizontal="center"/>
    </xf>
    <xf numFmtId="4" fontId="27" fillId="2" borderId="0" xfId="0" applyNumberFormat="1" applyFont="1" applyFill="1"/>
    <xf numFmtId="4" fontId="29" fillId="0" borderId="0" xfId="0" applyNumberFormat="1" applyFont="1" applyFill="1" applyAlignment="1">
      <alignment horizontal="left"/>
    </xf>
    <xf numFmtId="4" fontId="29" fillId="0" borderId="0" xfId="0" quotePrefix="1" applyNumberFormat="1" applyFont="1" applyFill="1" applyAlignment="1">
      <alignment horizontal="left"/>
    </xf>
    <xf numFmtId="4" fontId="30" fillId="0" borderId="0" xfId="0" quotePrefix="1" applyNumberFormat="1" applyFont="1" applyFill="1" applyAlignment="1">
      <alignment horizontal="left"/>
    </xf>
    <xf numFmtId="4" fontId="30" fillId="0" borderId="0" xfId="0" quotePrefix="1" applyNumberFormat="1" applyFont="1" applyFill="1"/>
    <xf numFmtId="0" fontId="26" fillId="0" borderId="4" xfId="1" applyFont="1" applyBorder="1" applyAlignment="1">
      <alignment horizontal="center" vertical="center" wrapText="1"/>
    </xf>
    <xf numFmtId="0" fontId="26" fillId="0" borderId="5" xfId="1" applyFont="1" applyBorder="1" applyAlignment="1">
      <alignment horizontal="center" vertical="center" wrapText="1"/>
    </xf>
    <xf numFmtId="0" fontId="26" fillId="0" borderId="10" xfId="1" applyFont="1" applyBorder="1" applyAlignment="1">
      <alignment horizontal="center" vertical="center" wrapText="1"/>
    </xf>
    <xf numFmtId="0" fontId="26" fillId="4" borderId="12" xfId="1" applyFont="1" applyFill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/>
    </xf>
    <xf numFmtId="0" fontId="20" fillId="0" borderId="10" xfId="1" applyFont="1" applyBorder="1" applyAlignment="1">
      <alignment horizontal="center" vertical="center"/>
    </xf>
    <xf numFmtId="0" fontId="21" fillId="4" borderId="12" xfId="2" applyFont="1" applyFill="1" applyBorder="1" applyAlignment="1">
      <alignment horizontal="center" vertical="center"/>
    </xf>
    <xf numFmtId="0" fontId="21" fillId="4" borderId="15" xfId="2" applyFont="1" applyFill="1" applyBorder="1" applyAlignment="1">
      <alignment horizontal="center" vertical="center"/>
    </xf>
    <xf numFmtId="0" fontId="20" fillId="0" borderId="5" xfId="1" applyFont="1" applyBorder="1" applyAlignment="1">
      <alignment horizontal="center" vertical="center"/>
    </xf>
    <xf numFmtId="0" fontId="24" fillId="0" borderId="5" xfId="2" applyFont="1" applyFill="1" applyBorder="1" applyAlignment="1">
      <alignment horizontal="center" vertical="center"/>
    </xf>
    <xf numFmtId="0" fontId="24" fillId="0" borderId="10" xfId="2" applyFont="1" applyFill="1" applyBorder="1" applyAlignment="1">
      <alignment horizontal="center" vertical="center"/>
    </xf>
    <xf numFmtId="4" fontId="20" fillId="0" borderId="23" xfId="2" applyNumberFormat="1" applyFont="1" applyBorder="1" applyAlignment="1">
      <alignment horizontal="right" vertical="center"/>
    </xf>
    <xf numFmtId="0" fontId="25" fillId="3" borderId="24" xfId="0" applyFont="1" applyFill="1" applyBorder="1" applyAlignment="1">
      <alignment horizontal="center" vertical="center"/>
    </xf>
    <xf numFmtId="0" fontId="25" fillId="3" borderId="25" xfId="0" applyFont="1" applyFill="1" applyBorder="1" applyAlignment="1">
      <alignment horizontal="center" vertical="center"/>
    </xf>
    <xf numFmtId="4" fontId="25" fillId="9" borderId="26" xfId="0" applyNumberFormat="1" applyFont="1" applyFill="1" applyBorder="1" applyAlignment="1">
      <alignment horizontal="center" vertical="center"/>
    </xf>
    <xf numFmtId="4" fontId="25" fillId="5" borderId="26" xfId="0" applyNumberFormat="1" applyFont="1" applyFill="1" applyBorder="1" applyAlignment="1">
      <alignment horizontal="center" vertical="center"/>
    </xf>
    <xf numFmtId="4" fontId="25" fillId="7" borderId="25" xfId="0" applyNumberFormat="1" applyFont="1" applyFill="1" applyBorder="1" applyAlignment="1">
      <alignment horizontal="center" vertical="center"/>
    </xf>
    <xf numFmtId="4" fontId="25" fillId="6" borderId="24" xfId="0" applyNumberFormat="1" applyFont="1" applyFill="1" applyBorder="1" applyAlignment="1">
      <alignment horizontal="center" vertical="center"/>
    </xf>
    <xf numFmtId="4" fontId="25" fillId="8" borderId="26" xfId="0" applyNumberFormat="1" applyFont="1" applyFill="1" applyBorder="1" applyAlignment="1">
      <alignment horizontal="center" vertical="center"/>
    </xf>
    <xf numFmtId="0" fontId="21" fillId="4" borderId="27" xfId="2" applyFont="1" applyFill="1" applyBorder="1" applyAlignment="1">
      <alignment horizontal="center" vertical="center"/>
    </xf>
    <xf numFmtId="0" fontId="21" fillId="4" borderId="28" xfId="2" applyFont="1" applyFill="1" applyBorder="1" applyAlignment="1">
      <alignment vertical="center"/>
    </xf>
    <xf numFmtId="4" fontId="21" fillId="4" borderId="29" xfId="2" applyNumberFormat="1" applyFont="1" applyFill="1" applyBorder="1" applyAlignment="1">
      <alignment horizontal="right" vertical="center"/>
    </xf>
    <xf numFmtId="4" fontId="21" fillId="4" borderId="28" xfId="2" applyNumberFormat="1" applyFont="1" applyFill="1" applyBorder="1" applyAlignment="1">
      <alignment horizontal="right" vertical="center"/>
    </xf>
    <xf numFmtId="4" fontId="21" fillId="4" borderId="27" xfId="2" applyNumberFormat="1" applyFont="1" applyFill="1" applyBorder="1" applyAlignment="1">
      <alignment horizontal="right" vertical="center"/>
    </xf>
    <xf numFmtId="0" fontId="24" fillId="0" borderId="15" xfId="2" applyFont="1" applyFill="1" applyBorder="1" applyAlignment="1">
      <alignment horizontal="center" vertical="center"/>
    </xf>
    <xf numFmtId="43" fontId="10" fillId="9" borderId="0" xfId="3" applyNumberFormat="1" applyFont="1" applyFill="1" applyAlignment="1">
      <alignment horizontal="right" vertical="center"/>
    </xf>
    <xf numFmtId="10" fontId="10" fillId="9" borderId="0" xfId="4" applyNumberFormat="1" applyFont="1" applyFill="1" applyAlignment="1">
      <alignment horizontal="right" vertical="center"/>
    </xf>
    <xf numFmtId="10" fontId="10" fillId="9" borderId="0" xfId="3" applyNumberFormat="1" applyFont="1" applyFill="1" applyAlignment="1">
      <alignment horizontal="right" vertical="center"/>
    </xf>
    <xf numFmtId="43" fontId="19" fillId="0" borderId="0" xfId="3" applyFont="1" applyFill="1"/>
    <xf numFmtId="43" fontId="19" fillId="2" borderId="0" xfId="3" applyFont="1" applyFill="1"/>
    <xf numFmtId="43" fontId="13" fillId="2" borderId="0" xfId="3" applyFont="1" applyFill="1"/>
    <xf numFmtId="43" fontId="19" fillId="0" borderId="0" xfId="3" applyFont="1"/>
    <xf numFmtId="164" fontId="25" fillId="7" borderId="25" xfId="0" applyNumberFormat="1" applyFont="1" applyFill="1" applyBorder="1" applyAlignment="1">
      <alignment horizontal="center" vertical="center"/>
    </xf>
    <xf numFmtId="4" fontId="26" fillId="0" borderId="6" xfId="2" applyNumberFormat="1" applyFont="1" applyBorder="1" applyAlignment="1">
      <alignment horizontal="right" vertical="center"/>
    </xf>
    <xf numFmtId="4" fontId="26" fillId="0" borderId="7" xfId="2" applyNumberFormat="1" applyFont="1" applyBorder="1" applyAlignment="1">
      <alignment horizontal="right" vertical="center"/>
    </xf>
    <xf numFmtId="4" fontId="26" fillId="0" borderId="8" xfId="2" applyNumberFormat="1" applyFont="1" applyBorder="1" applyAlignment="1">
      <alignment horizontal="right" vertical="center"/>
    </xf>
    <xf numFmtId="4" fontId="26" fillId="0" borderId="6" xfId="2" applyNumberFormat="1" applyFont="1" applyFill="1" applyBorder="1" applyAlignment="1">
      <alignment horizontal="right" vertical="center"/>
    </xf>
    <xf numFmtId="4" fontId="22" fillId="0" borderId="7" xfId="2" applyNumberFormat="1" applyFont="1" applyBorder="1" applyAlignment="1">
      <alignment horizontal="right" vertical="center"/>
    </xf>
    <xf numFmtId="4" fontId="21" fillId="0" borderId="7" xfId="2" applyNumberFormat="1" applyFont="1" applyFill="1" applyBorder="1" applyAlignment="1">
      <alignment horizontal="right" vertical="center"/>
    </xf>
    <xf numFmtId="4" fontId="26" fillId="0" borderId="8" xfId="2" applyNumberFormat="1" applyFont="1" applyFill="1" applyBorder="1" applyAlignment="1">
      <alignment horizontal="right" vertical="center"/>
    </xf>
    <xf numFmtId="10" fontId="33" fillId="0" borderId="16" xfId="4" applyNumberFormat="1" applyFont="1" applyFill="1" applyBorder="1" applyAlignment="1">
      <alignment horizontal="center"/>
    </xf>
    <xf numFmtId="4" fontId="33" fillId="2" borderId="0" xfId="0" applyNumberFormat="1" applyFont="1" applyFill="1"/>
    <xf numFmtId="4" fontId="35" fillId="0" borderId="6" xfId="2" applyNumberFormat="1" applyFont="1" applyBorder="1" applyAlignment="1">
      <alignment horizontal="right" vertical="center"/>
    </xf>
    <xf numFmtId="4" fontId="35" fillId="0" borderId="7" xfId="2" applyNumberFormat="1" applyFont="1" applyBorder="1" applyAlignment="1">
      <alignment horizontal="right" vertical="center"/>
    </xf>
    <xf numFmtId="4" fontId="35" fillId="0" borderId="8" xfId="2" applyNumberFormat="1" applyFont="1" applyBorder="1" applyAlignment="1">
      <alignment horizontal="right" vertical="center"/>
    </xf>
    <xf numFmtId="4" fontId="35" fillId="4" borderId="1" xfId="2" applyNumberFormat="1" applyFont="1" applyFill="1" applyBorder="1" applyAlignment="1">
      <alignment horizontal="right" vertical="center"/>
    </xf>
    <xf numFmtId="4" fontId="35" fillId="0" borderId="6" xfId="2" applyNumberFormat="1" applyFont="1" applyFill="1" applyBorder="1" applyAlignment="1">
      <alignment horizontal="right" vertical="center"/>
    </xf>
    <xf numFmtId="4" fontId="35" fillId="4" borderId="13" xfId="2" applyNumberFormat="1" applyFont="1" applyFill="1" applyBorder="1" applyAlignment="1">
      <alignment horizontal="right" vertical="center"/>
    </xf>
    <xf numFmtId="4" fontId="35" fillId="0" borderId="7" xfId="2" applyNumberFormat="1" applyFont="1" applyFill="1" applyBorder="1" applyAlignment="1">
      <alignment horizontal="right" vertical="center"/>
    </xf>
    <xf numFmtId="4" fontId="35" fillId="0" borderId="8" xfId="2" applyNumberFormat="1" applyFont="1" applyFill="1" applyBorder="1" applyAlignment="1">
      <alignment horizontal="right" vertical="center"/>
    </xf>
    <xf numFmtId="4" fontId="35" fillId="4" borderId="28" xfId="2" applyNumberFormat="1" applyFont="1" applyFill="1" applyBorder="1" applyAlignment="1">
      <alignment horizontal="right" vertical="center"/>
    </xf>
    <xf numFmtId="10" fontId="36" fillId="0" borderId="16" xfId="4" applyNumberFormat="1" applyFont="1" applyFill="1" applyBorder="1" applyAlignment="1">
      <alignment horizontal="center"/>
    </xf>
    <xf numFmtId="4" fontId="36" fillId="2" borderId="0" xfId="0" applyNumberFormat="1" applyFont="1" applyFill="1"/>
    <xf numFmtId="4" fontId="34" fillId="0" borderId="0" xfId="0" applyNumberFormat="1" applyFont="1" applyFill="1" applyAlignment="1">
      <alignment horizontal="left"/>
    </xf>
    <xf numFmtId="4" fontId="34" fillId="0" borderId="0" xfId="0" quotePrefix="1" applyNumberFormat="1" applyFont="1" applyFill="1" applyAlignment="1">
      <alignment horizontal="left"/>
    </xf>
    <xf numFmtId="4" fontId="37" fillId="0" borderId="0" xfId="0" quotePrefix="1" applyNumberFormat="1" applyFont="1" applyFill="1" applyAlignment="1">
      <alignment horizontal="left"/>
    </xf>
    <xf numFmtId="4" fontId="37" fillId="0" borderId="0" xfId="0" quotePrefix="1" applyNumberFormat="1" applyFont="1" applyFill="1"/>
    <xf numFmtId="0" fontId="36" fillId="2" borderId="0" xfId="0" applyFont="1" applyFill="1"/>
    <xf numFmtId="0" fontId="27" fillId="0" borderId="0" xfId="0" applyFont="1" applyFill="1"/>
    <xf numFmtId="4" fontId="27" fillId="0" borderId="0" xfId="0" applyNumberFormat="1" applyFont="1" applyFill="1" applyAlignment="1">
      <alignment horizontal="right"/>
    </xf>
    <xf numFmtId="4" fontId="36" fillId="0" borderId="0" xfId="0" applyNumberFormat="1" applyFont="1" applyFill="1" applyAlignment="1">
      <alignment horizontal="right"/>
    </xf>
    <xf numFmtId="4" fontId="25" fillId="0" borderId="0" xfId="0" applyNumberFormat="1" applyFont="1" applyFill="1" applyAlignment="1">
      <alignment horizontal="left"/>
    </xf>
    <xf numFmtId="4" fontId="25" fillId="0" borderId="0" xfId="0" quotePrefix="1" applyNumberFormat="1" applyFont="1" applyFill="1" applyAlignment="1">
      <alignment horizontal="left"/>
    </xf>
    <xf numFmtId="4" fontId="38" fillId="0" borderId="0" xfId="0" quotePrefix="1" applyNumberFormat="1" applyFont="1" applyFill="1" applyAlignment="1">
      <alignment horizontal="left"/>
    </xf>
    <xf numFmtId="4" fontId="38" fillId="0" borderId="0" xfId="0" quotePrefix="1" applyNumberFormat="1" applyFont="1" applyFill="1"/>
    <xf numFmtId="4" fontId="33" fillId="0" borderId="0" xfId="0" applyNumberFormat="1" applyFont="1" applyFill="1" applyAlignment="1">
      <alignment horizontal="right"/>
    </xf>
    <xf numFmtId="164" fontId="34" fillId="7" borderId="25" xfId="0" applyNumberFormat="1" applyFont="1" applyFill="1" applyBorder="1" applyAlignment="1">
      <alignment horizontal="center" vertical="center" wrapText="1"/>
    </xf>
    <xf numFmtId="3" fontId="31" fillId="0" borderId="0" xfId="3" applyNumberFormat="1" applyFont="1" applyFill="1"/>
    <xf numFmtId="3" fontId="31" fillId="2" borderId="0" xfId="3" applyNumberFormat="1" applyFont="1" applyFill="1"/>
    <xf numFmtId="3" fontId="19" fillId="2" borderId="0" xfId="3" applyNumberFormat="1" applyFont="1" applyFill="1"/>
    <xf numFmtId="3" fontId="13" fillId="2" borderId="0" xfId="3" applyNumberFormat="1" applyFont="1" applyFill="1"/>
    <xf numFmtId="3" fontId="19" fillId="0" borderId="0" xfId="3" applyNumberFormat="1" applyFont="1"/>
    <xf numFmtId="3" fontId="19" fillId="0" borderId="0" xfId="3" applyNumberFormat="1" applyFont="1" applyFill="1"/>
    <xf numFmtId="0" fontId="1" fillId="0" borderId="0" xfId="0" applyFont="1" applyFill="1" applyAlignment="1"/>
    <xf numFmtId="3" fontId="10" fillId="2" borderId="16" xfId="0" applyNumberFormat="1" applyFont="1" applyFill="1" applyBorder="1"/>
    <xf numFmtId="43" fontId="10" fillId="2" borderId="16" xfId="3" applyFont="1" applyFill="1" applyBorder="1"/>
    <xf numFmtId="3" fontId="12" fillId="2" borderId="16" xfId="0" applyNumberFormat="1" applyFont="1" applyFill="1" applyBorder="1"/>
    <xf numFmtId="43" fontId="12" fillId="2" borderId="16" xfId="3" applyFont="1" applyFill="1" applyBorder="1"/>
    <xf numFmtId="3" fontId="10" fillId="0" borderId="16" xfId="0" applyNumberFormat="1" applyFont="1" applyBorder="1"/>
    <xf numFmtId="43" fontId="10" fillId="0" borderId="16" xfId="3" applyFont="1" applyBorder="1"/>
    <xf numFmtId="164" fontId="34" fillId="7" borderId="2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4" fontId="20" fillId="0" borderId="7" xfId="2" applyNumberFormat="1" applyFont="1" applyFill="1" applyBorder="1" applyAlignment="1">
      <alignment horizontal="right" vertical="center"/>
    </xf>
    <xf numFmtId="4" fontId="20" fillId="0" borderId="5" xfId="2" applyNumberFormat="1" applyFont="1" applyFill="1" applyBorder="1" applyAlignment="1">
      <alignment horizontal="right" vertical="center"/>
    </xf>
    <xf numFmtId="43" fontId="3" fillId="0" borderId="0" xfId="3" quotePrefix="1" applyFont="1" applyFill="1"/>
    <xf numFmtId="43" fontId="0" fillId="2" borderId="0" xfId="3" applyFont="1" applyFill="1"/>
    <xf numFmtId="43" fontId="10" fillId="2" borderId="0" xfId="3" applyFont="1" applyFill="1"/>
    <xf numFmtId="43" fontId="12" fillId="2" borderId="0" xfId="3" applyFont="1" applyFill="1"/>
    <xf numFmtId="43" fontId="10" fillId="0" borderId="0" xfId="3" applyFont="1"/>
    <xf numFmtId="43" fontId="10" fillId="0" borderId="0" xfId="3" applyFont="1" applyFill="1"/>
    <xf numFmtId="43" fontId="39" fillId="0" borderId="0" xfId="3" quotePrefix="1" applyFont="1" applyFill="1" applyAlignment="1">
      <alignment vertical="top"/>
    </xf>
    <xf numFmtId="43" fontId="0" fillId="0" borderId="0" xfId="3" applyFont="1" applyFill="1" applyAlignment="1">
      <alignment vertical="top"/>
    </xf>
    <xf numFmtId="43" fontId="0" fillId="2" borderId="0" xfId="3" applyFont="1" applyFill="1" applyAlignment="1">
      <alignment vertical="top"/>
    </xf>
    <xf numFmtId="43" fontId="40" fillId="2" borderId="0" xfId="3" applyFont="1" applyFill="1" applyAlignment="1">
      <alignment vertical="top"/>
    </xf>
    <xf numFmtId="43" fontId="0" fillId="0" borderId="0" xfId="3" applyFont="1" applyAlignment="1">
      <alignment vertical="top"/>
    </xf>
    <xf numFmtId="4" fontId="19" fillId="2" borderId="0" xfId="0" applyNumberFormat="1" applyFont="1" applyFill="1"/>
    <xf numFmtId="9" fontId="19" fillId="0" borderId="0" xfId="4" applyFont="1" applyFill="1"/>
    <xf numFmtId="0" fontId="25" fillId="15" borderId="24" xfId="0" applyFont="1" applyFill="1" applyBorder="1" applyAlignment="1">
      <alignment horizontal="center" vertical="center"/>
    </xf>
    <xf numFmtId="0" fontId="25" fillId="15" borderId="25" xfId="0" applyFont="1" applyFill="1" applyBorder="1" applyAlignment="1">
      <alignment horizontal="center" vertical="center"/>
    </xf>
    <xf numFmtId="4" fontId="25" fillId="15" borderId="26" xfId="0" applyNumberFormat="1" applyFont="1" applyFill="1" applyBorder="1" applyAlignment="1">
      <alignment horizontal="center" vertical="center"/>
    </xf>
    <xf numFmtId="4" fontId="25" fillId="15" borderId="25" xfId="0" applyNumberFormat="1" applyFont="1" applyFill="1" applyBorder="1" applyAlignment="1">
      <alignment horizontal="center" vertical="center"/>
    </xf>
    <xf numFmtId="4" fontId="25" fillId="15" borderId="24" xfId="0" applyNumberFormat="1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164" fontId="25" fillId="15" borderId="11" xfId="0" applyNumberFormat="1" applyFont="1" applyFill="1" applyBorder="1" applyAlignment="1">
      <alignment horizontal="center" vertical="center"/>
    </xf>
    <xf numFmtId="164" fontId="25" fillId="15" borderId="1" xfId="0" applyNumberFormat="1" applyFont="1" applyFill="1" applyBorder="1" applyAlignment="1">
      <alignment horizontal="center" vertical="center"/>
    </xf>
    <xf numFmtId="164" fontId="25" fillId="15" borderId="12" xfId="0" applyNumberFormat="1" applyFont="1" applyFill="1" applyBorder="1" applyAlignment="1">
      <alignment horizontal="center" vertical="center"/>
    </xf>
    <xf numFmtId="4" fontId="25" fillId="15" borderId="1" xfId="0" applyNumberFormat="1" applyFont="1" applyFill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7" xfId="1" applyFont="1" applyBorder="1" applyAlignment="1">
      <alignment horizontal="center" vertical="center" wrapText="1"/>
    </xf>
    <xf numFmtId="0" fontId="26" fillId="0" borderId="8" xfId="1" applyFont="1" applyBorder="1" applyAlignment="1">
      <alignment horizontal="center" vertical="center" wrapText="1"/>
    </xf>
    <xf numFmtId="0" fontId="26" fillId="4" borderId="1" xfId="1" applyFont="1" applyFill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/>
    </xf>
    <xf numFmtId="0" fontId="20" fillId="0" borderId="8" xfId="1" applyFont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/>
    </xf>
    <xf numFmtId="0" fontId="21" fillId="4" borderId="13" xfId="2" applyFont="1" applyFill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24" fillId="0" borderId="7" xfId="2" applyFont="1" applyFill="1" applyBorder="1" applyAlignment="1">
      <alignment horizontal="center" vertical="center"/>
    </xf>
    <xf numFmtId="0" fontId="24" fillId="0" borderId="8" xfId="2" applyFont="1" applyFill="1" applyBorder="1" applyAlignment="1">
      <alignment horizontal="center" vertical="center"/>
    </xf>
    <xf numFmtId="0" fontId="27" fillId="0" borderId="32" xfId="0" applyFont="1" applyFill="1" applyBorder="1" applyAlignment="1">
      <alignment horizontal="center"/>
    </xf>
    <xf numFmtId="0" fontId="27" fillId="0" borderId="32" xfId="0" applyFont="1" applyFill="1" applyBorder="1"/>
    <xf numFmtId="10" fontId="27" fillId="0" borderId="32" xfId="4" applyNumberFormat="1" applyFont="1" applyFill="1" applyBorder="1" applyAlignment="1">
      <alignment horizontal="center"/>
    </xf>
    <xf numFmtId="0" fontId="19" fillId="2" borderId="33" xfId="0" applyFont="1" applyFill="1" applyBorder="1"/>
    <xf numFmtId="0" fontId="10" fillId="2" borderId="33" xfId="0" applyFont="1" applyFill="1" applyBorder="1"/>
    <xf numFmtId="0" fontId="10" fillId="2" borderId="12" xfId="0" applyFont="1" applyFill="1" applyBorder="1"/>
    <xf numFmtId="0" fontId="28" fillId="10" borderId="11" xfId="0" applyFont="1" applyFill="1" applyBorder="1" applyAlignment="1"/>
    <xf numFmtId="0" fontId="28" fillId="10" borderId="33" xfId="0" applyFont="1" applyFill="1" applyBorder="1" applyAlignment="1"/>
    <xf numFmtId="0" fontId="26" fillId="0" borderId="34" xfId="1" applyFont="1" applyBorder="1" applyAlignment="1">
      <alignment horizontal="center" vertical="center" wrapText="1"/>
    </xf>
    <xf numFmtId="0" fontId="20" fillId="0" borderId="34" xfId="2" applyFont="1" applyBorder="1" applyAlignment="1">
      <alignment horizontal="left" vertical="center"/>
    </xf>
    <xf numFmtId="4" fontId="20" fillId="0" borderId="34" xfId="2" applyNumberFormat="1" applyFont="1" applyBorder="1" applyAlignment="1">
      <alignment horizontal="right" vertical="center"/>
    </xf>
    <xf numFmtId="164" fontId="25" fillId="15" borderId="26" xfId="0" applyNumberFormat="1" applyFont="1" applyFill="1" applyBorder="1" applyAlignment="1">
      <alignment horizontal="center" vertical="center"/>
    </xf>
    <xf numFmtId="164" fontId="25" fillId="15" borderId="25" xfId="0" applyNumberFormat="1" applyFont="1" applyFill="1" applyBorder="1" applyAlignment="1">
      <alignment horizontal="center" vertical="center"/>
    </xf>
    <xf numFmtId="164" fontId="25" fillId="15" borderId="24" xfId="0" applyNumberFormat="1" applyFont="1" applyFill="1" applyBorder="1" applyAlignment="1">
      <alignment horizontal="center" vertical="center"/>
    </xf>
    <xf numFmtId="164" fontId="41" fillId="15" borderId="24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left"/>
    </xf>
    <xf numFmtId="4" fontId="2" fillId="0" borderId="0" xfId="0" quotePrefix="1" applyNumberFormat="1" applyFont="1" applyFill="1" applyAlignment="1">
      <alignment horizontal="left"/>
    </xf>
    <xf numFmtId="4" fontId="42" fillId="0" borderId="0" xfId="0" quotePrefix="1" applyNumberFormat="1" applyFont="1" applyFill="1" applyAlignment="1">
      <alignment horizontal="left"/>
    </xf>
    <xf numFmtId="4" fontId="42" fillId="0" borderId="0" xfId="0" quotePrefix="1" applyNumberFormat="1" applyFont="1" applyFill="1"/>
    <xf numFmtId="4" fontId="33" fillId="2" borderId="0" xfId="0" applyNumberFormat="1" applyFont="1" applyFill="1" applyAlignment="1">
      <alignment horizontal="right"/>
    </xf>
    <xf numFmtId="4" fontId="43" fillId="2" borderId="0" xfId="0" applyNumberFormat="1" applyFont="1" applyFill="1"/>
    <xf numFmtId="4" fontId="10" fillId="0" borderId="0" xfId="0" applyNumberFormat="1" applyFont="1"/>
    <xf numFmtId="4" fontId="44" fillId="0" borderId="0" xfId="0" quotePrefix="1" applyNumberFormat="1" applyFont="1" applyFill="1" applyAlignment="1">
      <alignment horizontal="left"/>
    </xf>
    <xf numFmtId="4" fontId="45" fillId="0" borderId="0" xfId="0" quotePrefix="1" applyNumberFormat="1" applyFont="1" applyFill="1" applyAlignment="1">
      <alignment horizontal="left"/>
    </xf>
    <xf numFmtId="43" fontId="2" fillId="0" borderId="0" xfId="3" applyFont="1" applyFill="1"/>
    <xf numFmtId="43" fontId="42" fillId="0" borderId="0" xfId="3" quotePrefix="1" applyFont="1" applyFill="1"/>
    <xf numFmtId="43" fontId="31" fillId="0" borderId="0" xfId="3" applyFont="1" applyFill="1"/>
    <xf numFmtId="43" fontId="31" fillId="2" borderId="0" xfId="3" applyFont="1" applyFill="1"/>
    <xf numFmtId="43" fontId="19" fillId="2" borderId="0" xfId="3" applyFont="1" applyFill="1" applyAlignment="1">
      <alignment vertical="center"/>
    </xf>
    <xf numFmtId="9" fontId="43" fillId="2" borderId="0" xfId="4" applyFont="1" applyFill="1" applyAlignment="1">
      <alignment horizontal="center"/>
    </xf>
    <xf numFmtId="9" fontId="31" fillId="2" borderId="0" xfId="4" applyFont="1" applyFill="1" applyAlignment="1">
      <alignment horizontal="center"/>
    </xf>
    <xf numFmtId="0" fontId="33" fillId="0" borderId="16" xfId="0" applyFont="1" applyFill="1" applyBorder="1" applyAlignment="1">
      <alignment horizontal="center"/>
    </xf>
    <xf numFmtId="0" fontId="33" fillId="0" borderId="16" xfId="0" applyFont="1" applyFill="1" applyBorder="1"/>
    <xf numFmtId="0" fontId="43" fillId="0" borderId="0" xfId="0" applyFont="1" applyFill="1"/>
    <xf numFmtId="0" fontId="46" fillId="2" borderId="0" xfId="0" applyFont="1" applyFill="1"/>
    <xf numFmtId="4" fontId="39" fillId="0" borderId="0" xfId="0" quotePrefix="1" applyNumberFormat="1" applyFont="1" applyFill="1" applyAlignment="1">
      <alignment horizontal="left" vertical="center"/>
    </xf>
    <xf numFmtId="4" fontId="47" fillId="0" borderId="0" xfId="0" applyNumberFormat="1" applyFont="1" applyFill="1" applyAlignment="1">
      <alignment horizontal="left"/>
    </xf>
    <xf numFmtId="4" fontId="47" fillId="0" borderId="0" xfId="0" quotePrefix="1" applyNumberFormat="1" applyFont="1" applyFill="1" applyAlignment="1">
      <alignment horizontal="left"/>
    </xf>
    <xf numFmtId="4" fontId="4" fillId="0" borderId="0" xfId="0" quotePrefix="1" applyNumberFormat="1" applyFont="1" applyFill="1" applyAlignment="1">
      <alignment horizontal="left"/>
    </xf>
    <xf numFmtId="4" fontId="4" fillId="0" borderId="0" xfId="0" quotePrefix="1" applyNumberFormat="1" applyFont="1" applyFill="1"/>
    <xf numFmtId="4" fontId="4" fillId="0" borderId="0" xfId="0" quotePrefix="1" applyNumberFormat="1" applyFont="1" applyFill="1" applyAlignment="1"/>
    <xf numFmtId="0" fontId="4" fillId="0" borderId="0" xfId="0" quotePrefix="1" applyFont="1" applyFill="1" applyAlignment="1"/>
    <xf numFmtId="0" fontId="3" fillId="0" borderId="0" xfId="0" quotePrefix="1" applyFont="1" applyFill="1" applyAlignment="1"/>
    <xf numFmtId="4" fontId="23" fillId="0" borderId="7" xfId="2" applyNumberFormat="1" applyFont="1" applyFill="1" applyBorder="1" applyAlignment="1">
      <alignment horizontal="right" vertical="center"/>
    </xf>
    <xf numFmtId="0" fontId="30" fillId="0" borderId="0" xfId="0" quotePrefix="1" applyFont="1" applyFill="1" applyAlignment="1">
      <alignment horizontal="center"/>
    </xf>
    <xf numFmtId="9" fontId="48" fillId="0" borderId="0" xfId="4" quotePrefix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4" fontId="10" fillId="2" borderId="0" xfId="0" applyNumberFormat="1" applyFont="1" applyFill="1"/>
    <xf numFmtId="4" fontId="12" fillId="2" borderId="0" xfId="0" applyNumberFormat="1" applyFont="1" applyFill="1"/>
    <xf numFmtId="43" fontId="14" fillId="14" borderId="0" xfId="3" applyFont="1" applyFill="1" applyAlignment="1">
      <alignment horizontal="center" vertical="center"/>
    </xf>
    <xf numFmtId="43" fontId="10" fillId="13" borderId="19" xfId="3" applyFont="1" applyFill="1" applyBorder="1" applyAlignment="1">
      <alignment horizontal="center" vertical="center" wrapText="1"/>
    </xf>
    <xf numFmtId="43" fontId="10" fillId="13" borderId="19" xfId="3" applyFont="1" applyFill="1" applyBorder="1" applyAlignment="1">
      <alignment horizontal="center" vertical="center"/>
    </xf>
    <xf numFmtId="43" fontId="11" fillId="10" borderId="16" xfId="3" applyFont="1" applyFill="1" applyBorder="1" applyAlignment="1">
      <alignment horizontal="center" vertical="center" textRotation="90"/>
    </xf>
    <xf numFmtId="43" fontId="11" fillId="10" borderId="16" xfId="3" applyFont="1" applyFill="1" applyBorder="1" applyAlignment="1">
      <alignment horizontal="center" vertical="center" textRotation="90" wrapText="1"/>
    </xf>
    <xf numFmtId="43" fontId="10" fillId="11" borderId="19" xfId="3" applyFont="1" applyFill="1" applyBorder="1" applyAlignment="1">
      <alignment horizontal="center" vertical="center"/>
    </xf>
    <xf numFmtId="43" fontId="10" fillId="12" borderId="19" xfId="3" applyFont="1" applyFill="1" applyBorder="1" applyAlignment="1">
      <alignment horizontal="center" vertical="center"/>
    </xf>
    <xf numFmtId="0" fontId="28" fillId="10" borderId="17" xfId="0" applyFont="1" applyFill="1" applyBorder="1" applyAlignment="1">
      <alignment horizontal="center"/>
    </xf>
    <xf numFmtId="0" fontId="28" fillId="10" borderId="18" xfId="0" applyFont="1" applyFill="1" applyBorder="1" applyAlignment="1">
      <alignment horizontal="center"/>
    </xf>
    <xf numFmtId="0" fontId="28" fillId="10" borderId="19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18" fillId="2" borderId="22" xfId="0" applyFont="1" applyFill="1" applyBorder="1" applyAlignment="1">
      <alignment horizontal="center"/>
    </xf>
    <xf numFmtId="0" fontId="28" fillId="10" borderId="11" xfId="0" applyFont="1" applyFill="1" applyBorder="1" applyAlignment="1">
      <alignment horizontal="center"/>
    </xf>
    <xf numFmtId="0" fontId="28" fillId="10" borderId="33" xfId="0" applyFont="1" applyFill="1" applyBorder="1" applyAlignment="1">
      <alignment horizontal="center"/>
    </xf>
    <xf numFmtId="0" fontId="28" fillId="10" borderId="12" xfId="0" applyFont="1" applyFill="1" applyBorder="1" applyAlignment="1">
      <alignment horizontal="center"/>
    </xf>
    <xf numFmtId="0" fontId="47" fillId="0" borderId="0" xfId="0" quotePrefix="1" applyFont="1" applyFill="1" applyAlignment="1">
      <alignment horizontal="center"/>
    </xf>
    <xf numFmtId="0" fontId="28" fillId="10" borderId="30" xfId="0" applyFont="1" applyFill="1" applyBorder="1" applyAlignment="1">
      <alignment horizontal="center"/>
    </xf>
    <xf numFmtId="0" fontId="28" fillId="10" borderId="31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</cellXfs>
  <cellStyles count="5">
    <cellStyle name="Milliers" xfId="3" builtinId="3"/>
    <cellStyle name="Normal" xfId="0" builtinId="0"/>
    <cellStyle name="Normal 2 11" xfId="2"/>
    <cellStyle name="Normal_Clot2000 4 5" xfId="1"/>
    <cellStyle name="Pourcentage" xfId="4" builtinId="5"/>
  </cellStyles>
  <dxfs count="39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Semilight"/>
        <scheme val="none"/>
      </font>
      <fill>
        <patternFill patternType="solid">
          <fgColor rgb="FF000000"/>
          <bgColor rgb="FFDDEBF7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medium">
          <color indexed="64"/>
        </vertical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medium">
          <color indexed="64"/>
        </vertical>
        <horizontal style="hair">
          <color auto="1"/>
        </horizontal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Semilight"/>
        <scheme val="none"/>
      </font>
      <fill>
        <patternFill patternType="solid">
          <fgColor rgb="FF000000"/>
          <bgColor rgb="FFDDEBF7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medium">
          <color indexed="64"/>
        </vertical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medium">
          <color indexed="64"/>
        </vertical>
        <horizontal style="hair">
          <color auto="1"/>
        </horizontal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Semilight"/>
        <scheme val="none"/>
      </font>
      <fill>
        <patternFill patternType="solid">
          <fgColor rgb="FF000000"/>
          <bgColor rgb="FFDDEBF7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Semilight"/>
        <scheme val="none"/>
      </font>
      <fill>
        <patternFill patternType="solid">
          <fgColor rgb="FF000000"/>
          <bgColor rgb="FFDDEBF7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Semilight"/>
        <scheme val="none"/>
      </font>
      <fill>
        <patternFill patternType="solid">
          <fgColor rgb="FF000000"/>
          <bgColor rgb="FFDDEBF7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Semilight"/>
        <scheme val="none"/>
      </font>
      <fill>
        <patternFill patternType="solid">
          <fgColor rgb="FF000000"/>
          <bgColor rgb="FFDDEBF7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7" tint="-0.24997711111789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numFmt numFmtId="4" formatCode="#,##0.00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Semilight"/>
        <scheme val="none"/>
      </font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D64A2DC-E457-4229-902E-B96C8B94069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7558" cy="584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173CCAE-BA0A-4C8E-A8AB-2AEE7B0249F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E678853-1830-4864-86C5-5B271F87127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0980A95-7975-4409-B3BC-69A098E8F81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C4EF424-8D7B-4429-85BD-F650BA2C14B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E0DAF57-32C7-4B2F-81DB-B54A5BE0ACB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C247589-382A-413E-9C70-695570F7F47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E123877-0D81-4C5A-917A-831E3B6615D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68686C9-7E54-4EDE-910B-9DB8BAB4C62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6DB0A17-578B-4265-9C10-E9D9F2BB80A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101599</xdr:rowOff>
    </xdr:from>
    <xdr:to>
      <xdr:col>1</xdr:col>
      <xdr:colOff>643467</xdr:colOff>
      <xdr:row>4</xdr:row>
      <xdr:rowOff>59266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2FC3DC1-D3AC-420D-A089-9B059D2FAD0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599"/>
          <a:ext cx="990600" cy="6688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99901F2-8361-418B-A467-D5B4764CB5C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A42B21A-F9CF-4CF3-82DC-6AD2F40ED0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A42B21A-F9CF-4CF3-82DC-6AD2F40ED0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B5F3D3-9A73-4D49-A03D-D3F1AF3D0C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48D9AA-A9F7-435C-A676-326628A67E3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B365E01-0B01-4BA0-A735-804D3B0BCAC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B5F3D3-9A73-4D49-A03D-D3F1AF3D0C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B5F3D3-9A73-4D49-A03D-D3F1AF3D0C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B5F3D3-9A73-4D49-A03D-D3F1AF3D0C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B5F3D3-9A73-4D49-A03D-D3F1AF3D0C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B5F3D3-9A73-4D49-A03D-D3F1AF3D0C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8405" cy="576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101600</xdr:rowOff>
    </xdr:from>
    <xdr:to>
      <xdr:col>1</xdr:col>
      <xdr:colOff>780425</xdr:colOff>
      <xdr:row>3</xdr:row>
      <xdr:rowOff>152400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D9CAEB4-CC3B-4A2A-AA4F-850BB6273A8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01600"/>
          <a:ext cx="1127558" cy="584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A6:G39" totalsRowShown="0" headerRowDxfId="385" dataDxfId="383" headerRowBorderDxfId="384" tableBorderDxfId="382" dataCellStyle="Normal 2 11">
  <autoFilter ref="A6:G39"/>
  <tableColumns count="7">
    <tableColumn id="1" name="N°" dataDxfId="381" dataCellStyle="Normal 2 11"/>
    <tableColumn id="2" name="Désignation " dataDxfId="380" dataCellStyle="Normal 2 11"/>
    <tableColumn id="3" name="SIEGE" dataDxfId="379" dataCellStyle="Normal 2 11"/>
    <tableColumn id="4" name="KDU" dataDxfId="378" dataCellStyle="Normal 2 11"/>
    <tableColumn id="5" name="SKDU" dataDxfId="377" dataCellStyle="Normal 2 11"/>
    <tableColumn id="6" name="AZDU" dataDxfId="376" dataCellStyle="Normal 2 11"/>
    <tableColumn id="7" name="ENTREPRISE" dataDxfId="375" dataCellStyle="Normal 2 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6:G39" totalsRowShown="0" headerRowDxfId="368" dataDxfId="366" headerRowBorderDxfId="367" tableBorderDxfId="365" dataCellStyle="Normal 2 11">
  <autoFilter ref="A6:G39"/>
  <tableColumns count="7">
    <tableColumn id="1" name="N°" dataDxfId="364" dataCellStyle="Normal 2 11"/>
    <tableColumn id="2" name="Désignation " dataDxfId="363" dataCellStyle="Normal 2 11"/>
    <tableColumn id="3" name="SIEGE" dataDxfId="362" dataCellStyle="Normal 2 11"/>
    <tableColumn id="4" name="KDU" dataDxfId="361" dataCellStyle="Normal 2 11"/>
    <tableColumn id="5" name="SKDU" dataDxfId="360" dataCellStyle="Normal 2 11"/>
    <tableColumn id="6" name="AZDU" dataDxfId="359" dataCellStyle="Normal 2 11"/>
    <tableColumn id="7" name="ENTREPRISE" dataDxfId="358" dataCellStyle="Normal 2 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6:G39" totalsRowShown="0" headerRowDxfId="351" dataDxfId="349" headerRowBorderDxfId="350" tableBorderDxfId="348" dataCellStyle="Normal 2 11">
  <autoFilter ref="A6:G39"/>
  <tableColumns count="7">
    <tableColumn id="1" name="N°" dataDxfId="347" dataCellStyle="Normal 2 11"/>
    <tableColumn id="2" name="Désignation " dataDxfId="346" dataCellStyle="Normal 2 11"/>
    <tableColumn id="3" name="SIEGE" dataDxfId="345" dataCellStyle="Normal 2 11"/>
    <tableColumn id="4" name="KDU" dataDxfId="344" dataCellStyle="Normal 2 11"/>
    <tableColumn id="5" name="SKDU" dataDxfId="343" dataCellStyle="Normal 2 11"/>
    <tableColumn id="6" name="AZDU" dataDxfId="342" dataCellStyle="Normal 2 11"/>
    <tableColumn id="7" name="ENTREPRISE" dataDxfId="341" dataCellStyle="Normal 2 1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4" name="Tableau14" displayName="Tableau14" ref="A6:G39" totalsRowShown="0" dataDxfId="335" headerRowBorderDxfId="336" tableBorderDxfId="334" dataCellStyle="Normal 2 11">
  <autoFilter ref="A6:G39"/>
  <tableColumns count="7">
    <tableColumn id="1" name="N°" dataDxfId="333" dataCellStyle="Normal 2 11"/>
    <tableColumn id="2" name="Désignation " dataDxfId="332" dataCellStyle="Normal 2 11"/>
    <tableColumn id="3" name="SIEGE" dataDxfId="331" dataCellStyle="Normal 2 11"/>
    <tableColumn id="4" name="KDU" dataDxfId="330" dataCellStyle="Normal 2 11"/>
    <tableColumn id="5" name="SKDU" dataDxfId="329" dataCellStyle="Normal 2 11"/>
    <tableColumn id="6" name="AZDU" dataDxfId="328" dataCellStyle="Normal 2 11"/>
    <tableColumn id="7" name="ENTREPRISE" dataDxfId="327" dataCellStyle="Normal 2 11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A6:G39" totalsRowShown="0" headerRowDxfId="320" dataDxfId="318" headerRowBorderDxfId="319" tableBorderDxfId="317" dataCellStyle="Normal 2 11">
  <autoFilter ref="A6:G39"/>
  <tableColumns count="7">
    <tableColumn id="1" name="N°" dataDxfId="316" dataCellStyle="Normal 2 11"/>
    <tableColumn id="2" name="Désignation " dataDxfId="315" dataCellStyle="Normal 2 11"/>
    <tableColumn id="3" name="SIEGE" dataDxfId="314" dataCellStyle="Normal 2 11"/>
    <tableColumn id="4" name="KDU" dataDxfId="313" dataCellStyle="Normal 2 11"/>
    <tableColumn id="5" name="SKDU" dataDxfId="312" dataCellStyle="Normal 2 11"/>
    <tableColumn id="6" name="AZDU" dataDxfId="311" dataCellStyle="Normal 2 11"/>
    <tableColumn id="7" name="ENTREPRISE" dataDxfId="310" dataCellStyle="Normal 2 1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A6:G39" totalsRowShown="0" headerRowDxfId="303" dataDxfId="301" headerRowBorderDxfId="302" tableBorderDxfId="300" dataCellStyle="Normal 2 11">
  <autoFilter ref="A6:G39"/>
  <tableColumns count="7">
    <tableColumn id="1" name="N°" dataDxfId="299" dataCellStyle="Normal 2 11"/>
    <tableColumn id="2" name="Désignation " dataDxfId="298" dataCellStyle="Normal 2 11"/>
    <tableColumn id="3" name="SIEGE" dataDxfId="297" dataCellStyle="Normal 2 11"/>
    <tableColumn id="4" name="KDU" dataDxfId="296" dataCellStyle="Normal 2 11"/>
    <tableColumn id="5" name="SKDU" dataDxfId="295" dataCellStyle="Normal 2 11"/>
    <tableColumn id="6" name="AZDU" dataDxfId="294" dataCellStyle="Normal 2 11"/>
    <tableColumn id="7" name="ENTREPRISE" dataDxfId="293" dataCellStyle="Normal 2 1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6:G39" totalsRowShown="0" headerRowDxfId="286" dataDxfId="284" headerRowBorderDxfId="285" tableBorderDxfId="283" dataCellStyle="Normal 2 11">
  <autoFilter ref="A6:G39"/>
  <tableColumns count="7">
    <tableColumn id="1" name="N°" dataDxfId="282" dataCellStyle="Normal 2 11"/>
    <tableColumn id="2" name="Désignation " dataDxfId="281" dataCellStyle="Normal 2 11"/>
    <tableColumn id="3" name="SIEGE" dataDxfId="280" dataCellStyle="Normal 2 11"/>
    <tableColumn id="4" name="KDU" dataDxfId="279" dataCellStyle="Normal 2 11"/>
    <tableColumn id="5" name="SKDU" dataDxfId="278" dataCellStyle="Normal 2 11"/>
    <tableColumn id="6" name="AZDU" dataDxfId="277" dataCellStyle="Normal 2 11"/>
    <tableColumn id="7" name="ENTREPRISE" dataDxfId="276" dataCellStyle="Normal 2 1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5" name="Tableau15" displayName="Tableau15" ref="A6:G39" totalsRowShown="0" dataDxfId="270" headerRowBorderDxfId="271" tableBorderDxfId="269" dataCellStyle="Normal 2 11">
  <autoFilter ref="A6:G39"/>
  <tableColumns count="7">
    <tableColumn id="1" name="N°" dataDxfId="268" dataCellStyle="Normal 2 11"/>
    <tableColumn id="2" name="Désignation " dataDxfId="267" dataCellStyle="Normal 2 11"/>
    <tableColumn id="3" name="SIEGE" dataDxfId="266" dataCellStyle="Normal 2 11"/>
    <tableColumn id="4" name="KDU" dataDxfId="265" dataCellStyle="Normal 2 11"/>
    <tableColumn id="5" name="SKDU" dataDxfId="264" dataCellStyle="Normal 2 11"/>
    <tableColumn id="6" name="AZDU" dataDxfId="263" dataCellStyle="Normal 2 11"/>
    <tableColumn id="7" name="ENTREPRISE" dataDxfId="262" dataCellStyle="Normal 2 11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id="8" name="Tableau8" displayName="Tableau8" ref="A6:G39" totalsRowShown="0" headerRowDxfId="255" dataDxfId="253" headerRowBorderDxfId="254" tableBorderDxfId="252" dataCellStyle="Normal 2 11">
  <autoFilter ref="A6:G39"/>
  <tableColumns count="7">
    <tableColumn id="1" name="N°" dataDxfId="251" dataCellStyle="Normal 2 11"/>
    <tableColumn id="2" name="Désignation " dataDxfId="250" dataCellStyle="Normal 2 11"/>
    <tableColumn id="3" name="SIEGE" dataDxfId="249" dataCellStyle="Normal 2 11"/>
    <tableColumn id="4" name="KDU" dataDxfId="248" dataCellStyle="Normal 2 11"/>
    <tableColumn id="5" name="SKDU" dataDxfId="247" dataCellStyle="Normal 2 11"/>
    <tableColumn id="6" name="AZDU" dataDxfId="246" dataCellStyle="Normal 2 11"/>
    <tableColumn id="7" name="ENTREPRISE" dataDxfId="245" dataCellStyle="Normal 2 1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9" name="Tableau9" displayName="Tableau9" ref="A6:G39" totalsRowShown="0" headerRowDxfId="238" dataDxfId="236" headerRowBorderDxfId="237" tableBorderDxfId="235" dataCellStyle="Normal 2 11">
  <autoFilter ref="A6:G39"/>
  <tableColumns count="7">
    <tableColumn id="1" name="N°" dataDxfId="234" dataCellStyle="Normal 2 11"/>
    <tableColumn id="2" name="Désignation " dataDxfId="233" dataCellStyle="Normal 2 11"/>
    <tableColumn id="3" name="SIEGE" dataDxfId="232" dataCellStyle="Normal 2 11"/>
    <tableColumn id="4" name="KDU" dataDxfId="231" dataCellStyle="Normal 2 11"/>
    <tableColumn id="5" name="SKDU" dataDxfId="230" dataCellStyle="Normal 2 11"/>
    <tableColumn id="6" name="AZDU" dataDxfId="229" dataCellStyle="Normal 2 11"/>
    <tableColumn id="7" name="ENTREPRISE" dataDxfId="228" dataCellStyle="Normal 2 1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0" name="Tableau10" displayName="Tableau10" ref="A6:G39" totalsRowShown="0" headerRowDxfId="216" dataDxfId="214" headerRowBorderDxfId="215" tableBorderDxfId="213" dataCellStyle="Normal 2 11">
  <autoFilter ref="A6:G39"/>
  <tableColumns count="7">
    <tableColumn id="1" name="N°" dataDxfId="212" dataCellStyle="Normal 2 11"/>
    <tableColumn id="2" name="Désignation " dataDxfId="211" dataCellStyle="Normal 2 11"/>
    <tableColumn id="3" name="SIEGE" dataDxfId="210" dataCellStyle="Normal 2 11"/>
    <tableColumn id="4" name="KDU" dataDxfId="209" dataCellStyle="Normal 2 11"/>
    <tableColumn id="5" name="SKDU" dataDxfId="208" dataCellStyle="Normal 2 11"/>
    <tableColumn id="6" name="AZDU" dataDxfId="207" dataCellStyle="Normal 2 11"/>
    <tableColumn id="7" name="ENTREPRISE" dataDxfId="206" dataCellStyle="Normal 2 11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7" name="Tableau17" displayName="Tableau17" ref="A6:G39" totalsRowShown="0" dataDxfId="197" headerRowBorderDxfId="198" tableBorderDxfId="196" dataCellStyle="Normal 2 11">
  <autoFilter ref="A6:G39"/>
  <tableColumns count="7">
    <tableColumn id="1" name="N°" dataDxfId="195" dataCellStyle="Normal 2 11"/>
    <tableColumn id="2" name="Désignation " dataDxfId="194" dataCellStyle="Normal 2 11"/>
    <tableColumn id="3" name="SIEGE" dataDxfId="193" dataCellStyle="Normal 2 11"/>
    <tableColumn id="4" name="KDU" dataDxfId="192" dataCellStyle="Normal 2 11"/>
    <tableColumn id="5" name="SKDU" dataDxfId="191" dataCellStyle="Normal 2 11"/>
    <tableColumn id="6" name="AZDU" dataDxfId="190" dataCellStyle="Normal 2 11"/>
    <tableColumn id="7" name="ENTREPRISE" dataDxfId="189" dataCellStyle="Normal 2 11"/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id="11" name="Tableau11" displayName="Tableau11" ref="A6:G39" totalsRowShown="0" headerRowDxfId="175" dataDxfId="173" headerRowBorderDxfId="174" tableBorderDxfId="172" dataCellStyle="Normal 2 11">
  <autoFilter ref="A6:G39"/>
  <tableColumns count="7">
    <tableColumn id="1" name="N°" dataDxfId="171" dataCellStyle="Normal 2 11"/>
    <tableColumn id="2" name="Désignation " dataDxfId="170" dataCellStyle="Normal 2 11"/>
    <tableColumn id="3" name="SIEGE" dataDxfId="169" dataCellStyle="Normal 2 11"/>
    <tableColumn id="4" name="KDU" dataDxfId="168" dataCellStyle="Normal 2 11"/>
    <tableColumn id="5" name="SKDU" dataDxfId="167" dataCellStyle="Normal 2 11"/>
    <tableColumn id="6" name="AZDU" dataDxfId="166" dataCellStyle="Normal 2 11"/>
    <tableColumn id="7" name="ENTREPRISE" dataDxfId="165" dataCellStyle="Normal 2 1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2" name="Tableau12" displayName="Tableau12" ref="A6:G39" totalsRowShown="0" headerRowDxfId="155" dataDxfId="153" headerRowBorderDxfId="154" tableBorderDxfId="152" dataCellStyle="Normal 2 11">
  <autoFilter ref="A6:G39"/>
  <tableColumns count="7">
    <tableColumn id="1" name="N°" dataDxfId="151" dataCellStyle="Normal 2 11"/>
    <tableColumn id="2" name="Désignation " dataDxfId="150" dataCellStyle="Normal 2 11"/>
    <tableColumn id="3" name="SIEGE" dataDxfId="149" dataCellStyle="Normal 2 11"/>
    <tableColumn id="4" name="KDU" dataDxfId="148" dataCellStyle="Normal 2 11"/>
    <tableColumn id="5" name="SKDU" dataDxfId="147" dataCellStyle="Normal 2 11"/>
    <tableColumn id="6" name="AZDU" dataDxfId="146" dataCellStyle="Normal 2 11"/>
    <tableColumn id="7" name="ENTREPRISE" dataDxfId="145" dataCellStyle="Normal 2 1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3" name="Tableau13" displayName="Tableau13" ref="A6:G39" totalsRowShown="0" headerRowDxfId="138" dataDxfId="136" headerRowBorderDxfId="137" tableBorderDxfId="135" dataCellStyle="Normal 2 11">
  <autoFilter ref="A6:G39"/>
  <tableColumns count="7">
    <tableColumn id="1" name="N°" dataDxfId="134" dataCellStyle="Normal 2 11"/>
    <tableColumn id="2" name="Désignation " dataDxfId="133" dataCellStyle="Normal 2 11"/>
    <tableColumn id="3" name="SIEGE" dataDxfId="132" dataCellStyle="Normal 2 11"/>
    <tableColumn id="4" name="KDU" dataDxfId="131" dataCellStyle="Normal 2 11"/>
    <tableColumn id="5" name="SKDU" dataDxfId="130" dataCellStyle="Normal 2 11"/>
    <tableColumn id="6" name="AZDU" dataDxfId="129" dataCellStyle="Normal 2 11"/>
    <tableColumn id="7" name="ENTREPRISE" dataDxfId="128" dataCellStyle="Normal 2 11">
      <calculatedColumnFormula>SUM(Tableau13[[#This Row],[SIEGE]:[AZDU]])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au16" displayName="Tableau16" ref="A6:G39" totalsRowShown="0" dataDxfId="119" headerRowBorderDxfId="120" tableBorderDxfId="118" dataCellStyle="Normal 2 11">
  <autoFilter ref="A6:G39"/>
  <tableColumns count="7">
    <tableColumn id="1" name="N°" dataDxfId="117" dataCellStyle="Normal 2 11"/>
    <tableColumn id="2" name="Désignation " dataDxfId="116" dataCellStyle="Normal 2 11"/>
    <tableColumn id="3" name="SIEGE" dataDxfId="115" dataCellStyle="Normal 2 11">
      <calculatedColumnFormula>+Tableau11[[#This Row],[SIEGE]]+Tableau12[[#This Row],[SIEGE]]+Tableau13[[#This Row],[SIEGE]]</calculatedColumnFormula>
    </tableColumn>
    <tableColumn id="4" name="KDU" dataDxfId="114" dataCellStyle="Normal 2 11">
      <calculatedColumnFormula>+Tableau11[[#This Row],[KDU]]+Tableau12[[#This Row],[KDU]]+Tableau13[[#This Row],[KDU]]</calculatedColumnFormula>
    </tableColumn>
    <tableColumn id="5" name="SKDU" dataDxfId="113" dataCellStyle="Normal 2 11">
      <calculatedColumnFormula>+Tableau11[[#This Row],[SKDU]]+Tableau12[[#This Row],[SKDU]]+Tableau13[[#This Row],[SKDU]]</calculatedColumnFormula>
    </tableColumn>
    <tableColumn id="6" name="AZDU" dataDxfId="112" dataCellStyle="Normal 2 11">
      <calculatedColumnFormula>+Tableau11[[#This Row],[AZDU]]+Tableau12[[#This Row],[AZDU]]+Tableau13[[#This Row],[AZDU]]</calculatedColumnFormula>
    </tableColumn>
    <tableColumn id="7" name="ENTREPRISE" dataDxfId="111" dataCellStyle="Normal 2 11">
      <calculatedColumnFormula>+Tableau16[[#This Row],[SIEGE]]+Tableau16[[#This Row],[KDU]]+Tableau16[[#This Row],[SKDU]]+Tableau16[[#This Row],[AZDU]]</calculatedColumnFormula>
    </tableColumn>
  </tableColumns>
  <tableStyleInfo name="TableStyleMedium12" showFirstColumn="0" showLastColumn="0" showRowStripes="1" showColumnStripes="0"/>
</table>
</file>

<file path=xl/tables/table17.xml><?xml version="1.0" encoding="utf-8"?>
<table xmlns="http://schemas.openxmlformats.org/spreadsheetml/2006/main" id="18" name="Tableau18" displayName="Tableau18" ref="A6:G39" totalsRowShown="0" dataDxfId="102" headerRowBorderDxfId="103" tableBorderDxfId="101" dataCellStyle="Normal 2 11">
  <autoFilter ref="A6:G39"/>
  <tableColumns count="7">
    <tableColumn id="1" name="N°" dataDxfId="100" dataCellStyle="Normal 2 11"/>
    <tableColumn id="2" name="Désignation " dataDxfId="99" dataCellStyle="Normal 2 11"/>
    <tableColumn id="3" name="SIEGE" dataDxfId="98" dataCellStyle="Normal 2 11">
      <calculatedColumnFormula>+Tableau14[[#This Row],[SIEGE]]+Tableau15[[#This Row],[SIEGE]]+Tableau17[[#This Row],[SIEGE]]+Tableau16[[#This Row],[SIEGE]]</calculatedColumnFormula>
    </tableColumn>
    <tableColumn id="4" name="KDU" dataDxfId="97" dataCellStyle="Normal 2 11">
      <calculatedColumnFormula>+Tableau14[[#This Row],[KDU]]+Tableau15[[#This Row],[KDU]]+Tableau17[[#This Row],[KDU]]+Tableau16[[#This Row],[KDU]]</calculatedColumnFormula>
    </tableColumn>
    <tableColumn id="5" name="SKDU" dataDxfId="96" dataCellStyle="Normal 2 11">
      <calculatedColumnFormula>+Tableau14[[#This Row],[SKDU]]+Tableau15[[#This Row],[SKDU]]+Tableau17[[#This Row],[SKDU]]+Tableau16[[#This Row],[SKDU]]</calculatedColumnFormula>
    </tableColumn>
    <tableColumn id="6" name="AZDU" dataDxfId="95" dataCellStyle="Normal 2 11">
      <calculatedColumnFormula>+Tableau14[[#This Row],[AZDU]]+Tableau15[[#This Row],[AZDU]]+Tableau17[[#This Row],[AZDU]]+Tableau16[[#This Row],[AZDU]]</calculatedColumnFormula>
    </tableColumn>
    <tableColumn id="7" name="ENTREPRISE" dataDxfId="94" dataCellStyle="Normal 2 11">
      <calculatedColumnFormula>SUM(Tableau18[[#This Row],[SIEGE]:[AZDU]])</calculatedColumnFormula>
    </tableColumn>
  </tableColumns>
  <tableStyleInfo name="TableStyleMedium12" showFirstColumn="0" showLastColumn="0" showRowStripes="1" showColumnStripes="0"/>
</table>
</file>

<file path=xl/tables/table18.xml><?xml version="1.0" encoding="utf-8"?>
<table xmlns="http://schemas.openxmlformats.org/spreadsheetml/2006/main" id="23" name="Tableau132024" displayName="Tableau132024" ref="A6:S39" totalsRowShown="0" headerRowDxfId="87" dataDxfId="85" headerRowBorderDxfId="86" tableBorderDxfId="84" dataCellStyle="Normal 2 11">
  <autoFilter ref="A6:S39"/>
  <tableColumns count="19">
    <tableColumn id="1" name="N°" dataDxfId="83" dataCellStyle="Normal 2 11"/>
    <tableColumn id="2" name="Désignation " dataDxfId="82" dataCellStyle="Normal 2 11"/>
    <tableColumn id="4" name="janvier-20" dataDxfId="81" dataCellStyle="Normal 2 11">
      <calculatedColumnFormula>+'SIEGE 2020'!C7+'KDU 2020'!C7+'SKDU 2020'!C7+'AZDU 2020'!C7</calculatedColumnFormula>
    </tableColumn>
    <tableColumn id="5" name="février-20" dataDxfId="80" dataCellStyle="Normal 2 11">
      <calculatedColumnFormula>+'SIEGE 2020'!D7+'KDU 2020'!D7+'SKDU 2020'!D7+'AZDU 2020'!D7</calculatedColumnFormula>
    </tableColumn>
    <tableColumn id="15" name="mars-20" dataDxfId="79" dataCellStyle="Normal 2 11">
      <calculatedColumnFormula>+'SIEGE 2020'!E7+'KDU 2020'!E7+'SKDU 2020'!E7+'AZDU 2020'!E7</calculatedColumnFormula>
    </tableColumn>
    <tableColumn id="3" name="T1 2020" dataDxfId="78" dataCellStyle="Normal 2 11">
      <calculatedColumnFormula>SUM(Tableau132024[[#This Row],[janvier-20]:[mars-20]])</calculatedColumnFormula>
    </tableColumn>
    <tableColumn id="14" name="avril-20" dataDxfId="77" dataCellStyle="Normal 2 11">
      <calculatedColumnFormula>+'SIEGE 2020'!F7+'KDU 2020'!F7+'SKDU 2020'!F7+'AZDU 2020'!F7</calculatedColumnFormula>
    </tableColumn>
    <tableColumn id="13" name="mai-20" dataDxfId="76" dataCellStyle="Normal 2 11">
      <calculatedColumnFormula>+'SIEGE 2020'!G7+'KDU 2020'!G7+'SKDU 2020'!G7+'AZDU 2020'!G7</calculatedColumnFormula>
    </tableColumn>
    <tableColumn id="12" name="juin-20" dataDxfId="75" dataCellStyle="Normal 2 11">
      <calculatedColumnFormula>+'SIEGE 2020'!H7+'KDU 2020'!H7+'SKDU 2020'!H7+'AZDU 2020'!H7</calculatedColumnFormula>
    </tableColumn>
    <tableColumn id="17" name="T2 2020" dataDxfId="74" dataCellStyle="Normal 2 11">
      <calculatedColumnFormula>SUM(Tableau132024[[#This Row],[avril-20]:[juin-20]])</calculatedColumnFormula>
    </tableColumn>
    <tableColumn id="11" name="juillet-20" dataDxfId="73" dataCellStyle="Normal 2 11">
      <calculatedColumnFormula>+'SIEGE 2020'!I7+'KDU 2020'!I7+'SKDU 2020'!I7+'AZDU 2020'!I7</calculatedColumnFormula>
    </tableColumn>
    <tableColumn id="10" name="août-20" dataDxfId="72" dataCellStyle="Normal 2 11">
      <calculatedColumnFormula>+'SIEGE 2020'!J7+'KDU 2020'!J7+'SKDU 2020'!J7+'AZDU 2020'!J7</calculatedColumnFormula>
    </tableColumn>
    <tableColumn id="9" name="septembre-20" dataDxfId="71" dataCellStyle="Normal 2 11">
      <calculatedColumnFormula>+'SIEGE 2020'!K7+'KDU 2020'!K7+'SKDU 2020'!K7+'AZDU 2020'!K7</calculatedColumnFormula>
    </tableColumn>
    <tableColumn id="18" name="T3 2020" dataDxfId="70" dataCellStyle="Normal 2 11">
      <calculatedColumnFormula>SUM(Tableau132024[[#This Row],[juillet-20]:[septembre-20]])</calculatedColumnFormula>
    </tableColumn>
    <tableColumn id="8" name="octobre-20" dataDxfId="69" dataCellStyle="Normal 2 11">
      <calculatedColumnFormula>+'SIEGE 2020'!L7+'KDU 2020'!L7+'SKDU 2020'!L7+'AZDU 2020'!L7</calculatedColumnFormula>
    </tableColumn>
    <tableColumn id="6" name="novembre-20" dataDxfId="68" dataCellStyle="Normal 2 11">
      <calculatedColumnFormula>+'SIEGE 2020'!M7+'KDU 2020'!M7+'SKDU 2020'!M7+'AZDU 2020'!M7</calculatedColumnFormula>
    </tableColumn>
    <tableColumn id="16" name="décembre-20" dataDxfId="67" dataCellStyle="Normal 2 11">
      <calculatedColumnFormula>+'SIEGE 2020'!N7+'KDU 2020'!N7+'SKDU 2020'!N7+'AZDU 2020'!N7</calculatedColumnFormula>
    </tableColumn>
    <tableColumn id="19" name="T4 2020" dataDxfId="66" dataCellStyle="Normal 2 11">
      <calculatedColumnFormula>+Tableau132024[[#This Row],[octobre-20]]+Tableau132024[[#This Row],[novembre-20]]+Tableau132024[[#This Row],[décembre-20]]</calculatedColumnFormula>
    </tableColumn>
    <tableColumn id="7" name="TOTAL" dataDxfId="65" dataCellStyle="Normal 2 11">
      <calculatedColumnFormula>SUM(Tableau18[[#This Row],[SIEGE]:[AZDU]])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au1320" displayName="Tableau1320" ref="A6:B39" totalsRowShown="0" headerRowDxfId="59" dataDxfId="57" headerRowBorderDxfId="58" tableBorderDxfId="56" dataCellStyle="Normal 2 11">
  <autoFilter ref="A6:B39"/>
  <tableColumns count="2">
    <tableColumn id="1" name="N°" dataDxfId="55" dataCellStyle="Normal 2 11"/>
    <tableColumn id="2" name="Désignation " dataDxfId="54" dataCellStyle="Normal 2 11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au1321" displayName="Tableau1321" ref="A6:B39" totalsRowShown="0" headerRowDxfId="46" dataDxfId="44" headerRowBorderDxfId="45" tableBorderDxfId="43" dataCellStyle="Normal 2 11">
  <autoFilter ref="A6:B39"/>
  <tableColumns count="2">
    <tableColumn id="1" name="N°" dataDxfId="42" dataCellStyle="Normal 2 11"/>
    <tableColumn id="2" name="Désignation " dataDxfId="41" dataCellStyle="Normal 2 1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au1322" displayName="Tableau1322" ref="A6:B39" totalsRowShown="0" headerRowDxfId="33" dataDxfId="31" headerRowBorderDxfId="32" tableBorderDxfId="30" dataCellStyle="Normal 2 11">
  <autoFilter ref="A6:B39"/>
  <tableColumns count="2">
    <tableColumn id="1" name="N°" dataDxfId="29" dataCellStyle="Normal 2 11"/>
    <tableColumn id="2" name="Désignation " dataDxfId="28" dataCellStyle="Normal 2 11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au1323" displayName="Tableau1323" ref="A6:B39" totalsRowShown="0" headerRowDxfId="19" dataDxfId="17" headerRowBorderDxfId="18" tableBorderDxfId="16" dataCellStyle="Normal 2 11">
  <autoFilter ref="A6:B39"/>
  <tableColumns count="2">
    <tableColumn id="1" name="N°" dataDxfId="15" dataCellStyle="Normal 2 11"/>
    <tableColumn id="2" name="Désignation " dataDxfId="14" dataCellStyle="Normal 2 11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1" name="Tableau132" displayName="Tableau132" ref="A6:B39" totalsRowShown="0" dataDxfId="3" headerRowBorderDxfId="4" tableBorderDxfId="2" dataCellStyle="Normal 2 11">
  <autoFilter ref="A6:B39"/>
  <tableColumns count="2">
    <tableColumn id="1" name="N°" dataDxfId="1" dataCellStyle="Normal 2 11"/>
    <tableColumn id="2" name="Désignation " dataDxfId="0" dataCellStyle="Normal 2 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2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3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4.xm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5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6.xm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5" Type="http://schemas.openxmlformats.org/officeDocument/2006/relationships/comments" Target="../comments7.xml"/><Relationship Id="rId4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comments" Target="../comments8.xml"/><Relationship Id="rId4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5" Type="http://schemas.openxmlformats.org/officeDocument/2006/relationships/comments" Target="../comments9.xml"/><Relationship Id="rId4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5" Type="http://schemas.openxmlformats.org/officeDocument/2006/relationships/comments" Target="../comments10.xml"/><Relationship Id="rId4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5" Type="http://schemas.openxmlformats.org/officeDocument/2006/relationships/comments" Target="../comments11.xml"/><Relationship Id="rId4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5" Type="http://schemas.openxmlformats.org/officeDocument/2006/relationships/comments" Target="../comments12.xml"/><Relationship Id="rId4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5" Type="http://schemas.openxmlformats.org/officeDocument/2006/relationships/comments" Target="../comments13.xml"/><Relationship Id="rId4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5" Type="http://schemas.openxmlformats.org/officeDocument/2006/relationships/comments" Target="../comments14.xml"/><Relationship Id="rId4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5" Type="http://schemas.openxmlformats.org/officeDocument/2006/relationships/comments" Target="../comments15.xml"/><Relationship Id="rId4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5" Type="http://schemas.openxmlformats.org/officeDocument/2006/relationships/comments" Target="../comments16.xml"/><Relationship Id="rId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J105"/>
  <sheetViews>
    <sheetView zoomScale="90" zoomScaleNormal="90" zoomScaleSheetLayoutView="100" workbookViewId="0">
      <selection activeCell="N25" sqref="J25:N33"/>
    </sheetView>
  </sheetViews>
  <sheetFormatPr baseColWidth="10" defaultRowHeight="18" x14ac:dyDescent="0.3"/>
  <cols>
    <col min="1" max="1" width="5.109375" style="6" customWidth="1"/>
    <col min="2" max="2" width="1" style="6" customWidth="1"/>
    <col min="3" max="3" width="5.109375" style="6" customWidth="1"/>
    <col min="4" max="4" width="19.88671875" style="6" customWidth="1"/>
    <col min="5" max="5" width="27.33203125" style="14" customWidth="1"/>
    <col min="6" max="8" width="18" style="6" customWidth="1"/>
    <col min="9" max="9" width="20.77734375" style="6" customWidth="1"/>
    <col min="10" max="11" width="18" style="6" customWidth="1"/>
    <col min="12" max="15" width="11.5546875" style="9"/>
    <col min="16" max="16384" width="11.5546875" style="6"/>
  </cols>
  <sheetData>
    <row r="1" spans="1:88" s="22" customFormat="1" ht="43.8" customHeight="1" x14ac:dyDescent="0.3">
      <c r="A1" s="268" t="s">
        <v>74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</row>
    <row r="2" spans="1:88" ht="22.2" customHeight="1" x14ac:dyDescent="0.3">
      <c r="A2" s="271" t="s">
        <v>63</v>
      </c>
      <c r="B2" s="271"/>
      <c r="C2" s="271"/>
      <c r="D2" s="273" t="s">
        <v>47</v>
      </c>
      <c r="E2" s="16" t="s">
        <v>67</v>
      </c>
      <c r="F2" s="7">
        <v>44019</v>
      </c>
      <c r="G2" s="7">
        <v>44051</v>
      </c>
      <c r="H2" s="8">
        <v>44083</v>
      </c>
      <c r="I2" s="9"/>
      <c r="J2" s="9"/>
      <c r="K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88" ht="22.2" customHeight="1" x14ac:dyDescent="0.3">
      <c r="A3" s="271"/>
      <c r="B3" s="271"/>
      <c r="C3" s="271"/>
      <c r="D3" s="273"/>
      <c r="E3" s="13" t="s">
        <v>68</v>
      </c>
      <c r="F3" s="11">
        <v>21284.34</v>
      </c>
      <c r="G3" s="11">
        <v>14506.51</v>
      </c>
      <c r="H3" s="11">
        <v>22315.16</v>
      </c>
      <c r="I3" s="9"/>
      <c r="J3" s="9"/>
      <c r="K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88" ht="22.2" customHeight="1" x14ac:dyDescent="0.3">
      <c r="A4" s="271"/>
      <c r="B4" s="271"/>
      <c r="C4" s="271"/>
      <c r="D4" s="273"/>
      <c r="E4" s="13" t="s">
        <v>69</v>
      </c>
      <c r="F4" s="11">
        <v>8613.91</v>
      </c>
      <c r="G4" s="11">
        <v>13124.4</v>
      </c>
      <c r="H4" s="11">
        <v>19341.189999999999</v>
      </c>
      <c r="I4" s="9"/>
      <c r="J4" s="9"/>
      <c r="K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88" ht="9.6" customHeight="1" x14ac:dyDescent="0.3">
      <c r="A5" s="271"/>
      <c r="B5" s="271"/>
      <c r="C5" s="271"/>
      <c r="D5" s="9"/>
      <c r="E5" s="9"/>
      <c r="F5" s="9"/>
      <c r="G5" s="9"/>
      <c r="H5" s="9"/>
      <c r="I5" s="9"/>
      <c r="J5" s="9"/>
      <c r="K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88" ht="22.2" customHeight="1" x14ac:dyDescent="0.3">
      <c r="A6" s="271"/>
      <c r="B6" s="271"/>
      <c r="C6" s="271"/>
      <c r="D6" s="274" t="s">
        <v>71</v>
      </c>
      <c r="E6" s="16" t="s">
        <v>67</v>
      </c>
      <c r="F6" s="7">
        <v>44019</v>
      </c>
      <c r="G6" s="7">
        <v>44051</v>
      </c>
      <c r="H6" s="8">
        <v>44083</v>
      </c>
      <c r="I6" s="9"/>
      <c r="J6" s="9"/>
      <c r="K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88" ht="22.2" customHeight="1" x14ac:dyDescent="0.3">
      <c r="A7" s="271"/>
      <c r="B7" s="271"/>
      <c r="C7" s="271"/>
      <c r="D7" s="274"/>
      <c r="E7" s="13" t="s">
        <v>72</v>
      </c>
      <c r="F7" s="11">
        <v>5203.3</v>
      </c>
      <c r="G7" s="11">
        <v>6281.23</v>
      </c>
      <c r="H7" s="11">
        <v>19335.84</v>
      </c>
      <c r="I7" s="9"/>
      <c r="J7" s="9"/>
      <c r="K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88" ht="22.2" customHeight="1" x14ac:dyDescent="0.3">
      <c r="A8" s="271"/>
      <c r="B8" s="271"/>
      <c r="C8" s="271"/>
      <c r="D8" s="274"/>
      <c r="E8" s="13" t="s">
        <v>73</v>
      </c>
      <c r="F8" s="11">
        <f>136.66+317.5+212+4621.2</f>
        <v>5287.36</v>
      </c>
      <c r="G8" s="11">
        <v>9140.39</v>
      </c>
      <c r="H8" s="11">
        <v>8656.4500000000007</v>
      </c>
      <c r="I8" s="9"/>
      <c r="J8" s="9"/>
      <c r="K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88" ht="9.6" customHeight="1" x14ac:dyDescent="0.3">
      <c r="A9" s="271"/>
      <c r="B9" s="271"/>
      <c r="C9" s="271"/>
      <c r="D9" s="9"/>
      <c r="E9" s="9"/>
      <c r="F9" s="9"/>
      <c r="G9" s="9"/>
      <c r="H9" s="9"/>
      <c r="I9" s="9"/>
      <c r="J9" s="9"/>
      <c r="K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88" ht="22.2" customHeight="1" x14ac:dyDescent="0.3">
      <c r="A10" s="271"/>
      <c r="B10" s="271"/>
      <c r="C10" s="271"/>
      <c r="D10" s="269" t="s">
        <v>70</v>
      </c>
      <c r="E10" s="16" t="s">
        <v>67</v>
      </c>
      <c r="F10" s="7">
        <v>44019</v>
      </c>
      <c r="G10" s="7">
        <v>44051</v>
      </c>
      <c r="H10" s="8">
        <v>44083</v>
      </c>
      <c r="I10" s="24" t="s">
        <v>59</v>
      </c>
      <c r="J10" s="9"/>
      <c r="K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88" ht="22.2" customHeight="1" x14ac:dyDescent="0.3">
      <c r="A11" s="271"/>
      <c r="B11" s="271"/>
      <c r="C11" s="271"/>
      <c r="D11" s="270"/>
      <c r="E11" s="13" t="s">
        <v>68</v>
      </c>
      <c r="F11" s="11">
        <f t="shared" ref="F11:H12" si="0">+F3+F7</f>
        <v>26487.64</v>
      </c>
      <c r="G11" s="11">
        <f t="shared" si="0"/>
        <v>20787.739999999998</v>
      </c>
      <c r="H11" s="11">
        <f t="shared" si="0"/>
        <v>41651</v>
      </c>
      <c r="I11" s="21">
        <f>SUM(F11:H11)</f>
        <v>88926.38</v>
      </c>
      <c r="J11" s="9"/>
      <c r="K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88" ht="22.2" customHeight="1" x14ac:dyDescent="0.3">
      <c r="A12" s="271"/>
      <c r="B12" s="271"/>
      <c r="C12" s="271"/>
      <c r="D12" s="270"/>
      <c r="E12" s="13" t="s">
        <v>69</v>
      </c>
      <c r="F12" s="11">
        <f t="shared" si="0"/>
        <v>13901.27</v>
      </c>
      <c r="G12" s="11">
        <f t="shared" si="0"/>
        <v>22264.79</v>
      </c>
      <c r="H12" s="11">
        <f t="shared" si="0"/>
        <v>27997.64</v>
      </c>
      <c r="I12" s="21">
        <f>SUM(F12:H12)</f>
        <v>64163.7</v>
      </c>
      <c r="J12" s="9"/>
      <c r="K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88" s="22" customFormat="1" ht="43.8" customHeight="1" x14ac:dyDescent="0.3">
      <c r="A13" s="268" t="s">
        <v>66</v>
      </c>
      <c r="B13" s="268"/>
      <c r="C13" s="268"/>
      <c r="D13" s="268"/>
      <c r="E13" s="268"/>
      <c r="F13" s="268"/>
      <c r="G13" s="268"/>
      <c r="H13" s="268"/>
      <c r="I13" s="268"/>
      <c r="J13" s="268"/>
      <c r="K13" s="26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</row>
    <row r="14" spans="1:88" ht="22.2" customHeight="1" x14ac:dyDescent="0.3">
      <c r="A14" s="272" t="s">
        <v>66</v>
      </c>
      <c r="B14" s="9"/>
      <c r="C14" s="272" t="s">
        <v>64</v>
      </c>
      <c r="D14" s="269" t="s">
        <v>70</v>
      </c>
      <c r="E14" s="16" t="s">
        <v>67</v>
      </c>
      <c r="F14" s="7">
        <v>44019</v>
      </c>
      <c r="G14" s="7">
        <v>44051</v>
      </c>
      <c r="H14" s="8">
        <v>44083</v>
      </c>
      <c r="I14" s="23" t="s">
        <v>60</v>
      </c>
      <c r="J14" s="10" t="s">
        <v>61</v>
      </c>
      <c r="K14" s="10" t="s">
        <v>62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88" ht="22.2" customHeight="1" x14ac:dyDescent="0.3">
      <c r="A15" s="272"/>
      <c r="B15" s="9"/>
      <c r="C15" s="272"/>
      <c r="D15" s="270"/>
      <c r="E15" s="13" t="s">
        <v>68</v>
      </c>
      <c r="F15" s="12">
        <v>40955</v>
      </c>
      <c r="G15" s="12">
        <v>54661</v>
      </c>
      <c r="H15" s="12">
        <v>54301</v>
      </c>
      <c r="I15" s="20">
        <f>SUM(F15:H15)</f>
        <v>149917</v>
      </c>
      <c r="J15" s="18">
        <f>+I15*0.19</f>
        <v>28484.23</v>
      </c>
      <c r="K15" s="19">
        <f>+I15+J15</f>
        <v>178401.23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88" ht="22.2" customHeight="1" x14ac:dyDescent="0.3">
      <c r="A16" s="272"/>
      <c r="B16" s="9"/>
      <c r="C16" s="272"/>
      <c r="D16" s="270"/>
      <c r="E16" s="13" t="s">
        <v>69</v>
      </c>
      <c r="F16" s="12">
        <v>78368</v>
      </c>
      <c r="G16" s="12">
        <v>88284</v>
      </c>
      <c r="H16" s="12">
        <v>101718</v>
      </c>
      <c r="I16" s="20">
        <f>SUM(F16:H16)</f>
        <v>268370</v>
      </c>
      <c r="J16" s="18">
        <f>+I16*0.19</f>
        <v>50990.3</v>
      </c>
      <c r="K16" s="19">
        <f>+I16+J16</f>
        <v>319360.3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9.6" customHeight="1" x14ac:dyDescent="0.3">
      <c r="A17" s="272"/>
      <c r="B17" s="9"/>
      <c r="C17" s="9"/>
      <c r="D17" s="9"/>
      <c r="E17" s="15"/>
      <c r="F17" s="9"/>
      <c r="G17" s="9"/>
      <c r="H17" s="9"/>
      <c r="I17" s="9"/>
      <c r="J17" s="9"/>
      <c r="K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22.2" customHeight="1" x14ac:dyDescent="0.3">
      <c r="A18" s="272"/>
      <c r="B18" s="9"/>
      <c r="C18" s="272" t="s">
        <v>65</v>
      </c>
      <c r="D18" s="269" t="s">
        <v>70</v>
      </c>
      <c r="E18" s="16" t="s">
        <v>67</v>
      </c>
      <c r="F18" s="7">
        <v>44019</v>
      </c>
      <c r="G18" s="7">
        <v>44051</v>
      </c>
      <c r="H18" s="8">
        <v>44083</v>
      </c>
      <c r="I18" s="24" t="s">
        <v>59</v>
      </c>
      <c r="J18" s="9"/>
      <c r="K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22.2" customHeight="1" x14ac:dyDescent="0.3">
      <c r="A19" s="272"/>
      <c r="B19" s="9"/>
      <c r="C19" s="272"/>
      <c r="D19" s="270"/>
      <c r="E19" s="13" t="s">
        <v>68</v>
      </c>
      <c r="F19" s="11">
        <v>22794</v>
      </c>
      <c r="G19" s="11">
        <v>28748</v>
      </c>
      <c r="H19" s="11">
        <v>32441</v>
      </c>
      <c r="I19" s="21">
        <f>SUM(F19:H19)</f>
        <v>83983</v>
      </c>
      <c r="J19" s="9"/>
      <c r="K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22.2" customHeight="1" x14ac:dyDescent="0.3">
      <c r="A20" s="272"/>
      <c r="B20" s="9"/>
      <c r="C20" s="272"/>
      <c r="D20" s="270"/>
      <c r="E20" s="13" t="s">
        <v>69</v>
      </c>
      <c r="F20" s="11">
        <v>18023</v>
      </c>
      <c r="G20" s="11">
        <v>20746</v>
      </c>
      <c r="H20" s="11">
        <v>25010</v>
      </c>
      <c r="I20" s="21">
        <f>SUM(F20:H20)</f>
        <v>63779</v>
      </c>
      <c r="J20" s="9"/>
      <c r="K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x14ac:dyDescent="0.3">
      <c r="A21" s="9"/>
      <c r="B21" s="9"/>
      <c r="C21" s="9"/>
      <c r="D21" s="9"/>
      <c r="E21" s="15"/>
      <c r="F21" s="9"/>
      <c r="G21" s="9"/>
      <c r="H21" s="9"/>
      <c r="I21" s="9"/>
      <c r="J21" s="9"/>
      <c r="K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s="9" customFormat="1" x14ac:dyDescent="0.3">
      <c r="E22" s="15"/>
    </row>
    <row r="23" spans="1:34" s="9" customFormat="1" x14ac:dyDescent="0.3">
      <c r="E23" s="15"/>
    </row>
    <row r="24" spans="1:34" s="9" customFormat="1" x14ac:dyDescent="0.3">
      <c r="E24" s="15"/>
    </row>
    <row r="25" spans="1:34" s="9" customFormat="1" x14ac:dyDescent="0.3">
      <c r="E25" s="15"/>
    </row>
    <row r="26" spans="1:34" s="9" customFormat="1" x14ac:dyDescent="0.3">
      <c r="E26" s="15"/>
      <c r="H26" s="9">
        <v>2478</v>
      </c>
      <c r="I26" s="17">
        <f>+H26/H27</f>
        <v>0.946524064171123</v>
      </c>
      <c r="L26" s="127"/>
    </row>
    <row r="27" spans="1:34" s="9" customFormat="1" x14ac:dyDescent="0.3">
      <c r="E27" s="17"/>
      <c r="H27" s="9">
        <v>2618</v>
      </c>
      <c r="L27" s="127"/>
    </row>
    <row r="28" spans="1:34" s="9" customFormat="1" x14ac:dyDescent="0.3">
      <c r="E28" s="15"/>
      <c r="H28" s="9">
        <f>+H26-H27</f>
        <v>-140</v>
      </c>
      <c r="I28" s="17">
        <f>+H28/H27</f>
        <v>-5.3475935828877004E-2</v>
      </c>
      <c r="L28" s="127"/>
    </row>
    <row r="29" spans="1:34" s="9" customFormat="1" x14ac:dyDescent="0.3">
      <c r="E29" s="15"/>
      <c r="K29" s="126"/>
      <c r="L29" s="128"/>
    </row>
    <row r="30" spans="1:34" s="9" customFormat="1" x14ac:dyDescent="0.3">
      <c r="E30" s="15"/>
    </row>
    <row r="31" spans="1:34" s="9" customFormat="1" x14ac:dyDescent="0.3">
      <c r="E31" s="15"/>
      <c r="I31" s="9">
        <f>605-701</f>
        <v>-96</v>
      </c>
    </row>
    <row r="32" spans="1:34" s="9" customFormat="1" x14ac:dyDescent="0.3">
      <c r="E32" s="15"/>
    </row>
    <row r="33" spans="5:5" s="9" customFormat="1" x14ac:dyDescent="0.3">
      <c r="E33" s="15"/>
    </row>
    <row r="34" spans="5:5" s="9" customFormat="1" x14ac:dyDescent="0.3">
      <c r="E34" s="15"/>
    </row>
    <row r="35" spans="5:5" s="9" customFormat="1" x14ac:dyDescent="0.3">
      <c r="E35" s="15"/>
    </row>
    <row r="36" spans="5:5" s="9" customFormat="1" x14ac:dyDescent="0.3">
      <c r="E36" s="15"/>
    </row>
    <row r="37" spans="5:5" s="9" customFormat="1" x14ac:dyDescent="0.3">
      <c r="E37" s="15"/>
    </row>
    <row r="38" spans="5:5" s="9" customFormat="1" x14ac:dyDescent="0.3">
      <c r="E38" s="15"/>
    </row>
    <row r="39" spans="5:5" s="9" customFormat="1" x14ac:dyDescent="0.3">
      <c r="E39" s="15"/>
    </row>
    <row r="40" spans="5:5" s="9" customFormat="1" x14ac:dyDescent="0.3">
      <c r="E40" s="15"/>
    </row>
    <row r="41" spans="5:5" s="9" customFormat="1" x14ac:dyDescent="0.3">
      <c r="E41" s="15"/>
    </row>
    <row r="42" spans="5:5" s="9" customFormat="1" x14ac:dyDescent="0.3">
      <c r="E42" s="15"/>
    </row>
    <row r="43" spans="5:5" s="9" customFormat="1" x14ac:dyDescent="0.3">
      <c r="E43" s="15"/>
    </row>
    <row r="44" spans="5:5" s="9" customFormat="1" x14ac:dyDescent="0.3">
      <c r="E44" s="15"/>
    </row>
    <row r="45" spans="5:5" s="9" customFormat="1" x14ac:dyDescent="0.3">
      <c r="E45" s="15"/>
    </row>
    <row r="46" spans="5:5" s="9" customFormat="1" x14ac:dyDescent="0.3">
      <c r="E46" s="15"/>
    </row>
    <row r="47" spans="5:5" s="9" customFormat="1" x14ac:dyDescent="0.3">
      <c r="E47" s="15"/>
    </row>
    <row r="48" spans="5:5" s="9" customFormat="1" x14ac:dyDescent="0.3">
      <c r="E48" s="15"/>
    </row>
    <row r="49" spans="5:5" s="9" customFormat="1" x14ac:dyDescent="0.3">
      <c r="E49" s="15"/>
    </row>
    <row r="50" spans="5:5" s="9" customFormat="1" x14ac:dyDescent="0.3">
      <c r="E50" s="15"/>
    </row>
    <row r="51" spans="5:5" s="9" customFormat="1" x14ac:dyDescent="0.3">
      <c r="E51" s="15"/>
    </row>
    <row r="52" spans="5:5" s="9" customFormat="1" x14ac:dyDescent="0.3">
      <c r="E52" s="15"/>
    </row>
    <row r="53" spans="5:5" s="9" customFormat="1" x14ac:dyDescent="0.3">
      <c r="E53" s="15"/>
    </row>
    <row r="54" spans="5:5" s="9" customFormat="1" x14ac:dyDescent="0.3">
      <c r="E54" s="15"/>
    </row>
    <row r="55" spans="5:5" s="9" customFormat="1" x14ac:dyDescent="0.3">
      <c r="E55" s="15"/>
    </row>
    <row r="56" spans="5:5" s="9" customFormat="1" x14ac:dyDescent="0.3">
      <c r="E56" s="15"/>
    </row>
    <row r="57" spans="5:5" s="9" customFormat="1" x14ac:dyDescent="0.3">
      <c r="E57" s="15"/>
    </row>
    <row r="58" spans="5:5" s="9" customFormat="1" x14ac:dyDescent="0.3">
      <c r="E58" s="15"/>
    </row>
    <row r="59" spans="5:5" s="9" customFormat="1" x14ac:dyDescent="0.3">
      <c r="E59" s="15"/>
    </row>
    <row r="60" spans="5:5" s="9" customFormat="1" x14ac:dyDescent="0.3">
      <c r="E60" s="15"/>
    </row>
    <row r="61" spans="5:5" s="9" customFormat="1" x14ac:dyDescent="0.3">
      <c r="E61" s="15"/>
    </row>
    <row r="62" spans="5:5" s="9" customFormat="1" x14ac:dyDescent="0.3">
      <c r="E62" s="15"/>
    </row>
    <row r="63" spans="5:5" s="9" customFormat="1" x14ac:dyDescent="0.3">
      <c r="E63" s="15"/>
    </row>
    <row r="64" spans="5:5" s="9" customFormat="1" x14ac:dyDescent="0.3">
      <c r="E64" s="15"/>
    </row>
    <row r="65" spans="5:5" s="9" customFormat="1" x14ac:dyDescent="0.3">
      <c r="E65" s="15"/>
    </row>
    <row r="66" spans="5:5" s="9" customFormat="1" x14ac:dyDescent="0.3">
      <c r="E66" s="15"/>
    </row>
    <row r="67" spans="5:5" s="9" customFormat="1" x14ac:dyDescent="0.3">
      <c r="E67" s="15"/>
    </row>
    <row r="68" spans="5:5" s="9" customFormat="1" x14ac:dyDescent="0.3">
      <c r="E68" s="15"/>
    </row>
    <row r="69" spans="5:5" s="9" customFormat="1" x14ac:dyDescent="0.3">
      <c r="E69" s="15"/>
    </row>
    <row r="70" spans="5:5" s="9" customFormat="1" x14ac:dyDescent="0.3">
      <c r="E70" s="15"/>
    </row>
    <row r="71" spans="5:5" s="9" customFormat="1" x14ac:dyDescent="0.3">
      <c r="E71" s="15"/>
    </row>
    <row r="72" spans="5:5" s="9" customFormat="1" x14ac:dyDescent="0.3">
      <c r="E72" s="15"/>
    </row>
    <row r="73" spans="5:5" s="9" customFormat="1" x14ac:dyDescent="0.3">
      <c r="E73" s="15"/>
    </row>
    <row r="74" spans="5:5" s="9" customFormat="1" x14ac:dyDescent="0.3">
      <c r="E74" s="15"/>
    </row>
    <row r="75" spans="5:5" s="9" customFormat="1" x14ac:dyDescent="0.3">
      <c r="E75" s="15"/>
    </row>
    <row r="76" spans="5:5" s="9" customFormat="1" x14ac:dyDescent="0.3">
      <c r="E76" s="15"/>
    </row>
    <row r="77" spans="5:5" s="9" customFormat="1" x14ac:dyDescent="0.3">
      <c r="E77" s="15"/>
    </row>
    <row r="78" spans="5:5" s="9" customFormat="1" x14ac:dyDescent="0.3">
      <c r="E78" s="15"/>
    </row>
    <row r="79" spans="5:5" s="9" customFormat="1" x14ac:dyDescent="0.3">
      <c r="E79" s="15"/>
    </row>
    <row r="80" spans="5:5" s="9" customFormat="1" x14ac:dyDescent="0.3">
      <c r="E80" s="15"/>
    </row>
    <row r="81" spans="5:5" s="9" customFormat="1" x14ac:dyDescent="0.3">
      <c r="E81" s="15"/>
    </row>
    <row r="82" spans="5:5" s="9" customFormat="1" x14ac:dyDescent="0.3">
      <c r="E82" s="15"/>
    </row>
    <row r="83" spans="5:5" s="9" customFormat="1" x14ac:dyDescent="0.3">
      <c r="E83" s="15"/>
    </row>
    <row r="84" spans="5:5" s="9" customFormat="1" x14ac:dyDescent="0.3">
      <c r="E84" s="15"/>
    </row>
    <row r="85" spans="5:5" s="9" customFormat="1" x14ac:dyDescent="0.3">
      <c r="E85" s="15"/>
    </row>
    <row r="86" spans="5:5" s="9" customFormat="1" x14ac:dyDescent="0.3">
      <c r="E86" s="15"/>
    </row>
    <row r="87" spans="5:5" s="9" customFormat="1" x14ac:dyDescent="0.3">
      <c r="E87" s="15"/>
    </row>
    <row r="88" spans="5:5" s="9" customFormat="1" x14ac:dyDescent="0.3">
      <c r="E88" s="15"/>
    </row>
    <row r="89" spans="5:5" s="9" customFormat="1" x14ac:dyDescent="0.3">
      <c r="E89" s="15"/>
    </row>
    <row r="90" spans="5:5" s="9" customFormat="1" x14ac:dyDescent="0.3">
      <c r="E90" s="15"/>
    </row>
    <row r="91" spans="5:5" s="9" customFormat="1" x14ac:dyDescent="0.3">
      <c r="E91" s="15"/>
    </row>
    <row r="92" spans="5:5" s="9" customFormat="1" x14ac:dyDescent="0.3">
      <c r="E92" s="15"/>
    </row>
    <row r="93" spans="5:5" s="9" customFormat="1" x14ac:dyDescent="0.3">
      <c r="E93" s="15"/>
    </row>
    <row r="94" spans="5:5" s="9" customFormat="1" x14ac:dyDescent="0.3">
      <c r="E94" s="15"/>
    </row>
    <row r="95" spans="5:5" s="9" customFormat="1" x14ac:dyDescent="0.3">
      <c r="E95" s="15"/>
    </row>
    <row r="96" spans="5:5" s="9" customFormat="1" x14ac:dyDescent="0.3">
      <c r="E96" s="15"/>
    </row>
    <row r="97" spans="5:5" s="9" customFormat="1" x14ac:dyDescent="0.3">
      <c r="E97" s="15"/>
    </row>
    <row r="98" spans="5:5" s="9" customFormat="1" x14ac:dyDescent="0.3">
      <c r="E98" s="15"/>
    </row>
    <row r="99" spans="5:5" s="9" customFormat="1" x14ac:dyDescent="0.3">
      <c r="E99" s="15"/>
    </row>
    <row r="100" spans="5:5" s="9" customFormat="1" x14ac:dyDescent="0.3">
      <c r="E100" s="15"/>
    </row>
    <row r="101" spans="5:5" s="9" customFormat="1" x14ac:dyDescent="0.3">
      <c r="E101" s="15"/>
    </row>
    <row r="102" spans="5:5" s="9" customFormat="1" x14ac:dyDescent="0.3">
      <c r="E102" s="15"/>
    </row>
    <row r="103" spans="5:5" s="9" customFormat="1" x14ac:dyDescent="0.3">
      <c r="E103" s="15"/>
    </row>
    <row r="104" spans="5:5" s="9" customFormat="1" x14ac:dyDescent="0.3">
      <c r="E104" s="15"/>
    </row>
    <row r="105" spans="5:5" s="9" customFormat="1" x14ac:dyDescent="0.3">
      <c r="E105" s="15"/>
    </row>
  </sheetData>
  <mergeCells count="11">
    <mergeCell ref="A1:K1"/>
    <mergeCell ref="D18:D20"/>
    <mergeCell ref="A2:C12"/>
    <mergeCell ref="C14:C16"/>
    <mergeCell ref="C18:C20"/>
    <mergeCell ref="A14:A20"/>
    <mergeCell ref="A13:K13"/>
    <mergeCell ref="D2:D4"/>
    <mergeCell ref="D6:D8"/>
    <mergeCell ref="D10:D12"/>
    <mergeCell ref="D14:D16"/>
  </mergeCells>
  <pageMargins left="0.7" right="0.7" top="0.75" bottom="0.75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90" zoomScaleNormal="50" zoomScaleSheetLayoutView="90" workbookViewId="0">
      <pane xSplit="2" ySplit="6" topLeftCell="C31" activePane="bottomRight" state="frozen"/>
      <selection activeCell="C5" sqref="C5:D5"/>
      <selection pane="topRight" activeCell="C5" sqref="C5:D5"/>
      <selection pane="bottomLeft" activeCell="C5" sqref="C5:D5"/>
      <selection pane="bottomRight" activeCell="F36" sqref="F36"/>
    </sheetView>
  </sheetViews>
  <sheetFormatPr baseColWidth="10" defaultColWidth="11.44140625" defaultRowHeight="28.8" x14ac:dyDescent="0.55000000000000004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8" width="23.5546875" style="4" bestFit="1" customWidth="1"/>
    <col min="9" max="16384" width="11.44140625" style="1"/>
  </cols>
  <sheetData>
    <row r="1" spans="1:31" s="42" customFormat="1" ht="13.8" customHeight="1" x14ac:dyDescent="0.45">
      <c r="A1" s="25"/>
      <c r="B1" s="39"/>
      <c r="C1" s="40"/>
      <c r="D1" s="40"/>
      <c r="E1" s="40"/>
      <c r="F1" s="40"/>
      <c r="G1" s="97"/>
      <c r="H1" s="41"/>
      <c r="I1" s="39"/>
      <c r="J1" s="39"/>
      <c r="K1" s="39"/>
      <c r="L1" s="39"/>
      <c r="M1" s="39"/>
      <c r="N1" s="39"/>
      <c r="R1" s="39"/>
      <c r="S1" s="39"/>
      <c r="T1" s="278"/>
      <c r="U1" s="278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44"/>
      <c r="D2" s="44"/>
      <c r="E2" s="44"/>
      <c r="F2" s="44"/>
      <c r="G2" s="98"/>
      <c r="H2" s="41"/>
      <c r="I2" s="39"/>
      <c r="J2" s="39"/>
      <c r="K2" s="39"/>
      <c r="L2" s="39"/>
      <c r="M2" s="39"/>
      <c r="N2" s="39"/>
      <c r="R2" s="43"/>
      <c r="S2" s="4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5">
      <c r="A3" s="46"/>
      <c r="B3" s="47"/>
      <c r="C3" s="48"/>
      <c r="D3" s="48"/>
      <c r="E3" s="48"/>
      <c r="F3" s="48"/>
      <c r="G3" s="99"/>
      <c r="H3" s="49"/>
      <c r="I3" s="46"/>
      <c r="J3" s="46"/>
      <c r="K3" s="46"/>
      <c r="L3" s="46"/>
      <c r="M3" s="46"/>
      <c r="N3" s="46"/>
      <c r="R3" s="46"/>
      <c r="S3" s="46"/>
      <c r="T3" s="280"/>
      <c r="U3" s="280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1:31" s="42" customFormat="1" ht="13.8" customHeight="1" x14ac:dyDescent="0.55000000000000004">
      <c r="A4" s="46"/>
      <c r="B4" s="46"/>
      <c r="C4" s="50"/>
      <c r="D4" s="50"/>
      <c r="E4" s="50"/>
      <c r="F4" s="50"/>
      <c r="G4" s="100"/>
      <c r="H4" s="5"/>
    </row>
    <row r="5" spans="1:31" ht="29.4" thickBot="1" x14ac:dyDescent="0.6">
      <c r="A5" s="281" t="s">
        <v>75</v>
      </c>
      <c r="B5" s="281"/>
      <c r="C5" s="281"/>
      <c r="D5" s="281"/>
      <c r="E5" s="281"/>
      <c r="F5" s="281"/>
      <c r="G5" s="281"/>
    </row>
    <row r="6" spans="1:31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  <c r="H6" s="26"/>
    </row>
    <row r="7" spans="1:31" s="29" customFormat="1" ht="30.75" customHeight="1" x14ac:dyDescent="0.35">
      <c r="A7" s="101"/>
      <c r="B7" s="79" t="s">
        <v>2</v>
      </c>
      <c r="C7" s="51">
        <v>2500000</v>
      </c>
      <c r="D7" s="51">
        <v>28049688.699999999</v>
      </c>
      <c r="E7" s="52">
        <v>33521247</v>
      </c>
      <c r="F7" s="52">
        <v>8523681.1999999993</v>
      </c>
      <c r="G7" s="51">
        <f>+C7+D7+E7+F7</f>
        <v>72594616.900000006</v>
      </c>
      <c r="H7" s="28"/>
    </row>
    <row r="8" spans="1:31" s="29" customFormat="1" ht="30.75" customHeight="1" x14ac:dyDescent="0.35">
      <c r="A8" s="102"/>
      <c r="B8" s="80" t="s">
        <v>42</v>
      </c>
      <c r="C8" s="54"/>
      <c r="D8" s="54"/>
      <c r="E8" s="55"/>
      <c r="F8" s="55">
        <v>6400</v>
      </c>
      <c r="G8" s="51">
        <f>+C8+D8+E8+F8</f>
        <v>6400</v>
      </c>
      <c r="H8" s="28"/>
      <c r="N8" s="30"/>
    </row>
    <row r="9" spans="1:31" s="27" customFormat="1" ht="30.75" customHeight="1" x14ac:dyDescent="0.35">
      <c r="A9" s="102"/>
      <c r="B9" s="81" t="s">
        <v>3</v>
      </c>
      <c r="C9" s="54"/>
      <c r="D9" s="57">
        <v>61144589.140000001</v>
      </c>
      <c r="E9" s="55">
        <v>-13104102.609999999</v>
      </c>
      <c r="F9" s="55">
        <v>291305.15000000002</v>
      </c>
      <c r="G9" s="51">
        <f>+C9+D9+E9+F9</f>
        <v>48331791.68</v>
      </c>
      <c r="H9" s="26"/>
    </row>
    <row r="10" spans="1:31" s="27" customFormat="1" ht="30.75" customHeight="1" x14ac:dyDescent="0.35">
      <c r="A10" s="102"/>
      <c r="B10" s="81" t="s">
        <v>4</v>
      </c>
      <c r="C10" s="54"/>
      <c r="D10" s="54">
        <v>48635.77</v>
      </c>
      <c r="E10" s="55"/>
      <c r="F10" s="55"/>
      <c r="G10" s="51">
        <f>+C10+D10+E10+F10</f>
        <v>48635.77</v>
      </c>
      <c r="H10" s="26"/>
    </row>
    <row r="11" spans="1:31" s="27" customFormat="1" ht="30.75" customHeight="1" thickBot="1" x14ac:dyDescent="0.4">
      <c r="A11" s="103"/>
      <c r="B11" s="82" t="s">
        <v>5</v>
      </c>
      <c r="C11" s="58"/>
      <c r="D11" s="58"/>
      <c r="E11" s="59"/>
      <c r="F11" s="59"/>
      <c r="G11" s="112">
        <f>+C11+D11+E11+F11</f>
        <v>0</v>
      </c>
      <c r="H11" s="26"/>
    </row>
    <row r="12" spans="1:31" s="27" customFormat="1" ht="30.75" customHeight="1" thickBot="1" x14ac:dyDescent="0.4">
      <c r="A12" s="104"/>
      <c r="B12" s="83" t="s">
        <v>6</v>
      </c>
      <c r="C12" s="61">
        <f>SUM(C7:C11)</f>
        <v>2500000</v>
      </c>
      <c r="D12" s="61">
        <f>SUM(D7:D11)</f>
        <v>89242913.609999999</v>
      </c>
      <c r="E12" s="62">
        <f>SUM(E7:E11)</f>
        <v>20417144.390000001</v>
      </c>
      <c r="F12" s="62">
        <f>SUM(F7:F11)</f>
        <v>8821386.3499999996</v>
      </c>
      <c r="G12" s="61">
        <f>SUM(G7:G11)</f>
        <v>120981444.35000001</v>
      </c>
      <c r="H12" s="26"/>
    </row>
    <row r="13" spans="1:31" s="32" customFormat="1" ht="30.75" customHeight="1" x14ac:dyDescent="0.35">
      <c r="A13" s="105">
        <v>60</v>
      </c>
      <c r="B13" s="84" t="s">
        <v>7</v>
      </c>
      <c r="C13" s="51">
        <v>-64640.55</v>
      </c>
      <c r="D13" s="64">
        <v>83324416.900000006</v>
      </c>
      <c r="E13" s="65">
        <v>10092533.449999999</v>
      </c>
      <c r="F13" s="65">
        <v>10717019.279999999</v>
      </c>
      <c r="G13" s="51">
        <f>+C13+D13+E13+F13</f>
        <v>104069329.08000001</v>
      </c>
      <c r="H13" s="31"/>
    </row>
    <row r="14" spans="1:31" s="32" customFormat="1" ht="30.75" customHeight="1" thickBot="1" x14ac:dyDescent="0.4">
      <c r="A14" s="106" t="s">
        <v>8</v>
      </c>
      <c r="B14" s="82" t="s">
        <v>43</v>
      </c>
      <c r="C14" s="58">
        <v>1200688.5</v>
      </c>
      <c r="D14" s="58">
        <v>5753147.1399999997</v>
      </c>
      <c r="E14" s="59">
        <v>1547335.22</v>
      </c>
      <c r="F14" s="59">
        <v>1311166.22</v>
      </c>
      <c r="G14" s="58">
        <f>+C14+D14+E14+F14</f>
        <v>9812337.0800000001</v>
      </c>
      <c r="H14" s="33"/>
      <c r="I14" s="34"/>
    </row>
    <row r="15" spans="1:31" s="27" customFormat="1" ht="30.75" customHeight="1" thickBot="1" x14ac:dyDescent="0.4">
      <c r="A15" s="107" t="s">
        <v>9</v>
      </c>
      <c r="B15" s="85" t="s">
        <v>10</v>
      </c>
      <c r="C15" s="61">
        <f>SUM(C13:C14)</f>
        <v>1136047.95</v>
      </c>
      <c r="D15" s="61">
        <f>SUM(D13:D14)</f>
        <v>89077564.040000007</v>
      </c>
      <c r="E15" s="62">
        <f>SUM(E13:E14)</f>
        <v>11639868.67</v>
      </c>
      <c r="F15" s="62">
        <f>SUM(F13:F14)</f>
        <v>12028185.5</v>
      </c>
      <c r="G15" s="61">
        <f>SUM(G13:G14)</f>
        <v>113881666.16000001</v>
      </c>
      <c r="H15" s="26"/>
      <c r="I15" s="34"/>
    </row>
    <row r="16" spans="1:31" s="27" customFormat="1" ht="30.75" customHeight="1" thickBot="1" x14ac:dyDescent="0.4">
      <c r="A16" s="108" t="s">
        <v>11</v>
      </c>
      <c r="B16" s="86" t="s">
        <v>12</v>
      </c>
      <c r="C16" s="67">
        <f>+C12-C15</f>
        <v>1363952.05</v>
      </c>
      <c r="D16" s="67">
        <f>+D12-D15</f>
        <v>165349.56999999285</v>
      </c>
      <c r="E16" s="68">
        <f>+E12-E15</f>
        <v>8777275.7200000007</v>
      </c>
      <c r="F16" s="68">
        <f>+F12-F15</f>
        <v>-3206799.1500000004</v>
      </c>
      <c r="G16" s="67">
        <f>+G12-G15</f>
        <v>7099778.1899999976</v>
      </c>
      <c r="H16" s="26"/>
      <c r="I16" s="34"/>
    </row>
    <row r="17" spans="1:12" s="32" customFormat="1" ht="30.75" customHeight="1" x14ac:dyDescent="0.35">
      <c r="A17" s="105">
        <v>63</v>
      </c>
      <c r="B17" s="84" t="s">
        <v>44</v>
      </c>
      <c r="C17" s="64">
        <v>7690857.3300000001</v>
      </c>
      <c r="D17" s="64">
        <v>24530168.539999999</v>
      </c>
      <c r="E17" s="65">
        <v>8367507.2599999998</v>
      </c>
      <c r="F17" s="65">
        <v>9053540.2100000009</v>
      </c>
      <c r="G17" s="51">
        <f>+C17+D17+E17+F17</f>
        <v>49642073.339999996</v>
      </c>
      <c r="H17" s="31"/>
      <c r="I17" s="34"/>
    </row>
    <row r="18" spans="1:12" s="32" customFormat="1" ht="30.75" customHeight="1" thickBot="1" x14ac:dyDescent="0.4">
      <c r="A18" s="106">
        <v>64</v>
      </c>
      <c r="B18" s="82" t="s">
        <v>13</v>
      </c>
      <c r="C18" s="58">
        <v>57300</v>
      </c>
      <c r="D18" s="58">
        <v>280496</v>
      </c>
      <c r="E18" s="59">
        <v>339198</v>
      </c>
      <c r="F18" s="59">
        <v>292186</v>
      </c>
      <c r="G18" s="58">
        <f>+C18+D18+E18+F18</f>
        <v>969180</v>
      </c>
      <c r="H18" s="31"/>
      <c r="I18" s="34"/>
    </row>
    <row r="19" spans="1:12" s="27" customFormat="1" ht="30.75" customHeight="1" thickBot="1" x14ac:dyDescent="0.4">
      <c r="A19" s="107" t="s">
        <v>14</v>
      </c>
      <c r="B19" s="85" t="s">
        <v>15</v>
      </c>
      <c r="C19" s="61">
        <f>+C16-C17-C18</f>
        <v>-6384205.2800000003</v>
      </c>
      <c r="D19" s="61">
        <f>+D16-D17-D18</f>
        <v>-24645314.970000006</v>
      </c>
      <c r="E19" s="62">
        <f>+E16-E17-E18</f>
        <v>70570.460000000894</v>
      </c>
      <c r="F19" s="62">
        <f>+F16-F17-F18</f>
        <v>-12552525.360000001</v>
      </c>
      <c r="G19" s="61">
        <f>+G16-G17-G18</f>
        <v>-43511475.149999999</v>
      </c>
      <c r="H19" s="26"/>
      <c r="I19" s="34"/>
    </row>
    <row r="20" spans="1:12" s="32" customFormat="1" ht="30.75" customHeight="1" x14ac:dyDescent="0.35">
      <c r="A20" s="105">
        <v>75</v>
      </c>
      <c r="B20" s="84" t="s">
        <v>16</v>
      </c>
      <c r="C20" s="51">
        <v>200.02</v>
      </c>
      <c r="D20" s="51">
        <v>45000.02</v>
      </c>
      <c r="E20" s="52"/>
      <c r="F20" s="52"/>
      <c r="G20" s="51">
        <f t="shared" ref="G20:G25" si="0">+C20+D20+E20+F20</f>
        <v>45200.039999999994</v>
      </c>
      <c r="H20" s="31"/>
      <c r="L20" s="35"/>
    </row>
    <row r="21" spans="1:12" s="32" customFormat="1" ht="30.75" customHeight="1" x14ac:dyDescent="0.35">
      <c r="A21" s="109">
        <v>65</v>
      </c>
      <c r="B21" s="81" t="s">
        <v>17</v>
      </c>
      <c r="C21" s="54">
        <v>559000</v>
      </c>
      <c r="D21" s="54">
        <v>1267.48</v>
      </c>
      <c r="E21" s="55"/>
      <c r="F21" s="55"/>
      <c r="G21" s="54">
        <f t="shared" si="0"/>
        <v>560267.48</v>
      </c>
      <c r="H21" s="31"/>
    </row>
    <row r="22" spans="1:12" s="27" customFormat="1" ht="30.75" customHeight="1" x14ac:dyDescent="0.35">
      <c r="A22" s="109"/>
      <c r="B22" s="87" t="s">
        <v>18</v>
      </c>
      <c r="C22" s="70"/>
      <c r="D22" s="70"/>
      <c r="E22" s="71"/>
      <c r="F22" s="71"/>
      <c r="G22" s="70">
        <f t="shared" si="0"/>
        <v>0</v>
      </c>
      <c r="H22" s="26"/>
    </row>
    <row r="23" spans="1:12" s="27" customFormat="1" ht="30.75" customHeight="1" x14ac:dyDescent="0.35">
      <c r="A23" s="109"/>
      <c r="B23" s="87" t="s">
        <v>19</v>
      </c>
      <c r="C23" s="70"/>
      <c r="D23" s="70"/>
      <c r="E23" s="71"/>
      <c r="F23" s="71"/>
      <c r="G23" s="70">
        <f t="shared" si="0"/>
        <v>0</v>
      </c>
      <c r="H23" s="26"/>
    </row>
    <row r="24" spans="1:12" s="32" customFormat="1" ht="30.75" customHeight="1" x14ac:dyDescent="0.35">
      <c r="A24" s="109">
        <v>68</v>
      </c>
      <c r="B24" s="81" t="s">
        <v>20</v>
      </c>
      <c r="C24" s="54">
        <v>931304.74</v>
      </c>
      <c r="D24" s="54">
        <v>5681285.1900000004</v>
      </c>
      <c r="E24" s="55">
        <v>360073.1</v>
      </c>
      <c r="F24" s="55">
        <v>575613.82999999996</v>
      </c>
      <c r="G24" s="57">
        <f t="shared" si="0"/>
        <v>7548276.8600000003</v>
      </c>
      <c r="H24" s="31"/>
    </row>
    <row r="25" spans="1:12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59"/>
      <c r="G25" s="58">
        <f t="shared" si="0"/>
        <v>0</v>
      </c>
      <c r="H25" s="31"/>
    </row>
    <row r="26" spans="1:12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-7874310.0000000009</v>
      </c>
      <c r="D26" s="61">
        <f>+D19+D20-(D21+D22+D23+D24+D25)</f>
        <v>-30282867.620000008</v>
      </c>
      <c r="E26" s="62">
        <f>+E19+E20-(E21+E22+E23+E24+E25)</f>
        <v>-289502.63999999908</v>
      </c>
      <c r="F26" s="62">
        <f>+F19+F20-(F21+F22+F23+F24+F25)</f>
        <v>-13128139.190000001</v>
      </c>
      <c r="G26" s="61">
        <f>+G19+G20-(G21+G22+G23+G24+G25)</f>
        <v>-51574819.450000003</v>
      </c>
      <c r="H26" s="26"/>
    </row>
    <row r="27" spans="1:12" s="32" customFormat="1" ht="30.75" customHeight="1" x14ac:dyDescent="0.35">
      <c r="A27" s="105">
        <v>76</v>
      </c>
      <c r="B27" s="84" t="s">
        <v>24</v>
      </c>
      <c r="C27" s="51"/>
      <c r="D27" s="51">
        <v>105137.29</v>
      </c>
      <c r="E27" s="52"/>
      <c r="F27" s="52"/>
      <c r="G27" s="51">
        <f>+C27+D27+E27+F27</f>
        <v>105137.29</v>
      </c>
      <c r="H27" s="31"/>
    </row>
    <row r="28" spans="1:12" s="32" customFormat="1" ht="30.75" customHeight="1" thickBot="1" x14ac:dyDescent="0.4">
      <c r="A28" s="106">
        <v>66</v>
      </c>
      <c r="B28" s="82" t="s">
        <v>25</v>
      </c>
      <c r="C28" s="73"/>
      <c r="D28" s="58">
        <v>162173.32999999999</v>
      </c>
      <c r="E28" s="59"/>
      <c r="F28" s="59"/>
      <c r="G28" s="58">
        <f>+C28+D28+E28+F28</f>
        <v>162173.32999999999</v>
      </c>
      <c r="H28" s="31"/>
    </row>
    <row r="29" spans="1:12" s="27" customFormat="1" ht="30.75" customHeight="1" thickBot="1" x14ac:dyDescent="0.4">
      <c r="A29" s="107" t="s">
        <v>26</v>
      </c>
      <c r="B29" s="85" t="s">
        <v>27</v>
      </c>
      <c r="C29" s="61">
        <f>+C27-C28</f>
        <v>0</v>
      </c>
      <c r="D29" s="61">
        <f>+D27-D28</f>
        <v>-57036.039999999994</v>
      </c>
      <c r="E29" s="62">
        <f>+E27-E28</f>
        <v>0</v>
      </c>
      <c r="F29" s="62">
        <f>+F27-F28</f>
        <v>0</v>
      </c>
      <c r="G29" s="61">
        <f>+G27-G28</f>
        <v>-57036.039999999994</v>
      </c>
      <c r="H29" s="26"/>
    </row>
    <row r="30" spans="1:12" s="27" customFormat="1" ht="30.75" customHeight="1" thickBot="1" x14ac:dyDescent="0.4">
      <c r="A30" s="107" t="s">
        <v>28</v>
      </c>
      <c r="B30" s="85" t="s">
        <v>29</v>
      </c>
      <c r="C30" s="61">
        <f>+C26+C29</f>
        <v>-7874310.0000000009</v>
      </c>
      <c r="D30" s="61">
        <f>+D26+D29</f>
        <v>-30339903.660000008</v>
      </c>
      <c r="E30" s="62">
        <f>+E26+E29</f>
        <v>-289502.63999999908</v>
      </c>
      <c r="F30" s="62">
        <f>+F26+F29</f>
        <v>-13128139.190000001</v>
      </c>
      <c r="G30" s="61">
        <f>+G26+G29</f>
        <v>-51631855.490000002</v>
      </c>
      <c r="H30" s="26"/>
    </row>
    <row r="31" spans="1:12" s="32" customFormat="1" ht="30.75" customHeight="1" x14ac:dyDescent="0.35">
      <c r="A31" s="105" t="s">
        <v>30</v>
      </c>
      <c r="B31" s="84" t="s">
        <v>31</v>
      </c>
      <c r="C31" s="51"/>
      <c r="D31" s="51"/>
      <c r="E31" s="52"/>
      <c r="F31" s="52"/>
      <c r="G31" s="51">
        <f>+C31+D31+E31+F31</f>
        <v>0</v>
      </c>
      <c r="H31" s="31"/>
    </row>
    <row r="32" spans="1:12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5"/>
      <c r="G32" s="54">
        <f>+C32+D32+E32+F32</f>
        <v>0</v>
      </c>
      <c r="H32" s="31"/>
    </row>
    <row r="33" spans="1:8" s="37" customFormat="1" ht="30.75" customHeight="1" x14ac:dyDescent="0.35">
      <c r="A33" s="111"/>
      <c r="B33" s="88" t="s">
        <v>45</v>
      </c>
      <c r="C33" s="74">
        <f t="shared" ref="C33" si="1">+C12+C20+C27</f>
        <v>2500200.02</v>
      </c>
      <c r="D33" s="74">
        <f>+D12+D20+D27</f>
        <v>89393050.920000002</v>
      </c>
      <c r="E33" s="75">
        <f t="shared" ref="E33:G33" si="2">+E12+E20+E27</f>
        <v>20417144.390000001</v>
      </c>
      <c r="F33" s="75">
        <f t="shared" ref="F33" si="3">+F12+F20+F27</f>
        <v>8821386.3499999996</v>
      </c>
      <c r="G33" s="74">
        <f t="shared" si="2"/>
        <v>121131781.68000002</v>
      </c>
      <c r="H33" s="36"/>
    </row>
    <row r="34" spans="1:8" s="37" customFormat="1" ht="30.75" customHeight="1" thickBot="1" x14ac:dyDescent="0.4">
      <c r="A34" s="125"/>
      <c r="B34" s="89" t="s">
        <v>46</v>
      </c>
      <c r="C34" s="73">
        <f t="shared" ref="C34" si="4">+C15+C17+C18+C24+C21+C28</f>
        <v>10374510.02</v>
      </c>
      <c r="D34" s="73">
        <f>+D15+D17+D18+D24+D21+D28</f>
        <v>119732954.58000001</v>
      </c>
      <c r="E34" s="77">
        <f t="shared" ref="E34:G34" si="5">+E15+E17+E18+E24+E21+E28</f>
        <v>20706647.030000001</v>
      </c>
      <c r="F34" s="77">
        <f t="shared" ref="F34" si="6">+F15+F17+F18+F24+F21+F28</f>
        <v>21949525.539999999</v>
      </c>
      <c r="G34" s="73">
        <f t="shared" si="5"/>
        <v>172763637.17000002</v>
      </c>
      <c r="H34" s="36"/>
    </row>
    <row r="35" spans="1:8" s="27" customFormat="1" ht="30.75" customHeight="1" thickBot="1" x14ac:dyDescent="0.4">
      <c r="A35" s="107" t="s">
        <v>34</v>
      </c>
      <c r="B35" s="85" t="s">
        <v>35</v>
      </c>
      <c r="C35" s="61">
        <f>+C30</f>
        <v>-7874310.0000000009</v>
      </c>
      <c r="D35" s="61">
        <f>+D30</f>
        <v>-30339903.660000008</v>
      </c>
      <c r="E35" s="62">
        <f>+E30</f>
        <v>-289502.63999999908</v>
      </c>
      <c r="F35" s="62">
        <f>+F30</f>
        <v>-13128139.190000001</v>
      </c>
      <c r="G35" s="61">
        <f>+G30</f>
        <v>-51631855.490000002</v>
      </c>
      <c r="H35" s="26"/>
    </row>
    <row r="36" spans="1:8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2">
        <v>0</v>
      </c>
      <c r="G36" s="51">
        <f>+C36+D36+E36+F36</f>
        <v>0</v>
      </c>
      <c r="H36" s="31"/>
    </row>
    <row r="37" spans="1:8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59">
        <v>0</v>
      </c>
      <c r="G37" s="58">
        <f>+C37+D37+E37+F37</f>
        <v>0</v>
      </c>
      <c r="H37" s="31"/>
    </row>
    <row r="38" spans="1:8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2"/>
      <c r="G38" s="61"/>
      <c r="H38" s="26"/>
    </row>
    <row r="39" spans="1:8" s="27" customFormat="1" ht="30.6" customHeight="1" x14ac:dyDescent="0.35">
      <c r="A39" s="120" t="s">
        <v>40</v>
      </c>
      <c r="B39" s="121" t="s">
        <v>41</v>
      </c>
      <c r="C39" s="122">
        <f>+C35</f>
        <v>-7874310.0000000009</v>
      </c>
      <c r="D39" s="122">
        <f>+D35</f>
        <v>-30339903.660000008</v>
      </c>
      <c r="E39" s="123">
        <f>+E35</f>
        <v>-289502.63999999908</v>
      </c>
      <c r="F39" s="123">
        <f>+F35</f>
        <v>-13128139.190000001</v>
      </c>
      <c r="G39" s="122">
        <f>+G35</f>
        <v>-51631855.490000002</v>
      </c>
      <c r="H39" s="26"/>
    </row>
    <row r="40" spans="1:8" s="27" customFormat="1" ht="11.4" customHeight="1" x14ac:dyDescent="0.35">
      <c r="A40" s="90"/>
      <c r="B40" s="90"/>
      <c r="C40" s="91"/>
      <c r="D40" s="91"/>
      <c r="E40" s="91"/>
      <c r="F40" s="91"/>
      <c r="G40" s="91"/>
      <c r="H40" s="26"/>
    </row>
    <row r="41" spans="1:8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  <c r="H41" s="26"/>
    </row>
    <row r="42" spans="1:8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3.1816008571246641</v>
      </c>
      <c r="E42" s="95">
        <f>+E12/E7</f>
        <v>0.60908069410424981</v>
      </c>
      <c r="F42" s="95">
        <f>+F12/F7</f>
        <v>1.0349268283285866</v>
      </c>
      <c r="G42" s="95">
        <f>+G12/G7</f>
        <v>1.6665346483838253</v>
      </c>
      <c r="H42" s="38"/>
    </row>
    <row r="43" spans="1:8" s="37" customFormat="1" ht="18" x14ac:dyDescent="0.35">
      <c r="A43" s="92">
        <v>2</v>
      </c>
      <c r="B43" s="93" t="s">
        <v>53</v>
      </c>
      <c r="C43" s="94">
        <f>+C13/C7</f>
        <v>-2.5856220000000003E-2</v>
      </c>
      <c r="D43" s="95">
        <f>+D13/D7</f>
        <v>2.9706004152552326</v>
      </c>
      <c r="E43" s="95">
        <f>+E13/E7</f>
        <v>0.30107869942905163</v>
      </c>
      <c r="F43" s="95">
        <f>+F13/F7</f>
        <v>1.2573228665567642</v>
      </c>
      <c r="G43" s="95">
        <f>+G13/G7</f>
        <v>1.4335681283828086</v>
      </c>
      <c r="H43" s="36"/>
    </row>
    <row r="44" spans="1:8" s="37" customFormat="1" ht="18" x14ac:dyDescent="0.35">
      <c r="A44" s="92">
        <v>3</v>
      </c>
      <c r="B44" s="93" t="s">
        <v>56</v>
      </c>
      <c r="C44" s="94">
        <f>+C13/C12</f>
        <v>-2.5856220000000003E-2</v>
      </c>
      <c r="D44" s="95">
        <f>+D13/D12</f>
        <v>0.93368104569216126</v>
      </c>
      <c r="E44" s="95">
        <f>+E13/E12</f>
        <v>0.49431660261672855</v>
      </c>
      <c r="F44" s="95">
        <f>+F13/F12</f>
        <v>1.2148905914318104</v>
      </c>
      <c r="G44" s="95">
        <f>+G13/G12</f>
        <v>0.86020901501991376</v>
      </c>
      <c r="H44" s="36"/>
    </row>
    <row r="45" spans="1:8" s="37" customFormat="1" ht="18" x14ac:dyDescent="0.35">
      <c r="A45" s="92">
        <v>4</v>
      </c>
      <c r="B45" s="93" t="s">
        <v>57</v>
      </c>
      <c r="C45" s="94">
        <f>+C15/C12</f>
        <v>0.45441917999999998</v>
      </c>
      <c r="D45" s="95">
        <f>+D15/D12</f>
        <v>0.99814719664216045</v>
      </c>
      <c r="E45" s="95">
        <f>+E15/E12</f>
        <v>0.57010267683178195</v>
      </c>
      <c r="F45" s="95">
        <f>+F15/F12</f>
        <v>1.3635255302019507</v>
      </c>
      <c r="G45" s="95">
        <f>+G15/G12</f>
        <v>0.94131514772248626</v>
      </c>
      <c r="H45" s="36"/>
    </row>
    <row r="46" spans="1:8" s="37" customFormat="1" ht="18" x14ac:dyDescent="0.35">
      <c r="A46" s="92">
        <v>5</v>
      </c>
      <c r="B46" s="93" t="s">
        <v>58</v>
      </c>
      <c r="C46" s="94">
        <f>+C17/C12</f>
        <v>3.0763429320000002</v>
      </c>
      <c r="D46" s="95">
        <f>+D17/D12</f>
        <v>0.27486965124423396</v>
      </c>
      <c r="E46" s="95">
        <f>+E17/E12</f>
        <v>0.4098275008574791</v>
      </c>
      <c r="F46" s="95">
        <f>+F17/F12</f>
        <v>1.0263171627212542</v>
      </c>
      <c r="G46" s="95">
        <f>+G17/G12</f>
        <v>0.41032799374080203</v>
      </c>
      <c r="H46" s="36"/>
    </row>
    <row r="47" spans="1:8" s="37" customFormat="1" ht="18" x14ac:dyDescent="0.35">
      <c r="A47" s="92">
        <v>6</v>
      </c>
      <c r="B47" s="93" t="s">
        <v>54</v>
      </c>
      <c r="C47" s="94">
        <f>+C16/C17</f>
        <v>0.17734720480115837</v>
      </c>
      <c r="D47" s="95">
        <f>+D16/D17</f>
        <v>6.7406617989748579E-3</v>
      </c>
      <c r="E47" s="95">
        <f>+E16/E17</f>
        <v>1.0489713898377904</v>
      </c>
      <c r="F47" s="95">
        <f>+F16/F17</f>
        <v>-0.35420388882328718</v>
      </c>
      <c r="G47" s="95">
        <f>+G16/G17</f>
        <v>0.14301937272791593</v>
      </c>
      <c r="H47" s="36"/>
    </row>
    <row r="48" spans="1:8" s="37" customFormat="1" ht="18" x14ac:dyDescent="0.35">
      <c r="A48" s="92">
        <v>7</v>
      </c>
      <c r="B48" s="93" t="s">
        <v>55</v>
      </c>
      <c r="C48" s="94">
        <f>+C19/C12</f>
        <v>-2.5536821120000002</v>
      </c>
      <c r="D48" s="95">
        <f>+D19/D12</f>
        <v>-0.27615990976832483</v>
      </c>
      <c r="E48" s="95">
        <f>+E19/E12</f>
        <v>3.4564314505492358E-3</v>
      </c>
      <c r="F48" s="95">
        <f>+F19/F12</f>
        <v>-1.422965151050209</v>
      </c>
      <c r="G48" s="95">
        <f>+G19/G12</f>
        <v>-0.35965412203313635</v>
      </c>
      <c r="H48" s="36"/>
    </row>
    <row r="49" spans="1:6" x14ac:dyDescent="0.55000000000000004">
      <c r="A49" s="90"/>
      <c r="B49" s="90"/>
      <c r="C49" s="96"/>
      <c r="D49" s="96"/>
      <c r="E49" s="96"/>
      <c r="F49" s="96"/>
    </row>
  </sheetData>
  <sheetProtection selectLockedCells="1" selectUnlockedCells="1"/>
  <mergeCells count="5">
    <mergeCell ref="A41:G41"/>
    <mergeCell ref="T1:U1"/>
    <mergeCell ref="T2:U2"/>
    <mergeCell ref="T3:U3"/>
    <mergeCell ref="A5:G5"/>
  </mergeCells>
  <conditionalFormatting sqref="D1:G4 C42:G1048576 D40:G40 D7:F39">
    <cfRule type="cellIs" dxfId="391" priority="6" operator="lessThan">
      <formula>-0.01</formula>
    </cfRule>
  </conditionalFormatting>
  <conditionalFormatting sqref="C1:C4 C7:C40">
    <cfRule type="cellIs" dxfId="390" priority="5" operator="lessThan">
      <formula>-0.01</formula>
    </cfRule>
  </conditionalFormatting>
  <conditionalFormatting sqref="G7:G39">
    <cfRule type="cellIs" dxfId="389" priority="4" operator="lessThan">
      <formula>-0.01</formula>
    </cfRule>
  </conditionalFormatting>
  <conditionalFormatting sqref="D6:F6">
    <cfRule type="cellIs" dxfId="388" priority="3" operator="lessThan">
      <formula>-0.01</formula>
    </cfRule>
  </conditionalFormatting>
  <conditionalFormatting sqref="C6">
    <cfRule type="cellIs" dxfId="387" priority="2" operator="lessThan">
      <formula>-0.01</formula>
    </cfRule>
  </conditionalFormatting>
  <conditionalFormatting sqref="G6">
    <cfRule type="cellIs" dxfId="386" priority="1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90" zoomScaleNormal="50" zoomScaleSheetLayoutView="90" workbookViewId="0">
      <pane xSplit="2" ySplit="6" topLeftCell="C34" activePane="bottomRight" state="frozen"/>
      <selection activeCell="C5" sqref="C5:D5"/>
      <selection pane="topRight" activeCell="C5" sqref="C5:D5"/>
      <selection pane="bottomLeft" activeCell="C5" sqref="C5:D5"/>
      <selection pane="bottomRight" activeCell="C35" sqref="C35"/>
    </sheetView>
  </sheetViews>
  <sheetFormatPr baseColWidth="10" defaultColWidth="11.44140625" defaultRowHeight="28.8" x14ac:dyDescent="0.55000000000000004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8" width="23.5546875" style="4" bestFit="1" customWidth="1"/>
    <col min="9" max="16384" width="11.44140625" style="1"/>
  </cols>
  <sheetData>
    <row r="1" spans="1:31" s="42" customFormat="1" ht="13.8" customHeight="1" x14ac:dyDescent="0.45">
      <c r="A1" s="25"/>
      <c r="B1" s="39"/>
      <c r="C1" s="40"/>
      <c r="D1" s="40"/>
      <c r="E1" s="40"/>
      <c r="F1" s="40"/>
      <c r="G1" s="97"/>
      <c r="H1" s="41"/>
      <c r="I1" s="39"/>
      <c r="J1" s="39"/>
      <c r="K1" s="39"/>
      <c r="L1" s="39"/>
      <c r="M1" s="39"/>
      <c r="N1" s="39"/>
      <c r="R1" s="39"/>
      <c r="S1" s="39"/>
      <c r="T1" s="278"/>
      <c r="U1" s="278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44"/>
      <c r="D2" s="44"/>
      <c r="E2" s="44"/>
      <c r="F2" s="44"/>
      <c r="G2" s="98"/>
      <c r="H2" s="41"/>
      <c r="I2" s="39"/>
      <c r="J2" s="39"/>
      <c r="K2" s="39"/>
      <c r="L2" s="39"/>
      <c r="M2" s="39"/>
      <c r="N2" s="39"/>
      <c r="R2" s="43"/>
      <c r="S2" s="4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5">
      <c r="A3" s="46"/>
      <c r="B3" s="47"/>
      <c r="C3" s="48"/>
      <c r="D3" s="48"/>
      <c r="E3" s="48"/>
      <c r="F3" s="48"/>
      <c r="G3" s="99"/>
      <c r="H3" s="49"/>
      <c r="I3" s="46"/>
      <c r="J3" s="46"/>
      <c r="K3" s="46"/>
      <c r="L3" s="46"/>
      <c r="M3" s="46"/>
      <c r="N3" s="46"/>
      <c r="R3" s="46"/>
      <c r="S3" s="46"/>
      <c r="T3" s="280"/>
      <c r="U3" s="280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1:31" s="42" customFormat="1" ht="13.8" customHeight="1" x14ac:dyDescent="0.55000000000000004">
      <c r="A4" s="46"/>
      <c r="B4" s="46"/>
      <c r="C4" s="50"/>
      <c r="D4" s="50"/>
      <c r="E4" s="50"/>
      <c r="F4" s="50"/>
      <c r="G4" s="100"/>
      <c r="H4" s="5"/>
    </row>
    <row r="5" spans="1:31" ht="29.4" thickBot="1" x14ac:dyDescent="0.6">
      <c r="A5" s="281" t="s">
        <v>76</v>
      </c>
      <c r="B5" s="281"/>
      <c r="C5" s="281"/>
      <c r="D5" s="281"/>
      <c r="E5" s="281"/>
      <c r="F5" s="281"/>
      <c r="G5" s="281"/>
    </row>
    <row r="6" spans="1:31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  <c r="H6" s="26"/>
    </row>
    <row r="7" spans="1:31" s="29" customFormat="1" ht="30.75" customHeight="1" x14ac:dyDescent="0.35">
      <c r="A7" s="101"/>
      <c r="B7" s="79" t="s">
        <v>2</v>
      </c>
      <c r="C7" s="51">
        <v>2500000</v>
      </c>
      <c r="D7" s="51">
        <v>58711413.439999998</v>
      </c>
      <c r="E7" s="52">
        <v>26321838</v>
      </c>
      <c r="F7" s="52">
        <v>7326465.7000000002</v>
      </c>
      <c r="G7" s="51">
        <f>+C7+D7+E7+F7</f>
        <v>94859717.140000001</v>
      </c>
      <c r="H7" s="28"/>
    </row>
    <row r="8" spans="1:31" s="29" customFormat="1" ht="30.75" customHeight="1" x14ac:dyDescent="0.35">
      <c r="A8" s="102"/>
      <c r="B8" s="80" t="s">
        <v>42</v>
      </c>
      <c r="C8" s="54"/>
      <c r="D8" s="54"/>
      <c r="E8" s="55"/>
      <c r="F8" s="55"/>
      <c r="G8" s="51">
        <f>+C8+D8+E8+F8</f>
        <v>0</v>
      </c>
      <c r="H8" s="28"/>
      <c r="N8" s="30"/>
    </row>
    <row r="9" spans="1:31" s="27" customFormat="1" ht="30.75" customHeight="1" x14ac:dyDescent="0.35">
      <c r="A9" s="102"/>
      <c r="B9" s="81" t="s">
        <v>3</v>
      </c>
      <c r="C9" s="54"/>
      <c r="D9" s="57">
        <v>41316069.170000002</v>
      </c>
      <c r="E9" s="55">
        <v>-6621092.6399999997</v>
      </c>
      <c r="F9" s="55">
        <v>3227487.33</v>
      </c>
      <c r="G9" s="51">
        <f>+C9+D9+E9+F9</f>
        <v>37922463.859999999</v>
      </c>
      <c r="H9" s="26"/>
    </row>
    <row r="10" spans="1:31" s="27" customFormat="1" ht="30.75" customHeight="1" x14ac:dyDescent="0.35">
      <c r="A10" s="102"/>
      <c r="B10" s="81" t="s">
        <v>4</v>
      </c>
      <c r="C10" s="54"/>
      <c r="D10" s="54"/>
      <c r="E10" s="55"/>
      <c r="F10" s="55"/>
      <c r="G10" s="51">
        <f>+C10+D10+E10+F10</f>
        <v>0</v>
      </c>
      <c r="H10" s="26"/>
    </row>
    <row r="11" spans="1:31" s="27" customFormat="1" ht="30.75" customHeight="1" thickBot="1" x14ac:dyDescent="0.4">
      <c r="A11" s="103"/>
      <c r="B11" s="82" t="s">
        <v>5</v>
      </c>
      <c r="C11" s="58"/>
      <c r="D11" s="58"/>
      <c r="E11" s="59"/>
      <c r="F11" s="59"/>
      <c r="G11" s="112">
        <f>+C11+D11+E11+F11</f>
        <v>0</v>
      </c>
      <c r="H11" s="26"/>
    </row>
    <row r="12" spans="1:31" s="27" customFormat="1" ht="30.75" customHeight="1" thickBot="1" x14ac:dyDescent="0.4">
      <c r="A12" s="104"/>
      <c r="B12" s="83" t="s">
        <v>6</v>
      </c>
      <c r="C12" s="61">
        <f>SUM(C7:C11)</f>
        <v>2500000</v>
      </c>
      <c r="D12" s="61">
        <f>SUM(D7:D11)</f>
        <v>100027482.61</v>
      </c>
      <c r="E12" s="62">
        <f>SUM(E7:E11)</f>
        <v>19700745.359999999</v>
      </c>
      <c r="F12" s="62">
        <f>SUM(F7:F11)</f>
        <v>10553953.030000001</v>
      </c>
      <c r="G12" s="61">
        <f>SUM(G7:G11)</f>
        <v>132782181</v>
      </c>
      <c r="H12" s="26"/>
    </row>
    <row r="13" spans="1:31" s="32" customFormat="1" ht="30.75" customHeight="1" x14ac:dyDescent="0.35">
      <c r="A13" s="105">
        <v>60</v>
      </c>
      <c r="B13" s="84" t="s">
        <v>7</v>
      </c>
      <c r="C13" s="51">
        <v>110384.27</v>
      </c>
      <c r="D13" s="64">
        <v>79303120.420000002</v>
      </c>
      <c r="E13" s="65">
        <v>12770912.85</v>
      </c>
      <c r="F13" s="65">
        <v>8916447.4299999997</v>
      </c>
      <c r="G13" s="51">
        <f>+C13+D13+E13+F13</f>
        <v>101100864.97</v>
      </c>
      <c r="H13" s="31"/>
    </row>
    <row r="14" spans="1:31" s="32" customFormat="1" ht="30.75" customHeight="1" thickBot="1" x14ac:dyDescent="0.4">
      <c r="A14" s="106" t="s">
        <v>8</v>
      </c>
      <c r="B14" s="82" t="s">
        <v>43</v>
      </c>
      <c r="C14" s="58">
        <v>1716154.63</v>
      </c>
      <c r="D14" s="58">
        <v>4060890.25</v>
      </c>
      <c r="E14" s="59">
        <v>1298162.06</v>
      </c>
      <c r="F14" s="59">
        <v>1194855.67</v>
      </c>
      <c r="G14" s="58">
        <f>+C14+D14+E14+F14</f>
        <v>8270062.6099999994</v>
      </c>
      <c r="H14" s="33"/>
      <c r="I14" s="34"/>
    </row>
    <row r="15" spans="1:31" s="27" customFormat="1" ht="30.75" customHeight="1" thickBot="1" x14ac:dyDescent="0.4">
      <c r="A15" s="107" t="s">
        <v>9</v>
      </c>
      <c r="B15" s="85" t="s">
        <v>10</v>
      </c>
      <c r="C15" s="61">
        <f>SUM(C13:C14)</f>
        <v>1826538.9</v>
      </c>
      <c r="D15" s="61">
        <f>SUM(D13:D14)</f>
        <v>83364010.670000002</v>
      </c>
      <c r="E15" s="62">
        <f>SUM(E13:E14)</f>
        <v>14069074.91</v>
      </c>
      <c r="F15" s="62">
        <f>SUM(F13:F14)</f>
        <v>10111303.1</v>
      </c>
      <c r="G15" s="61">
        <f>SUM(G13:G14)</f>
        <v>109370927.58</v>
      </c>
      <c r="H15" s="26"/>
      <c r="I15" s="34"/>
    </row>
    <row r="16" spans="1:31" s="27" customFormat="1" ht="30.75" customHeight="1" thickBot="1" x14ac:dyDescent="0.4">
      <c r="A16" s="108" t="s">
        <v>11</v>
      </c>
      <c r="B16" s="86" t="s">
        <v>12</v>
      </c>
      <c r="C16" s="67">
        <f>+C12-C15</f>
        <v>673461.10000000009</v>
      </c>
      <c r="D16" s="67">
        <f>+D12-D15</f>
        <v>16663471.939999998</v>
      </c>
      <c r="E16" s="68">
        <f>+E12-E15</f>
        <v>5631670.4499999993</v>
      </c>
      <c r="F16" s="68">
        <f>+F12-F15</f>
        <v>442649.93000000156</v>
      </c>
      <c r="G16" s="67">
        <f>+G12-G15</f>
        <v>23411253.420000002</v>
      </c>
      <c r="H16" s="26"/>
      <c r="I16" s="34"/>
    </row>
    <row r="17" spans="1:12" s="32" customFormat="1" ht="30.75" customHeight="1" x14ac:dyDescent="0.35">
      <c r="A17" s="105">
        <v>63</v>
      </c>
      <c r="B17" s="84" t="s">
        <v>44</v>
      </c>
      <c r="C17" s="64">
        <v>8162495.2999999998</v>
      </c>
      <c r="D17" s="64">
        <v>24716853.559999999</v>
      </c>
      <c r="E17" s="65">
        <v>8731210.0899999999</v>
      </c>
      <c r="F17" s="65">
        <v>8632602.5</v>
      </c>
      <c r="G17" s="51">
        <f>+C17+D17+E17+F17</f>
        <v>50243161.450000003</v>
      </c>
      <c r="H17" s="31"/>
      <c r="I17" s="34"/>
    </row>
    <row r="18" spans="1:12" s="32" customFormat="1" ht="30.75" customHeight="1" thickBot="1" x14ac:dyDescent="0.4">
      <c r="A18" s="106">
        <v>64</v>
      </c>
      <c r="B18" s="82" t="s">
        <v>13</v>
      </c>
      <c r="C18" s="58">
        <v>50040</v>
      </c>
      <c r="D18" s="58">
        <v>587126.56000000006</v>
      </c>
      <c r="E18" s="59">
        <v>263478</v>
      </c>
      <c r="F18" s="59">
        <v>74384</v>
      </c>
      <c r="G18" s="58">
        <f>+C18+D18+E18+F18</f>
        <v>975028.56</v>
      </c>
      <c r="H18" s="31"/>
      <c r="I18" s="34"/>
    </row>
    <row r="19" spans="1:12" s="27" customFormat="1" ht="30.75" customHeight="1" thickBot="1" x14ac:dyDescent="0.4">
      <c r="A19" s="107" t="s">
        <v>14</v>
      </c>
      <c r="B19" s="85" t="s">
        <v>15</v>
      </c>
      <c r="C19" s="61">
        <f>+C16-C17-C18</f>
        <v>-7539074.1999999993</v>
      </c>
      <c r="D19" s="61">
        <f>+D16-D17-D18</f>
        <v>-8640508.1800000016</v>
      </c>
      <c r="E19" s="62">
        <f>+E16-E17-E18</f>
        <v>-3363017.6400000006</v>
      </c>
      <c r="F19" s="62">
        <f>+F16-F17-F18</f>
        <v>-8264336.5699999984</v>
      </c>
      <c r="G19" s="61">
        <f>+G16-G17-G18</f>
        <v>-27806936.59</v>
      </c>
      <c r="H19" s="26"/>
      <c r="I19" s="34"/>
    </row>
    <row r="20" spans="1:12" s="32" customFormat="1" ht="30.75" customHeight="1" x14ac:dyDescent="0.35">
      <c r="A20" s="105">
        <v>75</v>
      </c>
      <c r="B20" s="84" t="s">
        <v>16</v>
      </c>
      <c r="C20" s="51"/>
      <c r="D20" s="51">
        <v>72881.19</v>
      </c>
      <c r="E20" s="52"/>
      <c r="F20" s="52">
        <v>53900</v>
      </c>
      <c r="G20" s="51">
        <f t="shared" ref="G20:G25" si="0">+C20+D20+E20+F20</f>
        <v>126781.19</v>
      </c>
      <c r="H20" s="31"/>
      <c r="L20" s="35"/>
    </row>
    <row r="21" spans="1:12" s="32" customFormat="1" ht="30.75" customHeight="1" x14ac:dyDescent="0.35">
      <c r="A21" s="109">
        <v>65</v>
      </c>
      <c r="B21" s="81" t="s">
        <v>17</v>
      </c>
      <c r="C21" s="54">
        <v>135320</v>
      </c>
      <c r="D21" s="54"/>
      <c r="E21" s="55"/>
      <c r="F21" s="55"/>
      <c r="G21" s="54">
        <f t="shared" si="0"/>
        <v>135320</v>
      </c>
      <c r="H21" s="31"/>
    </row>
    <row r="22" spans="1:12" s="27" customFormat="1" ht="30.75" customHeight="1" x14ac:dyDescent="0.35">
      <c r="A22" s="109"/>
      <c r="B22" s="87" t="s">
        <v>18</v>
      </c>
      <c r="C22" s="70"/>
      <c r="D22" s="70"/>
      <c r="E22" s="71"/>
      <c r="F22" s="71"/>
      <c r="G22" s="70">
        <f t="shared" si="0"/>
        <v>0</v>
      </c>
      <c r="H22" s="26"/>
    </row>
    <row r="23" spans="1:12" s="27" customFormat="1" ht="30.75" customHeight="1" x14ac:dyDescent="0.35">
      <c r="A23" s="109"/>
      <c r="B23" s="87" t="s">
        <v>19</v>
      </c>
      <c r="C23" s="70"/>
      <c r="D23" s="70"/>
      <c r="E23" s="71"/>
      <c r="F23" s="71"/>
      <c r="G23" s="70">
        <f t="shared" si="0"/>
        <v>0</v>
      </c>
      <c r="H23" s="26"/>
    </row>
    <row r="24" spans="1:12" s="32" customFormat="1" ht="30.75" customHeight="1" x14ac:dyDescent="0.35">
      <c r="A24" s="109">
        <v>68</v>
      </c>
      <c r="B24" s="81" t="s">
        <v>20</v>
      </c>
      <c r="C24" s="54">
        <v>928868.58</v>
      </c>
      <c r="D24" s="54">
        <v>5756548.6100000003</v>
      </c>
      <c r="E24" s="55">
        <v>360073.02</v>
      </c>
      <c r="F24" s="55">
        <v>575613.82999999996</v>
      </c>
      <c r="G24" s="57">
        <f t="shared" si="0"/>
        <v>7621104.040000001</v>
      </c>
      <c r="H24" s="31"/>
    </row>
    <row r="25" spans="1:12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59"/>
      <c r="G25" s="58">
        <f t="shared" si="0"/>
        <v>0</v>
      </c>
      <c r="H25" s="31"/>
    </row>
    <row r="26" spans="1:12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-8603262.7799999993</v>
      </c>
      <c r="D26" s="61">
        <f>+D19+D20-(D21+D22+D23+D24+D25)</f>
        <v>-14324175.600000001</v>
      </c>
      <c r="E26" s="62">
        <f>+E19+E20-(E21+E22+E23+E24+E25)</f>
        <v>-3723090.6600000006</v>
      </c>
      <c r="F26" s="62">
        <f>+F19+F20-(F21+F22+F23+F24+F25)</f>
        <v>-8786050.3999999985</v>
      </c>
      <c r="G26" s="61">
        <f>+G19+G20-(G21+G22+G23+G24+G25)</f>
        <v>-35436579.439999998</v>
      </c>
      <c r="H26" s="26"/>
    </row>
    <row r="27" spans="1:12" s="32" customFormat="1" ht="30.75" customHeight="1" x14ac:dyDescent="0.35">
      <c r="A27" s="105">
        <v>76</v>
      </c>
      <c r="B27" s="84" t="s">
        <v>24</v>
      </c>
      <c r="C27" s="51"/>
      <c r="D27" s="51">
        <v>12624.66</v>
      </c>
      <c r="E27" s="52"/>
      <c r="F27" s="52"/>
      <c r="G27" s="51">
        <f>+C27+D27+E27+F27</f>
        <v>12624.66</v>
      </c>
      <c r="H27" s="31"/>
    </row>
    <row r="28" spans="1:12" s="32" customFormat="1" ht="30.75" customHeight="1" thickBot="1" x14ac:dyDescent="0.4">
      <c r="A28" s="106">
        <v>66</v>
      </c>
      <c r="B28" s="82" t="s">
        <v>25</v>
      </c>
      <c r="C28" s="73"/>
      <c r="D28" s="58"/>
      <c r="E28" s="59"/>
      <c r="F28" s="59"/>
      <c r="G28" s="58">
        <f>+C28+D28+E28+F28</f>
        <v>0</v>
      </c>
      <c r="H28" s="31"/>
    </row>
    <row r="29" spans="1:12" s="27" customFormat="1" ht="30.75" customHeight="1" thickBot="1" x14ac:dyDescent="0.4">
      <c r="A29" s="107" t="s">
        <v>26</v>
      </c>
      <c r="B29" s="85" t="s">
        <v>27</v>
      </c>
      <c r="C29" s="61">
        <f>+C27-C28</f>
        <v>0</v>
      </c>
      <c r="D29" s="61">
        <f>+D27-D28</f>
        <v>12624.66</v>
      </c>
      <c r="E29" s="62">
        <f>+E27-E28</f>
        <v>0</v>
      </c>
      <c r="F29" s="62">
        <f>+F27-F28</f>
        <v>0</v>
      </c>
      <c r="G29" s="61">
        <f>+G27-G28</f>
        <v>12624.66</v>
      </c>
      <c r="H29" s="26"/>
    </row>
    <row r="30" spans="1:12" s="27" customFormat="1" ht="30.75" customHeight="1" thickBot="1" x14ac:dyDescent="0.4">
      <c r="A30" s="107" t="s">
        <v>28</v>
      </c>
      <c r="B30" s="85" t="s">
        <v>29</v>
      </c>
      <c r="C30" s="61">
        <f>+C26+C29</f>
        <v>-8603262.7799999993</v>
      </c>
      <c r="D30" s="61">
        <f>+D26+D29</f>
        <v>-14311550.940000001</v>
      </c>
      <c r="E30" s="62">
        <f>+E26+E29</f>
        <v>-3723090.6600000006</v>
      </c>
      <c r="F30" s="62">
        <f>+F26+F29</f>
        <v>-8786050.3999999985</v>
      </c>
      <c r="G30" s="61">
        <f>+G26+G29</f>
        <v>-35423954.780000001</v>
      </c>
      <c r="H30" s="26"/>
    </row>
    <row r="31" spans="1:12" s="32" customFormat="1" ht="30.75" customHeight="1" x14ac:dyDescent="0.35">
      <c r="A31" s="105" t="s">
        <v>30</v>
      </c>
      <c r="B31" s="84" t="s">
        <v>31</v>
      </c>
      <c r="C31" s="51"/>
      <c r="D31" s="51"/>
      <c r="E31" s="52"/>
      <c r="F31" s="52"/>
      <c r="G31" s="51">
        <f>+C31+D31+E31+F31</f>
        <v>0</v>
      </c>
      <c r="H31" s="31"/>
    </row>
    <row r="32" spans="1:12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5"/>
      <c r="G32" s="54">
        <f>+C32+D32+E32+F32</f>
        <v>0</v>
      </c>
      <c r="H32" s="31"/>
    </row>
    <row r="33" spans="1:8" s="37" customFormat="1" ht="30.75" customHeight="1" x14ac:dyDescent="0.35">
      <c r="A33" s="110"/>
      <c r="B33" s="88" t="s">
        <v>45</v>
      </c>
      <c r="C33" s="74">
        <f>+C12+C20+C27</f>
        <v>2500000</v>
      </c>
      <c r="D33" s="74">
        <f>+D12+D20+D27</f>
        <v>100112988.45999999</v>
      </c>
      <c r="E33" s="75">
        <f>+E12+E20+E27</f>
        <v>19700745.359999999</v>
      </c>
      <c r="F33" s="75">
        <f>+F12+F20+F27</f>
        <v>10607853.030000001</v>
      </c>
      <c r="G33" s="74">
        <f>+G12+G20+G27</f>
        <v>132921586.84999999</v>
      </c>
      <c r="H33" s="36"/>
    </row>
    <row r="34" spans="1:8" s="37" customFormat="1" ht="30.75" customHeight="1" thickBot="1" x14ac:dyDescent="0.4">
      <c r="A34" s="111"/>
      <c r="B34" s="89" t="s">
        <v>46</v>
      </c>
      <c r="C34" s="73">
        <f>+C15+C17+C18+C24+C21+C28</f>
        <v>11103262.779999999</v>
      </c>
      <c r="D34" s="73">
        <f>+D15+D17+D18+D24+D21+D28</f>
        <v>114424539.40000001</v>
      </c>
      <c r="E34" s="77">
        <f>+E15+E17+E18+E24+E21+E28</f>
        <v>23423836.02</v>
      </c>
      <c r="F34" s="77">
        <f>+F15+F17+F18+F24+F21+F28</f>
        <v>19393903.43</v>
      </c>
      <c r="G34" s="73">
        <f>+G15+G17+G18+G24+G21+G28</f>
        <v>168345541.63</v>
      </c>
      <c r="H34" s="36"/>
    </row>
    <row r="35" spans="1:8" s="27" customFormat="1" ht="30.75" customHeight="1" thickBot="1" x14ac:dyDescent="0.4">
      <c r="A35" s="107" t="s">
        <v>34</v>
      </c>
      <c r="B35" s="85" t="s">
        <v>35</v>
      </c>
      <c r="C35" s="61">
        <f>+C30</f>
        <v>-8603262.7799999993</v>
      </c>
      <c r="D35" s="61">
        <f>+D30</f>
        <v>-14311550.940000001</v>
      </c>
      <c r="E35" s="62">
        <f>+E30</f>
        <v>-3723090.6600000006</v>
      </c>
      <c r="F35" s="62">
        <f>+F30</f>
        <v>-8786050.3999999985</v>
      </c>
      <c r="G35" s="61">
        <f>+G30</f>
        <v>-35423954.780000001</v>
      </c>
      <c r="H35" s="26"/>
    </row>
    <row r="36" spans="1:8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2">
        <v>0</v>
      </c>
      <c r="G36" s="51">
        <f>+C36+D36+E36+F36</f>
        <v>0</v>
      </c>
      <c r="H36" s="31"/>
    </row>
    <row r="37" spans="1:8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59">
        <v>0</v>
      </c>
      <c r="G37" s="58">
        <f>+C37+D37+E37+F37</f>
        <v>0</v>
      </c>
      <c r="H37" s="31"/>
    </row>
    <row r="38" spans="1:8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2"/>
      <c r="G38" s="61"/>
      <c r="H38" s="26"/>
    </row>
    <row r="39" spans="1:8" s="27" customFormat="1" ht="30.6" customHeight="1" x14ac:dyDescent="0.35">
      <c r="A39" s="120" t="s">
        <v>40</v>
      </c>
      <c r="B39" s="121" t="s">
        <v>41</v>
      </c>
      <c r="C39" s="122">
        <f>+C35</f>
        <v>-8603262.7799999993</v>
      </c>
      <c r="D39" s="122">
        <f>+D35</f>
        <v>-14311550.940000001</v>
      </c>
      <c r="E39" s="123">
        <f>+E35</f>
        <v>-3723090.6600000006</v>
      </c>
      <c r="F39" s="123">
        <f>+F35</f>
        <v>-8786050.3999999985</v>
      </c>
      <c r="G39" s="122">
        <f>+G35</f>
        <v>-35423954.780000001</v>
      </c>
      <c r="H39" s="26"/>
    </row>
    <row r="40" spans="1:8" s="27" customFormat="1" ht="11.4" customHeight="1" x14ac:dyDescent="0.35">
      <c r="A40" s="90"/>
      <c r="B40" s="90"/>
      <c r="C40" s="91"/>
      <c r="D40" s="91"/>
      <c r="E40" s="91"/>
      <c r="F40" s="91"/>
      <c r="G40" s="91"/>
      <c r="H40" s="26"/>
    </row>
    <row r="41" spans="1:8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  <c r="H41" s="26"/>
    </row>
    <row r="42" spans="1:8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1.7037144355623948</v>
      </c>
      <c r="E42" s="95">
        <f>+E12/E7</f>
        <v>0.74845629549121906</v>
      </c>
      <c r="F42" s="95">
        <f>+F12/F7</f>
        <v>1.4405244577886991</v>
      </c>
      <c r="G42" s="95">
        <f>+G12/G7</f>
        <v>1.3997741612915797</v>
      </c>
      <c r="H42" s="38"/>
    </row>
    <row r="43" spans="1:8" s="37" customFormat="1" ht="18" x14ac:dyDescent="0.35">
      <c r="A43" s="92">
        <v>2</v>
      </c>
      <c r="B43" s="93" t="s">
        <v>53</v>
      </c>
      <c r="C43" s="94">
        <f>+C13/C7</f>
        <v>4.4153708E-2</v>
      </c>
      <c r="D43" s="95">
        <f>+D13/D7</f>
        <v>1.3507274952772794</v>
      </c>
      <c r="E43" s="95">
        <f>+E13/E7</f>
        <v>0.48518317185904719</v>
      </c>
      <c r="F43" s="95">
        <f>+F13/F7</f>
        <v>1.217018927693881</v>
      </c>
      <c r="G43" s="95">
        <f>+G13/G7</f>
        <v>1.0657934476105271</v>
      </c>
      <c r="H43" s="36"/>
    </row>
    <row r="44" spans="1:8" s="37" customFormat="1" ht="18" x14ac:dyDescent="0.35">
      <c r="A44" s="92">
        <v>3</v>
      </c>
      <c r="B44" s="93" t="s">
        <v>56</v>
      </c>
      <c r="C44" s="94">
        <f>+C13/C12</f>
        <v>4.4153708E-2</v>
      </c>
      <c r="D44" s="95">
        <f>+D13/D12</f>
        <v>0.79281331840767399</v>
      </c>
      <c r="E44" s="95">
        <f>+E13/E12</f>
        <v>0.64824516111607666</v>
      </c>
      <c r="F44" s="95">
        <f>+F13/F12</f>
        <v>0.84484433507091317</v>
      </c>
      <c r="G44" s="95">
        <f>+G13/G12</f>
        <v>0.76140385862467497</v>
      </c>
      <c r="H44" s="36"/>
    </row>
    <row r="45" spans="1:8" s="37" customFormat="1" ht="18" x14ac:dyDescent="0.35">
      <c r="A45" s="92">
        <v>4</v>
      </c>
      <c r="B45" s="93" t="s">
        <v>57</v>
      </c>
      <c r="C45" s="94">
        <f>+C15/C12</f>
        <v>0.73061555999999994</v>
      </c>
      <c r="D45" s="95">
        <f>+D15/D12</f>
        <v>0.83341106358769734</v>
      </c>
      <c r="E45" s="95">
        <f>+E15/E12</f>
        <v>0.71413921924830159</v>
      </c>
      <c r="F45" s="95">
        <f>+F15/F12</f>
        <v>0.95805837597137744</v>
      </c>
      <c r="G45" s="95">
        <f>+G15/G12</f>
        <v>0.82368678354515057</v>
      </c>
      <c r="H45" s="36"/>
    </row>
    <row r="46" spans="1:8" s="37" customFormat="1" ht="18" x14ac:dyDescent="0.35">
      <c r="A46" s="92">
        <v>5</v>
      </c>
      <c r="B46" s="93" t="s">
        <v>58</v>
      </c>
      <c r="C46" s="94">
        <f>+C17/C12</f>
        <v>3.26499812</v>
      </c>
      <c r="D46" s="95">
        <f>+D17/D12</f>
        <v>0.24710062589867671</v>
      </c>
      <c r="E46" s="95">
        <f>+E17/E12</f>
        <v>0.44319186560969792</v>
      </c>
      <c r="F46" s="95">
        <f>+F17/F12</f>
        <v>0.81794967965666598</v>
      </c>
      <c r="G46" s="95">
        <f>+G17/G12</f>
        <v>0.37838783089426736</v>
      </c>
      <c r="H46" s="36"/>
    </row>
    <row r="47" spans="1:8" s="37" customFormat="1" ht="18" x14ac:dyDescent="0.35">
      <c r="A47" s="92">
        <v>6</v>
      </c>
      <c r="B47" s="93" t="s">
        <v>54</v>
      </c>
      <c r="C47" s="94">
        <f>+C16/C17</f>
        <v>8.2506767262702146E-2</v>
      </c>
      <c r="D47" s="95">
        <f>+D16/D17</f>
        <v>0.6741744817781733</v>
      </c>
      <c r="E47" s="95">
        <f>+E16/E17</f>
        <v>0.64500457461790373</v>
      </c>
      <c r="F47" s="95">
        <f>+F16/F17</f>
        <v>5.1276533351327314E-2</v>
      </c>
      <c r="G47" s="95">
        <f>+G16/G17</f>
        <v>0.46595900306349053</v>
      </c>
      <c r="H47" s="36"/>
    </row>
    <row r="48" spans="1:8" s="37" customFormat="1" ht="18" x14ac:dyDescent="0.35">
      <c r="A48" s="92">
        <v>7</v>
      </c>
      <c r="B48" s="93" t="s">
        <v>55</v>
      </c>
      <c r="C48" s="94">
        <f>+C19/C12</f>
        <v>-3.0156296799999995</v>
      </c>
      <c r="D48" s="95">
        <f>+D19/D12</f>
        <v>-8.6381341952678395E-2</v>
      </c>
      <c r="E48" s="95">
        <f>+E19/E12</f>
        <v>-0.17070509661163402</v>
      </c>
      <c r="F48" s="95">
        <f>+F19/F12</f>
        <v>-0.78305603090219533</v>
      </c>
      <c r="G48" s="95">
        <f>+G19/G12</f>
        <v>-0.20941768225662749</v>
      </c>
      <c r="H48" s="36"/>
    </row>
    <row r="49" spans="1:6" x14ac:dyDescent="0.55000000000000004">
      <c r="A49" s="90"/>
      <c r="B49" s="90"/>
      <c r="C49" s="96"/>
      <c r="D49" s="96"/>
      <c r="E49" s="96"/>
      <c r="F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T1:U1"/>
    <mergeCell ref="T2:U2"/>
    <mergeCell ref="T3:U3"/>
    <mergeCell ref="A5:G5"/>
  </mergeCells>
  <conditionalFormatting sqref="D1:G4 C42:G1048576 D40:G40 D7:F39">
    <cfRule type="cellIs" dxfId="374" priority="7" operator="lessThan">
      <formula>-0.01</formula>
    </cfRule>
  </conditionalFormatting>
  <conditionalFormatting sqref="C1:C4 C7:C40">
    <cfRule type="cellIs" dxfId="373" priority="6" operator="lessThan">
      <formula>-0.01</formula>
    </cfRule>
  </conditionalFormatting>
  <conditionalFormatting sqref="G7:G39">
    <cfRule type="cellIs" dxfId="372" priority="5" operator="lessThan">
      <formula>-0.01</formula>
    </cfRule>
  </conditionalFormatting>
  <conditionalFormatting sqref="G6">
    <cfRule type="cellIs" dxfId="371" priority="1" operator="lessThan">
      <formula>-0.01</formula>
    </cfRule>
  </conditionalFormatting>
  <conditionalFormatting sqref="D6:F6">
    <cfRule type="cellIs" dxfId="370" priority="3" operator="lessThan">
      <formula>-0.01</formula>
    </cfRule>
  </conditionalFormatting>
  <conditionalFormatting sqref="C6">
    <cfRule type="cellIs" dxfId="369" priority="2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90" zoomScaleNormal="50" zoomScaleSheetLayoutView="90" workbookViewId="0">
      <pane xSplit="2" ySplit="6" topLeftCell="C34" activePane="bottomRight" state="frozen"/>
      <selection activeCell="C5" sqref="C5:D5"/>
      <selection pane="topRight" activeCell="C5" sqref="C5:D5"/>
      <selection pane="bottomLeft" activeCell="C5" sqref="C5:D5"/>
      <selection pane="bottomRight" activeCell="C39" sqref="C39"/>
    </sheetView>
  </sheetViews>
  <sheetFormatPr baseColWidth="10" defaultColWidth="11.44140625" defaultRowHeight="28.8" x14ac:dyDescent="0.55000000000000004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8" width="23.5546875" style="4" bestFit="1" customWidth="1"/>
    <col min="9" max="16384" width="11.44140625" style="1"/>
  </cols>
  <sheetData>
    <row r="1" spans="1:31" s="42" customFormat="1" ht="13.8" customHeight="1" x14ac:dyDescent="0.45">
      <c r="A1" s="25"/>
      <c r="B1" s="39"/>
      <c r="C1" s="40"/>
      <c r="D1" s="40"/>
      <c r="E1" s="40"/>
      <c r="F1" s="40"/>
      <c r="G1" s="97"/>
      <c r="H1" s="41"/>
      <c r="I1" s="39"/>
      <c r="J1" s="39"/>
      <c r="K1" s="39"/>
      <c r="L1" s="39"/>
      <c r="M1" s="39"/>
      <c r="N1" s="39"/>
      <c r="R1" s="39"/>
      <c r="S1" s="39"/>
      <c r="T1" s="278"/>
      <c r="U1" s="278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44"/>
      <c r="D2" s="44"/>
      <c r="E2" s="44"/>
      <c r="F2" s="44"/>
      <c r="G2" s="98"/>
      <c r="H2" s="41"/>
      <c r="I2" s="39"/>
      <c r="J2" s="39"/>
      <c r="K2" s="39"/>
      <c r="L2" s="39"/>
      <c r="M2" s="39"/>
      <c r="N2" s="39"/>
      <c r="R2" s="43"/>
      <c r="S2" s="4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5">
      <c r="A3" s="46"/>
      <c r="B3" s="47"/>
      <c r="C3" s="48"/>
      <c r="D3" s="48"/>
      <c r="E3" s="48"/>
      <c r="F3" s="48"/>
      <c r="G3" s="99"/>
      <c r="H3" s="49"/>
      <c r="I3" s="46"/>
      <c r="J3" s="46"/>
      <c r="K3" s="46"/>
      <c r="L3" s="46"/>
      <c r="M3" s="46"/>
      <c r="N3" s="46"/>
      <c r="R3" s="46"/>
      <c r="S3" s="46"/>
      <c r="T3" s="280"/>
      <c r="U3" s="280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1:31" s="42" customFormat="1" ht="13.8" customHeight="1" x14ac:dyDescent="0.55000000000000004">
      <c r="A4" s="46"/>
      <c r="B4" s="46"/>
      <c r="C4" s="50"/>
      <c r="D4" s="50"/>
      <c r="E4" s="50"/>
      <c r="F4" s="50"/>
      <c r="G4" s="100"/>
      <c r="H4" s="5"/>
    </row>
    <row r="5" spans="1:31" ht="29.4" thickBot="1" x14ac:dyDescent="0.6">
      <c r="A5" s="281" t="s">
        <v>77</v>
      </c>
      <c r="B5" s="281"/>
      <c r="C5" s="281"/>
      <c r="D5" s="281"/>
      <c r="E5" s="281"/>
      <c r="F5" s="281"/>
      <c r="G5" s="281"/>
    </row>
    <row r="6" spans="1:31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  <c r="H6" s="26"/>
    </row>
    <row r="7" spans="1:31" s="29" customFormat="1" ht="30.75" customHeight="1" x14ac:dyDescent="0.35">
      <c r="A7" s="101"/>
      <c r="B7" s="79" t="s">
        <v>2</v>
      </c>
      <c r="C7" s="51">
        <v>8200000</v>
      </c>
      <c r="D7" s="51">
        <v>51107887.299999997</v>
      </c>
      <c r="E7" s="52">
        <v>31350538.039999999</v>
      </c>
      <c r="F7" s="52">
        <v>2553408</v>
      </c>
      <c r="G7" s="51">
        <f>+C7+D7+E7+F7</f>
        <v>93211833.340000004</v>
      </c>
      <c r="H7" s="28"/>
    </row>
    <row r="8" spans="1:31" s="29" customFormat="1" ht="30.75" customHeight="1" x14ac:dyDescent="0.35">
      <c r="A8" s="102"/>
      <c r="B8" s="80" t="s">
        <v>42</v>
      </c>
      <c r="C8" s="54"/>
      <c r="D8" s="54"/>
      <c r="E8" s="55"/>
      <c r="F8" s="55"/>
      <c r="G8" s="51">
        <f>+C8+D8+E8+F8</f>
        <v>0</v>
      </c>
      <c r="H8" s="28"/>
      <c r="N8" s="30"/>
    </row>
    <row r="9" spans="1:31" s="27" customFormat="1" ht="30.75" customHeight="1" x14ac:dyDescent="0.35">
      <c r="A9" s="102"/>
      <c r="B9" s="81" t="s">
        <v>3</v>
      </c>
      <c r="C9" s="54"/>
      <c r="D9" s="57">
        <v>47246023.43</v>
      </c>
      <c r="E9" s="55">
        <v>-12642508.619999999</v>
      </c>
      <c r="F9" s="55">
        <v>3057846.16</v>
      </c>
      <c r="G9" s="51">
        <f>+C9+D9+E9+F9</f>
        <v>37661360.969999999</v>
      </c>
      <c r="H9" s="26"/>
    </row>
    <row r="10" spans="1:31" s="27" customFormat="1" ht="30.75" customHeight="1" x14ac:dyDescent="0.35">
      <c r="A10" s="102"/>
      <c r="B10" s="81" t="s">
        <v>4</v>
      </c>
      <c r="C10" s="54"/>
      <c r="D10" s="54"/>
      <c r="E10" s="55"/>
      <c r="F10" s="55"/>
      <c r="G10" s="51">
        <f>+C10+D10+E10+F10</f>
        <v>0</v>
      </c>
      <c r="H10" s="26"/>
    </row>
    <row r="11" spans="1:31" s="27" customFormat="1" ht="30.75" customHeight="1" thickBot="1" x14ac:dyDescent="0.4">
      <c r="A11" s="103"/>
      <c r="B11" s="82" t="s">
        <v>5</v>
      </c>
      <c r="C11" s="58"/>
      <c r="D11" s="58"/>
      <c r="E11" s="59"/>
      <c r="F11" s="59"/>
      <c r="G11" s="112">
        <f>+C11+D11+E11+F11</f>
        <v>0</v>
      </c>
      <c r="H11" s="26"/>
    </row>
    <row r="12" spans="1:31" s="27" customFormat="1" ht="30.75" customHeight="1" thickBot="1" x14ac:dyDescent="0.4">
      <c r="A12" s="104"/>
      <c r="B12" s="83" t="s">
        <v>6</v>
      </c>
      <c r="C12" s="61">
        <f>SUM(C7:C11)</f>
        <v>8200000</v>
      </c>
      <c r="D12" s="61">
        <f>SUM(D7:D11)</f>
        <v>98353910.729999989</v>
      </c>
      <c r="E12" s="62">
        <f>SUM(E7:E11)</f>
        <v>18708029.420000002</v>
      </c>
      <c r="F12" s="62">
        <f>SUM(F7:F11)</f>
        <v>5611254.1600000001</v>
      </c>
      <c r="G12" s="61">
        <f>SUM(G7:G11)</f>
        <v>130873194.31</v>
      </c>
      <c r="H12" s="26"/>
    </row>
    <row r="13" spans="1:31" s="32" customFormat="1" ht="30.75" customHeight="1" x14ac:dyDescent="0.35">
      <c r="A13" s="105">
        <v>60</v>
      </c>
      <c r="B13" s="84" t="s">
        <v>7</v>
      </c>
      <c r="C13" s="51">
        <v>208323.59</v>
      </c>
      <c r="D13" s="64">
        <v>79825070.290000007</v>
      </c>
      <c r="E13" s="65">
        <v>11812582.24</v>
      </c>
      <c r="F13" s="65">
        <v>7927205.1200000001</v>
      </c>
      <c r="G13" s="51">
        <f>+C13+D13+E13+F13</f>
        <v>99773181.24000001</v>
      </c>
      <c r="H13" s="31"/>
    </row>
    <row r="14" spans="1:31" s="32" customFormat="1" ht="30.75" customHeight="1" thickBot="1" x14ac:dyDescent="0.4">
      <c r="A14" s="106" t="s">
        <v>8</v>
      </c>
      <c r="B14" s="82" t="s">
        <v>43</v>
      </c>
      <c r="C14" s="58">
        <v>927458.73</v>
      </c>
      <c r="D14" s="58">
        <v>3712313.88</v>
      </c>
      <c r="E14" s="59">
        <v>1548252.39</v>
      </c>
      <c r="F14" s="59">
        <v>1430808.4</v>
      </c>
      <c r="G14" s="58">
        <f>+C14+D14+E14+F14</f>
        <v>7618833.3999999985</v>
      </c>
      <c r="H14" s="33"/>
      <c r="I14" s="34"/>
    </row>
    <row r="15" spans="1:31" s="27" customFormat="1" ht="30.75" customHeight="1" thickBot="1" x14ac:dyDescent="0.4">
      <c r="A15" s="107" t="s">
        <v>9</v>
      </c>
      <c r="B15" s="85" t="s">
        <v>10</v>
      </c>
      <c r="C15" s="61">
        <f>SUM(C13:C14)</f>
        <v>1135782.32</v>
      </c>
      <c r="D15" s="61">
        <f>SUM(D13:D14)</f>
        <v>83537384.170000002</v>
      </c>
      <c r="E15" s="62">
        <f>SUM(E13:E14)</f>
        <v>13360834.630000001</v>
      </c>
      <c r="F15" s="62">
        <f>SUM(F13:F14)</f>
        <v>9358013.5199999996</v>
      </c>
      <c r="G15" s="61">
        <f>SUM(G13:G14)</f>
        <v>107392014.64000002</v>
      </c>
      <c r="H15" s="26"/>
      <c r="I15" s="34"/>
    </row>
    <row r="16" spans="1:31" s="27" customFormat="1" ht="30.75" customHeight="1" thickBot="1" x14ac:dyDescent="0.4">
      <c r="A16" s="108" t="s">
        <v>11</v>
      </c>
      <c r="B16" s="86" t="s">
        <v>12</v>
      </c>
      <c r="C16" s="67">
        <f>+C12-C15</f>
        <v>7064217.6799999997</v>
      </c>
      <c r="D16" s="67">
        <f>+D12-D15</f>
        <v>14816526.559999987</v>
      </c>
      <c r="E16" s="68">
        <f>+E12-E15</f>
        <v>5347194.790000001</v>
      </c>
      <c r="F16" s="68">
        <f>+F12-F15</f>
        <v>-3746759.3599999994</v>
      </c>
      <c r="G16" s="67">
        <f>+G12-G15</f>
        <v>23481179.669999987</v>
      </c>
      <c r="H16" s="26"/>
      <c r="I16" s="34"/>
    </row>
    <row r="17" spans="1:12" s="32" customFormat="1" ht="30.75" customHeight="1" x14ac:dyDescent="0.35">
      <c r="A17" s="105">
        <v>63</v>
      </c>
      <c r="B17" s="84" t="s">
        <v>44</v>
      </c>
      <c r="C17" s="64">
        <v>8184925.8099999996</v>
      </c>
      <c r="D17" s="64">
        <v>25351356.780000001</v>
      </c>
      <c r="E17" s="65">
        <v>8740355.6999999993</v>
      </c>
      <c r="F17" s="65">
        <v>10456033.199999999</v>
      </c>
      <c r="G17" s="51">
        <f>+C17+D17+E17+F17</f>
        <v>52732671.489999995</v>
      </c>
      <c r="H17" s="31"/>
      <c r="I17" s="34"/>
    </row>
    <row r="18" spans="1:12" s="32" customFormat="1" ht="30.75" customHeight="1" thickBot="1" x14ac:dyDescent="0.4">
      <c r="A18" s="106">
        <v>64</v>
      </c>
      <c r="B18" s="82" t="s">
        <v>13</v>
      </c>
      <c r="C18" s="58">
        <v>164000</v>
      </c>
      <c r="D18" s="58">
        <v>514724</v>
      </c>
      <c r="E18" s="59">
        <v>316699</v>
      </c>
      <c r="F18" s="59">
        <v>33375.370000000003</v>
      </c>
      <c r="G18" s="58">
        <f>+C18+D18+E18+F18</f>
        <v>1028798.37</v>
      </c>
      <c r="H18" s="31"/>
      <c r="I18" s="34"/>
    </row>
    <row r="19" spans="1:12" s="27" customFormat="1" ht="30.75" customHeight="1" thickBot="1" x14ac:dyDescent="0.4">
      <c r="A19" s="107" t="s">
        <v>14</v>
      </c>
      <c r="B19" s="85" t="s">
        <v>15</v>
      </c>
      <c r="C19" s="61">
        <f>+C16-C17-C18</f>
        <v>-1284708.1299999999</v>
      </c>
      <c r="D19" s="61">
        <f>+D16-D17-D18</f>
        <v>-11049554.220000014</v>
      </c>
      <c r="E19" s="62">
        <f>+E16-E17-E18</f>
        <v>-3709859.9099999983</v>
      </c>
      <c r="F19" s="62">
        <f>+F16-F17-F18</f>
        <v>-14236167.929999998</v>
      </c>
      <c r="G19" s="61">
        <f>+G16-G17-G18</f>
        <v>-30280290.190000009</v>
      </c>
      <c r="H19" s="26"/>
      <c r="I19" s="34"/>
    </row>
    <row r="20" spans="1:12" s="32" customFormat="1" ht="30.75" customHeight="1" x14ac:dyDescent="0.35">
      <c r="A20" s="105">
        <v>75</v>
      </c>
      <c r="B20" s="84" t="s">
        <v>16</v>
      </c>
      <c r="C20" s="51"/>
      <c r="D20" s="51"/>
      <c r="E20" s="52">
        <v>40000</v>
      </c>
      <c r="F20" s="52"/>
      <c r="G20" s="51">
        <f t="shared" ref="G20:G25" si="0">+C20+D20+E20+F20</f>
        <v>40000</v>
      </c>
      <c r="H20" s="31"/>
      <c r="L20" s="35"/>
    </row>
    <row r="21" spans="1:12" s="32" customFormat="1" ht="30.75" customHeight="1" x14ac:dyDescent="0.35">
      <c r="A21" s="109">
        <v>65</v>
      </c>
      <c r="B21" s="81" t="s">
        <v>17</v>
      </c>
      <c r="C21" s="54">
        <v>234450</v>
      </c>
      <c r="D21" s="54">
        <v>0.71</v>
      </c>
      <c r="E21" s="55"/>
      <c r="F21" s="55"/>
      <c r="G21" s="54">
        <f t="shared" si="0"/>
        <v>234450.71</v>
      </c>
      <c r="H21" s="31"/>
    </row>
    <row r="22" spans="1:12" s="27" customFormat="1" ht="30.75" customHeight="1" x14ac:dyDescent="0.35">
      <c r="A22" s="109"/>
      <c r="B22" s="87" t="s">
        <v>18</v>
      </c>
      <c r="C22" s="70"/>
      <c r="D22" s="70"/>
      <c r="E22" s="71"/>
      <c r="F22" s="71"/>
      <c r="G22" s="70">
        <f t="shared" si="0"/>
        <v>0</v>
      </c>
      <c r="H22" s="26"/>
    </row>
    <row r="23" spans="1:12" s="27" customFormat="1" ht="30.75" customHeight="1" x14ac:dyDescent="0.35">
      <c r="A23" s="109"/>
      <c r="B23" s="87" t="s">
        <v>19</v>
      </c>
      <c r="C23" s="70"/>
      <c r="D23" s="70"/>
      <c r="E23" s="71"/>
      <c r="F23" s="71"/>
      <c r="G23" s="70">
        <f t="shared" si="0"/>
        <v>0</v>
      </c>
      <c r="H23" s="26"/>
    </row>
    <row r="24" spans="1:12" s="32" customFormat="1" ht="30.75" customHeight="1" x14ac:dyDescent="0.35">
      <c r="A24" s="109">
        <v>68</v>
      </c>
      <c r="B24" s="81" t="s">
        <v>20</v>
      </c>
      <c r="C24" s="54">
        <v>1224441.27</v>
      </c>
      <c r="D24" s="54">
        <v>5758810.4500000002</v>
      </c>
      <c r="E24" s="55">
        <v>360073.02</v>
      </c>
      <c r="F24" s="55">
        <v>576798.82999999996</v>
      </c>
      <c r="G24" s="57">
        <f t="shared" si="0"/>
        <v>7920123.5700000003</v>
      </c>
      <c r="H24" s="31"/>
    </row>
    <row r="25" spans="1:12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59"/>
      <c r="G25" s="58">
        <f t="shared" si="0"/>
        <v>0</v>
      </c>
      <c r="H25" s="31"/>
    </row>
    <row r="26" spans="1:12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-2743599.4</v>
      </c>
      <c r="D26" s="61">
        <f>+D19+D20-(D21+D22+D23+D24+D25)</f>
        <v>-16808365.380000014</v>
      </c>
      <c r="E26" s="62">
        <f>+E19+E20-(E21+E22+E23+E24+E25)</f>
        <v>-4029932.9299999983</v>
      </c>
      <c r="F26" s="62">
        <f>+F19+F20-(F21+F22+F23+F24+F25)</f>
        <v>-14812966.759999998</v>
      </c>
      <c r="G26" s="61">
        <f>+G19+G20-(G21+G22+G23+G24+G25)</f>
        <v>-38394864.470000006</v>
      </c>
      <c r="H26" s="26"/>
    </row>
    <row r="27" spans="1:12" s="32" customFormat="1" ht="30.75" customHeight="1" x14ac:dyDescent="0.35">
      <c r="A27" s="105">
        <v>76</v>
      </c>
      <c r="B27" s="84" t="s">
        <v>24</v>
      </c>
      <c r="C27" s="51"/>
      <c r="D27" s="51">
        <v>33333.01</v>
      </c>
      <c r="E27" s="52"/>
      <c r="F27" s="52"/>
      <c r="G27" s="51">
        <f>+C27+D27+E27+F27</f>
        <v>33333.01</v>
      </c>
      <c r="H27" s="31"/>
    </row>
    <row r="28" spans="1:12" s="32" customFormat="1" ht="30.75" customHeight="1" thickBot="1" x14ac:dyDescent="0.4">
      <c r="A28" s="106">
        <v>66</v>
      </c>
      <c r="B28" s="82" t="s">
        <v>25</v>
      </c>
      <c r="C28" s="73"/>
      <c r="D28" s="58"/>
      <c r="E28" s="59"/>
      <c r="F28" s="59"/>
      <c r="G28" s="58">
        <f>+C28+D28+E28+F28</f>
        <v>0</v>
      </c>
      <c r="H28" s="31"/>
    </row>
    <row r="29" spans="1:12" s="27" customFormat="1" ht="30.75" customHeight="1" thickBot="1" x14ac:dyDescent="0.4">
      <c r="A29" s="107" t="s">
        <v>26</v>
      </c>
      <c r="B29" s="85" t="s">
        <v>27</v>
      </c>
      <c r="C29" s="61">
        <f>+C27-C28</f>
        <v>0</v>
      </c>
      <c r="D29" s="61">
        <f>+D27-D28</f>
        <v>33333.01</v>
      </c>
      <c r="E29" s="62">
        <f>+E27-E28</f>
        <v>0</v>
      </c>
      <c r="F29" s="62">
        <f>+F27-F28</f>
        <v>0</v>
      </c>
      <c r="G29" s="61">
        <f>+G27-G28</f>
        <v>33333.01</v>
      </c>
      <c r="H29" s="26"/>
    </row>
    <row r="30" spans="1:12" s="27" customFormat="1" ht="30.75" customHeight="1" thickBot="1" x14ac:dyDescent="0.4">
      <c r="A30" s="107" t="s">
        <v>28</v>
      </c>
      <c r="B30" s="85" t="s">
        <v>29</v>
      </c>
      <c r="C30" s="61">
        <f>+C26+C29</f>
        <v>-2743599.4</v>
      </c>
      <c r="D30" s="61">
        <f>+D26+D29</f>
        <v>-16775032.370000014</v>
      </c>
      <c r="E30" s="62">
        <f>+E26+E29</f>
        <v>-4029932.9299999983</v>
      </c>
      <c r="F30" s="62">
        <f>+F26+F29</f>
        <v>-14812966.759999998</v>
      </c>
      <c r="G30" s="61">
        <f>+G26+G29</f>
        <v>-38361531.460000008</v>
      </c>
      <c r="H30" s="26"/>
    </row>
    <row r="31" spans="1:12" s="32" customFormat="1" ht="30.75" customHeight="1" x14ac:dyDescent="0.35">
      <c r="A31" s="105" t="s">
        <v>30</v>
      </c>
      <c r="B31" s="84" t="s">
        <v>31</v>
      </c>
      <c r="C31" s="51"/>
      <c r="D31" s="51"/>
      <c r="E31" s="52"/>
      <c r="F31" s="52"/>
      <c r="G31" s="51">
        <f>+C31+D31+E31+F31</f>
        <v>0</v>
      </c>
      <c r="H31" s="31"/>
    </row>
    <row r="32" spans="1:12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5"/>
      <c r="G32" s="54">
        <f>+C32+D32+E32+F32</f>
        <v>0</v>
      </c>
      <c r="H32" s="31"/>
    </row>
    <row r="33" spans="1:8" s="37" customFormat="1" ht="30.75" customHeight="1" x14ac:dyDescent="0.35">
      <c r="A33" s="110"/>
      <c r="B33" s="88" t="s">
        <v>45</v>
      </c>
      <c r="C33" s="74">
        <f>+C12+C20+C27</f>
        <v>8200000</v>
      </c>
      <c r="D33" s="74">
        <f>+D12+D20+D27</f>
        <v>98387243.739999995</v>
      </c>
      <c r="E33" s="75">
        <f>+E12+E20+E27</f>
        <v>18748029.420000002</v>
      </c>
      <c r="F33" s="75">
        <f>+F12+F20+F27</f>
        <v>5611254.1600000001</v>
      </c>
      <c r="G33" s="74">
        <f>+G12+G20+G27</f>
        <v>130946527.32000001</v>
      </c>
      <c r="H33" s="36"/>
    </row>
    <row r="34" spans="1:8" s="37" customFormat="1" ht="30.75" customHeight="1" thickBot="1" x14ac:dyDescent="0.4">
      <c r="A34" s="111"/>
      <c r="B34" s="89" t="s">
        <v>46</v>
      </c>
      <c r="C34" s="73">
        <f>+C15+C17+C18+C24+C21+C28</f>
        <v>10943599.399999999</v>
      </c>
      <c r="D34" s="73">
        <f>+D15+D17+D18+D24+D21+D28</f>
        <v>115162276.11</v>
      </c>
      <c r="E34" s="77">
        <f>+E15+E17+E18+E24+E21+E28</f>
        <v>22777962.349999998</v>
      </c>
      <c r="F34" s="77">
        <f>+F15+F17+F18+F24+F21+F28</f>
        <v>20424220.919999998</v>
      </c>
      <c r="G34" s="73">
        <f>+G15+G17+G18+G24+G21+G28</f>
        <v>169308058.78</v>
      </c>
      <c r="H34" s="36"/>
    </row>
    <row r="35" spans="1:8" s="27" customFormat="1" ht="30.75" customHeight="1" thickBot="1" x14ac:dyDescent="0.4">
      <c r="A35" s="107" t="s">
        <v>34</v>
      </c>
      <c r="B35" s="85" t="s">
        <v>35</v>
      </c>
      <c r="C35" s="61">
        <f>+C30</f>
        <v>-2743599.4</v>
      </c>
      <c r="D35" s="61">
        <f>+D30</f>
        <v>-16775032.370000014</v>
      </c>
      <c r="E35" s="62">
        <f>+E30</f>
        <v>-4029932.9299999983</v>
      </c>
      <c r="F35" s="62">
        <f>+F30</f>
        <v>-14812966.759999998</v>
      </c>
      <c r="G35" s="61">
        <f>+G30</f>
        <v>-38361531.460000008</v>
      </c>
      <c r="H35" s="26"/>
    </row>
    <row r="36" spans="1:8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2">
        <v>0</v>
      </c>
      <c r="G36" s="51">
        <f>+C36+D36+E36+F36</f>
        <v>0</v>
      </c>
      <c r="H36" s="31"/>
    </row>
    <row r="37" spans="1:8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59">
        <v>0</v>
      </c>
      <c r="G37" s="58">
        <f>+C37+D37+E37+F37</f>
        <v>0</v>
      </c>
      <c r="H37" s="31"/>
    </row>
    <row r="38" spans="1:8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2"/>
      <c r="G38" s="61"/>
      <c r="H38" s="26"/>
    </row>
    <row r="39" spans="1:8" s="27" customFormat="1" ht="30.6" customHeight="1" x14ac:dyDescent="0.35">
      <c r="A39" s="120" t="s">
        <v>40</v>
      </c>
      <c r="B39" s="121" t="s">
        <v>41</v>
      </c>
      <c r="C39" s="122">
        <f>+C35</f>
        <v>-2743599.4</v>
      </c>
      <c r="D39" s="122">
        <f>+D35</f>
        <v>-16775032.370000014</v>
      </c>
      <c r="E39" s="123">
        <f>+E35</f>
        <v>-4029932.9299999983</v>
      </c>
      <c r="F39" s="123">
        <f>+F35</f>
        <v>-14812966.759999998</v>
      </c>
      <c r="G39" s="122">
        <f>+G35</f>
        <v>-38361531.460000008</v>
      </c>
      <c r="H39" s="26"/>
    </row>
    <row r="40" spans="1:8" s="27" customFormat="1" ht="11.4" customHeight="1" x14ac:dyDescent="0.35">
      <c r="A40" s="90"/>
      <c r="B40" s="90"/>
      <c r="C40" s="91"/>
      <c r="D40" s="91"/>
      <c r="E40" s="91"/>
      <c r="F40" s="91"/>
      <c r="G40" s="91"/>
      <c r="H40" s="26"/>
    </row>
    <row r="41" spans="1:8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  <c r="H41" s="26"/>
    </row>
    <row r="42" spans="1:8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1.9244370277462046</v>
      </c>
      <c r="E42" s="95">
        <f>+E12/E7</f>
        <v>0.59673710850290729</v>
      </c>
      <c r="F42" s="95">
        <f>+F12/F7</f>
        <v>2.1975548600145376</v>
      </c>
      <c r="G42" s="95">
        <f>+G12/G7</f>
        <v>1.4040405560163827</v>
      </c>
      <c r="H42" s="38"/>
    </row>
    <row r="43" spans="1:8" s="37" customFormat="1" ht="18" x14ac:dyDescent="0.35">
      <c r="A43" s="92">
        <v>2</v>
      </c>
      <c r="B43" s="93" t="s">
        <v>53</v>
      </c>
      <c r="C43" s="94">
        <f>+C13/C7</f>
        <v>2.5405315853658537E-2</v>
      </c>
      <c r="D43" s="95">
        <f>+D13/D7</f>
        <v>1.5618933692451813</v>
      </c>
      <c r="E43" s="95">
        <f>+E13/E7</f>
        <v>0.37679041504577637</v>
      </c>
      <c r="F43" s="95">
        <f>+F13/F7</f>
        <v>3.1045587387522873</v>
      </c>
      <c r="G43" s="95">
        <f>+G13/G7</f>
        <v>1.0703917910944505</v>
      </c>
      <c r="H43" s="36"/>
    </row>
    <row r="44" spans="1:8" s="37" customFormat="1" ht="18" x14ac:dyDescent="0.35">
      <c r="A44" s="92">
        <v>3</v>
      </c>
      <c r="B44" s="93" t="s">
        <v>56</v>
      </c>
      <c r="C44" s="94">
        <f>+C13/C12</f>
        <v>2.5405315853658537E-2</v>
      </c>
      <c r="D44" s="95">
        <f>+D13/D12</f>
        <v>0.81161053686146611</v>
      </c>
      <c r="E44" s="95">
        <f>+E13/E12</f>
        <v>0.63141777120425324</v>
      </c>
      <c r="F44" s="95">
        <f>+F13/F12</f>
        <v>1.4127332132822157</v>
      </c>
      <c r="G44" s="95">
        <f>+G13/G12</f>
        <v>0.7623652938711557</v>
      </c>
      <c r="H44" s="36"/>
    </row>
    <row r="45" spans="1:8" s="37" customFormat="1" ht="18" x14ac:dyDescent="0.35">
      <c r="A45" s="92">
        <v>4</v>
      </c>
      <c r="B45" s="93" t="s">
        <v>57</v>
      </c>
      <c r="C45" s="94">
        <f>+C15/C12</f>
        <v>0.13851003902439024</v>
      </c>
      <c r="D45" s="95">
        <f>+D15/D12</f>
        <v>0.84935498293835876</v>
      </c>
      <c r="E45" s="95">
        <f>+E15/E12</f>
        <v>0.71417648166174408</v>
      </c>
      <c r="F45" s="95">
        <f>+F15/F12</f>
        <v>1.667722269062216</v>
      </c>
      <c r="G45" s="95">
        <f>+G15/G12</f>
        <v>0.82058067892512809</v>
      </c>
      <c r="H45" s="36"/>
    </row>
    <row r="46" spans="1:8" s="37" customFormat="1" ht="18" x14ac:dyDescent="0.35">
      <c r="A46" s="92">
        <v>5</v>
      </c>
      <c r="B46" s="93" t="s">
        <v>58</v>
      </c>
      <c r="C46" s="94">
        <f>+C17/C12</f>
        <v>0.99816168414634143</v>
      </c>
      <c r="D46" s="95">
        <f>+D17/D12</f>
        <v>0.25775646938528202</v>
      </c>
      <c r="E46" s="95">
        <f>+E17/E12</f>
        <v>0.46719809466709716</v>
      </c>
      <c r="F46" s="95">
        <f>+F17/F12</f>
        <v>1.8634039560239772</v>
      </c>
      <c r="G46" s="95">
        <f>+G17/G12</f>
        <v>0.40292950567930547</v>
      </c>
      <c r="H46" s="36"/>
    </row>
    <row r="47" spans="1:8" s="37" customFormat="1" ht="18" x14ac:dyDescent="0.35">
      <c r="A47" s="92">
        <v>6</v>
      </c>
      <c r="B47" s="93" t="s">
        <v>54</v>
      </c>
      <c r="C47" s="94">
        <f>+C16/C17</f>
        <v>0.86307656831406276</v>
      </c>
      <c r="D47" s="95">
        <f>+D16/D17</f>
        <v>0.58444708457138395</v>
      </c>
      <c r="E47" s="95">
        <f>+E16/E17</f>
        <v>0.61178228593145256</v>
      </c>
      <c r="F47" s="95">
        <f>+F16/F17</f>
        <v>-0.35833468470624208</v>
      </c>
      <c r="G47" s="95">
        <f>+G16/G17</f>
        <v>0.44528712478473353</v>
      </c>
      <c r="H47" s="36"/>
    </row>
    <row r="48" spans="1:8" s="37" customFormat="1" ht="18" x14ac:dyDescent="0.35">
      <c r="A48" s="92">
        <v>7</v>
      </c>
      <c r="B48" s="93" t="s">
        <v>55</v>
      </c>
      <c r="C48" s="94">
        <f>+C19/C12</f>
        <v>-0.15667172317073169</v>
      </c>
      <c r="D48" s="95">
        <f>+D19/D12</f>
        <v>-0.11234483853248216</v>
      </c>
      <c r="E48" s="95">
        <f>+E19/E12</f>
        <v>-0.19830308295506185</v>
      </c>
      <c r="F48" s="95">
        <f>+F19/F12</f>
        <v>-2.5370741591929598</v>
      </c>
      <c r="G48" s="95">
        <f>+G19/G12</f>
        <v>-0.23137121661655885</v>
      </c>
      <c r="H48" s="36"/>
    </row>
    <row r="49" spans="1:6" x14ac:dyDescent="0.55000000000000004">
      <c r="A49" s="90"/>
      <c r="B49" s="90"/>
      <c r="C49" s="96"/>
      <c r="D49" s="96"/>
      <c r="E49" s="96"/>
      <c r="F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T1:U1"/>
    <mergeCell ref="T2:U2"/>
    <mergeCell ref="T3:U3"/>
    <mergeCell ref="A5:G5"/>
  </mergeCells>
  <conditionalFormatting sqref="D1:G4 C42:G1048576 D40:G40 D7:F39">
    <cfRule type="cellIs" dxfId="357" priority="7" operator="lessThan">
      <formula>-0.01</formula>
    </cfRule>
  </conditionalFormatting>
  <conditionalFormatting sqref="C1:C4 C7:C40">
    <cfRule type="cellIs" dxfId="356" priority="6" operator="lessThan">
      <formula>-0.01</formula>
    </cfRule>
  </conditionalFormatting>
  <conditionalFormatting sqref="G7:G39">
    <cfRule type="cellIs" dxfId="355" priority="5" operator="lessThan">
      <formula>-0.01</formula>
    </cfRule>
  </conditionalFormatting>
  <conditionalFormatting sqref="G6">
    <cfRule type="cellIs" dxfId="354" priority="1" operator="lessThan">
      <formula>-0.01</formula>
    </cfRule>
  </conditionalFormatting>
  <conditionalFormatting sqref="D6:F6">
    <cfRule type="cellIs" dxfId="353" priority="3" operator="lessThan">
      <formula>-0.01</formula>
    </cfRule>
  </conditionalFormatting>
  <conditionalFormatting sqref="C6">
    <cfRule type="cellIs" dxfId="352" priority="2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C49"/>
  <sheetViews>
    <sheetView view="pageBreakPreview" zoomScale="90" zoomScaleNormal="50" zoomScaleSheetLayoutView="90" workbookViewId="0">
      <pane xSplit="2" ySplit="6" topLeftCell="C7" activePane="bottomRight" state="frozen"/>
      <selection activeCell="C5" sqref="C5:D5"/>
      <selection pane="topRight" activeCell="C5" sqref="C5:D5"/>
      <selection pane="bottomLeft" activeCell="C5" sqref="C5:D5"/>
      <selection pane="bottomRight" activeCell="C39" sqref="C39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16384" width="11.44140625" style="1"/>
  </cols>
  <sheetData>
    <row r="1" spans="1:29" s="42" customFormat="1" ht="13.8" customHeight="1" x14ac:dyDescent="0.45">
      <c r="A1" s="25"/>
      <c r="B1" s="39"/>
      <c r="C1" s="40"/>
      <c r="D1" s="40"/>
      <c r="E1" s="40"/>
      <c r="F1" s="40"/>
      <c r="G1" s="97"/>
      <c r="H1" s="39"/>
      <c r="I1" s="39"/>
      <c r="J1" s="39"/>
      <c r="K1" s="39"/>
      <c r="L1" s="39"/>
      <c r="P1" s="39"/>
      <c r="Q1" s="39"/>
      <c r="R1" s="278"/>
      <c r="S1" s="278"/>
      <c r="T1" s="39"/>
      <c r="U1" s="39"/>
      <c r="V1" s="39"/>
      <c r="W1" s="39"/>
      <c r="X1" s="39"/>
      <c r="Y1" s="39"/>
      <c r="Z1" s="39"/>
      <c r="AA1" s="39"/>
      <c r="AB1" s="39"/>
      <c r="AC1" s="39"/>
    </row>
    <row r="2" spans="1:29" s="42" customFormat="1" ht="13.8" customHeight="1" x14ac:dyDescent="0.45">
      <c r="A2" s="25"/>
      <c r="B2" s="43"/>
      <c r="C2" s="44"/>
      <c r="D2" s="44"/>
      <c r="E2" s="44"/>
      <c r="F2" s="44"/>
      <c r="G2" s="98"/>
      <c r="H2" s="39"/>
      <c r="I2" s="39"/>
      <c r="J2" s="39"/>
      <c r="K2" s="39"/>
      <c r="L2" s="39"/>
      <c r="P2" s="43"/>
      <c r="Q2" s="45"/>
      <c r="R2" s="279"/>
      <c r="S2" s="27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 spans="1:29" s="42" customFormat="1" ht="13.8" customHeight="1" x14ac:dyDescent="0.4">
      <c r="A3" s="46"/>
      <c r="B3" s="47"/>
      <c r="C3" s="48"/>
      <c r="D3" s="48"/>
      <c r="E3" s="48"/>
      <c r="F3" s="48"/>
      <c r="G3" s="99"/>
      <c r="H3" s="46"/>
      <c r="I3" s="46"/>
      <c r="J3" s="46"/>
      <c r="K3" s="46"/>
      <c r="L3" s="46"/>
      <c r="P3" s="46"/>
      <c r="Q3" s="46"/>
      <c r="R3" s="280"/>
      <c r="S3" s="280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 spans="1:29" s="42" customFormat="1" ht="13.8" customHeight="1" x14ac:dyDescent="0.4">
      <c r="A4" s="46"/>
      <c r="B4" s="46"/>
      <c r="C4" s="50"/>
      <c r="D4" s="50"/>
      <c r="E4" s="50"/>
      <c r="F4" s="50"/>
      <c r="G4" s="100"/>
    </row>
    <row r="5" spans="1:29" ht="26.4" thickBot="1" x14ac:dyDescent="0.55000000000000004">
      <c r="A5" s="281" t="s">
        <v>87</v>
      </c>
      <c r="B5" s="281"/>
      <c r="C5" s="281"/>
      <c r="D5" s="281"/>
      <c r="E5" s="281"/>
      <c r="F5" s="281"/>
      <c r="G5" s="281"/>
    </row>
    <row r="6" spans="1:29" s="27" customFormat="1" ht="52.2" customHeight="1" x14ac:dyDescent="0.35">
      <c r="A6" s="113" t="s">
        <v>0</v>
      </c>
      <c r="B6" s="114" t="s">
        <v>1</v>
      </c>
      <c r="C6" s="115" t="s">
        <v>50</v>
      </c>
      <c r="D6" s="116" t="s">
        <v>47</v>
      </c>
      <c r="E6" s="117" t="s">
        <v>48</v>
      </c>
      <c r="F6" s="118" t="s">
        <v>49</v>
      </c>
      <c r="G6" s="119" t="s">
        <v>92</v>
      </c>
    </row>
    <row r="7" spans="1:29" s="29" customFormat="1" ht="30.75" customHeight="1" x14ac:dyDescent="0.35">
      <c r="A7" s="101"/>
      <c r="B7" s="79" t="s">
        <v>2</v>
      </c>
      <c r="C7" s="51">
        <f>+'01 2020'!C7+'02 2020'!C7+'03 2020'!C7</f>
        <v>13200000</v>
      </c>
      <c r="D7" s="51">
        <f>+'01 2020'!D7+'02 2020'!D7+'03 2020'!D7</f>
        <v>137868989.44</v>
      </c>
      <c r="E7" s="52">
        <f>+'01 2020'!E7+'02 2020'!E7+'03 2020'!E7</f>
        <v>91193623.039999992</v>
      </c>
      <c r="F7" s="53">
        <f>+'01 2020'!F7+'02 2020'!F7+'03 2020'!F7</f>
        <v>18403554.899999999</v>
      </c>
      <c r="G7" s="51">
        <f>+C7+D7+E7+F7</f>
        <v>260666167.38</v>
      </c>
    </row>
    <row r="8" spans="1:29" s="29" customFormat="1" ht="30.75" customHeight="1" x14ac:dyDescent="0.35">
      <c r="A8" s="102"/>
      <c r="B8" s="80" t="s">
        <v>42</v>
      </c>
      <c r="C8" s="54">
        <f>+'01 2020'!C8+'02 2020'!C8+'03 2020'!C8</f>
        <v>0</v>
      </c>
      <c r="D8" s="54">
        <f>+'01 2020'!D8+'02 2020'!D8+'03 2020'!D8</f>
        <v>0</v>
      </c>
      <c r="E8" s="55">
        <f>+'01 2020'!E8+'02 2020'!E8+'03 2020'!E8</f>
        <v>0</v>
      </c>
      <c r="F8" s="56">
        <f>+'01 2020'!F8+'02 2020'!F8+'03 2020'!F8</f>
        <v>6400</v>
      </c>
      <c r="G8" s="51">
        <f>+C8+D8+E8+F8</f>
        <v>6400</v>
      </c>
      <c r="L8" s="30"/>
    </row>
    <row r="9" spans="1:29" s="27" customFormat="1" ht="30.75" customHeight="1" x14ac:dyDescent="0.35">
      <c r="A9" s="102"/>
      <c r="B9" s="81" t="s">
        <v>3</v>
      </c>
      <c r="C9" s="54">
        <f>+'01 2020'!C9+'02 2020'!C9+'03 2020'!C9</f>
        <v>0</v>
      </c>
      <c r="D9" s="57">
        <f>+'01 2020'!D9+'02 2020'!D9+'03 2020'!D9</f>
        <v>149706681.74000001</v>
      </c>
      <c r="E9" s="55">
        <f>+'01 2020'!E9+'02 2020'!E9+'03 2020'!E9</f>
        <v>-32367703.869999997</v>
      </c>
      <c r="F9" s="56">
        <f>+'01 2020'!F9+'02 2020'!F9+'03 2020'!F9</f>
        <v>6576638.6400000006</v>
      </c>
      <c r="G9" s="51">
        <f>+C9+D9+E9+F9</f>
        <v>123915616.51000001</v>
      </c>
    </row>
    <row r="10" spans="1:29" s="27" customFormat="1" ht="30.75" customHeight="1" x14ac:dyDescent="0.35">
      <c r="A10" s="102"/>
      <c r="B10" s="81" t="s">
        <v>4</v>
      </c>
      <c r="C10" s="54">
        <f>+'01 2020'!C10+'02 2020'!C10+'03 2020'!C10</f>
        <v>0</v>
      </c>
      <c r="D10" s="54">
        <f>+'01 2020'!D10+'02 2020'!D10+'03 2020'!D10</f>
        <v>48635.77</v>
      </c>
      <c r="E10" s="55">
        <f>+'01 2020'!E10+'02 2020'!E10+'03 2020'!E10</f>
        <v>0</v>
      </c>
      <c r="F10" s="56">
        <f>+'01 2020'!F10+'02 2020'!F10+'03 2020'!F10</f>
        <v>0</v>
      </c>
      <c r="G10" s="51">
        <f>+C10+D10+E10+F10</f>
        <v>48635.77</v>
      </c>
    </row>
    <row r="11" spans="1:29" s="27" customFormat="1" ht="30.75" customHeight="1" thickBot="1" x14ac:dyDescent="0.4">
      <c r="A11" s="103"/>
      <c r="B11" s="82" t="s">
        <v>5</v>
      </c>
      <c r="C11" s="58">
        <f>+'01 2020'!C11+'02 2020'!C11+'03 2020'!C11</f>
        <v>0</v>
      </c>
      <c r="D11" s="58">
        <f>+'01 2020'!D11+'02 2020'!D11+'03 2020'!D11</f>
        <v>0</v>
      </c>
      <c r="E11" s="59">
        <f>+'01 2020'!E11+'02 2020'!E11+'03 2020'!E11</f>
        <v>0</v>
      </c>
      <c r="F11" s="60">
        <f>+'01 2020'!F11+'02 2020'!F11+'03 2020'!F11</f>
        <v>0</v>
      </c>
      <c r="G11" s="112">
        <f>+C11+D11+E11+F11</f>
        <v>0</v>
      </c>
    </row>
    <row r="12" spans="1:29" s="27" customFormat="1" ht="30.75" customHeight="1" thickBot="1" x14ac:dyDescent="0.4">
      <c r="A12" s="104"/>
      <c r="B12" s="83" t="s">
        <v>6</v>
      </c>
      <c r="C12" s="61">
        <f>SUM(C7:C11)</f>
        <v>13200000</v>
      </c>
      <c r="D12" s="61">
        <f>SUM(D7:D11)</f>
        <v>287624306.94999999</v>
      </c>
      <c r="E12" s="62">
        <f>SUM(E7:E11)</f>
        <v>58825919.169999994</v>
      </c>
      <c r="F12" s="63">
        <f>SUM(F7:F11)</f>
        <v>24986593.539999999</v>
      </c>
      <c r="G12" s="61">
        <f>SUM(G7:G11)</f>
        <v>384636819.65999997</v>
      </c>
    </row>
    <row r="13" spans="1:29" s="32" customFormat="1" ht="30.75" customHeight="1" x14ac:dyDescent="0.35">
      <c r="A13" s="105">
        <v>60</v>
      </c>
      <c r="B13" s="84" t="s">
        <v>7</v>
      </c>
      <c r="C13" s="51">
        <f>+'01 2020'!C13+'02 2020'!C13+'03 2020'!C13</f>
        <v>254067.31</v>
      </c>
      <c r="D13" s="64">
        <f>+'01 2020'!D13+'02 2020'!D13+'03 2020'!D13</f>
        <v>242452607.61000001</v>
      </c>
      <c r="E13" s="65">
        <f>+'01 2020'!E13+'02 2020'!E13+'03 2020'!E13</f>
        <v>34676028.539999999</v>
      </c>
      <c r="F13" s="66">
        <f>+'01 2020'!F13+'02 2020'!F13+'03 2020'!F13</f>
        <v>27560671.830000002</v>
      </c>
      <c r="G13" s="51">
        <f>+C13+D13+E13+F13</f>
        <v>304943375.29000002</v>
      </c>
    </row>
    <row r="14" spans="1:29" s="32" customFormat="1" ht="30.75" customHeight="1" thickBot="1" x14ac:dyDescent="0.4">
      <c r="A14" s="106" t="s">
        <v>8</v>
      </c>
      <c r="B14" s="82" t="s">
        <v>43</v>
      </c>
      <c r="C14" s="58">
        <f>+'01 2020'!C14+'02 2020'!C14+'03 2020'!C14</f>
        <v>3844301.86</v>
      </c>
      <c r="D14" s="58">
        <f>+'01 2020'!D14+'02 2020'!D14+'03 2020'!D14</f>
        <v>13526351.27</v>
      </c>
      <c r="E14" s="59">
        <f>+'01 2020'!E14+'02 2020'!E14+'03 2020'!E14</f>
        <v>4393749.67</v>
      </c>
      <c r="F14" s="60">
        <f>+'01 2020'!F14+'02 2020'!F14+'03 2020'!F14</f>
        <v>3936830.2899999996</v>
      </c>
      <c r="G14" s="58">
        <f>+C14+D14+E14+F14</f>
        <v>25701233.089999996</v>
      </c>
    </row>
    <row r="15" spans="1:29" s="27" customFormat="1" ht="30.75" customHeight="1" thickBot="1" x14ac:dyDescent="0.4">
      <c r="A15" s="107" t="s">
        <v>9</v>
      </c>
      <c r="B15" s="85" t="s">
        <v>10</v>
      </c>
      <c r="C15" s="61">
        <f>SUM(C13:C14)</f>
        <v>4098369.17</v>
      </c>
      <c r="D15" s="61">
        <f>SUM(D13:D14)</f>
        <v>255978958.88000003</v>
      </c>
      <c r="E15" s="62">
        <f>SUM(E13:E14)</f>
        <v>39069778.210000001</v>
      </c>
      <c r="F15" s="63">
        <f>SUM(F13:F14)</f>
        <v>31497502.120000001</v>
      </c>
      <c r="G15" s="61">
        <f>SUM(G13:G14)</f>
        <v>330644608.38</v>
      </c>
    </row>
    <row r="16" spans="1:29" s="27" customFormat="1" ht="30.75" customHeight="1" thickBot="1" x14ac:dyDescent="0.4">
      <c r="A16" s="108" t="s">
        <v>11</v>
      </c>
      <c r="B16" s="86" t="s">
        <v>12</v>
      </c>
      <c r="C16" s="67">
        <f>+C12-C15</f>
        <v>9101630.8300000001</v>
      </c>
      <c r="D16" s="67">
        <f>+D12-D15</f>
        <v>31645348.069999963</v>
      </c>
      <c r="E16" s="68">
        <f>+E12-E15</f>
        <v>19756140.959999993</v>
      </c>
      <c r="F16" s="69">
        <f>+F12-F15</f>
        <v>-6510908.5800000019</v>
      </c>
      <c r="G16" s="67">
        <f>+G12-G15</f>
        <v>53992211.279999971</v>
      </c>
    </row>
    <row r="17" spans="1:10" s="32" customFormat="1" ht="30.75" customHeight="1" x14ac:dyDescent="0.35">
      <c r="A17" s="105">
        <v>63</v>
      </c>
      <c r="B17" s="84" t="s">
        <v>44</v>
      </c>
      <c r="C17" s="64">
        <f>+'01 2020'!C17+'02 2020'!C17+'03 2020'!C17</f>
        <v>24038278.439999998</v>
      </c>
      <c r="D17" s="64">
        <f>+'01 2020'!D17+'02 2020'!D17+'03 2020'!D17</f>
        <v>74598378.879999995</v>
      </c>
      <c r="E17" s="65">
        <f>+'01 2020'!E17+'02 2020'!E17+'03 2020'!E17</f>
        <v>25839073.050000001</v>
      </c>
      <c r="F17" s="66">
        <f>+'01 2020'!F17+'02 2020'!F17+'03 2020'!F17</f>
        <v>28142175.91</v>
      </c>
      <c r="G17" s="51">
        <f>+C17+D17+E17+F17</f>
        <v>152617906.28</v>
      </c>
    </row>
    <row r="18" spans="1:10" s="32" customFormat="1" ht="30.75" customHeight="1" thickBot="1" x14ac:dyDescent="0.4">
      <c r="A18" s="106">
        <v>64</v>
      </c>
      <c r="B18" s="82" t="s">
        <v>13</v>
      </c>
      <c r="C18" s="58">
        <f>+'01 2020'!C18+'02 2020'!C18+'03 2020'!C18</f>
        <v>271340</v>
      </c>
      <c r="D18" s="58">
        <f>+'01 2020'!D18+'02 2020'!D18+'03 2020'!D18</f>
        <v>1382346.56</v>
      </c>
      <c r="E18" s="59">
        <f>+'01 2020'!E18+'02 2020'!E18+'03 2020'!E18</f>
        <v>919375</v>
      </c>
      <c r="F18" s="60">
        <f>+'01 2020'!F18+'02 2020'!F18+'03 2020'!F18</f>
        <v>399945.37</v>
      </c>
      <c r="G18" s="58">
        <f>+C18+D18+E18+F18</f>
        <v>2973006.93</v>
      </c>
    </row>
    <row r="19" spans="1:10" s="27" customFormat="1" ht="30.75" customHeight="1" thickBot="1" x14ac:dyDescent="0.4">
      <c r="A19" s="107" t="s">
        <v>14</v>
      </c>
      <c r="B19" s="85" t="s">
        <v>15</v>
      </c>
      <c r="C19" s="61">
        <f>+C16-C17-C18</f>
        <v>-15207987.609999998</v>
      </c>
      <c r="D19" s="61">
        <f>+D16-D17-D18</f>
        <v>-44335377.370000035</v>
      </c>
      <c r="E19" s="62">
        <f>+E16-E17-E18</f>
        <v>-7002307.0900000073</v>
      </c>
      <c r="F19" s="63">
        <f>+F16-F17-F18</f>
        <v>-35053029.859999999</v>
      </c>
      <c r="G19" s="61">
        <f>+G16-G17-G18</f>
        <v>-101598701.93000004</v>
      </c>
    </row>
    <row r="20" spans="1:10" s="32" customFormat="1" ht="30.75" customHeight="1" x14ac:dyDescent="0.35">
      <c r="A20" s="105">
        <v>75</v>
      </c>
      <c r="B20" s="84" t="s">
        <v>16</v>
      </c>
      <c r="C20" s="51">
        <f>+'01 2020'!C20+'02 2020'!C20+'03 2020'!C20</f>
        <v>200.02</v>
      </c>
      <c r="D20" s="51">
        <f>+'01 2020'!D20+'02 2020'!D20+'03 2020'!D20</f>
        <v>117881.20999999999</v>
      </c>
      <c r="E20" s="52">
        <f>+'01 2020'!E20+'02 2020'!E20+'03 2020'!E20</f>
        <v>40000</v>
      </c>
      <c r="F20" s="53">
        <f>+'01 2020'!F20+'02 2020'!F20+'03 2020'!F20</f>
        <v>53900</v>
      </c>
      <c r="G20" s="51">
        <f t="shared" ref="G20:G25" si="0">+C20+D20+E20+F20</f>
        <v>211981.22999999998</v>
      </c>
      <c r="J20" s="35"/>
    </row>
    <row r="21" spans="1:10" s="32" customFormat="1" ht="30.75" customHeight="1" x14ac:dyDescent="0.35">
      <c r="A21" s="109">
        <v>65</v>
      </c>
      <c r="B21" s="81" t="s">
        <v>17</v>
      </c>
      <c r="C21" s="54">
        <f>+'01 2020'!C21+'02 2020'!C21+'03 2020'!C21</f>
        <v>928770</v>
      </c>
      <c r="D21" s="54">
        <f>+'01 2020'!D21+'02 2020'!D21+'03 2020'!D21</f>
        <v>1268.19</v>
      </c>
      <c r="E21" s="55">
        <f>+'01 2020'!E21+'02 2020'!E21+'03 2020'!E21</f>
        <v>0</v>
      </c>
      <c r="F21" s="56">
        <f>+'01 2020'!F21+'02 2020'!F21+'03 2020'!F21</f>
        <v>0</v>
      </c>
      <c r="G21" s="54">
        <f t="shared" si="0"/>
        <v>930038.19</v>
      </c>
    </row>
    <row r="22" spans="1:10" s="27" customFormat="1" ht="30.75" customHeight="1" x14ac:dyDescent="0.35">
      <c r="A22" s="109"/>
      <c r="B22" s="87" t="s">
        <v>18</v>
      </c>
      <c r="C22" s="70">
        <f>+'01 2020'!C22+'02 2020'!C22+'03 2020'!C22</f>
        <v>0</v>
      </c>
      <c r="D22" s="70">
        <f>+'01 2020'!D22+'02 2020'!D22+'03 2020'!D22</f>
        <v>0</v>
      </c>
      <c r="E22" s="71">
        <f>+'01 2020'!E22+'02 2020'!E22+'03 2020'!E22</f>
        <v>0</v>
      </c>
      <c r="F22" s="72">
        <f>+'01 2020'!F22+'02 2020'!F22+'03 2020'!F22</f>
        <v>0</v>
      </c>
      <c r="G22" s="70">
        <f t="shared" si="0"/>
        <v>0</v>
      </c>
    </row>
    <row r="23" spans="1:10" s="27" customFormat="1" ht="30.75" customHeight="1" x14ac:dyDescent="0.35">
      <c r="A23" s="109"/>
      <c r="B23" s="87" t="s">
        <v>19</v>
      </c>
      <c r="C23" s="70">
        <f>+'01 2020'!C23+'02 2020'!C23+'03 2020'!C23</f>
        <v>0</v>
      </c>
      <c r="D23" s="70">
        <f>+'01 2020'!D23+'02 2020'!D23+'03 2020'!D23</f>
        <v>0</v>
      </c>
      <c r="E23" s="71">
        <f>+'01 2020'!E23+'02 2020'!E23+'03 2020'!E23</f>
        <v>0</v>
      </c>
      <c r="F23" s="72">
        <f>+'01 2020'!F23+'02 2020'!F23+'03 2020'!F23</f>
        <v>0</v>
      </c>
      <c r="G23" s="70">
        <f t="shared" si="0"/>
        <v>0</v>
      </c>
    </row>
    <row r="24" spans="1:10" s="32" customFormat="1" ht="30.75" customHeight="1" x14ac:dyDescent="0.35">
      <c r="A24" s="109">
        <v>68</v>
      </c>
      <c r="B24" s="81" t="s">
        <v>20</v>
      </c>
      <c r="C24" s="54">
        <f>+'01 2020'!C24+'02 2020'!C24+'03 2020'!C24</f>
        <v>3084614.59</v>
      </c>
      <c r="D24" s="54">
        <f>+'01 2020'!D24+'02 2020'!D24+'03 2020'!D24</f>
        <v>17196644.25</v>
      </c>
      <c r="E24" s="55">
        <f>+'01 2020'!E24+'02 2020'!E24+'03 2020'!E24</f>
        <v>1080219.1400000001</v>
      </c>
      <c r="F24" s="56">
        <f>+'01 2020'!F24+'02 2020'!F24+'03 2020'!F24</f>
        <v>1728026.4899999998</v>
      </c>
      <c r="G24" s="57">
        <f t="shared" si="0"/>
        <v>23089504.469999999</v>
      </c>
    </row>
    <row r="25" spans="1:10" s="32" customFormat="1" ht="30.75" customHeight="1" thickBot="1" x14ac:dyDescent="0.4">
      <c r="A25" s="106">
        <v>78</v>
      </c>
      <c r="B25" s="82" t="s">
        <v>21</v>
      </c>
      <c r="C25" s="58">
        <f>+'01 2020'!C25+'02 2020'!C25+'03 2020'!C25</f>
        <v>0</v>
      </c>
      <c r="D25" s="58">
        <f>+'01 2020'!D25+'02 2020'!D25+'03 2020'!D25</f>
        <v>0</v>
      </c>
      <c r="E25" s="59">
        <f>+'01 2020'!E25+'02 2020'!E25+'03 2020'!E25</f>
        <v>0</v>
      </c>
      <c r="F25" s="60">
        <f>+'01 2020'!F25+'02 2020'!F25+'03 2020'!F25</f>
        <v>0</v>
      </c>
      <c r="G25" s="58">
        <f t="shared" si="0"/>
        <v>0</v>
      </c>
    </row>
    <row r="26" spans="1:10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-19221172.18</v>
      </c>
      <c r="D26" s="61">
        <f>+D19+D20-(D21+D22+D23+D24+D25)</f>
        <v>-61415408.600000039</v>
      </c>
      <c r="E26" s="62">
        <f>+E19+E20-(E21+E22+E23+E24+E25)</f>
        <v>-8042526.2300000079</v>
      </c>
      <c r="F26" s="63">
        <f>+F19+F20-(F21+F22+F23+F24+F25)</f>
        <v>-36727156.350000001</v>
      </c>
      <c r="G26" s="61">
        <f>+G19+G20-(G21+G22+G23+G24+G25)</f>
        <v>-125406263.36000003</v>
      </c>
    </row>
    <row r="27" spans="1:10" s="32" customFormat="1" ht="30.75" customHeight="1" x14ac:dyDescent="0.35">
      <c r="A27" s="105">
        <v>76</v>
      </c>
      <c r="B27" s="84" t="s">
        <v>24</v>
      </c>
      <c r="C27" s="51">
        <f>+'01 2020'!C27+'02 2020'!C27+'03 2020'!C27</f>
        <v>0</v>
      </c>
      <c r="D27" s="51">
        <f>+'01 2020'!D27+'02 2020'!D27+'03 2020'!D27</f>
        <v>151094.96</v>
      </c>
      <c r="E27" s="52">
        <f>+'01 2020'!E27+'02 2020'!E27+'03 2020'!E27</f>
        <v>0</v>
      </c>
      <c r="F27" s="53">
        <f>+'01 2020'!F27+'02 2020'!F27+'03 2020'!F27</f>
        <v>0</v>
      </c>
      <c r="G27" s="51">
        <f>+C27+D27+E27+F27</f>
        <v>151094.96</v>
      </c>
    </row>
    <row r="28" spans="1:10" s="32" customFormat="1" ht="30.75" customHeight="1" thickBot="1" x14ac:dyDescent="0.4">
      <c r="A28" s="106">
        <v>66</v>
      </c>
      <c r="B28" s="82" t="s">
        <v>25</v>
      </c>
      <c r="C28" s="73">
        <f>+'01 2020'!C28+'02 2020'!C28+'03 2020'!C28</f>
        <v>0</v>
      </c>
      <c r="D28" s="58">
        <f>+'01 2020'!D28+'02 2020'!D28+'03 2020'!D28</f>
        <v>162173.32999999999</v>
      </c>
      <c r="E28" s="59">
        <f>+'01 2020'!E28+'02 2020'!E28+'03 2020'!E28</f>
        <v>0</v>
      </c>
      <c r="F28" s="60">
        <f>+'01 2020'!F28+'02 2020'!F28+'03 2020'!F28</f>
        <v>0</v>
      </c>
      <c r="G28" s="58">
        <f>+C28+D28+E28+F28</f>
        <v>162173.32999999999</v>
      </c>
    </row>
    <row r="29" spans="1:10" s="27" customFormat="1" ht="30.75" customHeight="1" thickBot="1" x14ac:dyDescent="0.4">
      <c r="A29" s="107" t="s">
        <v>26</v>
      </c>
      <c r="B29" s="85" t="s">
        <v>27</v>
      </c>
      <c r="C29" s="61">
        <f>+C27-C28</f>
        <v>0</v>
      </c>
      <c r="D29" s="61">
        <f>+D27-D28</f>
        <v>-11078.369999999995</v>
      </c>
      <c r="E29" s="62">
        <f>+E27-E28</f>
        <v>0</v>
      </c>
      <c r="F29" s="63">
        <f>+F27-F28</f>
        <v>0</v>
      </c>
      <c r="G29" s="61">
        <f>+G27-G28</f>
        <v>-11078.369999999995</v>
      </c>
    </row>
    <row r="30" spans="1:10" s="27" customFormat="1" ht="30.75" customHeight="1" thickBot="1" x14ac:dyDescent="0.4">
      <c r="A30" s="107" t="s">
        <v>28</v>
      </c>
      <c r="B30" s="85" t="s">
        <v>29</v>
      </c>
      <c r="C30" s="61">
        <f>+C26+C29</f>
        <v>-19221172.18</v>
      </c>
      <c r="D30" s="61">
        <f>+D26+D29</f>
        <v>-61426486.970000036</v>
      </c>
      <c r="E30" s="62">
        <f>+E26+E29</f>
        <v>-8042526.2300000079</v>
      </c>
      <c r="F30" s="63">
        <f>+F26+F29</f>
        <v>-36727156.350000001</v>
      </c>
      <c r="G30" s="61">
        <f>+G26+G29</f>
        <v>-125417341.73000003</v>
      </c>
    </row>
    <row r="31" spans="1:10" s="32" customFormat="1" ht="30.75" customHeight="1" x14ac:dyDescent="0.35">
      <c r="A31" s="105" t="s">
        <v>30</v>
      </c>
      <c r="B31" s="84" t="s">
        <v>31</v>
      </c>
      <c r="C31" s="51">
        <f>+'01 2020'!C31+'02 2020'!C31+'03 2020'!C31</f>
        <v>0</v>
      </c>
      <c r="D31" s="51">
        <f>+'01 2020'!D31+'02 2020'!D31+'03 2020'!D31</f>
        <v>0</v>
      </c>
      <c r="E31" s="52">
        <f>+'01 2020'!E31+'02 2020'!E31+'03 2020'!E31</f>
        <v>0</v>
      </c>
      <c r="F31" s="53">
        <f>+'01 2020'!F31+'02 2020'!F31+'03 2020'!F31</f>
        <v>0</v>
      </c>
      <c r="G31" s="51">
        <f>+C31+D31+E31+F31</f>
        <v>0</v>
      </c>
    </row>
    <row r="32" spans="1:10" s="32" customFormat="1" ht="30.75" customHeight="1" x14ac:dyDescent="0.35">
      <c r="A32" s="109" t="s">
        <v>32</v>
      </c>
      <c r="B32" s="81" t="s">
        <v>33</v>
      </c>
      <c r="C32" s="54">
        <f>+'01 2020'!C32+'02 2020'!C32+'03 2020'!C32</f>
        <v>0</v>
      </c>
      <c r="D32" s="54">
        <f>+'01 2020'!D32+'02 2020'!D32+'03 2020'!D32</f>
        <v>0</v>
      </c>
      <c r="E32" s="55">
        <f>+'01 2020'!E32+'02 2020'!E32+'03 2020'!E32</f>
        <v>0</v>
      </c>
      <c r="F32" s="56">
        <f>+'01 2020'!F32+'02 2020'!F32+'03 2020'!F32</f>
        <v>0</v>
      </c>
      <c r="G32" s="54">
        <f>+C32+D32+E32+F32</f>
        <v>0</v>
      </c>
    </row>
    <row r="33" spans="1:7" s="37" customFormat="1" ht="30.75" customHeight="1" x14ac:dyDescent="0.35">
      <c r="A33" s="110"/>
      <c r="B33" s="88" t="s">
        <v>45</v>
      </c>
      <c r="C33" s="74">
        <f>+C12+C20+C27+C25</f>
        <v>13200200.02</v>
      </c>
      <c r="D33" s="74">
        <f>+D12+D20+D27+D25</f>
        <v>287893283.11999995</v>
      </c>
      <c r="E33" s="75">
        <f>+E12+E20+E27+E25</f>
        <v>58865919.169999994</v>
      </c>
      <c r="F33" s="76">
        <f>+F12+F20+F27+F25</f>
        <v>25040493.539999999</v>
      </c>
      <c r="G33" s="74">
        <f>+G12+G20+G27+G25</f>
        <v>384999895.84999996</v>
      </c>
    </row>
    <row r="34" spans="1:7" s="37" customFormat="1" ht="30.75" customHeight="1" thickBot="1" x14ac:dyDescent="0.4">
      <c r="A34" s="111"/>
      <c r="B34" s="89" t="s">
        <v>46</v>
      </c>
      <c r="C34" s="73">
        <f t="shared" ref="C34:G34" si="1">(C15+C17+C18+C24+C21+C28)-C32</f>
        <v>32421372.199999999</v>
      </c>
      <c r="D34" s="73">
        <f t="shared" si="1"/>
        <v>349319770.08999997</v>
      </c>
      <c r="E34" s="77">
        <f t="shared" si="1"/>
        <v>66908445.400000006</v>
      </c>
      <c r="F34" s="78">
        <f t="shared" si="1"/>
        <v>61767649.890000001</v>
      </c>
      <c r="G34" s="73">
        <f t="shared" si="1"/>
        <v>510417237.57999992</v>
      </c>
    </row>
    <row r="35" spans="1:7" s="27" customFormat="1" ht="30.75" customHeight="1" thickBot="1" x14ac:dyDescent="0.4">
      <c r="A35" s="107" t="s">
        <v>34</v>
      </c>
      <c r="B35" s="85" t="s">
        <v>35</v>
      </c>
      <c r="C35" s="61">
        <f>+C30</f>
        <v>-19221172.18</v>
      </c>
      <c r="D35" s="61">
        <f>+D30</f>
        <v>-61426486.970000036</v>
      </c>
      <c r="E35" s="62">
        <f>+E30</f>
        <v>-8042526.2300000079</v>
      </c>
      <c r="F35" s="63">
        <f>+F30</f>
        <v>-36727156.350000001</v>
      </c>
      <c r="G35" s="61">
        <f>+G30</f>
        <v>-125417341.73000003</v>
      </c>
    </row>
    <row r="36" spans="1:7" s="32" customFormat="1" ht="30.75" customHeight="1" x14ac:dyDescent="0.35">
      <c r="A36" s="105">
        <v>77</v>
      </c>
      <c r="B36" s="84" t="s">
        <v>36</v>
      </c>
      <c r="C36" s="51">
        <f>+'01 2020'!C36+'02 2020'!C36+'03 2020'!C36</f>
        <v>0</v>
      </c>
      <c r="D36" s="51">
        <f>+'01 2020'!D36+'02 2020'!D36+'03 2020'!D36</f>
        <v>0</v>
      </c>
      <c r="E36" s="52">
        <f>+'01 2020'!E36+'02 2020'!E36+'03 2020'!E36</f>
        <v>0</v>
      </c>
      <c r="F36" s="53">
        <f>+'01 2020'!F36+'02 2020'!F36+'03 2020'!F36</f>
        <v>0</v>
      </c>
      <c r="G36" s="51">
        <f>+C36+D36+E36+F36</f>
        <v>0</v>
      </c>
    </row>
    <row r="37" spans="1:7" s="32" customFormat="1" ht="30.75" customHeight="1" thickBot="1" x14ac:dyDescent="0.4">
      <c r="A37" s="106">
        <v>67</v>
      </c>
      <c r="B37" s="82" t="s">
        <v>37</v>
      </c>
      <c r="C37" s="58">
        <f>+'01 2020'!C37+'02 2020'!C37+'03 2020'!C37</f>
        <v>0</v>
      </c>
      <c r="D37" s="58">
        <f>+'01 2020'!D37+'02 2020'!D37+'03 2020'!D37</f>
        <v>0</v>
      </c>
      <c r="E37" s="59">
        <f>+'01 2020'!E37+'02 2020'!E37+'03 2020'!E37</f>
        <v>0</v>
      </c>
      <c r="F37" s="60">
        <f>+'01 2020'!F37+'02 2020'!F37+'03 2020'!F37</f>
        <v>0</v>
      </c>
      <c r="G37" s="58">
        <f>+C37+D37+E37+F37</f>
        <v>0</v>
      </c>
    </row>
    <row r="38" spans="1:7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3"/>
      <c r="G38" s="61"/>
    </row>
    <row r="39" spans="1:7" s="27" customFormat="1" ht="30.6" customHeight="1" x14ac:dyDescent="0.35">
      <c r="A39" s="120" t="s">
        <v>40</v>
      </c>
      <c r="B39" s="121" t="s">
        <v>41</v>
      </c>
      <c r="C39" s="122">
        <f>+C35</f>
        <v>-19221172.18</v>
      </c>
      <c r="D39" s="122">
        <f>+D35</f>
        <v>-61426486.970000036</v>
      </c>
      <c r="E39" s="123">
        <f>+E35</f>
        <v>-8042526.2300000079</v>
      </c>
      <c r="F39" s="124">
        <f>+F35</f>
        <v>-36727156.350000001</v>
      </c>
      <c r="G39" s="122">
        <f>+G35</f>
        <v>-125417341.73000003</v>
      </c>
    </row>
    <row r="40" spans="1:7" s="27" customFormat="1" ht="11.4" customHeight="1" x14ac:dyDescent="0.35">
      <c r="A40" s="90"/>
      <c r="B40" s="90"/>
      <c r="C40" s="91"/>
      <c r="D40" s="91"/>
      <c r="E40" s="91"/>
      <c r="F40" s="91"/>
      <c r="G40" s="91"/>
    </row>
    <row r="41" spans="1:7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</row>
    <row r="42" spans="1:7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2.0862146601514975</v>
      </c>
      <c r="E42" s="95">
        <f>+E12/E7</f>
        <v>0.64506614836650755</v>
      </c>
      <c r="F42" s="95">
        <f>+F12/F7</f>
        <v>1.3577047301877532</v>
      </c>
      <c r="G42" s="95">
        <f>+G12/G7</f>
        <v>1.475591648605763</v>
      </c>
    </row>
    <row r="43" spans="1:7" s="37" customFormat="1" ht="18" x14ac:dyDescent="0.35">
      <c r="A43" s="92">
        <v>2</v>
      </c>
      <c r="B43" s="93" t="s">
        <v>53</v>
      </c>
      <c r="C43" s="94">
        <f>+C13/C7</f>
        <v>1.9247523484848483E-2</v>
      </c>
      <c r="D43" s="95">
        <f>+D13/D7</f>
        <v>1.7585724577716904</v>
      </c>
      <c r="E43" s="95">
        <f>+E13/E7</f>
        <v>0.38024619906580698</v>
      </c>
      <c r="F43" s="95">
        <f>+F13/F7</f>
        <v>1.4975732666736037</v>
      </c>
      <c r="G43" s="95">
        <f>+G13/G7</f>
        <v>1.1698617367763442</v>
      </c>
    </row>
    <row r="44" spans="1:7" s="37" customFormat="1" ht="18" x14ac:dyDescent="0.35">
      <c r="A44" s="92">
        <v>3</v>
      </c>
      <c r="B44" s="93" t="s">
        <v>56</v>
      </c>
      <c r="C44" s="94">
        <f>+C13/C12</f>
        <v>1.9247523484848483E-2</v>
      </c>
      <c r="D44" s="95">
        <f>+D13/D12</f>
        <v>0.84294895025039551</v>
      </c>
      <c r="E44" s="95">
        <f>+E13/E12</f>
        <v>0.58946853749603723</v>
      </c>
      <c r="F44" s="95">
        <f>+F13/F12</f>
        <v>1.1030183760695218</v>
      </c>
      <c r="G44" s="95">
        <f>+G13/G12</f>
        <v>0.79280859164641326</v>
      </c>
    </row>
    <row r="45" spans="1:7" s="37" customFormat="1" ht="18" x14ac:dyDescent="0.35">
      <c r="A45" s="92">
        <v>4</v>
      </c>
      <c r="B45" s="93" t="s">
        <v>57</v>
      </c>
      <c r="C45" s="94">
        <f>+C15/C12</f>
        <v>0.31048251287878786</v>
      </c>
      <c r="D45" s="95">
        <f>+D15/D12</f>
        <v>0.88997679505751537</v>
      </c>
      <c r="E45" s="95">
        <f>+E15/E12</f>
        <v>0.66415924750946831</v>
      </c>
      <c r="F45" s="95">
        <f>+F15/F12</f>
        <v>1.2605760793113698</v>
      </c>
      <c r="G45" s="95">
        <f>+G15/G12</f>
        <v>0.85962807375610473</v>
      </c>
    </row>
    <row r="46" spans="1:7" s="37" customFormat="1" ht="18" x14ac:dyDescent="0.35">
      <c r="A46" s="92">
        <v>5</v>
      </c>
      <c r="B46" s="93" t="s">
        <v>58</v>
      </c>
      <c r="C46" s="94">
        <f>+C17/C12</f>
        <v>1.8210816999999999</v>
      </c>
      <c r="D46" s="95">
        <f>+D17/D12</f>
        <v>0.25936048198098927</v>
      </c>
      <c r="E46" s="95">
        <f>+E17/E12</f>
        <v>0.43924639707418961</v>
      </c>
      <c r="F46" s="95">
        <f>+F17/F12</f>
        <v>1.1262910194200086</v>
      </c>
      <c r="G46" s="95">
        <f>+G17/G12</f>
        <v>0.39678444308817529</v>
      </c>
    </row>
    <row r="47" spans="1:7" s="37" customFormat="1" ht="18" x14ac:dyDescent="0.35">
      <c r="A47" s="92">
        <v>6</v>
      </c>
      <c r="B47" s="93" t="s">
        <v>54</v>
      </c>
      <c r="C47" s="94">
        <f>+C16/C17</f>
        <v>0.37863072651886631</v>
      </c>
      <c r="D47" s="95">
        <f>+D16/D17</f>
        <v>0.42420959470051106</v>
      </c>
      <c r="E47" s="95">
        <f>+E16/E17</f>
        <v>0.76458396637413406</v>
      </c>
      <c r="F47" s="95">
        <f>+F16/F17</f>
        <v>-0.23135768182326033</v>
      </c>
      <c r="G47" s="95">
        <f>+G16/G17</f>
        <v>0.35377376479627048</v>
      </c>
    </row>
    <row r="48" spans="1:7" s="37" customFormat="1" ht="18" x14ac:dyDescent="0.35">
      <c r="A48" s="92">
        <v>7</v>
      </c>
      <c r="B48" s="93" t="s">
        <v>55</v>
      </c>
      <c r="C48" s="94">
        <f>+C19/C12</f>
        <v>-1.1521202734848484</v>
      </c>
      <c r="D48" s="95">
        <f>+D19/D12</f>
        <v>-0.15414336097020898</v>
      </c>
      <c r="E48" s="95">
        <f>+E19/E12</f>
        <v>-0.11903438465218304</v>
      </c>
      <c r="F48" s="95">
        <f>+F19/F12</f>
        <v>-1.4028734970969556</v>
      </c>
      <c r="G48" s="95">
        <f>+G19/G12</f>
        <v>-0.26414190409490257</v>
      </c>
    </row>
    <row r="49" spans="1:6" ht="15.6" x14ac:dyDescent="0.3">
      <c r="A49" s="90"/>
      <c r="B49" s="90"/>
      <c r="C49" s="96"/>
      <c r="D49" s="96"/>
      <c r="E49" s="96"/>
      <c r="F49" s="96"/>
    </row>
  </sheetData>
  <sheetProtection selectLockedCells="1" selectUnlockedCells="1"/>
  <mergeCells count="5">
    <mergeCell ref="A41:G41"/>
    <mergeCell ref="R1:S1"/>
    <mergeCell ref="R2:S2"/>
    <mergeCell ref="R3:S3"/>
    <mergeCell ref="A5:G5"/>
  </mergeCells>
  <conditionalFormatting sqref="D1:G4 C42:G1048576 D40:G40 D6:F39">
    <cfRule type="cellIs" dxfId="340" priority="4" operator="lessThan">
      <formula>-0.01</formula>
    </cfRule>
  </conditionalFormatting>
  <conditionalFormatting sqref="C1:C4 C6:C40">
    <cfRule type="cellIs" dxfId="339" priority="3" operator="lessThan">
      <formula>-0.01</formula>
    </cfRule>
  </conditionalFormatting>
  <conditionalFormatting sqref="G7:G39">
    <cfRule type="cellIs" dxfId="338" priority="2" operator="lessThan">
      <formula>-0.01</formula>
    </cfRule>
  </conditionalFormatting>
  <conditionalFormatting sqref="G6">
    <cfRule type="cellIs" dxfId="337" priority="1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90" zoomScaleNormal="50" zoomScaleSheetLayoutView="90" workbookViewId="0">
      <pane xSplit="2" ySplit="6" topLeftCell="C34" activePane="bottomRight" state="frozen"/>
      <selection activeCell="C5" sqref="C5:D5"/>
      <selection pane="topRight" activeCell="C5" sqref="C5:D5"/>
      <selection pane="bottomLeft" activeCell="C5" sqref="C5:D5"/>
      <selection pane="bottomRight" activeCell="D39" sqref="D39"/>
    </sheetView>
  </sheetViews>
  <sheetFormatPr baseColWidth="10" defaultColWidth="11.44140625" defaultRowHeight="28.8" x14ac:dyDescent="0.55000000000000004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8" width="23.5546875" style="4" bestFit="1" customWidth="1"/>
    <col min="9" max="16384" width="11.44140625" style="1"/>
  </cols>
  <sheetData>
    <row r="1" spans="1:31" s="42" customFormat="1" ht="13.8" customHeight="1" x14ac:dyDescent="0.45">
      <c r="A1" s="25"/>
      <c r="B1" s="39"/>
      <c r="C1" s="40"/>
      <c r="D1" s="40"/>
      <c r="E1" s="40"/>
      <c r="F1" s="40"/>
      <c r="G1" s="97"/>
      <c r="H1" s="41"/>
      <c r="I1" s="39"/>
      <c r="J1" s="39"/>
      <c r="K1" s="39"/>
      <c r="L1" s="39"/>
      <c r="M1" s="39"/>
      <c r="N1" s="39"/>
      <c r="R1" s="39"/>
      <c r="S1" s="39"/>
      <c r="T1" s="278"/>
      <c r="U1" s="278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44"/>
      <c r="D2" s="44"/>
      <c r="E2" s="44"/>
      <c r="F2" s="44"/>
      <c r="G2" s="98"/>
      <c r="H2" s="41"/>
      <c r="I2" s="39"/>
      <c r="J2" s="39"/>
      <c r="K2" s="39"/>
      <c r="L2" s="39"/>
      <c r="M2" s="39"/>
      <c r="N2" s="39"/>
      <c r="R2" s="43"/>
      <c r="S2" s="4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5">
      <c r="A3" s="46"/>
      <c r="B3" s="47"/>
      <c r="C3" s="48"/>
      <c r="D3" s="48"/>
      <c r="E3" s="48"/>
      <c r="F3" s="48"/>
      <c r="G3" s="99"/>
      <c r="H3" s="49"/>
      <c r="I3" s="46"/>
      <c r="J3" s="46"/>
      <c r="K3" s="46"/>
      <c r="L3" s="46"/>
      <c r="M3" s="46"/>
      <c r="N3" s="46"/>
      <c r="R3" s="46"/>
      <c r="S3" s="46"/>
      <c r="T3" s="280"/>
      <c r="U3" s="280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1:31" s="42" customFormat="1" ht="13.8" customHeight="1" x14ac:dyDescent="0.55000000000000004">
      <c r="A4" s="46"/>
      <c r="B4" s="46"/>
      <c r="C4" s="50"/>
      <c r="D4" s="50"/>
      <c r="E4" s="50"/>
      <c r="F4" s="50"/>
      <c r="G4" s="100"/>
      <c r="H4" s="5"/>
    </row>
    <row r="5" spans="1:31" ht="29.4" thickBot="1" x14ac:dyDescent="0.6">
      <c r="A5" s="281" t="s">
        <v>78</v>
      </c>
      <c r="B5" s="281"/>
      <c r="C5" s="281"/>
      <c r="D5" s="281"/>
      <c r="E5" s="281"/>
      <c r="F5" s="281"/>
      <c r="G5" s="281"/>
    </row>
    <row r="6" spans="1:31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  <c r="H6" s="26"/>
    </row>
    <row r="7" spans="1:31" s="29" customFormat="1" ht="30.75" customHeight="1" x14ac:dyDescent="0.35">
      <c r="A7" s="101"/>
      <c r="B7" s="79" t="s">
        <v>2</v>
      </c>
      <c r="C7" s="51">
        <v>2500000</v>
      </c>
      <c r="D7" s="51">
        <v>43990155</v>
      </c>
      <c r="E7" s="52">
        <v>25000449.399999999</v>
      </c>
      <c r="F7" s="52">
        <v>24729842</v>
      </c>
      <c r="G7" s="51">
        <f>+C7+D7+E7+F7</f>
        <v>96220446.400000006</v>
      </c>
      <c r="H7" s="28"/>
    </row>
    <row r="8" spans="1:31" s="29" customFormat="1" ht="30.75" customHeight="1" x14ac:dyDescent="0.35">
      <c r="A8" s="102"/>
      <c r="B8" s="80" t="s">
        <v>42</v>
      </c>
      <c r="C8" s="54"/>
      <c r="D8" s="54"/>
      <c r="E8" s="55"/>
      <c r="F8" s="55"/>
      <c r="G8" s="51">
        <f>+C8+D8+E8+F8</f>
        <v>0</v>
      </c>
      <c r="H8" s="28"/>
      <c r="N8" s="30"/>
    </row>
    <row r="9" spans="1:31" s="27" customFormat="1" ht="30.75" customHeight="1" x14ac:dyDescent="0.35">
      <c r="A9" s="102"/>
      <c r="B9" s="81" t="s">
        <v>3</v>
      </c>
      <c r="C9" s="54"/>
      <c r="D9" s="57">
        <v>6787723.7199999997</v>
      </c>
      <c r="E9" s="55">
        <v>-13150572.210000001</v>
      </c>
      <c r="F9" s="55">
        <v>-17800558.949999999</v>
      </c>
      <c r="G9" s="51">
        <f>+C9+D9+E9+F9</f>
        <v>-24163407.440000001</v>
      </c>
      <c r="H9" s="26"/>
    </row>
    <row r="10" spans="1:31" s="27" customFormat="1" ht="30.75" customHeight="1" x14ac:dyDescent="0.35">
      <c r="A10" s="102"/>
      <c r="B10" s="81" t="s">
        <v>4</v>
      </c>
      <c r="C10" s="54"/>
      <c r="D10" s="54"/>
      <c r="E10" s="55"/>
      <c r="F10" s="55"/>
      <c r="G10" s="51">
        <f>+C10+D10+E10+F10</f>
        <v>0</v>
      </c>
      <c r="H10" s="26"/>
    </row>
    <row r="11" spans="1:31" s="27" customFormat="1" ht="30.75" customHeight="1" thickBot="1" x14ac:dyDescent="0.4">
      <c r="A11" s="103"/>
      <c r="B11" s="82" t="s">
        <v>5</v>
      </c>
      <c r="C11" s="58"/>
      <c r="D11" s="58"/>
      <c r="E11" s="59"/>
      <c r="F11" s="59"/>
      <c r="G11" s="112">
        <f>+C11+D11+E11+F11</f>
        <v>0</v>
      </c>
      <c r="H11" s="26"/>
    </row>
    <row r="12" spans="1:31" s="27" customFormat="1" ht="30.75" customHeight="1" thickBot="1" x14ac:dyDescent="0.4">
      <c r="A12" s="104"/>
      <c r="B12" s="83" t="s">
        <v>6</v>
      </c>
      <c r="C12" s="61">
        <f>SUM(C7:C11)</f>
        <v>2500000</v>
      </c>
      <c r="D12" s="61">
        <f>SUM(D7:D11)</f>
        <v>50777878.719999999</v>
      </c>
      <c r="E12" s="62">
        <f>SUM(E7:E11)</f>
        <v>11849877.189999998</v>
      </c>
      <c r="F12" s="62">
        <f>SUM(F7:F11)</f>
        <v>6929283.0500000007</v>
      </c>
      <c r="G12" s="61">
        <f>SUM(G7:G11)</f>
        <v>72057038.960000008</v>
      </c>
      <c r="H12" s="26"/>
    </row>
    <row r="13" spans="1:31" s="32" customFormat="1" ht="30.75" customHeight="1" x14ac:dyDescent="0.35">
      <c r="A13" s="105">
        <v>60</v>
      </c>
      <c r="B13" s="84" t="s">
        <v>7</v>
      </c>
      <c r="C13" s="51">
        <v>309505.48</v>
      </c>
      <c r="D13" s="64">
        <v>43933429.219999999</v>
      </c>
      <c r="E13" s="65">
        <v>7563580.5</v>
      </c>
      <c r="F13" s="65">
        <v>8766555.9199999999</v>
      </c>
      <c r="G13" s="51">
        <f>+C13+D13+E13+F13</f>
        <v>60573071.119999997</v>
      </c>
      <c r="H13" s="31"/>
    </row>
    <row r="14" spans="1:31" s="32" customFormat="1" ht="30.75" customHeight="1" thickBot="1" x14ac:dyDescent="0.4">
      <c r="A14" s="106" t="s">
        <v>8</v>
      </c>
      <c r="B14" s="82" t="s">
        <v>43</v>
      </c>
      <c r="C14" s="58">
        <v>557858.25</v>
      </c>
      <c r="D14" s="58">
        <v>2861996.96</v>
      </c>
      <c r="E14" s="59">
        <v>1611250.33</v>
      </c>
      <c r="F14" s="59">
        <v>829233.78</v>
      </c>
      <c r="G14" s="58">
        <f>+C14+D14+E14+F14</f>
        <v>5860339.3200000003</v>
      </c>
      <c r="H14" s="33"/>
      <c r="I14" s="34"/>
    </row>
    <row r="15" spans="1:31" s="27" customFormat="1" ht="30.75" customHeight="1" thickBot="1" x14ac:dyDescent="0.4">
      <c r="A15" s="107" t="s">
        <v>9</v>
      </c>
      <c r="B15" s="85" t="s">
        <v>10</v>
      </c>
      <c r="C15" s="61">
        <f>SUM(C13:C14)</f>
        <v>867363.73</v>
      </c>
      <c r="D15" s="61">
        <f>SUM(D13:D14)</f>
        <v>46795426.18</v>
      </c>
      <c r="E15" s="62">
        <f>SUM(E13:E14)</f>
        <v>9174830.8300000001</v>
      </c>
      <c r="F15" s="62">
        <f>SUM(F13:F14)</f>
        <v>9595789.6999999993</v>
      </c>
      <c r="G15" s="61">
        <f>SUM(G13:G14)</f>
        <v>66433410.439999998</v>
      </c>
      <c r="H15" s="26"/>
      <c r="I15" s="34"/>
    </row>
    <row r="16" spans="1:31" s="27" customFormat="1" ht="30.75" customHeight="1" thickBot="1" x14ac:dyDescent="0.4">
      <c r="A16" s="108" t="s">
        <v>11</v>
      </c>
      <c r="B16" s="86" t="s">
        <v>12</v>
      </c>
      <c r="C16" s="67">
        <f>+C12-C15</f>
        <v>1632636.27</v>
      </c>
      <c r="D16" s="67">
        <f>+D12-D15</f>
        <v>3982452.5399999991</v>
      </c>
      <c r="E16" s="68">
        <f>+E12-E15</f>
        <v>2675046.3599999975</v>
      </c>
      <c r="F16" s="68">
        <f>+F12-F15</f>
        <v>-2666506.6499999985</v>
      </c>
      <c r="G16" s="67">
        <f>+G12-G15</f>
        <v>5623628.5200000107</v>
      </c>
      <c r="H16" s="26"/>
      <c r="I16" s="34"/>
    </row>
    <row r="17" spans="1:12" s="32" customFormat="1" ht="30.75" customHeight="1" x14ac:dyDescent="0.35">
      <c r="A17" s="105">
        <v>63</v>
      </c>
      <c r="B17" s="84" t="s">
        <v>44</v>
      </c>
      <c r="C17" s="64">
        <v>8612388.2799999993</v>
      </c>
      <c r="D17" s="64">
        <v>26275869.91</v>
      </c>
      <c r="E17" s="65">
        <v>8255917.8399999999</v>
      </c>
      <c r="F17" s="65">
        <v>9102644.1099999994</v>
      </c>
      <c r="G17" s="51">
        <f>+C17+D17+E17+F17</f>
        <v>52246820.140000001</v>
      </c>
      <c r="H17" s="31"/>
      <c r="I17" s="34"/>
    </row>
    <row r="18" spans="1:12" s="32" customFormat="1" ht="30.75" customHeight="1" thickBot="1" x14ac:dyDescent="0.4">
      <c r="A18" s="106">
        <v>64</v>
      </c>
      <c r="B18" s="82" t="s">
        <v>13</v>
      </c>
      <c r="C18" s="58">
        <v>50234.87</v>
      </c>
      <c r="D18" s="58">
        <v>448863.96</v>
      </c>
      <c r="E18" s="59">
        <v>260194.35</v>
      </c>
      <c r="F18" s="59">
        <v>248398</v>
      </c>
      <c r="G18" s="58">
        <f>+C18+D18+E18+F18</f>
        <v>1007691.18</v>
      </c>
      <c r="H18" s="31"/>
      <c r="I18" s="34"/>
    </row>
    <row r="19" spans="1:12" s="27" customFormat="1" ht="30.75" customHeight="1" thickBot="1" x14ac:dyDescent="0.4">
      <c r="A19" s="107" t="s">
        <v>14</v>
      </c>
      <c r="B19" s="85" t="s">
        <v>15</v>
      </c>
      <c r="C19" s="61">
        <f>+C16-C17-C18</f>
        <v>-7029986.8799999999</v>
      </c>
      <c r="D19" s="61">
        <f>+D16-D17-D18</f>
        <v>-22742281.330000002</v>
      </c>
      <c r="E19" s="62">
        <f>+E16-E17-E18</f>
        <v>-5841065.8300000019</v>
      </c>
      <c r="F19" s="62">
        <f>+F16-F17-F18</f>
        <v>-12017548.759999998</v>
      </c>
      <c r="G19" s="61">
        <f>+G16-G17-G18</f>
        <v>-47630882.79999999</v>
      </c>
      <c r="H19" s="26"/>
      <c r="I19" s="34"/>
    </row>
    <row r="20" spans="1:12" s="32" customFormat="1" ht="30.75" customHeight="1" x14ac:dyDescent="0.35">
      <c r="A20" s="105">
        <v>75</v>
      </c>
      <c r="B20" s="84" t="s">
        <v>16</v>
      </c>
      <c r="C20" s="51"/>
      <c r="D20" s="51">
        <v>0.01</v>
      </c>
      <c r="E20" s="52"/>
      <c r="F20" s="52"/>
      <c r="G20" s="51">
        <f t="shared" ref="G20:G25" si="0">+C20+D20+E20+F20</f>
        <v>0.01</v>
      </c>
      <c r="H20" s="31"/>
      <c r="L20" s="35"/>
    </row>
    <row r="21" spans="1:12" s="32" customFormat="1" ht="30.75" customHeight="1" x14ac:dyDescent="0.35">
      <c r="A21" s="109">
        <v>65</v>
      </c>
      <c r="B21" s="81" t="s">
        <v>17</v>
      </c>
      <c r="C21" s="54">
        <v>136065.91</v>
      </c>
      <c r="D21" s="54"/>
      <c r="E21" s="55"/>
      <c r="F21" s="55"/>
      <c r="G21" s="54">
        <f t="shared" si="0"/>
        <v>136065.91</v>
      </c>
      <c r="H21" s="31"/>
    </row>
    <row r="22" spans="1:12" s="27" customFormat="1" ht="30.75" customHeight="1" x14ac:dyDescent="0.35">
      <c r="A22" s="109"/>
      <c r="B22" s="87" t="s">
        <v>18</v>
      </c>
      <c r="C22" s="70"/>
      <c r="D22" s="70"/>
      <c r="E22" s="71"/>
      <c r="F22" s="71"/>
      <c r="G22" s="70">
        <f t="shared" si="0"/>
        <v>0</v>
      </c>
      <c r="H22" s="26"/>
    </row>
    <row r="23" spans="1:12" s="27" customFormat="1" ht="30.75" customHeight="1" x14ac:dyDescent="0.35">
      <c r="A23" s="109"/>
      <c r="B23" s="87" t="s">
        <v>19</v>
      </c>
      <c r="C23" s="70"/>
      <c r="D23" s="70"/>
      <c r="E23" s="71"/>
      <c r="F23" s="71"/>
      <c r="G23" s="70">
        <f t="shared" si="0"/>
        <v>0</v>
      </c>
      <c r="H23" s="26"/>
    </row>
    <row r="24" spans="1:12" s="32" customFormat="1" ht="30.75" customHeight="1" x14ac:dyDescent="0.35">
      <c r="A24" s="109">
        <v>68</v>
      </c>
      <c r="B24" s="81" t="s">
        <v>20</v>
      </c>
      <c r="C24" s="54">
        <v>1222157.08</v>
      </c>
      <c r="D24" s="54">
        <v>5801461.9100000001</v>
      </c>
      <c r="E24" s="55">
        <v>360073.02</v>
      </c>
      <c r="F24" s="55">
        <v>575012.74</v>
      </c>
      <c r="G24" s="57">
        <f t="shared" si="0"/>
        <v>7958704.75</v>
      </c>
      <c r="H24" s="31"/>
    </row>
    <row r="25" spans="1:12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59"/>
      <c r="G25" s="58">
        <f t="shared" si="0"/>
        <v>0</v>
      </c>
      <c r="H25" s="31"/>
    </row>
    <row r="26" spans="1:12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-8388209.8700000001</v>
      </c>
      <c r="D26" s="61">
        <f>+D19+D20-(D21+D22+D23+D24+D25)</f>
        <v>-28543743.23</v>
      </c>
      <c r="E26" s="62">
        <f>+E19+E20-(E21+E22+E23+E24+E25)</f>
        <v>-6201138.8500000015</v>
      </c>
      <c r="F26" s="62">
        <f>+F19+F20-(F21+F22+F23+F24+F25)</f>
        <v>-12592561.499999998</v>
      </c>
      <c r="G26" s="61">
        <f>+G19+G20-(G21+G22+G23+G24+G25)</f>
        <v>-55725653.449999988</v>
      </c>
      <c r="H26" s="26"/>
    </row>
    <row r="27" spans="1:12" s="32" customFormat="1" ht="30.75" customHeight="1" x14ac:dyDescent="0.35">
      <c r="A27" s="105">
        <v>76</v>
      </c>
      <c r="B27" s="84" t="s">
        <v>24</v>
      </c>
      <c r="C27" s="51">
        <v>161789942.91</v>
      </c>
      <c r="D27" s="51"/>
      <c r="E27" s="52"/>
      <c r="F27" s="52"/>
      <c r="G27" s="51">
        <f>+C27+D27+E27+F27</f>
        <v>161789942.91</v>
      </c>
      <c r="H27" s="31"/>
    </row>
    <row r="28" spans="1:12" s="32" customFormat="1" ht="30.75" customHeight="1" thickBot="1" x14ac:dyDescent="0.4">
      <c r="A28" s="106">
        <v>66</v>
      </c>
      <c r="B28" s="82" t="s">
        <v>25</v>
      </c>
      <c r="C28" s="73"/>
      <c r="D28" s="58"/>
      <c r="E28" s="59">
        <v>37119.15</v>
      </c>
      <c r="F28" s="59"/>
      <c r="G28" s="58">
        <f>+C28+D28+E28+F28</f>
        <v>37119.15</v>
      </c>
      <c r="H28" s="31"/>
    </row>
    <row r="29" spans="1:12" s="27" customFormat="1" ht="30.75" customHeight="1" thickBot="1" x14ac:dyDescent="0.4">
      <c r="A29" s="107" t="s">
        <v>26</v>
      </c>
      <c r="B29" s="85" t="s">
        <v>27</v>
      </c>
      <c r="C29" s="61">
        <f>+C27-C28</f>
        <v>161789942.91</v>
      </c>
      <c r="D29" s="61">
        <f>+D27-D28</f>
        <v>0</v>
      </c>
      <c r="E29" s="62">
        <f>+E27-E28</f>
        <v>-37119.15</v>
      </c>
      <c r="F29" s="62">
        <f>+F27-F28</f>
        <v>0</v>
      </c>
      <c r="G29" s="61">
        <f>+G27-G28</f>
        <v>161752823.75999999</v>
      </c>
      <c r="H29" s="26"/>
    </row>
    <row r="30" spans="1:12" s="27" customFormat="1" ht="30.75" customHeight="1" thickBot="1" x14ac:dyDescent="0.4">
      <c r="A30" s="107" t="s">
        <v>28</v>
      </c>
      <c r="B30" s="85" t="s">
        <v>29</v>
      </c>
      <c r="C30" s="61">
        <f>+C26+C29</f>
        <v>153401733.03999999</v>
      </c>
      <c r="D30" s="61">
        <f>+D26+D29</f>
        <v>-28543743.23</v>
      </c>
      <c r="E30" s="62">
        <f>+E26+E29</f>
        <v>-6238258.0000000019</v>
      </c>
      <c r="F30" s="62">
        <f>+F26+F29</f>
        <v>-12592561.499999998</v>
      </c>
      <c r="G30" s="61">
        <f>+G26+G29</f>
        <v>106027170.31</v>
      </c>
      <c r="H30" s="26"/>
    </row>
    <row r="31" spans="1:12" s="32" customFormat="1" ht="30.75" customHeight="1" x14ac:dyDescent="0.35">
      <c r="A31" s="105" t="s">
        <v>30</v>
      </c>
      <c r="B31" s="84" t="s">
        <v>31</v>
      </c>
      <c r="C31" s="51"/>
      <c r="D31" s="51"/>
      <c r="E31" s="52"/>
      <c r="F31" s="52"/>
      <c r="G31" s="51">
        <f>+C31+D31+E31+F31</f>
        <v>0</v>
      </c>
      <c r="H31" s="31"/>
    </row>
    <row r="32" spans="1:12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5"/>
      <c r="G32" s="54">
        <f>+C32+D32+E32+F32</f>
        <v>0</v>
      </c>
      <c r="H32" s="31"/>
    </row>
    <row r="33" spans="1:8" s="37" customFormat="1" ht="30.75" customHeight="1" x14ac:dyDescent="0.35">
      <c r="A33" s="110"/>
      <c r="B33" s="88" t="s">
        <v>45</v>
      </c>
      <c r="C33" s="74">
        <f>+C12+C20+C27</f>
        <v>164289942.91</v>
      </c>
      <c r="D33" s="74">
        <f>+D12+D20+D27</f>
        <v>50777878.729999997</v>
      </c>
      <c r="E33" s="75">
        <f>+E12+E20+E27</f>
        <v>11849877.189999998</v>
      </c>
      <c r="F33" s="75">
        <f>+F12+F20+F27</f>
        <v>6929283.0500000007</v>
      </c>
      <c r="G33" s="74">
        <f>+G12+G20+G27</f>
        <v>233846981.88</v>
      </c>
      <c r="H33" s="36"/>
    </row>
    <row r="34" spans="1:8" s="37" customFormat="1" ht="30.75" customHeight="1" thickBot="1" x14ac:dyDescent="0.4">
      <c r="A34" s="111"/>
      <c r="B34" s="89" t="s">
        <v>46</v>
      </c>
      <c r="C34" s="73">
        <f>+C15+C17+C18+C24+C21+C28</f>
        <v>10888209.869999999</v>
      </c>
      <c r="D34" s="73">
        <f>+D15+D17+D18+D24+D21+D28</f>
        <v>79321621.959999993</v>
      </c>
      <c r="E34" s="77">
        <f>+E15+E17+E18+E24+E21+E28</f>
        <v>18088135.190000001</v>
      </c>
      <c r="F34" s="77">
        <f>+F15+F17+F18+F24+F21+F28</f>
        <v>19521844.549999997</v>
      </c>
      <c r="G34" s="73">
        <f>+G15+G17+G18+G24+G21+G28</f>
        <v>127819811.57000001</v>
      </c>
      <c r="H34" s="36"/>
    </row>
    <row r="35" spans="1:8" s="27" customFormat="1" ht="30.75" customHeight="1" thickBot="1" x14ac:dyDescent="0.4">
      <c r="A35" s="107" t="s">
        <v>34</v>
      </c>
      <c r="B35" s="85" t="s">
        <v>35</v>
      </c>
      <c r="C35" s="61">
        <f>+C30</f>
        <v>153401733.03999999</v>
      </c>
      <c r="D35" s="61">
        <f>+D30</f>
        <v>-28543743.23</v>
      </c>
      <c r="E35" s="62">
        <f>+E30</f>
        <v>-6238258.0000000019</v>
      </c>
      <c r="F35" s="62">
        <f>+F30</f>
        <v>-12592561.499999998</v>
      </c>
      <c r="G35" s="61">
        <f>+G30</f>
        <v>106027170.31</v>
      </c>
      <c r="H35" s="26"/>
    </row>
    <row r="36" spans="1:8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2">
        <v>0</v>
      </c>
      <c r="G36" s="51">
        <f>+C36+D36+E36+F36</f>
        <v>0</v>
      </c>
      <c r="H36" s="31"/>
    </row>
    <row r="37" spans="1:8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59">
        <v>0</v>
      </c>
      <c r="G37" s="58">
        <f>+C37+D37+E37+F37</f>
        <v>0</v>
      </c>
      <c r="H37" s="31"/>
    </row>
    <row r="38" spans="1:8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2"/>
      <c r="G38" s="61"/>
      <c r="H38" s="26"/>
    </row>
    <row r="39" spans="1:8" s="27" customFormat="1" ht="30.6" customHeight="1" x14ac:dyDescent="0.35">
      <c r="A39" s="120" t="s">
        <v>40</v>
      </c>
      <c r="B39" s="121" t="s">
        <v>41</v>
      </c>
      <c r="C39" s="122">
        <f>+C35</f>
        <v>153401733.03999999</v>
      </c>
      <c r="D39" s="122">
        <f>+D35</f>
        <v>-28543743.23</v>
      </c>
      <c r="E39" s="123">
        <f>+E35</f>
        <v>-6238258.0000000019</v>
      </c>
      <c r="F39" s="123">
        <f>+F35</f>
        <v>-12592561.499999998</v>
      </c>
      <c r="G39" s="122">
        <f>+G35</f>
        <v>106027170.31</v>
      </c>
      <c r="H39" s="26"/>
    </row>
    <row r="40" spans="1:8" s="27" customFormat="1" ht="11.4" customHeight="1" x14ac:dyDescent="0.35">
      <c r="A40" s="90"/>
      <c r="B40" s="90"/>
      <c r="C40" s="91"/>
      <c r="D40" s="91"/>
      <c r="E40" s="91"/>
      <c r="F40" s="91"/>
      <c r="G40" s="91"/>
      <c r="H40" s="26"/>
    </row>
    <row r="41" spans="1:8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  <c r="H41" s="26"/>
    </row>
    <row r="42" spans="1:8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1.1543009730245324</v>
      </c>
      <c r="E42" s="95">
        <f>+E12/E7</f>
        <v>0.47398656721746762</v>
      </c>
      <c r="F42" s="95">
        <f>+F12/F7</f>
        <v>0.28019924470200824</v>
      </c>
      <c r="G42" s="95">
        <f>+G12/G7</f>
        <v>0.74887450283124024</v>
      </c>
      <c r="H42" s="38"/>
    </row>
    <row r="43" spans="1:8" s="37" customFormat="1" ht="18" x14ac:dyDescent="0.35">
      <c r="A43" s="92">
        <v>2</v>
      </c>
      <c r="B43" s="93" t="s">
        <v>53</v>
      </c>
      <c r="C43" s="94">
        <f>+C13/C7</f>
        <v>0.12380219199999999</v>
      </c>
      <c r="D43" s="95">
        <f>+D13/D7</f>
        <v>0.998710489199231</v>
      </c>
      <c r="E43" s="95">
        <f>+E13/E7</f>
        <v>0.30253778158083833</v>
      </c>
      <c r="F43" s="95">
        <f>+F13/F7</f>
        <v>0.35449300161319269</v>
      </c>
      <c r="G43" s="95">
        <f>+G13/G7</f>
        <v>0.62952390459913721</v>
      </c>
      <c r="H43" s="36"/>
    </row>
    <row r="44" spans="1:8" s="37" customFormat="1" ht="18" x14ac:dyDescent="0.35">
      <c r="A44" s="92">
        <v>3</v>
      </c>
      <c r="B44" s="93" t="s">
        <v>56</v>
      </c>
      <c r="C44" s="94">
        <f>+C13/C12</f>
        <v>0.12380219199999999</v>
      </c>
      <c r="D44" s="95">
        <f>+D13/D12</f>
        <v>0.86520804585513023</v>
      </c>
      <c r="E44" s="95">
        <f>+E13/E12</f>
        <v>0.63828345042958212</v>
      </c>
      <c r="F44" s="95">
        <f>+F13/F12</f>
        <v>1.2651461712189689</v>
      </c>
      <c r="G44" s="95">
        <f>+G13/G12</f>
        <v>0.84062670343177792</v>
      </c>
      <c r="H44" s="36"/>
    </row>
    <row r="45" spans="1:8" s="37" customFormat="1" ht="18" x14ac:dyDescent="0.35">
      <c r="A45" s="92">
        <v>4</v>
      </c>
      <c r="B45" s="93" t="s">
        <v>57</v>
      </c>
      <c r="C45" s="94">
        <f>+C15/C12</f>
        <v>0.34694549199999997</v>
      </c>
      <c r="D45" s="95">
        <f>+D15/D12</f>
        <v>0.92157111245311985</v>
      </c>
      <c r="E45" s="95">
        <f>+E15/E12</f>
        <v>0.77425535158647518</v>
      </c>
      <c r="F45" s="95">
        <f>+F15/F12</f>
        <v>1.3848171060063708</v>
      </c>
      <c r="G45" s="95">
        <f>+G15/G12</f>
        <v>0.92195587549577529</v>
      </c>
      <c r="H45" s="36"/>
    </row>
    <row r="46" spans="1:8" s="37" customFormat="1" ht="18" x14ac:dyDescent="0.35">
      <c r="A46" s="92">
        <v>5</v>
      </c>
      <c r="B46" s="93" t="s">
        <v>58</v>
      </c>
      <c r="C46" s="94">
        <f>+C17/C12</f>
        <v>3.4449553119999998</v>
      </c>
      <c r="D46" s="95">
        <f>+D17/D12</f>
        <v>0.51746686888774385</v>
      </c>
      <c r="E46" s="95">
        <f>+E17/E12</f>
        <v>0.69670914791986982</v>
      </c>
      <c r="F46" s="95">
        <f>+F17/F12</f>
        <v>1.3136487634171616</v>
      </c>
      <c r="G46" s="95">
        <f>+G17/G12</f>
        <v>0.72507586897933773</v>
      </c>
      <c r="H46" s="36"/>
    </row>
    <row r="47" spans="1:8" s="37" customFormat="1" ht="18" x14ac:dyDescent="0.35">
      <c r="A47" s="92">
        <v>6</v>
      </c>
      <c r="B47" s="93" t="s">
        <v>54</v>
      </c>
      <c r="C47" s="94">
        <f>+C16/C17</f>
        <v>0.18956835397114727</v>
      </c>
      <c r="D47" s="95">
        <f>+D16/D17</f>
        <v>0.15156310918118712</v>
      </c>
      <c r="E47" s="95">
        <f>+E16/E17</f>
        <v>0.32401562271360945</v>
      </c>
      <c r="F47" s="95">
        <f>+F16/F17</f>
        <v>-0.29293759239368949</v>
      </c>
      <c r="G47" s="95">
        <f>+G16/G17</f>
        <v>0.10763580453185473</v>
      </c>
      <c r="H47" s="36"/>
    </row>
    <row r="48" spans="1:8" s="37" customFormat="1" ht="18" x14ac:dyDescent="0.35">
      <c r="A48" s="92">
        <v>7</v>
      </c>
      <c r="B48" s="93" t="s">
        <v>55</v>
      </c>
      <c r="C48" s="94">
        <f>+C19/C12</f>
        <v>-2.8119947519999999</v>
      </c>
      <c r="D48" s="95">
        <f>+D19/D12</f>
        <v>-0.44787773540926684</v>
      </c>
      <c r="E48" s="95">
        <f>+E19/E12</f>
        <v>-0.49292205618208629</v>
      </c>
      <c r="F48" s="95">
        <f>+F19/F12</f>
        <v>-1.7343134453137972</v>
      </c>
      <c r="G48" s="95">
        <f>+G19/G12</f>
        <v>-0.66101637657412815</v>
      </c>
      <c r="H48" s="36"/>
    </row>
    <row r="49" spans="1:6" x14ac:dyDescent="0.55000000000000004">
      <c r="A49" s="90"/>
      <c r="B49" s="90"/>
      <c r="C49" s="96"/>
      <c r="D49" s="96"/>
      <c r="E49" s="96"/>
      <c r="F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T1:U1"/>
    <mergeCell ref="T2:U2"/>
    <mergeCell ref="T3:U3"/>
    <mergeCell ref="A5:G5"/>
  </mergeCells>
  <conditionalFormatting sqref="D1:G4 C42:G1048576 D40:G40 D7:F39">
    <cfRule type="cellIs" dxfId="326" priority="7" operator="lessThan">
      <formula>-0.01</formula>
    </cfRule>
  </conditionalFormatting>
  <conditionalFormatting sqref="C1:C4 C7:C40">
    <cfRule type="cellIs" dxfId="325" priority="6" operator="lessThan">
      <formula>-0.01</formula>
    </cfRule>
  </conditionalFormatting>
  <conditionalFormatting sqref="G7:G39">
    <cfRule type="cellIs" dxfId="324" priority="5" operator="lessThan">
      <formula>-0.01</formula>
    </cfRule>
  </conditionalFormatting>
  <conditionalFormatting sqref="G6">
    <cfRule type="cellIs" dxfId="323" priority="1" operator="lessThan">
      <formula>-0.01</formula>
    </cfRule>
  </conditionalFormatting>
  <conditionalFormatting sqref="D6:F6">
    <cfRule type="cellIs" dxfId="322" priority="3" operator="lessThan">
      <formula>-0.01</formula>
    </cfRule>
  </conditionalFormatting>
  <conditionalFormatting sqref="C6">
    <cfRule type="cellIs" dxfId="321" priority="2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90" zoomScaleNormal="50" zoomScaleSheetLayoutView="90" workbookViewId="0">
      <pane xSplit="2" ySplit="6" topLeftCell="C28" activePane="bottomRight" state="frozen"/>
      <selection activeCell="C5" sqref="C5:D5"/>
      <selection pane="topRight" activeCell="C5" sqref="C5:D5"/>
      <selection pane="bottomLeft" activeCell="C5" sqref="C5:D5"/>
      <selection pane="bottomRight" activeCell="C35" sqref="C35"/>
    </sheetView>
  </sheetViews>
  <sheetFormatPr baseColWidth="10" defaultColWidth="11.44140625" defaultRowHeight="28.8" x14ac:dyDescent="0.55000000000000004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8" width="23.5546875" style="4" bestFit="1" customWidth="1"/>
    <col min="9" max="16384" width="11.44140625" style="1"/>
  </cols>
  <sheetData>
    <row r="1" spans="1:31" s="42" customFormat="1" ht="13.8" customHeight="1" x14ac:dyDescent="0.45">
      <c r="A1" s="25"/>
      <c r="B1" s="39"/>
      <c r="C1" s="40"/>
      <c r="D1" s="40"/>
      <c r="E1" s="40"/>
      <c r="F1" s="40"/>
      <c r="G1" s="97"/>
      <c r="H1" s="41"/>
      <c r="I1" s="39"/>
      <c r="J1" s="39"/>
      <c r="K1" s="39"/>
      <c r="L1" s="39"/>
      <c r="M1" s="39"/>
      <c r="N1" s="39"/>
      <c r="R1" s="39"/>
      <c r="S1" s="39"/>
      <c r="T1" s="278"/>
      <c r="U1" s="278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44"/>
      <c r="D2" s="44"/>
      <c r="E2" s="44"/>
      <c r="F2" s="44"/>
      <c r="G2" s="98"/>
      <c r="H2" s="41"/>
      <c r="I2" s="39"/>
      <c r="J2" s="39"/>
      <c r="K2" s="39"/>
      <c r="L2" s="39"/>
      <c r="M2" s="39"/>
      <c r="N2" s="39"/>
      <c r="R2" s="43"/>
      <c r="S2" s="4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5">
      <c r="A3" s="46"/>
      <c r="B3" s="47"/>
      <c r="C3" s="48"/>
      <c r="D3" s="48"/>
      <c r="E3" s="48"/>
      <c r="F3" s="48"/>
      <c r="G3" s="99"/>
      <c r="H3" s="49"/>
      <c r="I3" s="46"/>
      <c r="J3" s="46"/>
      <c r="K3" s="46"/>
      <c r="L3" s="46"/>
      <c r="M3" s="46"/>
      <c r="N3" s="46"/>
      <c r="R3" s="46"/>
      <c r="S3" s="46"/>
      <c r="T3" s="280"/>
      <c r="U3" s="280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1:31" s="42" customFormat="1" ht="13.8" customHeight="1" x14ac:dyDescent="0.55000000000000004">
      <c r="A4" s="46"/>
      <c r="B4" s="46"/>
      <c r="C4" s="50"/>
      <c r="D4" s="50"/>
      <c r="E4" s="50"/>
      <c r="F4" s="50"/>
      <c r="G4" s="100"/>
      <c r="H4" s="5"/>
    </row>
    <row r="5" spans="1:31" ht="29.4" thickBot="1" x14ac:dyDescent="0.6">
      <c r="A5" s="281" t="s">
        <v>79</v>
      </c>
      <c r="B5" s="281"/>
      <c r="C5" s="281"/>
      <c r="D5" s="281"/>
      <c r="E5" s="281"/>
      <c r="F5" s="281"/>
      <c r="G5" s="281"/>
    </row>
    <row r="6" spans="1:31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  <c r="H6" s="26"/>
    </row>
    <row r="7" spans="1:31" s="29" customFormat="1" ht="30.75" customHeight="1" x14ac:dyDescent="0.35">
      <c r="A7" s="101"/>
      <c r="B7" s="79" t="s">
        <v>2</v>
      </c>
      <c r="C7" s="51">
        <v>2500000</v>
      </c>
      <c r="D7" s="51">
        <v>71482070.299999997</v>
      </c>
      <c r="E7" s="52">
        <v>43803422.600000001</v>
      </c>
      <c r="F7" s="52">
        <v>34374382.899999999</v>
      </c>
      <c r="G7" s="51">
        <f>+C7+D7+E7+F7</f>
        <v>152159875.80000001</v>
      </c>
      <c r="H7" s="28"/>
    </row>
    <row r="8" spans="1:31" s="29" customFormat="1" ht="30.75" customHeight="1" x14ac:dyDescent="0.35">
      <c r="A8" s="102"/>
      <c r="B8" s="80" t="s">
        <v>42</v>
      </c>
      <c r="C8" s="54"/>
      <c r="D8" s="54"/>
      <c r="E8" s="55"/>
      <c r="F8" s="55"/>
      <c r="G8" s="51">
        <f>+C8+D8+E8+F8</f>
        <v>0</v>
      </c>
      <c r="H8" s="28"/>
      <c r="N8" s="30"/>
    </row>
    <row r="9" spans="1:31" s="27" customFormat="1" ht="30.75" customHeight="1" x14ac:dyDescent="0.35">
      <c r="A9" s="102"/>
      <c r="B9" s="81" t="s">
        <v>3</v>
      </c>
      <c r="C9" s="54"/>
      <c r="D9" s="57">
        <v>4869015.96</v>
      </c>
      <c r="E9" s="55">
        <v>-25336497.199999999</v>
      </c>
      <c r="F9" s="55">
        <v>-25680628.989999998</v>
      </c>
      <c r="G9" s="51">
        <f>+C9+D9+E9+F9</f>
        <v>-46148110.229999997</v>
      </c>
      <c r="H9" s="26"/>
    </row>
    <row r="10" spans="1:31" s="27" customFormat="1" ht="30.75" customHeight="1" x14ac:dyDescent="0.35">
      <c r="A10" s="102"/>
      <c r="B10" s="81" t="s">
        <v>4</v>
      </c>
      <c r="C10" s="54"/>
      <c r="D10" s="54"/>
      <c r="E10" s="55"/>
      <c r="F10" s="55"/>
      <c r="G10" s="51">
        <f>+C10+D10+E10+F10</f>
        <v>0</v>
      </c>
      <c r="H10" s="26"/>
    </row>
    <row r="11" spans="1:31" s="27" customFormat="1" ht="30.75" customHeight="1" thickBot="1" x14ac:dyDescent="0.4">
      <c r="A11" s="103"/>
      <c r="B11" s="82" t="s">
        <v>5</v>
      </c>
      <c r="C11" s="58"/>
      <c r="D11" s="58"/>
      <c r="E11" s="59"/>
      <c r="F11" s="59"/>
      <c r="G11" s="112">
        <f>+C11+D11+E11+F11</f>
        <v>0</v>
      </c>
      <c r="H11" s="26"/>
    </row>
    <row r="12" spans="1:31" s="27" customFormat="1" ht="30.75" customHeight="1" thickBot="1" x14ac:dyDescent="0.4">
      <c r="A12" s="104"/>
      <c r="B12" s="83" t="s">
        <v>6</v>
      </c>
      <c r="C12" s="61">
        <f>SUM(C7:C11)</f>
        <v>2500000</v>
      </c>
      <c r="D12" s="61">
        <f>SUM(D7:D11)</f>
        <v>76351086.25999999</v>
      </c>
      <c r="E12" s="62">
        <f>SUM(E7:E11)</f>
        <v>18466925.400000002</v>
      </c>
      <c r="F12" s="62">
        <f>SUM(F7:F11)</f>
        <v>8693753.9100000001</v>
      </c>
      <c r="G12" s="61">
        <f>SUM(G7:G11)</f>
        <v>106011765.57000002</v>
      </c>
      <c r="H12" s="26"/>
    </row>
    <row r="13" spans="1:31" s="32" customFormat="1" ht="30.75" customHeight="1" x14ac:dyDescent="0.35">
      <c r="A13" s="105">
        <v>60</v>
      </c>
      <c r="B13" s="84" t="s">
        <v>7</v>
      </c>
      <c r="C13" s="51">
        <v>226476.06</v>
      </c>
      <c r="D13" s="64">
        <v>52125817.060000002</v>
      </c>
      <c r="E13" s="65">
        <v>6580857.29</v>
      </c>
      <c r="F13" s="65">
        <v>7152528.6299999999</v>
      </c>
      <c r="G13" s="51">
        <f>+C13+D13+E13+F13</f>
        <v>66085679.040000007</v>
      </c>
      <c r="H13" s="31"/>
    </row>
    <row r="14" spans="1:31" s="32" customFormat="1" ht="30.75" customHeight="1" thickBot="1" x14ac:dyDescent="0.4">
      <c r="A14" s="106" t="s">
        <v>8</v>
      </c>
      <c r="B14" s="82" t="s">
        <v>43</v>
      </c>
      <c r="C14" s="58">
        <v>1307375.6499999999</v>
      </c>
      <c r="D14" s="58">
        <v>3996873.31</v>
      </c>
      <c r="E14" s="59">
        <v>2129053.79</v>
      </c>
      <c r="F14" s="59">
        <v>834097.43</v>
      </c>
      <c r="G14" s="58">
        <f>+C14+D14+E14+F14</f>
        <v>8267400.1799999997</v>
      </c>
      <c r="H14" s="33"/>
      <c r="I14" s="34"/>
    </row>
    <row r="15" spans="1:31" s="27" customFormat="1" ht="30.75" customHeight="1" thickBot="1" x14ac:dyDescent="0.4">
      <c r="A15" s="107" t="s">
        <v>9</v>
      </c>
      <c r="B15" s="85" t="s">
        <v>10</v>
      </c>
      <c r="C15" s="61">
        <f>SUM(C13:C14)</f>
        <v>1533851.71</v>
      </c>
      <c r="D15" s="61">
        <f>SUM(D13:D14)</f>
        <v>56122690.370000005</v>
      </c>
      <c r="E15" s="62">
        <f>SUM(E13:E14)</f>
        <v>8709911.0800000001</v>
      </c>
      <c r="F15" s="62">
        <f>SUM(F13:F14)</f>
        <v>7986626.0599999996</v>
      </c>
      <c r="G15" s="61">
        <f>SUM(G13:G14)</f>
        <v>74353079.219999999</v>
      </c>
      <c r="H15" s="26"/>
      <c r="I15" s="34"/>
    </row>
    <row r="16" spans="1:31" s="27" customFormat="1" ht="30.75" customHeight="1" thickBot="1" x14ac:dyDescent="0.4">
      <c r="A16" s="108" t="s">
        <v>11</v>
      </c>
      <c r="B16" s="86" t="s">
        <v>12</v>
      </c>
      <c r="C16" s="67">
        <f>+C12-C15</f>
        <v>966148.29</v>
      </c>
      <c r="D16" s="67">
        <f>+D12-D15</f>
        <v>20228395.889999986</v>
      </c>
      <c r="E16" s="68">
        <f>+E12-E15</f>
        <v>9757014.3200000022</v>
      </c>
      <c r="F16" s="68">
        <f>+F12-F15</f>
        <v>707127.85000000056</v>
      </c>
      <c r="G16" s="67">
        <f>+G12-G15</f>
        <v>31658686.350000024</v>
      </c>
      <c r="H16" s="26"/>
      <c r="I16" s="34"/>
    </row>
    <row r="17" spans="1:12" s="32" customFormat="1" ht="30.75" customHeight="1" x14ac:dyDescent="0.35">
      <c r="A17" s="105">
        <v>63</v>
      </c>
      <c r="B17" s="84" t="s">
        <v>44</v>
      </c>
      <c r="C17" s="64">
        <v>8613262.5099999998</v>
      </c>
      <c r="D17" s="64">
        <v>25033281.07</v>
      </c>
      <c r="E17" s="65">
        <v>8063851.9000000004</v>
      </c>
      <c r="F17" s="65">
        <v>8737517.5999999996</v>
      </c>
      <c r="G17" s="51">
        <f>+C17+D17+E17+F17</f>
        <v>50447913.079999998</v>
      </c>
      <c r="H17" s="31"/>
      <c r="I17" s="34"/>
    </row>
    <row r="18" spans="1:12" s="32" customFormat="1" ht="30.75" customHeight="1" thickBot="1" x14ac:dyDescent="0.4">
      <c r="A18" s="106">
        <v>64</v>
      </c>
      <c r="B18" s="82" t="s">
        <v>13</v>
      </c>
      <c r="C18" s="58">
        <v>475185</v>
      </c>
      <c r="D18" s="58">
        <v>715012.56</v>
      </c>
      <c r="E18" s="59">
        <v>443273</v>
      </c>
      <c r="F18" s="59">
        <v>344263</v>
      </c>
      <c r="G18" s="58">
        <f>+C18+D18+E18+F18</f>
        <v>1977733.56</v>
      </c>
      <c r="H18" s="31"/>
      <c r="I18" s="34"/>
    </row>
    <row r="19" spans="1:12" s="27" customFormat="1" ht="30.75" customHeight="1" thickBot="1" x14ac:dyDescent="0.4">
      <c r="A19" s="107" t="s">
        <v>14</v>
      </c>
      <c r="B19" s="85" t="s">
        <v>15</v>
      </c>
      <c r="C19" s="61">
        <f>+C16-C17-C18</f>
        <v>-8122299.2199999997</v>
      </c>
      <c r="D19" s="61">
        <f>+D16-D17-D18</f>
        <v>-5519897.7400000151</v>
      </c>
      <c r="E19" s="62">
        <f>+E16-E17-E18</f>
        <v>1249889.4200000018</v>
      </c>
      <c r="F19" s="62">
        <f>+F16-F17-F18</f>
        <v>-8374652.7499999991</v>
      </c>
      <c r="G19" s="61">
        <f>+G16-G17-G18</f>
        <v>-20766960.289999973</v>
      </c>
      <c r="H19" s="26"/>
      <c r="I19" s="34"/>
    </row>
    <row r="20" spans="1:12" s="32" customFormat="1" ht="30.75" customHeight="1" x14ac:dyDescent="0.35">
      <c r="A20" s="105">
        <v>75</v>
      </c>
      <c r="B20" s="84" t="s">
        <v>16</v>
      </c>
      <c r="C20" s="51">
        <v>26028349.149999999</v>
      </c>
      <c r="D20" s="51">
        <v>114902.56</v>
      </c>
      <c r="E20" s="52"/>
      <c r="F20" s="52"/>
      <c r="G20" s="51">
        <f t="shared" ref="G20:G25" si="0">+C20+D20+E20+F20</f>
        <v>26143251.709999997</v>
      </c>
      <c r="H20" s="31"/>
      <c r="L20" s="35"/>
    </row>
    <row r="21" spans="1:12" s="32" customFormat="1" ht="30.75" customHeight="1" x14ac:dyDescent="0.35">
      <c r="A21" s="109">
        <v>65</v>
      </c>
      <c r="B21" s="81" t="s">
        <v>17</v>
      </c>
      <c r="C21" s="54">
        <v>362100.52</v>
      </c>
      <c r="D21" s="54">
        <v>0.01</v>
      </c>
      <c r="E21" s="55"/>
      <c r="F21" s="55"/>
      <c r="G21" s="54">
        <f t="shared" si="0"/>
        <v>362100.53</v>
      </c>
      <c r="H21" s="31"/>
    </row>
    <row r="22" spans="1:12" s="27" customFormat="1" ht="30.75" customHeight="1" x14ac:dyDescent="0.35">
      <c r="A22" s="109"/>
      <c r="B22" s="87" t="s">
        <v>18</v>
      </c>
      <c r="C22" s="70"/>
      <c r="D22" s="70"/>
      <c r="E22" s="71"/>
      <c r="F22" s="71"/>
      <c r="G22" s="70">
        <f t="shared" si="0"/>
        <v>0</v>
      </c>
      <c r="H22" s="26"/>
    </row>
    <row r="23" spans="1:12" s="27" customFormat="1" ht="30.75" customHeight="1" x14ac:dyDescent="0.35">
      <c r="A23" s="109"/>
      <c r="B23" s="87" t="s">
        <v>19</v>
      </c>
      <c r="C23" s="70"/>
      <c r="D23" s="70"/>
      <c r="E23" s="71"/>
      <c r="F23" s="71"/>
      <c r="G23" s="70">
        <f t="shared" si="0"/>
        <v>0</v>
      </c>
      <c r="H23" s="26"/>
    </row>
    <row r="24" spans="1:12" s="32" customFormat="1" ht="30.75" customHeight="1" x14ac:dyDescent="0.35">
      <c r="A24" s="109">
        <v>68</v>
      </c>
      <c r="B24" s="81" t="s">
        <v>20</v>
      </c>
      <c r="C24" s="54">
        <v>1220487.23</v>
      </c>
      <c r="D24" s="54">
        <v>5801461.9100000001</v>
      </c>
      <c r="E24" s="55">
        <v>573239.68000000005</v>
      </c>
      <c r="F24" s="55">
        <v>575456.29</v>
      </c>
      <c r="G24" s="57">
        <f t="shared" si="0"/>
        <v>8170645.1100000003</v>
      </c>
      <c r="H24" s="31"/>
    </row>
    <row r="25" spans="1:12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59"/>
      <c r="G25" s="58">
        <f t="shared" si="0"/>
        <v>0</v>
      </c>
      <c r="H25" s="31"/>
    </row>
    <row r="26" spans="1:12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16323462.18</v>
      </c>
      <c r="D26" s="61">
        <f>+D19+D20-(D21+D22+D23+D24+D25)</f>
        <v>-11206457.100000016</v>
      </c>
      <c r="E26" s="62">
        <f>+E19+E20-(E21+E22+E23+E24+E25)</f>
        <v>676649.74000000174</v>
      </c>
      <c r="F26" s="62">
        <f>+F19+F20-(F21+F22+F23+F24+F25)</f>
        <v>-8950109.0399999991</v>
      </c>
      <c r="G26" s="61">
        <f>+G19+G20-(G21+G22+G23+G24+G25)</f>
        <v>-3156454.2199999765</v>
      </c>
      <c r="H26" s="26"/>
    </row>
    <row r="27" spans="1:12" s="32" customFormat="1" ht="30.75" customHeight="1" x14ac:dyDescent="0.35">
      <c r="A27" s="105">
        <v>76</v>
      </c>
      <c r="B27" s="84" t="s">
        <v>24</v>
      </c>
      <c r="C27" s="51"/>
      <c r="D27" s="51">
        <v>112866.48</v>
      </c>
      <c r="E27" s="52"/>
      <c r="F27" s="52"/>
      <c r="G27" s="51">
        <f>+C27+D27+E27+F27</f>
        <v>112866.48</v>
      </c>
      <c r="H27" s="31"/>
    </row>
    <row r="28" spans="1:12" s="32" customFormat="1" ht="30.75" customHeight="1" thickBot="1" x14ac:dyDescent="0.4">
      <c r="A28" s="106">
        <v>66</v>
      </c>
      <c r="B28" s="82" t="s">
        <v>25</v>
      </c>
      <c r="C28" s="73"/>
      <c r="D28" s="58">
        <v>310127.67</v>
      </c>
      <c r="E28" s="59"/>
      <c r="F28" s="59"/>
      <c r="G28" s="58">
        <f>+C28+D28+E28+F28</f>
        <v>310127.67</v>
      </c>
      <c r="H28" s="31"/>
    </row>
    <row r="29" spans="1:12" s="27" customFormat="1" ht="30.75" customHeight="1" thickBot="1" x14ac:dyDescent="0.4">
      <c r="A29" s="107" t="s">
        <v>26</v>
      </c>
      <c r="B29" s="85" t="s">
        <v>27</v>
      </c>
      <c r="C29" s="61">
        <f>+C27-C28</f>
        <v>0</v>
      </c>
      <c r="D29" s="61">
        <f>+D27-D28</f>
        <v>-197261.19</v>
      </c>
      <c r="E29" s="62">
        <f>+E27-E28</f>
        <v>0</v>
      </c>
      <c r="F29" s="62">
        <f>+F27-F28</f>
        <v>0</v>
      </c>
      <c r="G29" s="61">
        <f>+G27-G28</f>
        <v>-197261.19</v>
      </c>
      <c r="H29" s="26"/>
    </row>
    <row r="30" spans="1:12" s="27" customFormat="1" ht="30.75" customHeight="1" thickBot="1" x14ac:dyDescent="0.4">
      <c r="A30" s="107" t="s">
        <v>28</v>
      </c>
      <c r="B30" s="85" t="s">
        <v>29</v>
      </c>
      <c r="C30" s="61">
        <f>+C26+C29</f>
        <v>16323462.18</v>
      </c>
      <c r="D30" s="61">
        <f>+D26+D29</f>
        <v>-11403718.290000016</v>
      </c>
      <c r="E30" s="62">
        <f>+E26+E29</f>
        <v>676649.74000000174</v>
      </c>
      <c r="F30" s="62">
        <f>+F26+F29</f>
        <v>-8950109.0399999991</v>
      </c>
      <c r="G30" s="61">
        <f>+G26+G29</f>
        <v>-3353715.4099999764</v>
      </c>
      <c r="H30" s="26"/>
    </row>
    <row r="31" spans="1:12" s="32" customFormat="1" ht="30.75" customHeight="1" x14ac:dyDescent="0.35">
      <c r="A31" s="105" t="s">
        <v>30</v>
      </c>
      <c r="B31" s="84" t="s">
        <v>31</v>
      </c>
      <c r="C31" s="51"/>
      <c r="D31" s="51"/>
      <c r="E31" s="52"/>
      <c r="F31" s="52"/>
      <c r="G31" s="51">
        <f>+C31+D31+E31+F31</f>
        <v>0</v>
      </c>
      <c r="H31" s="31"/>
    </row>
    <row r="32" spans="1:12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5"/>
      <c r="G32" s="54">
        <f>+C32+D32+E32+F32</f>
        <v>0</v>
      </c>
      <c r="H32" s="31"/>
    </row>
    <row r="33" spans="1:8" s="37" customFormat="1" ht="30.75" customHeight="1" x14ac:dyDescent="0.35">
      <c r="A33" s="110"/>
      <c r="B33" s="88" t="s">
        <v>45</v>
      </c>
      <c r="C33" s="74">
        <f>+C12+C20+C27</f>
        <v>28528349.149999999</v>
      </c>
      <c r="D33" s="74">
        <f>+D12+D20+D27</f>
        <v>76578855.299999997</v>
      </c>
      <c r="E33" s="75">
        <f>+E12+E20+E27</f>
        <v>18466925.400000002</v>
      </c>
      <c r="F33" s="75">
        <f>+F12+F20+F27</f>
        <v>8693753.9100000001</v>
      </c>
      <c r="G33" s="74">
        <f>+G12+G20+G27</f>
        <v>132267883.76000002</v>
      </c>
      <c r="H33" s="36"/>
    </row>
    <row r="34" spans="1:8" s="37" customFormat="1" ht="30.75" customHeight="1" thickBot="1" x14ac:dyDescent="0.4">
      <c r="A34" s="111"/>
      <c r="B34" s="89" t="s">
        <v>46</v>
      </c>
      <c r="C34" s="73">
        <f>+C15+C17+C18+C24+C21+C28</f>
        <v>12204886.969999999</v>
      </c>
      <c r="D34" s="73">
        <f>+D15+D17+D18+D24+D21+D28</f>
        <v>87982573.590000004</v>
      </c>
      <c r="E34" s="77">
        <f>+E15+E17+E18+E24+E21+E28</f>
        <v>17790275.66</v>
      </c>
      <c r="F34" s="77">
        <f>+F15+F17+F18+F24+F21+F28</f>
        <v>17643862.949999999</v>
      </c>
      <c r="G34" s="73">
        <f>+G15+G17+G18+G24+G21+G28</f>
        <v>135621599.16999999</v>
      </c>
      <c r="H34" s="36"/>
    </row>
    <row r="35" spans="1:8" s="27" customFormat="1" ht="30.75" customHeight="1" thickBot="1" x14ac:dyDescent="0.4">
      <c r="A35" s="107" t="s">
        <v>34</v>
      </c>
      <c r="B35" s="85" t="s">
        <v>35</v>
      </c>
      <c r="C35" s="61">
        <f>+C30</f>
        <v>16323462.18</v>
      </c>
      <c r="D35" s="61">
        <f>+D30</f>
        <v>-11403718.290000016</v>
      </c>
      <c r="E35" s="62">
        <f>+E30</f>
        <v>676649.74000000174</v>
      </c>
      <c r="F35" s="62">
        <f>+F30</f>
        <v>-8950109.0399999991</v>
      </c>
      <c r="G35" s="61">
        <f>+G30</f>
        <v>-3353715.4099999764</v>
      </c>
      <c r="H35" s="26"/>
    </row>
    <row r="36" spans="1:8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2">
        <v>0</v>
      </c>
      <c r="G36" s="51">
        <f>+C36+D36+E36+F36</f>
        <v>0</v>
      </c>
      <c r="H36" s="31"/>
    </row>
    <row r="37" spans="1:8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59">
        <v>0</v>
      </c>
      <c r="G37" s="58">
        <f>+C37+D37+E37+F37</f>
        <v>0</v>
      </c>
      <c r="H37" s="31"/>
    </row>
    <row r="38" spans="1:8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2"/>
      <c r="G38" s="61"/>
      <c r="H38" s="26"/>
    </row>
    <row r="39" spans="1:8" s="27" customFormat="1" ht="30.6" customHeight="1" x14ac:dyDescent="0.35">
      <c r="A39" s="120" t="s">
        <v>40</v>
      </c>
      <c r="B39" s="121" t="s">
        <v>41</v>
      </c>
      <c r="C39" s="122">
        <f>+C35</f>
        <v>16323462.18</v>
      </c>
      <c r="D39" s="122">
        <f>+D35</f>
        <v>-11403718.290000016</v>
      </c>
      <c r="E39" s="123">
        <f>+E35</f>
        <v>676649.74000000174</v>
      </c>
      <c r="F39" s="123">
        <f>+F35</f>
        <v>-8950109.0399999991</v>
      </c>
      <c r="G39" s="122">
        <f>+G35</f>
        <v>-3353715.4099999764</v>
      </c>
      <c r="H39" s="26"/>
    </row>
    <row r="40" spans="1:8" s="27" customFormat="1" ht="11.4" customHeight="1" x14ac:dyDescent="0.35">
      <c r="A40" s="90"/>
      <c r="B40" s="90"/>
      <c r="C40" s="91"/>
      <c r="D40" s="91"/>
      <c r="E40" s="91"/>
      <c r="F40" s="91"/>
      <c r="G40" s="91"/>
      <c r="H40" s="26"/>
    </row>
    <row r="41" spans="1:8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  <c r="H41" s="26"/>
    </row>
    <row r="42" spans="1:8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1.0681152062267563</v>
      </c>
      <c r="E42" s="95">
        <f>+E12/E7</f>
        <v>0.42158635795733462</v>
      </c>
      <c r="F42" s="95">
        <f>+F12/F7</f>
        <v>0.25291374496209501</v>
      </c>
      <c r="G42" s="95">
        <f>+G12/G7</f>
        <v>0.69671301328704172</v>
      </c>
      <c r="H42" s="38"/>
    </row>
    <row r="43" spans="1:8" s="37" customFormat="1" ht="18" x14ac:dyDescent="0.35">
      <c r="A43" s="92">
        <v>2</v>
      </c>
      <c r="B43" s="93" t="s">
        <v>53</v>
      </c>
      <c r="C43" s="94">
        <f>+C13/C7</f>
        <v>9.0590424000000003E-2</v>
      </c>
      <c r="D43" s="95">
        <f>+D13/D7</f>
        <v>0.72921526812577508</v>
      </c>
      <c r="E43" s="95">
        <f>+E13/E7</f>
        <v>0.15023614364782537</v>
      </c>
      <c r="F43" s="95">
        <f>+F13/F7</f>
        <v>0.20807729554906426</v>
      </c>
      <c r="G43" s="95">
        <f>+G13/G7</f>
        <v>0.4343173829010184</v>
      </c>
      <c r="H43" s="36"/>
    </row>
    <row r="44" spans="1:8" s="37" customFormat="1" ht="18" x14ac:dyDescent="0.35">
      <c r="A44" s="92">
        <v>3</v>
      </c>
      <c r="B44" s="93" t="s">
        <v>56</v>
      </c>
      <c r="C44" s="94">
        <f>+C13/C12</f>
        <v>9.0590424000000003E-2</v>
      </c>
      <c r="D44" s="95">
        <f>+D13/D12</f>
        <v>0.68271218673294098</v>
      </c>
      <c r="E44" s="95">
        <f>+E13/E12</f>
        <v>0.35635912028972616</v>
      </c>
      <c r="F44" s="95">
        <f>+F13/F12</f>
        <v>0.82272039259965657</v>
      </c>
      <c r="G44" s="95">
        <f>+G13/G12</f>
        <v>0.6233806095452995</v>
      </c>
      <c r="H44" s="36"/>
    </row>
    <row r="45" spans="1:8" s="37" customFormat="1" ht="18" x14ac:dyDescent="0.35">
      <c r="A45" s="92">
        <v>4</v>
      </c>
      <c r="B45" s="93" t="s">
        <v>57</v>
      </c>
      <c r="C45" s="94">
        <f>+C15/C12</f>
        <v>0.61354068399999995</v>
      </c>
      <c r="D45" s="95">
        <f>+D15/D12</f>
        <v>0.73506079767986798</v>
      </c>
      <c r="E45" s="95">
        <f>+E15/E12</f>
        <v>0.47164922645975488</v>
      </c>
      <c r="F45" s="95">
        <f>+F15/F12</f>
        <v>0.91866254125428759</v>
      </c>
      <c r="G45" s="95">
        <f>+G15/G12</f>
        <v>0.70136629477135104</v>
      </c>
      <c r="H45" s="36"/>
    </row>
    <row r="46" spans="1:8" s="37" customFormat="1" ht="18" x14ac:dyDescent="0.35">
      <c r="A46" s="92">
        <v>5</v>
      </c>
      <c r="B46" s="93" t="s">
        <v>58</v>
      </c>
      <c r="C46" s="94">
        <f>+C17/C12</f>
        <v>3.4453050039999997</v>
      </c>
      <c r="D46" s="95">
        <f>+D17/D12</f>
        <v>0.32787066034337259</v>
      </c>
      <c r="E46" s="95">
        <f>+E17/E12</f>
        <v>0.43666456247232144</v>
      </c>
      <c r="F46" s="95">
        <f>+F17/F12</f>
        <v>1.005033923257209</v>
      </c>
      <c r="G46" s="95">
        <f>+G17/G12</f>
        <v>0.47587088856367576</v>
      </c>
      <c r="H46" s="36"/>
    </row>
    <row r="47" spans="1:8" s="37" customFormat="1" ht="18" x14ac:dyDescent="0.35">
      <c r="A47" s="92">
        <v>6</v>
      </c>
      <c r="B47" s="93" t="s">
        <v>54</v>
      </c>
      <c r="C47" s="94">
        <f>+C16/C17</f>
        <v>0.11216984143677285</v>
      </c>
      <c r="D47" s="95">
        <f>+D16/D17</f>
        <v>0.80806011139473799</v>
      </c>
      <c r="E47" s="95">
        <f>+E16/E17</f>
        <v>1.2099694340864571</v>
      </c>
      <c r="F47" s="95">
        <f>+F16/F17</f>
        <v>8.0930063019272275E-2</v>
      </c>
      <c r="G47" s="95">
        <f>+G16/G17</f>
        <v>0.62755195244243045</v>
      </c>
      <c r="H47" s="36"/>
    </row>
    <row r="48" spans="1:8" s="37" customFormat="1" ht="18" x14ac:dyDescent="0.35">
      <c r="A48" s="92">
        <v>7</v>
      </c>
      <c r="B48" s="93" t="s">
        <v>55</v>
      </c>
      <c r="C48" s="94">
        <f>+C19/C12</f>
        <v>-3.248919688</v>
      </c>
      <c r="D48" s="95">
        <f>+D19/D12</f>
        <v>-7.2296256810322104E-2</v>
      </c>
      <c r="E48" s="95">
        <f>+E19/E12</f>
        <v>6.7682594309933244E-2</v>
      </c>
      <c r="F48" s="95">
        <f>+F19/F12</f>
        <v>-0.96329535396292332</v>
      </c>
      <c r="G48" s="95">
        <f>+G19/G12</f>
        <v>-0.1958929763912616</v>
      </c>
      <c r="H48" s="36"/>
    </row>
    <row r="49" spans="1:6" x14ac:dyDescent="0.55000000000000004">
      <c r="A49" s="90"/>
      <c r="B49" s="90"/>
      <c r="C49" s="96"/>
      <c r="D49" s="96"/>
      <c r="E49" s="96"/>
      <c r="F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T1:U1"/>
    <mergeCell ref="T2:U2"/>
    <mergeCell ref="T3:U3"/>
    <mergeCell ref="A5:G5"/>
  </mergeCells>
  <conditionalFormatting sqref="D1:G4 C42:G1048576 D40:G40 D7:F39">
    <cfRule type="cellIs" dxfId="309" priority="7" operator="lessThan">
      <formula>-0.01</formula>
    </cfRule>
  </conditionalFormatting>
  <conditionalFormatting sqref="C1:C4 C7:C40">
    <cfRule type="cellIs" dxfId="308" priority="6" operator="lessThan">
      <formula>-0.01</formula>
    </cfRule>
  </conditionalFormatting>
  <conditionalFormatting sqref="G7:G39">
    <cfRule type="cellIs" dxfId="307" priority="5" operator="lessThan">
      <formula>-0.01</formula>
    </cfRule>
  </conditionalFormatting>
  <conditionalFormatting sqref="G6">
    <cfRule type="cellIs" dxfId="306" priority="1" operator="lessThan">
      <formula>-0.01</formula>
    </cfRule>
  </conditionalFormatting>
  <conditionalFormatting sqref="D6:F6">
    <cfRule type="cellIs" dxfId="305" priority="3" operator="lessThan">
      <formula>-0.01</formula>
    </cfRule>
  </conditionalFormatting>
  <conditionalFormatting sqref="C6">
    <cfRule type="cellIs" dxfId="304" priority="2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A49"/>
  <sheetViews>
    <sheetView view="pageBreakPreview" zoomScale="80" zoomScaleNormal="50" zoomScaleSheetLayoutView="80" workbookViewId="0">
      <pane xSplit="2" ySplit="6" topLeftCell="C25" activePane="bottomRight" state="frozen"/>
      <selection activeCell="C5" sqref="C5:D5"/>
      <selection pane="topRight" activeCell="C5" sqref="C5:D5"/>
      <selection pane="bottomLeft" activeCell="C5" sqref="C5:D5"/>
      <selection pane="bottomRight" activeCell="C34" sqref="C34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16384" width="11.44140625" style="1"/>
  </cols>
  <sheetData>
    <row r="1" spans="1:27" s="42" customFormat="1" ht="13.8" customHeight="1" x14ac:dyDescent="0.45">
      <c r="A1" s="25"/>
      <c r="B1" s="39"/>
      <c r="C1" s="40"/>
      <c r="D1" s="40"/>
      <c r="E1" s="40"/>
      <c r="F1" s="40"/>
      <c r="G1" s="97"/>
      <c r="H1" s="39"/>
      <c r="I1" s="39"/>
      <c r="J1" s="39"/>
      <c r="N1" s="39"/>
      <c r="O1" s="39"/>
      <c r="P1" s="278"/>
      <c r="Q1" s="278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s="42" customFormat="1" ht="13.8" customHeight="1" x14ac:dyDescent="0.45">
      <c r="A2" s="25"/>
      <c r="B2" s="43"/>
      <c r="C2" s="44"/>
      <c r="D2" s="44"/>
      <c r="E2" s="44"/>
      <c r="F2" s="241"/>
      <c r="G2" s="98"/>
      <c r="H2" s="39"/>
      <c r="I2" s="39"/>
      <c r="J2" s="39"/>
      <c r="N2" s="43"/>
      <c r="O2" s="45"/>
      <c r="P2" s="279"/>
      <c r="Q2" s="27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s="42" customFormat="1" ht="13.8" customHeight="1" x14ac:dyDescent="0.4">
      <c r="A3" s="46"/>
      <c r="B3" s="47"/>
      <c r="C3" s="48"/>
      <c r="D3" s="48"/>
      <c r="E3" s="48"/>
      <c r="F3" s="242"/>
      <c r="G3" s="99"/>
      <c r="H3" s="46"/>
      <c r="I3" s="46"/>
      <c r="J3" s="46"/>
      <c r="N3" s="46"/>
      <c r="O3" s="46"/>
      <c r="P3" s="280"/>
      <c r="Q3" s="280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42" customFormat="1" ht="13.8" customHeight="1" x14ac:dyDescent="0.4">
      <c r="A4" s="46"/>
      <c r="B4" s="46"/>
      <c r="C4" s="50"/>
      <c r="D4" s="50"/>
      <c r="E4" s="50"/>
      <c r="F4" s="50"/>
      <c r="G4" s="100"/>
    </row>
    <row r="5" spans="1:27" ht="26.4" thickBot="1" x14ac:dyDescent="0.55000000000000004">
      <c r="A5" s="281" t="s">
        <v>80</v>
      </c>
      <c r="B5" s="281"/>
      <c r="C5" s="281"/>
      <c r="D5" s="281"/>
      <c r="E5" s="281"/>
      <c r="F5" s="281"/>
      <c r="G5" s="281"/>
    </row>
    <row r="6" spans="1:27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</row>
    <row r="7" spans="1:27" s="29" customFormat="1" ht="30.75" customHeight="1" x14ac:dyDescent="0.35">
      <c r="A7" s="101"/>
      <c r="B7" s="79" t="s">
        <v>2</v>
      </c>
      <c r="C7" s="51">
        <v>8200000</v>
      </c>
      <c r="D7" s="51">
        <v>100305128.8</v>
      </c>
      <c r="E7" s="52">
        <v>52470566.799999997</v>
      </c>
      <c r="F7" s="52">
        <v>8585085.5999999996</v>
      </c>
      <c r="G7" s="51">
        <f>+C7+D7+E7+F7</f>
        <v>169560781.19999999</v>
      </c>
    </row>
    <row r="8" spans="1:27" s="29" customFormat="1" ht="30.75" customHeight="1" x14ac:dyDescent="0.35">
      <c r="A8" s="102"/>
      <c r="B8" s="80" t="s">
        <v>42</v>
      </c>
      <c r="C8" s="54"/>
      <c r="D8" s="54"/>
      <c r="E8" s="55"/>
      <c r="F8" s="55">
        <v>4000</v>
      </c>
      <c r="G8" s="51">
        <f>+C8+D8+E8+F8</f>
        <v>4000</v>
      </c>
      <c r="J8" s="30"/>
    </row>
    <row r="9" spans="1:27" s="27" customFormat="1" ht="30.75" customHeight="1" x14ac:dyDescent="0.35">
      <c r="A9" s="102"/>
      <c r="B9" s="81" t="s">
        <v>3</v>
      </c>
      <c r="C9" s="54"/>
      <c r="D9" s="57">
        <v>55304350.310000002</v>
      </c>
      <c r="E9" s="55">
        <v>-25120578.460000001</v>
      </c>
      <c r="F9" s="55">
        <v>4275710.54</v>
      </c>
      <c r="G9" s="51">
        <f>+C9+D9+E9+F9</f>
        <v>34459482.390000001</v>
      </c>
    </row>
    <row r="10" spans="1:27" s="27" customFormat="1" ht="30.75" customHeight="1" x14ac:dyDescent="0.35">
      <c r="A10" s="102"/>
      <c r="B10" s="81" t="s">
        <v>4</v>
      </c>
      <c r="C10" s="54"/>
      <c r="D10" s="54">
        <v>86565.51</v>
      </c>
      <c r="E10" s="55"/>
      <c r="F10" s="55"/>
      <c r="G10" s="51">
        <f>+C10+D10+E10+F10</f>
        <v>86565.51</v>
      </c>
    </row>
    <row r="11" spans="1:27" s="27" customFormat="1" ht="30.75" customHeight="1" thickBot="1" x14ac:dyDescent="0.4">
      <c r="A11" s="103"/>
      <c r="B11" s="82" t="s">
        <v>5</v>
      </c>
      <c r="C11" s="58"/>
      <c r="D11" s="58"/>
      <c r="E11" s="59"/>
      <c r="F11" s="59"/>
      <c r="G11" s="112">
        <f>+C11+D11+E11+F11</f>
        <v>0</v>
      </c>
    </row>
    <row r="12" spans="1:27" s="27" customFormat="1" ht="30.75" customHeight="1" thickBot="1" x14ac:dyDescent="0.4">
      <c r="A12" s="104"/>
      <c r="B12" s="83" t="s">
        <v>6</v>
      </c>
      <c r="C12" s="61">
        <f>SUM(C7:C11)</f>
        <v>8200000</v>
      </c>
      <c r="D12" s="61">
        <f>SUM(D7:D11)</f>
        <v>155696044.62</v>
      </c>
      <c r="E12" s="62">
        <f>SUM(E7:E11)</f>
        <v>27349988.339999996</v>
      </c>
      <c r="F12" s="62">
        <f>SUM(F7:F11)</f>
        <v>12864796.140000001</v>
      </c>
      <c r="G12" s="61">
        <f>SUM(G7:G11)</f>
        <v>204110829.09999996</v>
      </c>
    </row>
    <row r="13" spans="1:27" s="32" customFormat="1" ht="30.75" customHeight="1" x14ac:dyDescent="0.35">
      <c r="A13" s="105">
        <v>60</v>
      </c>
      <c r="B13" s="84" t="s">
        <v>7</v>
      </c>
      <c r="C13" s="51">
        <v>272030.82</v>
      </c>
      <c r="D13" s="64">
        <v>116097130.69</v>
      </c>
      <c r="E13" s="65">
        <v>14033583.01</v>
      </c>
      <c r="F13" s="65">
        <v>10007923.640000001</v>
      </c>
      <c r="G13" s="51">
        <f>+C13+D13+E13+F13</f>
        <v>140410668.16</v>
      </c>
    </row>
    <row r="14" spans="1:27" s="32" customFormat="1" ht="30.75" customHeight="1" thickBot="1" x14ac:dyDescent="0.4">
      <c r="A14" s="106" t="s">
        <v>8</v>
      </c>
      <c r="B14" s="82" t="s">
        <v>43</v>
      </c>
      <c r="C14" s="58">
        <v>5339284.16</v>
      </c>
      <c r="D14" s="58">
        <v>5391578.8200000003</v>
      </c>
      <c r="E14" s="59">
        <f>1828971.82+10400</f>
        <v>1839371.82</v>
      </c>
      <c r="F14" s="59">
        <f>4387589.49</f>
        <v>4387589.49</v>
      </c>
      <c r="G14" s="58">
        <f>+C14+D14+E14+F14</f>
        <v>16957824.289999999</v>
      </c>
    </row>
    <row r="15" spans="1:27" s="27" customFormat="1" ht="30.75" customHeight="1" thickBot="1" x14ac:dyDescent="0.4">
      <c r="A15" s="107" t="s">
        <v>9</v>
      </c>
      <c r="B15" s="85" t="s">
        <v>10</v>
      </c>
      <c r="C15" s="61">
        <f>SUM(C13:C14)</f>
        <v>5611314.9800000004</v>
      </c>
      <c r="D15" s="61">
        <f>SUM(D13:D14)</f>
        <v>121488709.50999999</v>
      </c>
      <c r="E15" s="62">
        <f>SUM(E13:E14)</f>
        <v>15872954.83</v>
      </c>
      <c r="F15" s="62">
        <f>SUM(F13:F14)</f>
        <v>14395513.130000001</v>
      </c>
      <c r="G15" s="61">
        <f>SUM(G13:G14)</f>
        <v>157368492.44999999</v>
      </c>
    </row>
    <row r="16" spans="1:27" s="27" customFormat="1" ht="30.75" customHeight="1" thickBot="1" x14ac:dyDescent="0.4">
      <c r="A16" s="108" t="s">
        <v>11</v>
      </c>
      <c r="B16" s="86" t="s">
        <v>12</v>
      </c>
      <c r="C16" s="67">
        <f>+C12-C15</f>
        <v>2588685.0199999996</v>
      </c>
      <c r="D16" s="67">
        <f>+D12-D15</f>
        <v>34207335.110000014</v>
      </c>
      <c r="E16" s="68">
        <f>+E12-E15</f>
        <v>11477033.509999996</v>
      </c>
      <c r="F16" s="68">
        <f>+F12-F15</f>
        <v>-1530716.9900000002</v>
      </c>
      <c r="G16" s="67">
        <f>+G12-G15</f>
        <v>46742336.649999976</v>
      </c>
    </row>
    <row r="17" spans="1:8" s="32" customFormat="1" ht="30.75" customHeight="1" x14ac:dyDescent="0.35">
      <c r="A17" s="105">
        <v>63</v>
      </c>
      <c r="B17" s="84" t="s">
        <v>44</v>
      </c>
      <c r="C17" s="64">
        <v>8455390.7899999991</v>
      </c>
      <c r="D17" s="64">
        <v>25304594.280000001</v>
      </c>
      <c r="E17" s="65">
        <v>8012474.6699999999</v>
      </c>
      <c r="F17" s="65">
        <v>8476784.5199999996</v>
      </c>
      <c r="G17" s="51">
        <f>+C17+D17+E17+F17</f>
        <v>50249244.260000005</v>
      </c>
    </row>
    <row r="18" spans="1:8" s="32" customFormat="1" ht="30.75" customHeight="1" thickBot="1" x14ac:dyDescent="0.4">
      <c r="A18" s="106">
        <v>64</v>
      </c>
      <c r="B18" s="82" t="s">
        <v>13</v>
      </c>
      <c r="C18" s="58">
        <v>164000</v>
      </c>
      <c r="D18" s="58">
        <v>1004141.23</v>
      </c>
      <c r="E18" s="59">
        <v>530509</v>
      </c>
      <c r="F18" s="59">
        <v>94140</v>
      </c>
      <c r="G18" s="58">
        <f>+C18+D18+E18+F18</f>
        <v>1792790.23</v>
      </c>
    </row>
    <row r="19" spans="1:8" s="27" customFormat="1" ht="30.75" customHeight="1" thickBot="1" x14ac:dyDescent="0.4">
      <c r="A19" s="107" t="s">
        <v>14</v>
      </c>
      <c r="B19" s="85" t="s">
        <v>15</v>
      </c>
      <c r="C19" s="61">
        <f>+C16-C17-C18</f>
        <v>-6030705.7699999996</v>
      </c>
      <c r="D19" s="61">
        <f>+D16-D17-D18</f>
        <v>7898599.6000000127</v>
      </c>
      <c r="E19" s="62">
        <f>+E16-E17-E18</f>
        <v>2934049.8399999961</v>
      </c>
      <c r="F19" s="62">
        <f>+F16-F17-F18</f>
        <v>-10101641.51</v>
      </c>
      <c r="G19" s="61">
        <f>+G16-G17-G18</f>
        <v>-5299697.8400000297</v>
      </c>
    </row>
    <row r="20" spans="1:8" s="32" customFormat="1" ht="30.75" customHeight="1" x14ac:dyDescent="0.35">
      <c r="A20" s="105">
        <v>75</v>
      </c>
      <c r="B20" s="84" t="s">
        <v>16</v>
      </c>
      <c r="C20" s="51"/>
      <c r="D20" s="51">
        <v>108168.97</v>
      </c>
      <c r="E20" s="52"/>
      <c r="F20" s="52"/>
      <c r="G20" s="51">
        <f t="shared" ref="G20:G25" si="0">+C20+D20+E20+F20</f>
        <v>108168.97</v>
      </c>
      <c r="H20" s="35"/>
    </row>
    <row r="21" spans="1:8" s="32" customFormat="1" ht="30.75" customHeight="1" x14ac:dyDescent="0.35">
      <c r="A21" s="109">
        <v>65</v>
      </c>
      <c r="B21" s="81" t="s">
        <v>17</v>
      </c>
      <c r="C21" s="54">
        <v>456531.62</v>
      </c>
      <c r="D21" s="54">
        <v>2042.07</v>
      </c>
      <c r="E21" s="55">
        <v>51472.12</v>
      </c>
      <c r="F21" s="55">
        <v>60050</v>
      </c>
      <c r="G21" s="54">
        <f t="shared" si="0"/>
        <v>570095.81000000006</v>
      </c>
    </row>
    <row r="22" spans="1:8" s="27" customFormat="1" ht="30.75" customHeight="1" x14ac:dyDescent="0.35">
      <c r="A22" s="109"/>
      <c r="B22" s="87" t="s">
        <v>18</v>
      </c>
      <c r="C22" s="70"/>
      <c r="D22" s="70"/>
      <c r="E22" s="71"/>
      <c r="F22" s="71"/>
      <c r="G22" s="70">
        <f t="shared" si="0"/>
        <v>0</v>
      </c>
    </row>
    <row r="23" spans="1:8" s="27" customFormat="1" ht="30.75" customHeight="1" x14ac:dyDescent="0.35">
      <c r="A23" s="109"/>
      <c r="B23" s="87" t="s">
        <v>19</v>
      </c>
      <c r="C23" s="70"/>
      <c r="D23" s="70"/>
      <c r="E23" s="71"/>
      <c r="F23" s="71"/>
      <c r="G23" s="70">
        <f t="shared" si="0"/>
        <v>0</v>
      </c>
    </row>
    <row r="24" spans="1:8" s="32" customFormat="1" ht="30.75" customHeight="1" x14ac:dyDescent="0.35">
      <c r="A24" s="109">
        <v>68</v>
      </c>
      <c r="B24" s="81" t="s">
        <v>20</v>
      </c>
      <c r="C24" s="54">
        <v>1216030.6499999999</v>
      </c>
      <c r="D24" s="54">
        <v>5801861.9100000001</v>
      </c>
      <c r="E24" s="55">
        <v>573239.68000000005</v>
      </c>
      <c r="F24" s="55">
        <v>575447.93000000005</v>
      </c>
      <c r="G24" s="57">
        <f t="shared" si="0"/>
        <v>8166580.1699999999</v>
      </c>
    </row>
    <row r="25" spans="1:8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59"/>
      <c r="G25" s="58">
        <f t="shared" si="0"/>
        <v>0</v>
      </c>
    </row>
    <row r="26" spans="1:8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-7703268.0399999991</v>
      </c>
      <c r="D26" s="61">
        <f>+D19+D20-(D21+D22+D23+D24+D25)</f>
        <v>2202864.590000012</v>
      </c>
      <c r="E26" s="62">
        <f>+E19+E20-(E21+E22+E23+E24+E25)</f>
        <v>2309338.0399999963</v>
      </c>
      <c r="F26" s="62">
        <f>+F19+F20-(F21+F22+F23+F24+F25)</f>
        <v>-10737139.439999999</v>
      </c>
      <c r="G26" s="61">
        <f>+G19+G20-(G21+G22+G23+G24+G25)</f>
        <v>-13928204.850000031</v>
      </c>
    </row>
    <row r="27" spans="1:8" s="32" customFormat="1" ht="30.75" customHeight="1" x14ac:dyDescent="0.35">
      <c r="A27" s="105">
        <v>76</v>
      </c>
      <c r="B27" s="84" t="s">
        <v>24</v>
      </c>
      <c r="C27" s="51">
        <v>12500000</v>
      </c>
      <c r="D27" s="51">
        <v>72288.75</v>
      </c>
      <c r="E27" s="52"/>
      <c r="F27" s="52"/>
      <c r="G27" s="51">
        <f>+C27+D27+E27+F27</f>
        <v>12572288.75</v>
      </c>
    </row>
    <row r="28" spans="1:8" s="32" customFormat="1" ht="30.75" customHeight="1" thickBot="1" x14ac:dyDescent="0.4">
      <c r="A28" s="106">
        <v>66</v>
      </c>
      <c r="B28" s="82" t="s">
        <v>25</v>
      </c>
      <c r="C28" s="73">
        <v>58117500.009999998</v>
      </c>
      <c r="D28" s="58">
        <v>-11131.66</v>
      </c>
      <c r="E28" s="59"/>
      <c r="F28" s="59"/>
      <c r="G28" s="58">
        <f>+C28+D28+E28+F28</f>
        <v>58106368.350000001</v>
      </c>
    </row>
    <row r="29" spans="1:8" s="27" customFormat="1" ht="30.75" customHeight="1" thickBot="1" x14ac:dyDescent="0.4">
      <c r="A29" s="107" t="s">
        <v>26</v>
      </c>
      <c r="B29" s="85" t="s">
        <v>27</v>
      </c>
      <c r="C29" s="61">
        <f>+C27-C28</f>
        <v>-45617500.009999998</v>
      </c>
      <c r="D29" s="61">
        <f>+D27-D28</f>
        <v>83420.41</v>
      </c>
      <c r="E29" s="62">
        <f>+E27-E28</f>
        <v>0</v>
      </c>
      <c r="F29" s="62">
        <f>+F27-F28</f>
        <v>0</v>
      </c>
      <c r="G29" s="61">
        <f>+G27-G28</f>
        <v>-45534079.600000001</v>
      </c>
    </row>
    <row r="30" spans="1:8" s="27" customFormat="1" ht="30.75" customHeight="1" thickBot="1" x14ac:dyDescent="0.4">
      <c r="A30" s="107" t="s">
        <v>28</v>
      </c>
      <c r="B30" s="85" t="s">
        <v>29</v>
      </c>
      <c r="C30" s="61">
        <f>+C26+C29</f>
        <v>-53320768.049999997</v>
      </c>
      <c r="D30" s="61">
        <f>+D26+D29</f>
        <v>2286285.0000000121</v>
      </c>
      <c r="E30" s="62">
        <f>+E26+E29</f>
        <v>2309338.0399999963</v>
      </c>
      <c r="F30" s="62">
        <f>+F26+F29</f>
        <v>-10737139.439999999</v>
      </c>
      <c r="G30" s="61">
        <f>+G26+G29</f>
        <v>-59462284.450000033</v>
      </c>
    </row>
    <row r="31" spans="1:8" s="32" customFormat="1" ht="30.75" customHeight="1" x14ac:dyDescent="0.35">
      <c r="A31" s="105" t="s">
        <v>30</v>
      </c>
      <c r="B31" s="84" t="s">
        <v>31</v>
      </c>
      <c r="C31" s="64">
        <v>10000</v>
      </c>
      <c r="D31" s="51"/>
      <c r="E31" s="52"/>
      <c r="F31" s="52"/>
      <c r="G31" s="51">
        <f>+C31+D31+E31+F31</f>
        <v>10000</v>
      </c>
    </row>
    <row r="32" spans="1:8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5"/>
      <c r="G32" s="54">
        <f>+C32+D32+E32+F32</f>
        <v>0</v>
      </c>
    </row>
    <row r="33" spans="1:7" s="37" customFormat="1" ht="30.75" customHeight="1" x14ac:dyDescent="0.35">
      <c r="A33" s="110"/>
      <c r="B33" s="88" t="s">
        <v>45</v>
      </c>
      <c r="C33" s="74">
        <f>+C12+C20+C27</f>
        <v>20700000</v>
      </c>
      <c r="D33" s="74">
        <f>+D12+D20+D27</f>
        <v>155876502.34</v>
      </c>
      <c r="E33" s="75">
        <f>+E12+E20+E27</f>
        <v>27349988.339999996</v>
      </c>
      <c r="F33" s="75">
        <f>+F12+F20+F27</f>
        <v>12864796.140000001</v>
      </c>
      <c r="G33" s="74">
        <f>+G12+G20+G27</f>
        <v>216791286.81999996</v>
      </c>
    </row>
    <row r="34" spans="1:7" s="37" customFormat="1" ht="30.75" customHeight="1" thickBot="1" x14ac:dyDescent="0.4">
      <c r="A34" s="111"/>
      <c r="B34" s="89" t="s">
        <v>46</v>
      </c>
      <c r="C34" s="73">
        <f>+C15+C17+C18+C24+C21+C28+C31</f>
        <v>74030768.049999997</v>
      </c>
      <c r="D34" s="73">
        <f t="shared" ref="D34:F34" si="1">+D15+D17+D18+D24+D21+D28+D31</f>
        <v>153590217.33999997</v>
      </c>
      <c r="E34" s="77">
        <f t="shared" si="1"/>
        <v>25040650.300000001</v>
      </c>
      <c r="F34" s="77">
        <f t="shared" si="1"/>
        <v>23601935.579999998</v>
      </c>
      <c r="G34" s="73">
        <f>+G15+G17+G18+G24+G21+G28+G31</f>
        <v>276263571.26999998</v>
      </c>
    </row>
    <row r="35" spans="1:7" s="27" customFormat="1" ht="30.75" customHeight="1" thickBot="1" x14ac:dyDescent="0.4">
      <c r="A35" s="107" t="s">
        <v>34</v>
      </c>
      <c r="B35" s="85" t="s">
        <v>35</v>
      </c>
      <c r="C35" s="61">
        <f>+C30-C31</f>
        <v>-53330768.049999997</v>
      </c>
      <c r="D35" s="61">
        <f t="shared" ref="D35:G35" si="2">+D30-D31</f>
        <v>2286285.0000000121</v>
      </c>
      <c r="E35" s="62">
        <f t="shared" si="2"/>
        <v>2309338.0399999963</v>
      </c>
      <c r="F35" s="62">
        <f t="shared" si="2"/>
        <v>-10737139.439999999</v>
      </c>
      <c r="G35" s="61">
        <f t="shared" si="2"/>
        <v>-59472284.450000033</v>
      </c>
    </row>
    <row r="36" spans="1:7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2">
        <v>0</v>
      </c>
      <c r="G36" s="51">
        <f>+C36+D36+E36+F36</f>
        <v>0</v>
      </c>
    </row>
    <row r="37" spans="1:7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59">
        <v>0</v>
      </c>
      <c r="G37" s="58">
        <f>+C37+D37+E37+F37</f>
        <v>0</v>
      </c>
    </row>
    <row r="38" spans="1:7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2"/>
      <c r="G38" s="61"/>
    </row>
    <row r="39" spans="1:7" s="27" customFormat="1" ht="30.6" customHeight="1" x14ac:dyDescent="0.35">
      <c r="A39" s="120" t="s">
        <v>40</v>
      </c>
      <c r="B39" s="121" t="s">
        <v>41</v>
      </c>
      <c r="C39" s="122">
        <f>+C35</f>
        <v>-53330768.049999997</v>
      </c>
      <c r="D39" s="122">
        <f>+D35</f>
        <v>2286285.0000000121</v>
      </c>
      <c r="E39" s="123">
        <f>+E35</f>
        <v>2309338.0399999963</v>
      </c>
      <c r="F39" s="123">
        <f>+F35</f>
        <v>-10737139.439999999</v>
      </c>
      <c r="G39" s="122">
        <f>+G35</f>
        <v>-59472284.450000033</v>
      </c>
    </row>
    <row r="40" spans="1:7" s="27" customFormat="1" ht="11.4" customHeight="1" x14ac:dyDescent="0.35">
      <c r="A40" s="90"/>
      <c r="B40" s="90"/>
      <c r="C40" s="91"/>
      <c r="D40" s="91"/>
      <c r="E40" s="91"/>
      <c r="F40" s="91"/>
      <c r="G40" s="91"/>
    </row>
    <row r="41" spans="1:7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</row>
    <row r="42" spans="1:7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1.5522241632374039</v>
      </c>
      <c r="E42" s="95">
        <f>+E12/E7</f>
        <v>0.52124438533795292</v>
      </c>
      <c r="F42" s="95">
        <f>+F12/F7</f>
        <v>1.4985052845600051</v>
      </c>
      <c r="G42" s="95">
        <f>+G12/G7</f>
        <v>1.203762023596999</v>
      </c>
    </row>
    <row r="43" spans="1:7" s="37" customFormat="1" ht="18" x14ac:dyDescent="0.35">
      <c r="A43" s="92">
        <v>2</v>
      </c>
      <c r="B43" s="93" t="s">
        <v>53</v>
      </c>
      <c r="C43" s="94">
        <f>+C13/C7</f>
        <v>3.3174490243902441E-2</v>
      </c>
      <c r="D43" s="95">
        <f>+D13/D7</f>
        <v>1.1574396252607175</v>
      </c>
      <c r="E43" s="95">
        <f>+E13/E7</f>
        <v>0.26745628770299468</v>
      </c>
      <c r="F43" s="95">
        <f>+F13/F7</f>
        <v>1.165733704507268</v>
      </c>
      <c r="G43" s="95">
        <f>+G13/G7</f>
        <v>0.82808457926590406</v>
      </c>
    </row>
    <row r="44" spans="1:7" s="37" customFormat="1" ht="18" x14ac:dyDescent="0.35">
      <c r="A44" s="92">
        <v>3</v>
      </c>
      <c r="B44" s="93" t="s">
        <v>56</v>
      </c>
      <c r="C44" s="94">
        <f>+C13/C12</f>
        <v>3.3174490243902441E-2</v>
      </c>
      <c r="D44" s="95">
        <f>+D13/D12</f>
        <v>0.74566525420316743</v>
      </c>
      <c r="E44" s="95">
        <f>+E13/E12</f>
        <v>0.51311111491318473</v>
      </c>
      <c r="F44" s="95">
        <f>+F13/F12</f>
        <v>0.77793099331615212</v>
      </c>
      <c r="G44" s="95">
        <f>+G13/G12</f>
        <v>0.68791385924559956</v>
      </c>
    </row>
    <row r="45" spans="1:7" s="37" customFormat="1" ht="18" x14ac:dyDescent="0.35">
      <c r="A45" s="92">
        <v>4</v>
      </c>
      <c r="B45" s="93" t="s">
        <v>57</v>
      </c>
      <c r="C45" s="94">
        <f>+C15/C12</f>
        <v>0.68430670487804879</v>
      </c>
      <c r="D45" s="95">
        <f>+D15/D12</f>
        <v>0.7802941289003954</v>
      </c>
      <c r="E45" s="95">
        <f>+E15/E12</f>
        <v>0.58036422658306708</v>
      </c>
      <c r="F45" s="95">
        <f>+F15/F12</f>
        <v>1.1189849394690836</v>
      </c>
      <c r="G45" s="95">
        <f>+G15/G12</f>
        <v>0.77099531241872754</v>
      </c>
    </row>
    <row r="46" spans="1:7" s="37" customFormat="1" ht="18" x14ac:dyDescent="0.35">
      <c r="A46" s="92">
        <v>5</v>
      </c>
      <c r="B46" s="93" t="s">
        <v>58</v>
      </c>
      <c r="C46" s="94">
        <f>+C17/C12</f>
        <v>1.0311452182926828</v>
      </c>
      <c r="D46" s="95">
        <f>+D17/D12</f>
        <v>0.16252560777481362</v>
      </c>
      <c r="E46" s="95">
        <f>+E17/E12</f>
        <v>0.29296080752917797</v>
      </c>
      <c r="F46" s="95">
        <f>+F17/F12</f>
        <v>0.65891324104573012</v>
      </c>
      <c r="G46" s="95">
        <f>+G17/G12</f>
        <v>0.24618607685622307</v>
      </c>
    </row>
    <row r="47" spans="1:7" s="37" customFormat="1" ht="18" x14ac:dyDescent="0.35">
      <c r="A47" s="92">
        <v>6</v>
      </c>
      <c r="B47" s="93" t="s">
        <v>54</v>
      </c>
      <c r="C47" s="94">
        <f>+C16/C17</f>
        <v>0.30615793927130835</v>
      </c>
      <c r="D47" s="95">
        <f>+D16/D17</f>
        <v>1.3518231010341262</v>
      </c>
      <c r="E47" s="95">
        <f>+E16/E17</f>
        <v>1.4323956059383083</v>
      </c>
      <c r="F47" s="95">
        <f>+F16/F17</f>
        <v>-0.18057755112076393</v>
      </c>
      <c r="G47" s="95">
        <f>+G16/G17</f>
        <v>0.93020974421317537</v>
      </c>
    </row>
    <row r="48" spans="1:7" s="37" customFormat="1" ht="18" x14ac:dyDescent="0.35">
      <c r="A48" s="92">
        <v>7</v>
      </c>
      <c r="B48" s="93" t="s">
        <v>55</v>
      </c>
      <c r="C48" s="94">
        <f>+C19/C12</f>
        <v>-0.7354519231707316</v>
      </c>
      <c r="D48" s="95">
        <f>+D19/D12</f>
        <v>5.073089441210759E-2</v>
      </c>
      <c r="E48" s="95">
        <f>+E19/E12</f>
        <v>0.10727791922707622</v>
      </c>
      <c r="F48" s="95">
        <f>+F19/F12</f>
        <v>-0.78521582464811601</v>
      </c>
      <c r="G48" s="95">
        <f>+G19/G12</f>
        <v>-2.5964804823773217E-2</v>
      </c>
    </row>
    <row r="49" spans="1:6" ht="15.6" x14ac:dyDescent="0.3">
      <c r="A49" s="90"/>
      <c r="B49" s="90"/>
      <c r="C49" s="96"/>
      <c r="D49" s="96"/>
      <c r="E49" s="96"/>
      <c r="F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P1:Q1"/>
    <mergeCell ref="P2:Q2"/>
    <mergeCell ref="P3:Q3"/>
    <mergeCell ref="A5:G5"/>
  </mergeCells>
  <conditionalFormatting sqref="D1:G4 C42:G1048576 D40:G40 D7:F39">
    <cfRule type="cellIs" dxfId="292" priority="7" operator="lessThan">
      <formula>-0.01</formula>
    </cfRule>
  </conditionalFormatting>
  <conditionalFormatting sqref="C1:C4 C7:C40">
    <cfRule type="cellIs" dxfId="291" priority="6" operator="lessThan">
      <formula>-0.01</formula>
    </cfRule>
  </conditionalFormatting>
  <conditionalFormatting sqref="G7:G39">
    <cfRule type="cellIs" dxfId="290" priority="5" operator="lessThan">
      <formula>-0.01</formula>
    </cfRule>
  </conditionalFormatting>
  <conditionalFormatting sqref="G6">
    <cfRule type="cellIs" dxfId="289" priority="1" operator="lessThan">
      <formula>-0.01</formula>
    </cfRule>
  </conditionalFormatting>
  <conditionalFormatting sqref="D6:F6">
    <cfRule type="cellIs" dxfId="288" priority="3" operator="lessThan">
      <formula>-0.01</formula>
    </cfRule>
  </conditionalFormatting>
  <conditionalFormatting sqref="C6">
    <cfRule type="cellIs" dxfId="287" priority="2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D49"/>
  <sheetViews>
    <sheetView view="pageBreakPreview" zoomScale="90" zoomScaleNormal="50" zoomScaleSheetLayoutView="90" workbookViewId="0">
      <pane xSplit="2" ySplit="6" topLeftCell="C7" activePane="bottomRight" state="frozen"/>
      <selection activeCell="C5" sqref="C5:D5"/>
      <selection pane="topRight" activeCell="C5" sqref="C5:D5"/>
      <selection pane="bottomLeft" activeCell="C5" sqref="C5:D5"/>
      <selection pane="bottomRight" activeCell="C34" sqref="C34:C35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16384" width="11.44140625" style="1"/>
  </cols>
  <sheetData>
    <row r="1" spans="1:30" s="42" customFormat="1" ht="13.8" customHeight="1" x14ac:dyDescent="0.45">
      <c r="A1" s="25"/>
      <c r="B1" s="39"/>
      <c r="C1" s="40"/>
      <c r="D1" s="40"/>
      <c r="E1" s="40"/>
      <c r="F1" s="40"/>
      <c r="G1" s="97"/>
      <c r="H1" s="39"/>
      <c r="I1" s="39"/>
      <c r="J1" s="39"/>
      <c r="K1" s="39"/>
      <c r="L1" s="39"/>
      <c r="M1" s="39"/>
      <c r="Q1" s="39"/>
      <c r="R1" s="39"/>
      <c r="S1" s="278"/>
      <c r="T1" s="278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spans="1:30" s="42" customFormat="1" ht="13.8" customHeight="1" x14ac:dyDescent="0.45">
      <c r="A2" s="25"/>
      <c r="B2" s="43"/>
      <c r="C2" s="44"/>
      <c r="D2" s="44"/>
      <c r="E2" s="44"/>
      <c r="F2" s="44"/>
      <c r="G2" s="98"/>
      <c r="H2" s="39"/>
      <c r="I2" s="39"/>
      <c r="J2" s="39"/>
      <c r="K2" s="39"/>
      <c r="L2" s="39"/>
      <c r="M2" s="39"/>
      <c r="Q2" s="43"/>
      <c r="R2" s="45"/>
      <c r="S2" s="279"/>
      <c r="T2" s="27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spans="1:30" s="42" customFormat="1" ht="13.8" customHeight="1" x14ac:dyDescent="0.4">
      <c r="A3" s="46"/>
      <c r="B3" s="47"/>
      <c r="C3" s="48"/>
      <c r="D3" s="48"/>
      <c r="E3" s="48"/>
      <c r="F3" s="48"/>
      <c r="G3" s="99"/>
      <c r="H3" s="46"/>
      <c r="I3" s="46"/>
      <c r="J3" s="46"/>
      <c r="K3" s="46"/>
      <c r="L3" s="46"/>
      <c r="M3" s="46"/>
      <c r="Q3" s="46"/>
      <c r="R3" s="46"/>
      <c r="S3" s="280"/>
      <c r="T3" s="280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s="42" customFormat="1" ht="13.8" customHeight="1" x14ac:dyDescent="0.4">
      <c r="A4" s="46"/>
      <c r="B4" s="46"/>
      <c r="C4" s="50"/>
      <c r="D4" s="50"/>
      <c r="E4" s="50"/>
      <c r="F4" s="50"/>
      <c r="G4" s="100"/>
    </row>
    <row r="5" spans="1:30" ht="26.4" thickBot="1" x14ac:dyDescent="0.55000000000000004">
      <c r="A5" s="281" t="s">
        <v>88</v>
      </c>
      <c r="B5" s="281"/>
      <c r="C5" s="281"/>
      <c r="D5" s="281"/>
      <c r="E5" s="281"/>
      <c r="F5" s="281"/>
      <c r="G5" s="281"/>
    </row>
    <row r="6" spans="1:30" s="27" customFormat="1" ht="52.2" customHeight="1" x14ac:dyDescent="0.35">
      <c r="A6" s="113" t="s">
        <v>0</v>
      </c>
      <c r="B6" s="114" t="s">
        <v>1</v>
      </c>
      <c r="C6" s="115" t="s">
        <v>50</v>
      </c>
      <c r="D6" s="116" t="s">
        <v>47</v>
      </c>
      <c r="E6" s="117" t="s">
        <v>48</v>
      </c>
      <c r="F6" s="118" t="s">
        <v>49</v>
      </c>
      <c r="G6" s="119" t="s">
        <v>92</v>
      </c>
    </row>
    <row r="7" spans="1:30" s="29" customFormat="1" ht="30.75" customHeight="1" x14ac:dyDescent="0.35">
      <c r="A7" s="101"/>
      <c r="B7" s="79" t="s">
        <v>2</v>
      </c>
      <c r="C7" s="51">
        <f>+'04 2020'!C7+'05 2020'!C7+'06 2020'!C7</f>
        <v>13200000</v>
      </c>
      <c r="D7" s="51">
        <f>+'04 2020'!D7+'05 2020'!D7+'06 2020'!D7</f>
        <v>215777354.09999999</v>
      </c>
      <c r="E7" s="52">
        <f>+'04 2020'!E7+'05 2020'!E7+'06 2020'!E7</f>
        <v>121274438.8</v>
      </c>
      <c r="F7" s="53">
        <f>+'04 2020'!F7+'05 2020'!F7+'06 2020'!F7</f>
        <v>67689310.5</v>
      </c>
      <c r="G7" s="51">
        <f>+C7+D7+E7+F7</f>
        <v>417941103.39999998</v>
      </c>
    </row>
    <row r="8" spans="1:30" s="29" customFormat="1" ht="30.75" customHeight="1" x14ac:dyDescent="0.35">
      <c r="A8" s="102"/>
      <c r="B8" s="80" t="s">
        <v>42</v>
      </c>
      <c r="C8" s="54">
        <f>+'04 2020'!C8+'05 2020'!C8+'06 2020'!C8</f>
        <v>0</v>
      </c>
      <c r="D8" s="54">
        <f>+'04 2020'!D8+'05 2020'!D8+'06 2020'!D8</f>
        <v>0</v>
      </c>
      <c r="E8" s="55">
        <f>+'04 2020'!E8+'05 2020'!E8+'06 2020'!E8</f>
        <v>0</v>
      </c>
      <c r="F8" s="56">
        <f>+'04 2020'!F8+'05 2020'!F8+'06 2020'!F8</f>
        <v>4000</v>
      </c>
      <c r="G8" s="51">
        <f>+C8+D8+E8+F8</f>
        <v>4000</v>
      </c>
      <c r="M8" s="30"/>
    </row>
    <row r="9" spans="1:30" s="27" customFormat="1" ht="30.75" customHeight="1" x14ac:dyDescent="0.35">
      <c r="A9" s="102"/>
      <c r="B9" s="81" t="s">
        <v>3</v>
      </c>
      <c r="C9" s="54">
        <f>+'04 2020'!C9+'05 2020'!C9+'06 2020'!C9</f>
        <v>0</v>
      </c>
      <c r="D9" s="57">
        <f>+'04 2020'!D9+'05 2020'!D9+'06 2020'!D9</f>
        <v>66961089.990000002</v>
      </c>
      <c r="E9" s="55">
        <f>+'04 2020'!E9+'05 2020'!E9+'06 2020'!E9</f>
        <v>-63607647.869999997</v>
      </c>
      <c r="F9" s="56">
        <f>+'04 2020'!F9+'05 2020'!F9+'06 2020'!F9</f>
        <v>-39205477.399999999</v>
      </c>
      <c r="G9" s="51">
        <f>+C9+D9+E9+F9</f>
        <v>-35852035.279999994</v>
      </c>
    </row>
    <row r="10" spans="1:30" s="27" customFormat="1" ht="30.75" customHeight="1" x14ac:dyDescent="0.35">
      <c r="A10" s="102"/>
      <c r="B10" s="81" t="s">
        <v>4</v>
      </c>
      <c r="C10" s="54">
        <f>+'04 2020'!C10+'05 2020'!C10+'06 2020'!C10</f>
        <v>0</v>
      </c>
      <c r="D10" s="54">
        <f>+'04 2020'!D10+'05 2020'!D10+'06 2020'!D10</f>
        <v>86565.51</v>
      </c>
      <c r="E10" s="55">
        <f>+'04 2020'!E10+'05 2020'!E10+'06 2020'!E10</f>
        <v>0</v>
      </c>
      <c r="F10" s="56">
        <f>+'04 2020'!F10+'05 2020'!F10+'06 2020'!F10</f>
        <v>0</v>
      </c>
      <c r="G10" s="51">
        <f>+C10+D10+E10+F10</f>
        <v>86565.51</v>
      </c>
    </row>
    <row r="11" spans="1:30" s="27" customFormat="1" ht="30.75" customHeight="1" thickBot="1" x14ac:dyDescent="0.4">
      <c r="A11" s="103"/>
      <c r="B11" s="82" t="s">
        <v>5</v>
      </c>
      <c r="C11" s="58">
        <f>+'04 2020'!C11+'05 2020'!C11+'06 2020'!C11</f>
        <v>0</v>
      </c>
      <c r="D11" s="58">
        <f>+'04 2020'!D11+'05 2020'!D11+'06 2020'!D11</f>
        <v>0</v>
      </c>
      <c r="E11" s="59">
        <f>+'04 2020'!E11+'05 2020'!E11+'06 2020'!E11</f>
        <v>0</v>
      </c>
      <c r="F11" s="60">
        <f>+'04 2020'!F11+'05 2020'!F11+'06 2020'!F11</f>
        <v>0</v>
      </c>
      <c r="G11" s="112">
        <f>+C11+D11+E11+F11</f>
        <v>0</v>
      </c>
    </row>
    <row r="12" spans="1:30" s="27" customFormat="1" ht="30.75" customHeight="1" thickBot="1" x14ac:dyDescent="0.4">
      <c r="A12" s="104"/>
      <c r="B12" s="83" t="s">
        <v>6</v>
      </c>
      <c r="C12" s="61">
        <f>SUM(C7:C11)</f>
        <v>13200000</v>
      </c>
      <c r="D12" s="61">
        <f>SUM(D7:D11)</f>
        <v>282825009.59999996</v>
      </c>
      <c r="E12" s="62">
        <f>SUM(E7:E11)</f>
        <v>57666790.93</v>
      </c>
      <c r="F12" s="63">
        <f>SUM(F7:F11)</f>
        <v>28487833.100000001</v>
      </c>
      <c r="G12" s="61">
        <f>SUM(G7:G11)</f>
        <v>382179633.63</v>
      </c>
    </row>
    <row r="13" spans="1:30" s="32" customFormat="1" ht="30.75" customHeight="1" x14ac:dyDescent="0.35">
      <c r="A13" s="105">
        <v>60</v>
      </c>
      <c r="B13" s="84" t="s">
        <v>7</v>
      </c>
      <c r="C13" s="51">
        <f>+'04 2020'!C13+'05 2020'!C13+'06 2020'!C13</f>
        <v>808012.3600000001</v>
      </c>
      <c r="D13" s="64">
        <f>+'04 2020'!D13+'05 2020'!D13+'06 2020'!D13</f>
        <v>212156376.97</v>
      </c>
      <c r="E13" s="65">
        <f>+'04 2020'!E13+'05 2020'!E13+'06 2020'!E13</f>
        <v>28178020.799999997</v>
      </c>
      <c r="F13" s="66">
        <f>+'04 2020'!F13+'05 2020'!F13+'06 2020'!F13</f>
        <v>25927008.190000001</v>
      </c>
      <c r="G13" s="51">
        <f>+C13+D13+E13+F13</f>
        <v>267069418.31999999</v>
      </c>
    </row>
    <row r="14" spans="1:30" s="32" customFormat="1" ht="30.75" customHeight="1" thickBot="1" x14ac:dyDescent="0.4">
      <c r="A14" s="106" t="s">
        <v>8</v>
      </c>
      <c r="B14" s="82" t="s">
        <v>43</v>
      </c>
      <c r="C14" s="58">
        <f>+'04 2020'!C14+'05 2020'!C14+'06 2020'!C14</f>
        <v>7204518.0600000005</v>
      </c>
      <c r="D14" s="58">
        <f>+'04 2020'!D14+'05 2020'!D14+'06 2020'!D14</f>
        <v>12250449.09</v>
      </c>
      <c r="E14" s="59">
        <f>+'04 2020'!E14+'05 2020'!E14+'06 2020'!E14</f>
        <v>5579675.9400000004</v>
      </c>
      <c r="F14" s="60">
        <f>+'04 2020'!F14+'05 2020'!F14+'06 2020'!F14</f>
        <v>6050920.7000000002</v>
      </c>
      <c r="G14" s="58">
        <f>+C14+D14+E14+F14</f>
        <v>31085563.789999999</v>
      </c>
      <c r="H14" s="34"/>
    </row>
    <row r="15" spans="1:30" s="27" customFormat="1" ht="30.75" customHeight="1" thickBot="1" x14ac:dyDescent="0.4">
      <c r="A15" s="107" t="s">
        <v>9</v>
      </c>
      <c r="B15" s="85" t="s">
        <v>10</v>
      </c>
      <c r="C15" s="61">
        <f>SUM(C13:C14)</f>
        <v>8012530.4200000009</v>
      </c>
      <c r="D15" s="61">
        <f>SUM(D13:D14)</f>
        <v>224406826.06</v>
      </c>
      <c r="E15" s="62">
        <f>SUM(E13:E14)</f>
        <v>33757696.739999995</v>
      </c>
      <c r="F15" s="63">
        <f>SUM(F13:F14)</f>
        <v>31977928.890000001</v>
      </c>
      <c r="G15" s="61">
        <f>SUM(G13:G14)</f>
        <v>298154982.11000001</v>
      </c>
      <c r="H15" s="34"/>
    </row>
    <row r="16" spans="1:30" s="27" customFormat="1" ht="30.75" customHeight="1" thickBot="1" x14ac:dyDescent="0.4">
      <c r="A16" s="108" t="s">
        <v>11</v>
      </c>
      <c r="B16" s="86" t="s">
        <v>12</v>
      </c>
      <c r="C16" s="67">
        <f>+C12-C15</f>
        <v>5187469.5799999991</v>
      </c>
      <c r="D16" s="67">
        <f>+D12-D15</f>
        <v>58418183.539999962</v>
      </c>
      <c r="E16" s="68">
        <f>+E12-E15</f>
        <v>23909094.190000005</v>
      </c>
      <c r="F16" s="69">
        <f>+F12-F15</f>
        <v>-3490095.7899999991</v>
      </c>
      <c r="G16" s="67">
        <f>+G12-G15</f>
        <v>84024651.519999981</v>
      </c>
      <c r="H16" s="34"/>
    </row>
    <row r="17" spans="1:11" s="32" customFormat="1" ht="30.75" customHeight="1" x14ac:dyDescent="0.35">
      <c r="A17" s="105">
        <v>63</v>
      </c>
      <c r="B17" s="84" t="s">
        <v>44</v>
      </c>
      <c r="C17" s="64">
        <f>+'04 2020'!C17+'05 2020'!C17+'06 2020'!C17</f>
        <v>25681041.579999998</v>
      </c>
      <c r="D17" s="64">
        <f>+'04 2020'!D17+'05 2020'!D17+'06 2020'!D17</f>
        <v>76613745.260000005</v>
      </c>
      <c r="E17" s="65">
        <f>+'04 2020'!E17+'05 2020'!E17+'06 2020'!E17</f>
        <v>24332244.41</v>
      </c>
      <c r="F17" s="66">
        <f>+'04 2020'!F17+'05 2020'!F17+'06 2020'!F17</f>
        <v>26316946.23</v>
      </c>
      <c r="G17" s="51">
        <f>+C17+D17+E17+F17</f>
        <v>152943977.47999999</v>
      </c>
      <c r="H17" s="34"/>
    </row>
    <row r="18" spans="1:11" s="32" customFormat="1" ht="30.75" customHeight="1" thickBot="1" x14ac:dyDescent="0.4">
      <c r="A18" s="106">
        <v>64</v>
      </c>
      <c r="B18" s="82" t="s">
        <v>13</v>
      </c>
      <c r="C18" s="58">
        <f>+'04 2020'!C18+'05 2020'!C18+'06 2020'!C18</f>
        <v>689419.87</v>
      </c>
      <c r="D18" s="58">
        <f>+'04 2020'!D18+'05 2020'!D18+'06 2020'!D18</f>
        <v>2168017.75</v>
      </c>
      <c r="E18" s="59">
        <f>+'04 2020'!E18+'05 2020'!E18+'06 2020'!E18</f>
        <v>1233976.3500000001</v>
      </c>
      <c r="F18" s="60">
        <f>+'04 2020'!F18+'05 2020'!F18+'06 2020'!F18</f>
        <v>686801</v>
      </c>
      <c r="G18" s="58">
        <f>+C18+D18+E18+F18</f>
        <v>4778214.9700000007</v>
      </c>
      <c r="H18" s="34"/>
    </row>
    <row r="19" spans="1:11" s="27" customFormat="1" ht="30.75" customHeight="1" thickBot="1" x14ac:dyDescent="0.4">
      <c r="A19" s="107" t="s">
        <v>14</v>
      </c>
      <c r="B19" s="85" t="s">
        <v>15</v>
      </c>
      <c r="C19" s="61">
        <f>+C16-C17-C18</f>
        <v>-21182991.870000001</v>
      </c>
      <c r="D19" s="61">
        <f>+D16-D17-D18</f>
        <v>-20363579.470000044</v>
      </c>
      <c r="E19" s="62">
        <f>+E16-E17-E18</f>
        <v>-1657126.5699999952</v>
      </c>
      <c r="F19" s="63">
        <f>+F16-F17-F18</f>
        <v>-30493843.02</v>
      </c>
      <c r="G19" s="61">
        <f>+G16-G17-G18</f>
        <v>-73697540.930000007</v>
      </c>
      <c r="H19" s="34"/>
    </row>
    <row r="20" spans="1:11" s="32" customFormat="1" ht="30.75" customHeight="1" x14ac:dyDescent="0.35">
      <c r="A20" s="105">
        <v>75</v>
      </c>
      <c r="B20" s="84" t="s">
        <v>16</v>
      </c>
      <c r="C20" s="51">
        <f>+'04 2020'!C20+'05 2020'!C20+'06 2020'!C20</f>
        <v>26028349.149999999</v>
      </c>
      <c r="D20" s="51">
        <f>+'04 2020'!D20+'05 2020'!D20+'06 2020'!D20</f>
        <v>223071.53999999998</v>
      </c>
      <c r="E20" s="52">
        <f>+'04 2020'!E20+'05 2020'!E20+'06 2020'!E20</f>
        <v>0</v>
      </c>
      <c r="F20" s="53">
        <f>+'04 2020'!F20+'05 2020'!F20+'06 2020'!F20</f>
        <v>0</v>
      </c>
      <c r="G20" s="51">
        <f t="shared" ref="G20:G25" si="0">+C20+D20+E20+F20</f>
        <v>26251420.689999998</v>
      </c>
      <c r="K20" s="35"/>
    </row>
    <row r="21" spans="1:11" s="32" customFormat="1" ht="30.75" customHeight="1" x14ac:dyDescent="0.35">
      <c r="A21" s="109">
        <v>65</v>
      </c>
      <c r="B21" s="81" t="s">
        <v>17</v>
      </c>
      <c r="C21" s="54">
        <f>+'04 2020'!C21+'05 2020'!C21+'06 2020'!C21</f>
        <v>954698.05</v>
      </c>
      <c r="D21" s="54">
        <f>+'04 2020'!D21+'05 2020'!D21+'06 2020'!D21</f>
        <v>2042.08</v>
      </c>
      <c r="E21" s="55">
        <f>+'04 2020'!E21+'05 2020'!E21+'06 2020'!E21</f>
        <v>51472.12</v>
      </c>
      <c r="F21" s="56">
        <f>+'04 2020'!F21+'05 2020'!F21+'06 2020'!F21</f>
        <v>60050</v>
      </c>
      <c r="G21" s="54">
        <f t="shared" si="0"/>
        <v>1068262.25</v>
      </c>
    </row>
    <row r="22" spans="1:11" s="27" customFormat="1" ht="30.75" customHeight="1" x14ac:dyDescent="0.35">
      <c r="A22" s="109"/>
      <c r="B22" s="87" t="s">
        <v>18</v>
      </c>
      <c r="C22" s="70">
        <f>+'04 2020'!C22+'05 2020'!C22+'06 2020'!C22</f>
        <v>0</v>
      </c>
      <c r="D22" s="70">
        <f>+'04 2020'!D22+'05 2020'!D22+'06 2020'!D22</f>
        <v>0</v>
      </c>
      <c r="E22" s="71">
        <f>+'04 2020'!E22+'05 2020'!E22+'06 2020'!E22</f>
        <v>0</v>
      </c>
      <c r="F22" s="72">
        <f>+'04 2020'!F22+'05 2020'!F22+'06 2020'!F22</f>
        <v>0</v>
      </c>
      <c r="G22" s="70">
        <f t="shared" si="0"/>
        <v>0</v>
      </c>
    </row>
    <row r="23" spans="1:11" s="27" customFormat="1" ht="30.75" customHeight="1" x14ac:dyDescent="0.35">
      <c r="A23" s="109"/>
      <c r="B23" s="87" t="s">
        <v>19</v>
      </c>
      <c r="C23" s="70">
        <f>+'04 2020'!C23+'05 2020'!C23+'06 2020'!C23</f>
        <v>0</v>
      </c>
      <c r="D23" s="70">
        <f>+'04 2020'!D23+'05 2020'!D23+'06 2020'!D23</f>
        <v>0</v>
      </c>
      <c r="E23" s="71">
        <f>+'04 2020'!E23+'05 2020'!E23+'06 2020'!E23</f>
        <v>0</v>
      </c>
      <c r="F23" s="72">
        <f>+'04 2020'!F23+'05 2020'!F23+'06 2020'!F23</f>
        <v>0</v>
      </c>
      <c r="G23" s="70">
        <f t="shared" si="0"/>
        <v>0</v>
      </c>
    </row>
    <row r="24" spans="1:11" s="32" customFormat="1" ht="30.75" customHeight="1" x14ac:dyDescent="0.35">
      <c r="A24" s="109">
        <v>68</v>
      </c>
      <c r="B24" s="81" t="s">
        <v>20</v>
      </c>
      <c r="C24" s="54">
        <f>+'04 2020'!C24+'05 2020'!C24+'06 2020'!C24</f>
        <v>3658674.96</v>
      </c>
      <c r="D24" s="54">
        <f>+'04 2020'!D24+'05 2020'!D24+'06 2020'!D24</f>
        <v>17404785.73</v>
      </c>
      <c r="E24" s="55">
        <f>+'04 2020'!E24+'05 2020'!E24+'06 2020'!E24</f>
        <v>1506552.3800000001</v>
      </c>
      <c r="F24" s="56">
        <f>+'04 2020'!F24+'05 2020'!F24+'06 2020'!F24</f>
        <v>1725916.96</v>
      </c>
      <c r="G24" s="57">
        <f t="shared" si="0"/>
        <v>24295930.030000001</v>
      </c>
    </row>
    <row r="25" spans="1:11" s="32" customFormat="1" ht="30.75" customHeight="1" thickBot="1" x14ac:dyDescent="0.4">
      <c r="A25" s="106">
        <v>78</v>
      </c>
      <c r="B25" s="82" t="s">
        <v>21</v>
      </c>
      <c r="C25" s="58">
        <f>+'04 2020'!C25+'05 2020'!C25+'06 2020'!C25</f>
        <v>0</v>
      </c>
      <c r="D25" s="58">
        <f>+'04 2020'!D25+'05 2020'!D25+'06 2020'!D25</f>
        <v>0</v>
      </c>
      <c r="E25" s="59">
        <f>+'04 2020'!E25+'05 2020'!E25+'06 2020'!E25</f>
        <v>0</v>
      </c>
      <c r="F25" s="60">
        <f>+'04 2020'!F25+'05 2020'!F25+'06 2020'!F25</f>
        <v>0</v>
      </c>
      <c r="G25" s="58">
        <f t="shared" si="0"/>
        <v>0</v>
      </c>
    </row>
    <row r="26" spans="1:11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231984.26999999769</v>
      </c>
      <c r="D26" s="61">
        <f>+D19+D20-(D21+D22+D23+D24+D25)</f>
        <v>-37547335.740000039</v>
      </c>
      <c r="E26" s="62">
        <f>+E19+E20-(E21+E22+E23+E24+E25)</f>
        <v>-3215151.0699999956</v>
      </c>
      <c r="F26" s="63">
        <f>+F19+F20-(F21+F22+F23+F24+F25)</f>
        <v>-32279809.98</v>
      </c>
      <c r="G26" s="61">
        <f>+G19+G20-(G21+G22+G23+G24+G25)</f>
        <v>-72810312.520000011</v>
      </c>
    </row>
    <row r="27" spans="1:11" s="32" customFormat="1" ht="30.75" customHeight="1" x14ac:dyDescent="0.35">
      <c r="A27" s="105">
        <v>76</v>
      </c>
      <c r="B27" s="84" t="s">
        <v>24</v>
      </c>
      <c r="C27" s="51">
        <f>+'04 2020'!C27+'05 2020'!C27+'06 2020'!C27</f>
        <v>174289942.91</v>
      </c>
      <c r="D27" s="51">
        <f>+'04 2020'!D27+'05 2020'!D27+'06 2020'!D27</f>
        <v>185155.22999999998</v>
      </c>
      <c r="E27" s="52">
        <f>+'04 2020'!E27+'05 2020'!E27+'06 2020'!E27</f>
        <v>0</v>
      </c>
      <c r="F27" s="53">
        <f>+'04 2020'!F27+'05 2020'!F27+'06 2020'!F27</f>
        <v>0</v>
      </c>
      <c r="G27" s="51">
        <f>+C27+D27+E27+F27</f>
        <v>174475098.13999999</v>
      </c>
    </row>
    <row r="28" spans="1:11" s="32" customFormat="1" ht="30.75" customHeight="1" thickBot="1" x14ac:dyDescent="0.4">
      <c r="A28" s="106">
        <v>66</v>
      </c>
      <c r="B28" s="82" t="s">
        <v>25</v>
      </c>
      <c r="C28" s="73">
        <f>+'04 2020'!C28+'05 2020'!C28+'06 2020'!C28</f>
        <v>58117500.009999998</v>
      </c>
      <c r="D28" s="58">
        <f>+'04 2020'!D28+'05 2020'!D28+'06 2020'!D28</f>
        <v>298996.01</v>
      </c>
      <c r="E28" s="59">
        <f>+'04 2020'!E28+'05 2020'!E28+'06 2020'!E28</f>
        <v>37119.15</v>
      </c>
      <c r="F28" s="60">
        <f>+'04 2020'!F28+'05 2020'!F28+'06 2020'!F28</f>
        <v>0</v>
      </c>
      <c r="G28" s="58">
        <f>+C28+D28+E28+F28</f>
        <v>58453615.169999994</v>
      </c>
    </row>
    <row r="29" spans="1:11" s="27" customFormat="1" ht="30.75" customHeight="1" thickBot="1" x14ac:dyDescent="0.4">
      <c r="A29" s="107" t="s">
        <v>26</v>
      </c>
      <c r="B29" s="85" t="s">
        <v>27</v>
      </c>
      <c r="C29" s="61">
        <f>+C27-C28</f>
        <v>116172442.90000001</v>
      </c>
      <c r="D29" s="61">
        <f>+D27-D28</f>
        <v>-113840.78000000003</v>
      </c>
      <c r="E29" s="62">
        <f>+E27-E28</f>
        <v>-37119.15</v>
      </c>
      <c r="F29" s="63">
        <f>+F27-F28</f>
        <v>0</v>
      </c>
      <c r="G29" s="61">
        <f>+G27-G28</f>
        <v>116021482.97</v>
      </c>
    </row>
    <row r="30" spans="1:11" s="27" customFormat="1" ht="30.75" customHeight="1" thickBot="1" x14ac:dyDescent="0.4">
      <c r="A30" s="107" t="s">
        <v>28</v>
      </c>
      <c r="B30" s="85" t="s">
        <v>29</v>
      </c>
      <c r="C30" s="61">
        <f>+C26+C29</f>
        <v>116404427.17</v>
      </c>
      <c r="D30" s="61">
        <f>+D26+D29</f>
        <v>-37661176.520000041</v>
      </c>
      <c r="E30" s="62">
        <f>+E26+E29</f>
        <v>-3252270.2199999955</v>
      </c>
      <c r="F30" s="63">
        <f>+F26+F29</f>
        <v>-32279809.98</v>
      </c>
      <c r="G30" s="61">
        <f>+G26+G29</f>
        <v>43211170.449999988</v>
      </c>
    </row>
    <row r="31" spans="1:11" s="32" customFormat="1" ht="30.75" customHeight="1" x14ac:dyDescent="0.35">
      <c r="A31" s="105" t="s">
        <v>30</v>
      </c>
      <c r="B31" s="84" t="s">
        <v>31</v>
      </c>
      <c r="C31" s="51">
        <f>+'04 2020'!C31+'05 2020'!C31+'06 2020'!C31</f>
        <v>10000</v>
      </c>
      <c r="D31" s="51">
        <f>+'04 2020'!D31+'05 2020'!D31+'06 2020'!D31</f>
        <v>0</v>
      </c>
      <c r="E31" s="52">
        <f>+'04 2020'!E31+'05 2020'!E31+'06 2020'!E31</f>
        <v>0</v>
      </c>
      <c r="F31" s="53">
        <f>+'04 2020'!F31+'05 2020'!F31+'06 2020'!F31</f>
        <v>0</v>
      </c>
      <c r="G31" s="51">
        <f>+C31+D31+E31+F31</f>
        <v>10000</v>
      </c>
    </row>
    <row r="32" spans="1:11" s="32" customFormat="1" ht="30.75" customHeight="1" x14ac:dyDescent="0.35">
      <c r="A32" s="109" t="s">
        <v>32</v>
      </c>
      <c r="B32" s="81" t="s">
        <v>33</v>
      </c>
      <c r="C32" s="54">
        <f>+'04 2020'!C32+'05 2020'!C32+'06 2020'!C32</f>
        <v>0</v>
      </c>
      <c r="D32" s="54">
        <f>+'04 2020'!D32+'05 2020'!D32+'06 2020'!D32</f>
        <v>0</v>
      </c>
      <c r="E32" s="55">
        <f>+'04 2020'!E32+'05 2020'!E32+'06 2020'!E32</f>
        <v>0</v>
      </c>
      <c r="F32" s="56">
        <f>+'04 2020'!F32+'05 2020'!F32+'06 2020'!F32</f>
        <v>0</v>
      </c>
      <c r="G32" s="54">
        <f>+C32+D32+E32+F32</f>
        <v>0</v>
      </c>
    </row>
    <row r="33" spans="1:7" s="37" customFormat="1" ht="30.75" customHeight="1" x14ac:dyDescent="0.35">
      <c r="A33" s="110"/>
      <c r="B33" s="88" t="s">
        <v>45</v>
      </c>
      <c r="C33" s="74">
        <f>+C12+C20+C27+C25</f>
        <v>213518292.06</v>
      </c>
      <c r="D33" s="74">
        <f>+D12+D20+D27+D25</f>
        <v>283233236.37</v>
      </c>
      <c r="E33" s="75">
        <f>+E12+E20+E27+E25</f>
        <v>57666790.93</v>
      </c>
      <c r="F33" s="76">
        <f>+F12+F20+F27+F25</f>
        <v>28487833.100000001</v>
      </c>
      <c r="G33" s="74">
        <f>+G12+G20+G27+G25</f>
        <v>582906152.46000004</v>
      </c>
    </row>
    <row r="34" spans="1:7" s="37" customFormat="1" ht="30.75" customHeight="1" thickBot="1" x14ac:dyDescent="0.4">
      <c r="A34" s="111"/>
      <c r="B34" s="89" t="s">
        <v>46</v>
      </c>
      <c r="C34" s="73">
        <f>+C15+C17+C18+C24+C21+C28+C31</f>
        <v>97123864.889999986</v>
      </c>
      <c r="D34" s="73">
        <f t="shared" ref="D34:G34" si="1">(D15+D17+D18+D24+D21+D28)-D32</f>
        <v>320894412.88999999</v>
      </c>
      <c r="E34" s="77">
        <f t="shared" si="1"/>
        <v>60919061.149999991</v>
      </c>
      <c r="F34" s="78">
        <f t="shared" si="1"/>
        <v>60767643.080000006</v>
      </c>
      <c r="G34" s="73">
        <f t="shared" si="1"/>
        <v>539694982.00999999</v>
      </c>
    </row>
    <row r="35" spans="1:7" s="27" customFormat="1" ht="30.75" customHeight="1" thickBot="1" x14ac:dyDescent="0.4">
      <c r="A35" s="107" t="s">
        <v>34</v>
      </c>
      <c r="B35" s="85" t="s">
        <v>35</v>
      </c>
      <c r="C35" s="61">
        <f>+C30-C31</f>
        <v>116394427.17</v>
      </c>
      <c r="D35" s="61">
        <f>+D30-D31</f>
        <v>-37661176.520000041</v>
      </c>
      <c r="E35" s="62">
        <f>+E30-E31</f>
        <v>-3252270.2199999955</v>
      </c>
      <c r="F35" s="63">
        <f>+F30-F31</f>
        <v>-32279809.98</v>
      </c>
      <c r="G35" s="61">
        <f>+G30-G31</f>
        <v>43201170.449999988</v>
      </c>
    </row>
    <row r="36" spans="1:7" s="32" customFormat="1" ht="30.75" customHeight="1" x14ac:dyDescent="0.35">
      <c r="A36" s="105">
        <v>77</v>
      </c>
      <c r="B36" s="84" t="s">
        <v>36</v>
      </c>
      <c r="C36" s="51">
        <f>+'04 2020'!C36+'05 2020'!C36+'06 2020'!C36</f>
        <v>0</v>
      </c>
      <c r="D36" s="51">
        <f>+'04 2020'!D36+'05 2020'!D36+'06 2020'!D36</f>
        <v>0</v>
      </c>
      <c r="E36" s="52">
        <f>+'04 2020'!E36+'05 2020'!E36+'06 2020'!E36</f>
        <v>0</v>
      </c>
      <c r="F36" s="53">
        <f>+'04 2020'!F36+'05 2020'!F36+'06 2020'!F36</f>
        <v>0</v>
      </c>
      <c r="G36" s="51">
        <f>+C36+D36+E36+F36</f>
        <v>0</v>
      </c>
    </row>
    <row r="37" spans="1:7" s="32" customFormat="1" ht="30.75" customHeight="1" thickBot="1" x14ac:dyDescent="0.4">
      <c r="A37" s="106">
        <v>67</v>
      </c>
      <c r="B37" s="82" t="s">
        <v>37</v>
      </c>
      <c r="C37" s="58">
        <f>+'04 2020'!C37+'05 2020'!C37+'06 2020'!C37</f>
        <v>0</v>
      </c>
      <c r="D37" s="58">
        <f>+'04 2020'!D37+'05 2020'!D37+'06 2020'!D37</f>
        <v>0</v>
      </c>
      <c r="E37" s="59">
        <f>+'04 2020'!E37+'05 2020'!E37+'06 2020'!E37</f>
        <v>0</v>
      </c>
      <c r="F37" s="60">
        <f>+'04 2020'!F37+'05 2020'!F37+'06 2020'!F37</f>
        <v>0</v>
      </c>
      <c r="G37" s="58">
        <f>+C37+D37+E37+F37</f>
        <v>0</v>
      </c>
    </row>
    <row r="38" spans="1:7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3"/>
      <c r="G38" s="61"/>
    </row>
    <row r="39" spans="1:7" s="27" customFormat="1" ht="30.6" customHeight="1" x14ac:dyDescent="0.35">
      <c r="A39" s="120" t="s">
        <v>40</v>
      </c>
      <c r="B39" s="121" t="s">
        <v>41</v>
      </c>
      <c r="C39" s="122">
        <f>+C35</f>
        <v>116394427.17</v>
      </c>
      <c r="D39" s="122">
        <f>+D35</f>
        <v>-37661176.520000041</v>
      </c>
      <c r="E39" s="123">
        <f>+E35</f>
        <v>-3252270.2199999955</v>
      </c>
      <c r="F39" s="124">
        <f>+F35</f>
        <v>-32279809.98</v>
      </c>
      <c r="G39" s="122">
        <f>+G35</f>
        <v>43201170.449999988</v>
      </c>
    </row>
    <row r="40" spans="1:7" s="27" customFormat="1" ht="11.4" customHeight="1" x14ac:dyDescent="0.35">
      <c r="A40" s="90"/>
      <c r="B40" s="90"/>
      <c r="C40" s="91"/>
      <c r="D40" s="91"/>
      <c r="E40" s="91"/>
      <c r="F40" s="91"/>
      <c r="G40" s="91"/>
    </row>
    <row r="41" spans="1:7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</row>
    <row r="42" spans="1:7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1.3107260990369145</v>
      </c>
      <c r="E42" s="95">
        <f>+E12/E7</f>
        <v>0.47550655769350797</v>
      </c>
      <c r="F42" s="95">
        <f>+F12/F7</f>
        <v>0.42086162334302402</v>
      </c>
      <c r="G42" s="95">
        <f>+G12/G7</f>
        <v>0.9144341882646233</v>
      </c>
    </row>
    <row r="43" spans="1:7" s="37" customFormat="1" ht="18" x14ac:dyDescent="0.35">
      <c r="A43" s="92">
        <v>2</v>
      </c>
      <c r="B43" s="93" t="s">
        <v>53</v>
      </c>
      <c r="C43" s="94">
        <f>+C13/C7</f>
        <v>6.1213057575757582E-2</v>
      </c>
      <c r="D43" s="95">
        <f>+D13/D7</f>
        <v>0.98321891958911556</v>
      </c>
      <c r="E43" s="95">
        <f>+E13/E7</f>
        <v>0.23234921619773349</v>
      </c>
      <c r="F43" s="95">
        <f>+F13/F7</f>
        <v>0.38302958027619444</v>
      </c>
      <c r="G43" s="95">
        <f>+G13/G7</f>
        <v>0.63901209081221944</v>
      </c>
    </row>
    <row r="44" spans="1:7" s="37" customFormat="1" ht="18" x14ac:dyDescent="0.35">
      <c r="A44" s="92">
        <v>3</v>
      </c>
      <c r="B44" s="93" t="s">
        <v>56</v>
      </c>
      <c r="C44" s="94">
        <f>+C13/C12</f>
        <v>6.1213057575757582E-2</v>
      </c>
      <c r="D44" s="95">
        <f>+D13/D12</f>
        <v>0.75013301429761547</v>
      </c>
      <c r="E44" s="95">
        <f>+E13/E12</f>
        <v>0.48863514590580315</v>
      </c>
      <c r="F44" s="95">
        <f>+F13/F12</f>
        <v>0.91010811875333542</v>
      </c>
      <c r="G44" s="95">
        <f>+G13/G12</f>
        <v>0.69880599283466327</v>
      </c>
    </row>
    <row r="45" spans="1:7" s="37" customFormat="1" ht="18" x14ac:dyDescent="0.35">
      <c r="A45" s="92">
        <v>4</v>
      </c>
      <c r="B45" s="93" t="s">
        <v>57</v>
      </c>
      <c r="C45" s="94">
        <f>+C15/C12</f>
        <v>0.60700988030303038</v>
      </c>
      <c r="D45" s="95">
        <f>+D15/D12</f>
        <v>0.79344760343994714</v>
      </c>
      <c r="E45" s="95">
        <f>+E15/E12</f>
        <v>0.58539232365084193</v>
      </c>
      <c r="F45" s="95">
        <f>+F15/F12</f>
        <v>1.1225118027667749</v>
      </c>
      <c r="G45" s="95">
        <f>+G15/G12</f>
        <v>0.78014356567899468</v>
      </c>
    </row>
    <row r="46" spans="1:7" s="37" customFormat="1" ht="18" x14ac:dyDescent="0.35">
      <c r="A46" s="92">
        <v>5</v>
      </c>
      <c r="B46" s="93" t="s">
        <v>58</v>
      </c>
      <c r="C46" s="94">
        <f>+C17/C12</f>
        <v>1.9455334530303028</v>
      </c>
      <c r="D46" s="95">
        <f>+D17/D12</f>
        <v>0.27088744863247771</v>
      </c>
      <c r="E46" s="95">
        <f>+E17/E12</f>
        <v>0.4219455256238584</v>
      </c>
      <c r="F46" s="95">
        <f>+F17/F12</f>
        <v>0.92379599872059059</v>
      </c>
      <c r="G46" s="95">
        <f>+G17/G12</f>
        <v>0.40018871761248748</v>
      </c>
    </row>
    <row r="47" spans="1:7" s="37" customFormat="1" ht="18" x14ac:dyDescent="0.35">
      <c r="A47" s="92">
        <v>6</v>
      </c>
      <c r="B47" s="93" t="s">
        <v>54</v>
      </c>
      <c r="C47" s="94">
        <f>+C16/C17</f>
        <v>0.20199607417948037</v>
      </c>
      <c r="D47" s="95">
        <f>+D16/D17</f>
        <v>0.76250264677375146</v>
      </c>
      <c r="E47" s="95">
        <f>+E16/E17</f>
        <v>0.98260948670127246</v>
      </c>
      <c r="F47" s="95">
        <f>+F16/F17</f>
        <v>-0.13261781057338123</v>
      </c>
      <c r="G47" s="95">
        <f>+G16/G17</f>
        <v>0.54938189070561882</v>
      </c>
    </row>
    <row r="48" spans="1:7" s="37" customFormat="1" ht="18" x14ac:dyDescent="0.35">
      <c r="A48" s="92">
        <v>7</v>
      </c>
      <c r="B48" s="93" t="s">
        <v>55</v>
      </c>
      <c r="C48" s="94">
        <f>+C19/C12</f>
        <v>-1.6047721113636364</v>
      </c>
      <c r="D48" s="95">
        <f>+D19/D12</f>
        <v>-7.2000632118072935E-2</v>
      </c>
      <c r="E48" s="95">
        <f>+E19/E12</f>
        <v>-2.8736236979295966E-2</v>
      </c>
      <c r="F48" s="95">
        <f>+F19/F12</f>
        <v>-1.0704163743503536</v>
      </c>
      <c r="G48" s="95">
        <f>+G19/G12</f>
        <v>-0.19283482018654319</v>
      </c>
    </row>
    <row r="49" spans="1:6" ht="15.6" x14ac:dyDescent="0.3">
      <c r="A49" s="90"/>
      <c r="B49" s="90"/>
      <c r="C49" s="96"/>
      <c r="D49" s="96"/>
      <c r="E49" s="96"/>
      <c r="F49" s="96"/>
    </row>
  </sheetData>
  <sheetProtection selectLockedCells="1" selectUnlockedCells="1"/>
  <mergeCells count="5">
    <mergeCell ref="A41:G41"/>
    <mergeCell ref="S1:T1"/>
    <mergeCell ref="S2:T2"/>
    <mergeCell ref="S3:T3"/>
    <mergeCell ref="A5:G5"/>
  </mergeCells>
  <conditionalFormatting sqref="D1:G4 C42:G1048576 D40:G40 D6:F39">
    <cfRule type="cellIs" dxfId="275" priority="4" operator="lessThan">
      <formula>-0.01</formula>
    </cfRule>
  </conditionalFormatting>
  <conditionalFormatting sqref="C1:C4 C6:C40">
    <cfRule type="cellIs" dxfId="274" priority="3" operator="lessThan">
      <formula>-0.01</formula>
    </cfRule>
  </conditionalFormatting>
  <conditionalFormatting sqref="G7:G39">
    <cfRule type="cellIs" dxfId="273" priority="2" operator="lessThan">
      <formula>-0.01</formula>
    </cfRule>
  </conditionalFormatting>
  <conditionalFormatting sqref="G6">
    <cfRule type="cellIs" dxfId="272" priority="1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90" zoomScaleNormal="50" zoomScaleSheetLayoutView="90" workbookViewId="0">
      <pane xSplit="2" ySplit="6" topLeftCell="C28" activePane="bottomRight" state="frozen"/>
      <selection activeCell="C5" sqref="C5:D5"/>
      <selection pane="topRight" activeCell="C5" sqref="C5:D5"/>
      <selection pane="bottomLeft" activeCell="C5" sqref="C5:D5"/>
      <selection pane="bottomRight" activeCell="E39" sqref="E39"/>
    </sheetView>
  </sheetViews>
  <sheetFormatPr baseColWidth="10" defaultColWidth="11.44140625" defaultRowHeight="28.8" x14ac:dyDescent="0.55000000000000004"/>
  <cols>
    <col min="1" max="1" width="7.6640625" style="2" customWidth="1"/>
    <col min="2" max="2" width="76.5546875" style="2" customWidth="1"/>
    <col min="3" max="7" width="19.77734375" style="3" customWidth="1"/>
    <col min="8" max="8" width="23.5546875" style="4" bestFit="1" customWidth="1"/>
    <col min="9" max="16384" width="11.44140625" style="1"/>
  </cols>
  <sheetData>
    <row r="1" spans="1:31" s="42" customFormat="1" ht="13.8" customHeight="1" x14ac:dyDescent="0.45">
      <c r="A1" s="25"/>
      <c r="B1" s="39"/>
      <c r="C1" s="40"/>
      <c r="D1" s="40"/>
      <c r="E1" s="40"/>
      <c r="F1" s="40"/>
      <c r="G1" s="40"/>
      <c r="H1" s="41"/>
      <c r="I1" s="39"/>
      <c r="J1" s="39"/>
      <c r="K1" s="39"/>
      <c r="L1" s="39"/>
      <c r="M1" s="39"/>
      <c r="N1" s="39"/>
      <c r="R1" s="39"/>
      <c r="S1" s="39"/>
      <c r="T1" s="278"/>
      <c r="U1" s="278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44"/>
      <c r="D2" s="44"/>
      <c r="E2" s="44"/>
      <c r="F2" s="44"/>
      <c r="G2" s="44"/>
      <c r="H2" s="41"/>
      <c r="I2" s="39"/>
      <c r="J2" s="39"/>
      <c r="K2" s="39"/>
      <c r="L2" s="39"/>
      <c r="M2" s="39"/>
      <c r="N2" s="39"/>
      <c r="R2" s="43"/>
      <c r="S2" s="4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5">
      <c r="A3" s="46"/>
      <c r="B3" s="47"/>
      <c r="C3" s="48"/>
      <c r="D3" s="48"/>
      <c r="E3" s="48"/>
      <c r="F3" s="48"/>
      <c r="G3" s="48"/>
      <c r="H3" s="49"/>
      <c r="I3" s="46"/>
      <c r="J3" s="46"/>
      <c r="K3" s="46"/>
      <c r="L3" s="46"/>
      <c r="M3" s="46"/>
      <c r="N3" s="46"/>
      <c r="R3" s="46"/>
      <c r="S3" s="46"/>
      <c r="T3" s="280"/>
      <c r="U3" s="280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1:31" s="42" customFormat="1" ht="13.8" customHeight="1" x14ac:dyDescent="0.55000000000000004">
      <c r="A4" s="46"/>
      <c r="B4" s="46"/>
      <c r="C4" s="50"/>
      <c r="D4" s="50"/>
      <c r="E4" s="50"/>
      <c r="F4" s="50"/>
      <c r="G4" s="50"/>
      <c r="H4" s="5"/>
    </row>
    <row r="5" spans="1:31" ht="29.4" thickBot="1" x14ac:dyDescent="0.6">
      <c r="A5" s="281" t="s">
        <v>81</v>
      </c>
      <c r="B5" s="281"/>
      <c r="C5" s="281"/>
      <c r="D5" s="281"/>
      <c r="E5" s="281"/>
      <c r="F5" s="281"/>
      <c r="G5" s="281"/>
    </row>
    <row r="6" spans="1:31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  <c r="H6" s="26"/>
    </row>
    <row r="7" spans="1:31" s="29" customFormat="1" ht="30.75" customHeight="1" x14ac:dyDescent="0.35">
      <c r="A7" s="101"/>
      <c r="B7" s="79" t="s">
        <v>2</v>
      </c>
      <c r="C7" s="51">
        <v>2800000</v>
      </c>
      <c r="D7" s="51">
        <v>72440592</v>
      </c>
      <c r="E7" s="52">
        <v>34898000.200000003</v>
      </c>
      <c r="F7" s="52">
        <v>16563058.199999999</v>
      </c>
      <c r="G7" s="51">
        <f>+C7+D7+E7+F7</f>
        <v>126701650.40000001</v>
      </c>
      <c r="H7" s="28"/>
    </row>
    <row r="8" spans="1:31" s="29" customFormat="1" ht="30.75" customHeight="1" x14ac:dyDescent="0.35">
      <c r="A8" s="102"/>
      <c r="B8" s="80" t="s">
        <v>42</v>
      </c>
      <c r="C8" s="54"/>
      <c r="D8" s="54"/>
      <c r="E8" s="55"/>
      <c r="F8" s="55"/>
      <c r="G8" s="51">
        <f>+C8+D8+E8+F8</f>
        <v>0</v>
      </c>
      <c r="H8" s="28"/>
      <c r="N8" s="30"/>
    </row>
    <row r="9" spans="1:31" s="27" customFormat="1" ht="30.75" customHeight="1" x14ac:dyDescent="0.35">
      <c r="A9" s="102"/>
      <c r="B9" s="81" t="s">
        <v>3</v>
      </c>
      <c r="C9" s="54"/>
      <c r="D9" s="57">
        <v>5986402.5300000003</v>
      </c>
      <c r="E9" s="55">
        <v>-13218816.539999999</v>
      </c>
      <c r="F9" s="55">
        <v>-10312348.57</v>
      </c>
      <c r="G9" s="51">
        <f>+C9+D9+E9+F9</f>
        <v>-17544762.579999998</v>
      </c>
      <c r="H9" s="26"/>
    </row>
    <row r="10" spans="1:31" s="27" customFormat="1" ht="30.75" customHeight="1" x14ac:dyDescent="0.35">
      <c r="A10" s="102"/>
      <c r="B10" s="81" t="s">
        <v>4</v>
      </c>
      <c r="C10" s="54"/>
      <c r="D10" s="54">
        <v>162272</v>
      </c>
      <c r="E10" s="55"/>
      <c r="F10" s="55"/>
      <c r="G10" s="51">
        <f>+C10+D10+E10+F10</f>
        <v>162272</v>
      </c>
      <c r="H10" s="26"/>
    </row>
    <row r="11" spans="1:31" s="27" customFormat="1" ht="30.75" customHeight="1" thickBot="1" x14ac:dyDescent="0.4">
      <c r="A11" s="103"/>
      <c r="B11" s="82" t="s">
        <v>5</v>
      </c>
      <c r="C11" s="58"/>
      <c r="D11" s="58"/>
      <c r="E11" s="59"/>
      <c r="F11" s="59"/>
      <c r="G11" s="112">
        <f>+C11+D11+E11+F11</f>
        <v>0</v>
      </c>
      <c r="H11" s="26"/>
    </row>
    <row r="12" spans="1:31" s="27" customFormat="1" ht="30.75" customHeight="1" thickBot="1" x14ac:dyDescent="0.4">
      <c r="A12" s="104"/>
      <c r="B12" s="83" t="s">
        <v>6</v>
      </c>
      <c r="C12" s="61">
        <f>SUM(C7:C11)</f>
        <v>2800000</v>
      </c>
      <c r="D12" s="61">
        <f>SUM(D7:D11)</f>
        <v>78589266.530000001</v>
      </c>
      <c r="E12" s="62">
        <f>SUM(E7:E11)</f>
        <v>21679183.660000004</v>
      </c>
      <c r="F12" s="62">
        <f>SUM(F7:F11)</f>
        <v>6250709.629999999</v>
      </c>
      <c r="G12" s="61">
        <f>SUM(G7:G11)</f>
        <v>109319159.82000001</v>
      </c>
      <c r="H12" s="26"/>
    </row>
    <row r="13" spans="1:31" s="32" customFormat="1" ht="30.75" customHeight="1" x14ac:dyDescent="0.35">
      <c r="A13" s="105">
        <v>60</v>
      </c>
      <c r="B13" s="84" t="s">
        <v>7</v>
      </c>
      <c r="C13" s="51">
        <v>470418.64</v>
      </c>
      <c r="D13" s="64">
        <v>58733137.509999998</v>
      </c>
      <c r="E13" s="65">
        <v>13544139.07</v>
      </c>
      <c r="F13" s="65">
        <v>10613527.539999999</v>
      </c>
      <c r="G13" s="51">
        <f>+C13+D13+E13+F13</f>
        <v>83361222.75999999</v>
      </c>
      <c r="H13" s="31"/>
    </row>
    <row r="14" spans="1:31" s="32" customFormat="1" ht="30.75" customHeight="1" thickBot="1" x14ac:dyDescent="0.4">
      <c r="A14" s="106" t="s">
        <v>8</v>
      </c>
      <c r="B14" s="82" t="s">
        <v>43</v>
      </c>
      <c r="C14" s="58">
        <v>4294504.68</v>
      </c>
      <c r="D14" s="58">
        <v>6560439.0499999998</v>
      </c>
      <c r="E14" s="59">
        <v>1224743.51</v>
      </c>
      <c r="F14" s="59">
        <v>3079582.56</v>
      </c>
      <c r="G14" s="58">
        <f>+C14+D14+E14+F14</f>
        <v>15159269.800000001</v>
      </c>
      <c r="H14" s="33"/>
      <c r="I14" s="34"/>
    </row>
    <row r="15" spans="1:31" s="27" customFormat="1" ht="30.75" customHeight="1" thickBot="1" x14ac:dyDescent="0.4">
      <c r="A15" s="107" t="s">
        <v>9</v>
      </c>
      <c r="B15" s="85" t="s">
        <v>10</v>
      </c>
      <c r="C15" s="61">
        <f>SUM(C13:C14)</f>
        <v>4764923.3199999994</v>
      </c>
      <c r="D15" s="61">
        <f>SUM(D13:D14)</f>
        <v>65293576.559999995</v>
      </c>
      <c r="E15" s="62">
        <f>SUM(E13:E14)</f>
        <v>14768882.58</v>
      </c>
      <c r="F15" s="62">
        <f>SUM(F13:F14)</f>
        <v>13693110.1</v>
      </c>
      <c r="G15" s="61">
        <f>SUM(G13:G14)</f>
        <v>98520492.559999987</v>
      </c>
      <c r="H15" s="26"/>
      <c r="I15" s="34"/>
    </row>
    <row r="16" spans="1:31" s="27" customFormat="1" ht="30.75" customHeight="1" thickBot="1" x14ac:dyDescent="0.4">
      <c r="A16" s="108" t="s">
        <v>11</v>
      </c>
      <c r="B16" s="86" t="s">
        <v>12</v>
      </c>
      <c r="C16" s="67">
        <f>+C12-C15</f>
        <v>-1964923.3199999994</v>
      </c>
      <c r="D16" s="67">
        <f>+D12-D15</f>
        <v>13295689.970000006</v>
      </c>
      <c r="E16" s="68">
        <f>+E12-E15</f>
        <v>6910301.0800000038</v>
      </c>
      <c r="F16" s="68">
        <f>+F12-F15</f>
        <v>-7442400.4700000007</v>
      </c>
      <c r="G16" s="67">
        <f>+G12-G15</f>
        <v>10798667.26000002</v>
      </c>
      <c r="H16" s="26"/>
      <c r="I16" s="34"/>
    </row>
    <row r="17" spans="1:12" s="32" customFormat="1" ht="30.75" customHeight="1" x14ac:dyDescent="0.35">
      <c r="A17" s="105">
        <v>63</v>
      </c>
      <c r="B17" s="84" t="s">
        <v>44</v>
      </c>
      <c r="C17" s="64">
        <v>8786277.4900000002</v>
      </c>
      <c r="D17" s="64">
        <v>34327042.759999998</v>
      </c>
      <c r="E17" s="65">
        <v>10825764.199999999</v>
      </c>
      <c r="F17" s="65">
        <v>10977740.51</v>
      </c>
      <c r="G17" s="51">
        <f>+C17+D17+E17+F17</f>
        <v>64916824.960000001</v>
      </c>
      <c r="H17" s="31"/>
      <c r="I17" s="34"/>
    </row>
    <row r="18" spans="1:12" s="32" customFormat="1" ht="30.75" customHeight="1" thickBot="1" x14ac:dyDescent="0.4">
      <c r="A18" s="106">
        <v>64</v>
      </c>
      <c r="B18" s="82" t="s">
        <v>13</v>
      </c>
      <c r="C18" s="58">
        <v>70400</v>
      </c>
      <c r="D18" s="58">
        <v>725497</v>
      </c>
      <c r="E18" s="59">
        <v>1404354.46</v>
      </c>
      <c r="F18" s="59">
        <v>167670.57999999999</v>
      </c>
      <c r="G18" s="58">
        <f>+C18+D18+E18+F18</f>
        <v>2367922.04</v>
      </c>
      <c r="H18" s="31"/>
      <c r="I18" s="34"/>
    </row>
    <row r="19" spans="1:12" s="27" customFormat="1" ht="30.75" customHeight="1" thickBot="1" x14ac:dyDescent="0.4">
      <c r="A19" s="107" t="s">
        <v>14</v>
      </c>
      <c r="B19" s="85" t="s">
        <v>15</v>
      </c>
      <c r="C19" s="61">
        <f>+C16-C17-C18</f>
        <v>-10821600.809999999</v>
      </c>
      <c r="D19" s="61">
        <f>+D16-D17-D18</f>
        <v>-21756849.789999992</v>
      </c>
      <c r="E19" s="62">
        <f>+E16-E17-E18</f>
        <v>-5319817.5799999954</v>
      </c>
      <c r="F19" s="62">
        <f>+F16-F17-F18</f>
        <v>-18587811.559999999</v>
      </c>
      <c r="G19" s="61">
        <f>+G16-G17-G18</f>
        <v>-56486079.73999998</v>
      </c>
      <c r="H19" s="26"/>
      <c r="I19" s="34"/>
    </row>
    <row r="20" spans="1:12" s="32" customFormat="1" ht="30.75" customHeight="1" x14ac:dyDescent="0.35">
      <c r="A20" s="105">
        <v>75</v>
      </c>
      <c r="B20" s="84" t="s">
        <v>16</v>
      </c>
      <c r="C20" s="51">
        <v>1296.01</v>
      </c>
      <c r="D20" s="51">
        <v>10395.09</v>
      </c>
      <c r="E20" s="52">
        <v>861647.73</v>
      </c>
      <c r="F20" s="52"/>
      <c r="G20" s="51">
        <f t="shared" ref="G20:G25" si="0">+C20+D20+E20+F20</f>
        <v>873338.83</v>
      </c>
      <c r="H20" s="31"/>
      <c r="L20" s="35"/>
    </row>
    <row r="21" spans="1:12" s="32" customFormat="1" ht="30.75" customHeight="1" x14ac:dyDescent="0.35">
      <c r="A21" s="109">
        <v>65</v>
      </c>
      <c r="B21" s="81" t="s">
        <v>17</v>
      </c>
      <c r="C21" s="54">
        <v>208091.86</v>
      </c>
      <c r="D21" s="54">
        <v>161040.74</v>
      </c>
      <c r="E21" s="55">
        <v>925654.68</v>
      </c>
      <c r="F21" s="55"/>
      <c r="G21" s="54">
        <f t="shared" si="0"/>
        <v>1294787.28</v>
      </c>
      <c r="H21" s="31"/>
    </row>
    <row r="22" spans="1:12" s="27" customFormat="1" ht="30.75" customHeight="1" x14ac:dyDescent="0.35">
      <c r="A22" s="109"/>
      <c r="B22" s="87" t="s">
        <v>18</v>
      </c>
      <c r="C22" s="70"/>
      <c r="D22" s="70"/>
      <c r="E22" s="71"/>
      <c r="F22" s="71"/>
      <c r="G22" s="70">
        <f t="shared" si="0"/>
        <v>0</v>
      </c>
      <c r="H22" s="26"/>
    </row>
    <row r="23" spans="1:12" s="27" customFormat="1" ht="30.75" customHeight="1" x14ac:dyDescent="0.35">
      <c r="A23" s="109"/>
      <c r="B23" s="87" t="s">
        <v>19</v>
      </c>
      <c r="C23" s="70"/>
      <c r="D23" s="70"/>
      <c r="E23" s="71"/>
      <c r="F23" s="71"/>
      <c r="G23" s="70">
        <f t="shared" si="0"/>
        <v>0</v>
      </c>
      <c r="H23" s="26"/>
    </row>
    <row r="24" spans="1:12" s="32" customFormat="1" ht="30.75" customHeight="1" x14ac:dyDescent="0.35">
      <c r="A24" s="109">
        <v>68</v>
      </c>
      <c r="B24" s="81" t="s">
        <v>20</v>
      </c>
      <c r="C24" s="54">
        <v>1214291.01</v>
      </c>
      <c r="D24" s="54">
        <v>5801861.2999999998</v>
      </c>
      <c r="E24" s="55">
        <v>565314.16</v>
      </c>
      <c r="F24" s="55">
        <v>573996.17000000004</v>
      </c>
      <c r="G24" s="57">
        <f t="shared" si="0"/>
        <v>8155462.6399999997</v>
      </c>
      <c r="H24" s="31"/>
    </row>
    <row r="25" spans="1:12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59"/>
      <c r="G25" s="58">
        <f t="shared" si="0"/>
        <v>0</v>
      </c>
      <c r="H25" s="31"/>
    </row>
    <row r="26" spans="1:12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-12242687.669999998</v>
      </c>
      <c r="D26" s="61">
        <f>+D19+D20-(D21+D22+D23+D24+D25)</f>
        <v>-27709356.739999991</v>
      </c>
      <c r="E26" s="62">
        <f>+E19+E20-(E21+E22+E23+E24+E25)</f>
        <v>-5949138.6899999958</v>
      </c>
      <c r="F26" s="62">
        <f>+F19+F20-(F21+F22+F23+F24+F25)</f>
        <v>-19161807.73</v>
      </c>
      <c r="G26" s="61">
        <f>+G19+G20-(G21+G22+G23+G24+G25)</f>
        <v>-65062990.829999983</v>
      </c>
      <c r="H26" s="26"/>
    </row>
    <row r="27" spans="1:12" s="32" customFormat="1" ht="30.75" customHeight="1" x14ac:dyDescent="0.35">
      <c r="A27" s="105">
        <v>76</v>
      </c>
      <c r="B27" s="84" t="s">
        <v>24</v>
      </c>
      <c r="C27" s="51"/>
      <c r="D27" s="51">
        <v>279551.73</v>
      </c>
      <c r="E27" s="52"/>
      <c r="F27" s="52"/>
      <c r="G27" s="51">
        <f>+C27+D27+E27+F27</f>
        <v>279551.73</v>
      </c>
      <c r="H27" s="31"/>
    </row>
    <row r="28" spans="1:12" s="32" customFormat="1" ht="30.75" customHeight="1" thickBot="1" x14ac:dyDescent="0.4">
      <c r="A28" s="106">
        <v>66</v>
      </c>
      <c r="B28" s="82" t="s">
        <v>25</v>
      </c>
      <c r="C28" s="73"/>
      <c r="D28" s="58">
        <v>218401.17</v>
      </c>
      <c r="E28" s="59"/>
      <c r="F28" s="59"/>
      <c r="G28" s="58">
        <f>+C28+D28+E28+F28</f>
        <v>218401.17</v>
      </c>
      <c r="H28" s="31"/>
    </row>
    <row r="29" spans="1:12" s="27" customFormat="1" ht="30.75" customHeight="1" thickBot="1" x14ac:dyDescent="0.4">
      <c r="A29" s="107" t="s">
        <v>26</v>
      </c>
      <c r="B29" s="85" t="s">
        <v>27</v>
      </c>
      <c r="C29" s="61">
        <f>+C27-C28</f>
        <v>0</v>
      </c>
      <c r="D29" s="61">
        <f>+D27-D28</f>
        <v>61150.559999999969</v>
      </c>
      <c r="E29" s="62">
        <f>+E27-E28</f>
        <v>0</v>
      </c>
      <c r="F29" s="62">
        <f>+F27-F28</f>
        <v>0</v>
      </c>
      <c r="G29" s="61">
        <f>+G27-G28</f>
        <v>61150.559999999969</v>
      </c>
      <c r="H29" s="26"/>
    </row>
    <row r="30" spans="1:12" s="27" customFormat="1" ht="30.75" customHeight="1" thickBot="1" x14ac:dyDescent="0.4">
      <c r="A30" s="107" t="s">
        <v>28</v>
      </c>
      <c r="B30" s="85" t="s">
        <v>29</v>
      </c>
      <c r="C30" s="61">
        <f>+C26+C29</f>
        <v>-12242687.669999998</v>
      </c>
      <c r="D30" s="61">
        <f>+D26+D29</f>
        <v>-27648206.179999992</v>
      </c>
      <c r="E30" s="62">
        <f>+E26+E29</f>
        <v>-5949138.6899999958</v>
      </c>
      <c r="F30" s="62">
        <f>+F26+F29</f>
        <v>-19161807.73</v>
      </c>
      <c r="G30" s="61">
        <f>+G26+G29</f>
        <v>-65001840.269999981</v>
      </c>
      <c r="H30" s="26"/>
    </row>
    <row r="31" spans="1:12" s="32" customFormat="1" ht="30.75" customHeight="1" x14ac:dyDescent="0.35">
      <c r="A31" s="105" t="s">
        <v>30</v>
      </c>
      <c r="B31" s="84" t="s">
        <v>31</v>
      </c>
      <c r="C31" s="51"/>
      <c r="D31" s="51"/>
      <c r="E31" s="52"/>
      <c r="F31" s="52"/>
      <c r="G31" s="51">
        <f>+C31+D31+E31+F31</f>
        <v>0</v>
      </c>
      <c r="H31" s="31"/>
    </row>
    <row r="32" spans="1:12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5"/>
      <c r="G32" s="54">
        <f>+C32+D32+E32+F32</f>
        <v>0</v>
      </c>
      <c r="H32" s="31"/>
    </row>
    <row r="33" spans="1:8" s="37" customFormat="1" ht="30.75" customHeight="1" x14ac:dyDescent="0.35">
      <c r="A33" s="110"/>
      <c r="B33" s="88" t="s">
        <v>45</v>
      </c>
      <c r="C33" s="74">
        <f>+C12+C20+C27</f>
        <v>2801296.01</v>
      </c>
      <c r="D33" s="74">
        <f>+D12+D20+D27</f>
        <v>78879213.350000009</v>
      </c>
      <c r="E33" s="75">
        <f>+E12+E20+E27</f>
        <v>22540831.390000004</v>
      </c>
      <c r="F33" s="75">
        <f>+F12+F20+F27</f>
        <v>6250709.629999999</v>
      </c>
      <c r="G33" s="74">
        <f>+G12+G20+G27</f>
        <v>110472050.38000001</v>
      </c>
      <c r="H33" s="36"/>
    </row>
    <row r="34" spans="1:8" s="37" customFormat="1" ht="30.75" customHeight="1" thickBot="1" x14ac:dyDescent="0.4">
      <c r="A34" s="111"/>
      <c r="B34" s="89" t="s">
        <v>46</v>
      </c>
      <c r="C34" s="73">
        <f>+C15+C17+C18+C24+C21+C28</f>
        <v>15043983.679999998</v>
      </c>
      <c r="D34" s="73">
        <f>+D15+D17+D18+D24+D21+D28</f>
        <v>106527419.52999999</v>
      </c>
      <c r="E34" s="77">
        <f>+E15+E17+E18+E24+E21+E28</f>
        <v>28489970.080000002</v>
      </c>
      <c r="F34" s="77">
        <f>+F15+F17+F18+F24+F21+F28</f>
        <v>25412517.359999999</v>
      </c>
      <c r="G34" s="73">
        <f>+G15+G17+G18+G24+G21+G28</f>
        <v>175473890.64999995</v>
      </c>
      <c r="H34" s="36"/>
    </row>
    <row r="35" spans="1:8" s="27" customFormat="1" ht="30.75" customHeight="1" thickBot="1" x14ac:dyDescent="0.4">
      <c r="A35" s="107" t="s">
        <v>34</v>
      </c>
      <c r="B35" s="85" t="s">
        <v>35</v>
      </c>
      <c r="C35" s="61">
        <f>+C30</f>
        <v>-12242687.669999998</v>
      </c>
      <c r="D35" s="61">
        <f>+D30</f>
        <v>-27648206.179999992</v>
      </c>
      <c r="E35" s="62">
        <f>+E30</f>
        <v>-5949138.6899999958</v>
      </c>
      <c r="F35" s="62">
        <f>+F30</f>
        <v>-19161807.73</v>
      </c>
      <c r="G35" s="61">
        <f>+G30</f>
        <v>-65001840.269999981</v>
      </c>
      <c r="H35" s="26"/>
    </row>
    <row r="36" spans="1:8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2">
        <v>0</v>
      </c>
      <c r="G36" s="51">
        <f>+C36+D36+E36+F36</f>
        <v>0</v>
      </c>
      <c r="H36" s="31"/>
    </row>
    <row r="37" spans="1:8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59">
        <v>0</v>
      </c>
      <c r="G37" s="58">
        <f>+C37+D37+E37+F37</f>
        <v>0</v>
      </c>
      <c r="H37" s="31"/>
    </row>
    <row r="38" spans="1:8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2"/>
      <c r="G38" s="61"/>
      <c r="H38" s="26"/>
    </row>
    <row r="39" spans="1:8" s="27" customFormat="1" ht="30.6" customHeight="1" x14ac:dyDescent="0.35">
      <c r="A39" s="120" t="s">
        <v>40</v>
      </c>
      <c r="B39" s="121" t="s">
        <v>41</v>
      </c>
      <c r="C39" s="122">
        <f>+C35</f>
        <v>-12242687.669999998</v>
      </c>
      <c r="D39" s="122">
        <f>+D35</f>
        <v>-27648206.179999992</v>
      </c>
      <c r="E39" s="123">
        <f>+E35</f>
        <v>-5949138.6899999958</v>
      </c>
      <c r="F39" s="123">
        <f>+F35</f>
        <v>-19161807.73</v>
      </c>
      <c r="G39" s="122">
        <f>+G35</f>
        <v>-65001840.269999981</v>
      </c>
      <c r="H39" s="26"/>
    </row>
    <row r="40" spans="1:8" s="27" customFormat="1" ht="11.4" customHeight="1" x14ac:dyDescent="0.35">
      <c r="A40" s="90"/>
      <c r="B40" s="90"/>
      <c r="C40" s="91"/>
      <c r="D40" s="91"/>
      <c r="E40" s="91"/>
      <c r="F40" s="91"/>
      <c r="G40" s="91"/>
      <c r="H40" s="26"/>
    </row>
    <row r="41" spans="1:8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  <c r="H41" s="26"/>
    </row>
    <row r="42" spans="1:8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1.0848788553522588</v>
      </c>
      <c r="E42" s="95">
        <f>+E12/E7</f>
        <v>0.62121564375485339</v>
      </c>
      <c r="F42" s="95">
        <f>+F12/F7</f>
        <v>0.37738861715766953</v>
      </c>
      <c r="G42" s="95">
        <f>+G12/G7</f>
        <v>0.86280770199028123</v>
      </c>
      <c r="H42" s="38"/>
    </row>
    <row r="43" spans="1:8" s="37" customFormat="1" ht="18" x14ac:dyDescent="0.35">
      <c r="A43" s="92">
        <v>2</v>
      </c>
      <c r="B43" s="93" t="s">
        <v>53</v>
      </c>
      <c r="C43" s="94">
        <f>+C13/C7</f>
        <v>0.16800665714285715</v>
      </c>
      <c r="D43" s="95">
        <f>+D13/D7</f>
        <v>0.81077660864505352</v>
      </c>
      <c r="E43" s="95">
        <f>+E13/E7</f>
        <v>0.38810645287348011</v>
      </c>
      <c r="F43" s="95">
        <f>+F13/F7</f>
        <v>0.64079516064249531</v>
      </c>
      <c r="G43" s="95">
        <f>+G13/G7</f>
        <v>0.65793320368619279</v>
      </c>
      <c r="H43" s="36"/>
    </row>
    <row r="44" spans="1:8" s="37" customFormat="1" ht="18" x14ac:dyDescent="0.35">
      <c r="A44" s="92">
        <v>3</v>
      </c>
      <c r="B44" s="93" t="s">
        <v>56</v>
      </c>
      <c r="C44" s="94">
        <f>+C13/C12</f>
        <v>0.16800665714285715</v>
      </c>
      <c r="D44" s="95">
        <f>+D13/D12</f>
        <v>0.74734299101238855</v>
      </c>
      <c r="E44" s="95">
        <f>+E13/E12</f>
        <v>0.62475318639373523</v>
      </c>
      <c r="F44" s="95">
        <f>+F13/F12</f>
        <v>1.6979716173441897</v>
      </c>
      <c r="G44" s="95">
        <f>+G13/G12</f>
        <v>0.76254906182282056</v>
      </c>
      <c r="H44" s="36"/>
    </row>
    <row r="45" spans="1:8" s="37" customFormat="1" ht="18" x14ac:dyDescent="0.35">
      <c r="A45" s="92">
        <v>4</v>
      </c>
      <c r="B45" s="93" t="s">
        <v>57</v>
      </c>
      <c r="C45" s="94">
        <f>+C15/C12</f>
        <v>1.7017583285714284</v>
      </c>
      <c r="D45" s="95">
        <f>+D15/D12</f>
        <v>0.83082053622520291</v>
      </c>
      <c r="E45" s="95">
        <f>+E15/E12</f>
        <v>0.68124717293898318</v>
      </c>
      <c r="F45" s="95">
        <f>+F15/F12</f>
        <v>2.1906488879727406</v>
      </c>
      <c r="G45" s="95">
        <f>+G15/G12</f>
        <v>0.90121889632356655</v>
      </c>
      <c r="H45" s="36"/>
    </row>
    <row r="46" spans="1:8" s="37" customFormat="1" ht="18" x14ac:dyDescent="0.35">
      <c r="A46" s="92">
        <v>5</v>
      </c>
      <c r="B46" s="93" t="s">
        <v>58</v>
      </c>
      <c r="C46" s="94">
        <f>+C17/C12</f>
        <v>3.1379562464285713</v>
      </c>
      <c r="D46" s="95">
        <f>+D17/D12</f>
        <v>0.43679047121398296</v>
      </c>
      <c r="E46" s="95">
        <f>+E17/E12</f>
        <v>0.49936217017130974</v>
      </c>
      <c r="F46" s="95">
        <f>+F17/F12</f>
        <v>1.7562390768102281</v>
      </c>
      <c r="G46" s="95">
        <f>+G17/G12</f>
        <v>0.59382842922401813</v>
      </c>
      <c r="H46" s="36"/>
    </row>
    <row r="47" spans="1:8" s="37" customFormat="1" ht="18" x14ac:dyDescent="0.35">
      <c r="A47" s="92">
        <v>6</v>
      </c>
      <c r="B47" s="93" t="s">
        <v>54</v>
      </c>
      <c r="C47" s="94">
        <f>+C16/C17</f>
        <v>-0.22363547272850806</v>
      </c>
      <c r="D47" s="95">
        <f>+D16/D17</f>
        <v>0.38732407166436633</v>
      </c>
      <c r="E47" s="95">
        <f>+E16/E17</f>
        <v>0.63831993310920299</v>
      </c>
      <c r="F47" s="95">
        <f>+F16/F17</f>
        <v>-0.67795376136104357</v>
      </c>
      <c r="G47" s="95">
        <f>+G16/G17</f>
        <v>0.16634620172280248</v>
      </c>
      <c r="H47" s="36"/>
    </row>
    <row r="48" spans="1:8" s="37" customFormat="1" ht="18" x14ac:dyDescent="0.35">
      <c r="A48" s="92">
        <v>7</v>
      </c>
      <c r="B48" s="93" t="s">
        <v>55</v>
      </c>
      <c r="C48" s="94">
        <f>+C19/C12</f>
        <v>-3.8648574321428568</v>
      </c>
      <c r="D48" s="95">
        <f>+D19/D12</f>
        <v>-0.27684250980628144</v>
      </c>
      <c r="E48" s="95">
        <f>+E19/E12</f>
        <v>-0.24538827953266182</v>
      </c>
      <c r="F48" s="95">
        <f>+F19/F12</f>
        <v>-2.9737122119364874</v>
      </c>
      <c r="G48" s="95">
        <f>+G19/G12</f>
        <v>-0.51670795707730843</v>
      </c>
      <c r="H48" s="36"/>
    </row>
    <row r="49" spans="1:7" x14ac:dyDescent="0.55000000000000004">
      <c r="A49" s="90"/>
      <c r="B49" s="90"/>
      <c r="C49" s="96"/>
      <c r="D49" s="96"/>
      <c r="E49" s="96"/>
      <c r="F49" s="96"/>
      <c r="G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T1:U1"/>
    <mergeCell ref="T2:U2"/>
    <mergeCell ref="T3:U3"/>
    <mergeCell ref="A5:G5"/>
  </mergeCells>
  <conditionalFormatting sqref="D1:G4 C42:G1048576 D40:G40 D7:F39">
    <cfRule type="cellIs" dxfId="261" priority="7" operator="lessThan">
      <formula>-0.01</formula>
    </cfRule>
  </conditionalFormatting>
  <conditionalFormatting sqref="C1:C4 C7:C40">
    <cfRule type="cellIs" dxfId="260" priority="6" operator="lessThan">
      <formula>-0.01</formula>
    </cfRule>
  </conditionalFormatting>
  <conditionalFormatting sqref="G7:G39">
    <cfRule type="cellIs" dxfId="259" priority="5" operator="lessThan">
      <formula>-0.01</formula>
    </cfRule>
  </conditionalFormatting>
  <conditionalFormatting sqref="G6">
    <cfRule type="cellIs" dxfId="258" priority="1" operator="lessThan">
      <formula>-0.01</formula>
    </cfRule>
  </conditionalFormatting>
  <conditionalFormatting sqref="D6:F6">
    <cfRule type="cellIs" dxfId="257" priority="3" operator="lessThan">
      <formula>-0.01</formula>
    </cfRule>
  </conditionalFormatting>
  <conditionalFormatting sqref="C6">
    <cfRule type="cellIs" dxfId="256" priority="2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80" zoomScaleNormal="50" zoomScaleSheetLayoutView="80" workbookViewId="0">
      <pane xSplit="2" ySplit="6" topLeftCell="C22" activePane="bottomRight" state="frozen"/>
      <selection activeCell="C5" sqref="C5:D5"/>
      <selection pane="topRight" activeCell="C5" sqref="C5:D5"/>
      <selection pane="bottomLeft" activeCell="C5" sqref="C5:D5"/>
      <selection pane="bottomRight" activeCell="C14" sqref="C14"/>
    </sheetView>
  </sheetViews>
  <sheetFormatPr baseColWidth="10" defaultColWidth="11.44140625" defaultRowHeight="28.8" x14ac:dyDescent="0.55000000000000004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8" width="23.5546875" style="4" bestFit="1" customWidth="1"/>
    <col min="9" max="16384" width="11.44140625" style="1"/>
  </cols>
  <sheetData>
    <row r="1" spans="1:31" s="42" customFormat="1" ht="13.8" customHeight="1" x14ac:dyDescent="0.45">
      <c r="A1" s="25"/>
      <c r="B1" s="39"/>
      <c r="C1" s="40"/>
      <c r="D1" s="40"/>
      <c r="E1" s="40"/>
      <c r="F1" s="40"/>
      <c r="G1" s="97"/>
      <c r="H1" s="41"/>
      <c r="I1" s="39"/>
      <c r="J1" s="39"/>
      <c r="K1" s="39"/>
      <c r="L1" s="39"/>
      <c r="M1" s="39"/>
      <c r="N1" s="39"/>
      <c r="R1" s="39"/>
      <c r="S1" s="39"/>
      <c r="T1" s="278"/>
      <c r="U1" s="278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44"/>
      <c r="D2" s="44"/>
      <c r="E2" s="44"/>
      <c r="F2" s="44"/>
      <c r="G2" s="98"/>
      <c r="H2" s="41"/>
      <c r="I2" s="39"/>
      <c r="J2" s="39"/>
      <c r="K2" s="39"/>
      <c r="L2" s="39"/>
      <c r="M2" s="39"/>
      <c r="N2" s="39"/>
      <c r="R2" s="43"/>
      <c r="S2" s="4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5">
      <c r="A3" s="46"/>
      <c r="B3" s="47"/>
      <c r="C3" s="48"/>
      <c r="D3" s="48"/>
      <c r="E3" s="48"/>
      <c r="F3" s="48"/>
      <c r="G3" s="99"/>
      <c r="H3" s="49"/>
      <c r="I3" s="46"/>
      <c r="J3" s="46"/>
      <c r="K3" s="46"/>
      <c r="L3" s="46"/>
      <c r="M3" s="46"/>
      <c r="N3" s="46"/>
      <c r="R3" s="46"/>
      <c r="S3" s="46"/>
      <c r="T3" s="280"/>
      <c r="U3" s="280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1:31" s="42" customFormat="1" ht="13.8" customHeight="1" x14ac:dyDescent="0.55000000000000004">
      <c r="A4" s="46"/>
      <c r="B4" s="46"/>
      <c r="C4" s="50"/>
      <c r="D4" s="50"/>
      <c r="E4" s="50"/>
      <c r="F4" s="50"/>
      <c r="G4" s="100"/>
      <c r="H4" s="5"/>
    </row>
    <row r="5" spans="1:31" ht="29.4" thickBot="1" x14ac:dyDescent="0.6">
      <c r="A5" s="281" t="s">
        <v>82</v>
      </c>
      <c r="B5" s="281"/>
      <c r="C5" s="281"/>
      <c r="D5" s="281"/>
      <c r="E5" s="281"/>
      <c r="F5" s="281"/>
      <c r="G5" s="281"/>
    </row>
    <row r="6" spans="1:31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  <c r="H6" s="26"/>
    </row>
    <row r="7" spans="1:31" s="29" customFormat="1" ht="30.75" customHeight="1" x14ac:dyDescent="0.35">
      <c r="A7" s="101"/>
      <c r="B7" s="79" t="s">
        <v>2</v>
      </c>
      <c r="C7" s="51">
        <v>2500000</v>
      </c>
      <c r="D7" s="51">
        <v>80143167.599999994</v>
      </c>
      <c r="E7" s="52">
        <v>50619039</v>
      </c>
      <c r="F7" s="52">
        <v>22796482.600000001</v>
      </c>
      <c r="G7" s="51">
        <f>+C7+D7+E7+F7</f>
        <v>156058689.19999999</v>
      </c>
      <c r="H7" s="28"/>
    </row>
    <row r="8" spans="1:31" s="29" customFormat="1" ht="30.75" customHeight="1" x14ac:dyDescent="0.35">
      <c r="A8" s="102"/>
      <c r="B8" s="80" t="s">
        <v>42</v>
      </c>
      <c r="C8" s="54"/>
      <c r="D8" s="54"/>
      <c r="E8" s="55"/>
      <c r="F8" s="55"/>
      <c r="G8" s="51">
        <f>+C8+D8+E8+F8</f>
        <v>0</v>
      </c>
      <c r="H8" s="28"/>
      <c r="N8" s="30"/>
    </row>
    <row r="9" spans="1:31" s="27" customFormat="1" ht="30.75" customHeight="1" x14ac:dyDescent="0.35">
      <c r="A9" s="102"/>
      <c r="B9" s="81" t="s">
        <v>3</v>
      </c>
      <c r="C9" s="54"/>
      <c r="D9" s="57">
        <v>28536656.010000002</v>
      </c>
      <c r="E9" s="55">
        <v>-18856597.010000002</v>
      </c>
      <c r="F9" s="55">
        <v>-14568656.98</v>
      </c>
      <c r="G9" s="51">
        <f>+C9+D9+E9+F9</f>
        <v>-4888597.9800000004</v>
      </c>
      <c r="H9" s="26"/>
    </row>
    <row r="10" spans="1:31" s="27" customFormat="1" ht="30.75" customHeight="1" x14ac:dyDescent="0.35">
      <c r="A10" s="102"/>
      <c r="B10" s="81" t="s">
        <v>4</v>
      </c>
      <c r="C10" s="54"/>
      <c r="D10" s="54"/>
      <c r="E10" s="55"/>
      <c r="F10" s="55"/>
      <c r="G10" s="51">
        <f>+C10+D10+E10+F10</f>
        <v>0</v>
      </c>
      <c r="H10" s="26"/>
    </row>
    <row r="11" spans="1:31" s="27" customFormat="1" ht="30.75" customHeight="1" thickBot="1" x14ac:dyDescent="0.4">
      <c r="A11" s="103"/>
      <c r="B11" s="82" t="s">
        <v>5</v>
      </c>
      <c r="C11" s="58"/>
      <c r="D11" s="58"/>
      <c r="E11" s="59"/>
      <c r="F11" s="59"/>
      <c r="G11" s="112">
        <f>+C11+D11+E11+F11</f>
        <v>0</v>
      </c>
      <c r="H11" s="26"/>
    </row>
    <row r="12" spans="1:31" s="27" customFormat="1" ht="30.75" customHeight="1" thickBot="1" x14ac:dyDescent="0.4">
      <c r="A12" s="104"/>
      <c r="B12" s="83" t="s">
        <v>6</v>
      </c>
      <c r="C12" s="61">
        <f>SUM(C7:C11)</f>
        <v>2500000</v>
      </c>
      <c r="D12" s="61">
        <f>SUM(D7:D11)</f>
        <v>108679823.61</v>
      </c>
      <c r="E12" s="62">
        <f>SUM(E7:E11)</f>
        <v>31762441.989999998</v>
      </c>
      <c r="F12" s="62">
        <f>SUM(F7:F11)</f>
        <v>8227825.620000001</v>
      </c>
      <c r="G12" s="61">
        <f>SUM(G7:G11)</f>
        <v>151170091.22</v>
      </c>
      <c r="H12" s="26"/>
    </row>
    <row r="13" spans="1:31" s="32" customFormat="1" ht="30.75" customHeight="1" x14ac:dyDescent="0.35">
      <c r="A13" s="105">
        <v>60</v>
      </c>
      <c r="B13" s="84" t="s">
        <v>7</v>
      </c>
      <c r="C13" s="51">
        <v>373353.4</v>
      </c>
      <c r="D13" s="64">
        <v>88947892.609999999</v>
      </c>
      <c r="E13" s="65">
        <v>18437855.670000002</v>
      </c>
      <c r="F13" s="65">
        <v>14408748.539999999</v>
      </c>
      <c r="G13" s="51">
        <f>+C13+D13+E13+F13</f>
        <v>122167850.22</v>
      </c>
      <c r="H13" s="31"/>
    </row>
    <row r="14" spans="1:31" s="32" customFormat="1" ht="30.75" customHeight="1" thickBot="1" x14ac:dyDescent="0.4">
      <c r="A14" s="106" t="s">
        <v>8</v>
      </c>
      <c r="B14" s="82" t="s">
        <v>43</v>
      </c>
      <c r="C14" s="58">
        <v>1920597.16</v>
      </c>
      <c r="D14" s="58">
        <v>7194213.7599999998</v>
      </c>
      <c r="E14" s="59">
        <v>1476265.65</v>
      </c>
      <c r="F14" s="59">
        <v>1067331.51</v>
      </c>
      <c r="G14" s="58">
        <f>+C14+D14+E14+F14</f>
        <v>11658408.08</v>
      </c>
      <c r="H14" s="33"/>
      <c r="I14" s="34"/>
    </row>
    <row r="15" spans="1:31" s="27" customFormat="1" ht="30.75" customHeight="1" thickBot="1" x14ac:dyDescent="0.4">
      <c r="A15" s="107" t="s">
        <v>9</v>
      </c>
      <c r="B15" s="85" t="s">
        <v>10</v>
      </c>
      <c r="C15" s="61">
        <f>SUM(C13:C14)</f>
        <v>2293950.56</v>
      </c>
      <c r="D15" s="61">
        <f>SUM(D13:D14)</f>
        <v>96142106.370000005</v>
      </c>
      <c r="E15" s="62">
        <f>SUM(E13:E14)</f>
        <v>19914121.32</v>
      </c>
      <c r="F15" s="62">
        <f>SUM(F13:F14)</f>
        <v>15476080.049999999</v>
      </c>
      <c r="G15" s="61">
        <f>SUM(G13:G14)</f>
        <v>133826258.3</v>
      </c>
      <c r="H15" s="26"/>
      <c r="I15" s="34"/>
    </row>
    <row r="16" spans="1:31" s="27" customFormat="1" ht="30.75" customHeight="1" thickBot="1" x14ac:dyDescent="0.4">
      <c r="A16" s="108" t="s">
        <v>11</v>
      </c>
      <c r="B16" s="86" t="s">
        <v>12</v>
      </c>
      <c r="C16" s="67">
        <f>+C12-C15</f>
        <v>206049.43999999994</v>
      </c>
      <c r="D16" s="67">
        <f>+D12-D15</f>
        <v>12537717.239999995</v>
      </c>
      <c r="E16" s="68">
        <f>+E12-E15</f>
        <v>11848320.669999998</v>
      </c>
      <c r="F16" s="68">
        <f>+F12-F15</f>
        <v>-7248254.4299999978</v>
      </c>
      <c r="G16" s="67">
        <f>+G12-G15</f>
        <v>17343832.920000002</v>
      </c>
      <c r="H16" s="26"/>
      <c r="I16" s="34"/>
    </row>
    <row r="17" spans="1:12" s="32" customFormat="1" ht="30.75" customHeight="1" x14ac:dyDescent="0.35">
      <c r="A17" s="105">
        <v>63</v>
      </c>
      <c r="B17" s="84" t="s">
        <v>44</v>
      </c>
      <c r="C17" s="64">
        <v>9985161.0399999991</v>
      </c>
      <c r="D17" s="64">
        <v>30498273.41</v>
      </c>
      <c r="E17" s="65">
        <v>9722694.8599999994</v>
      </c>
      <c r="F17" s="65">
        <v>10478746.48</v>
      </c>
      <c r="G17" s="51">
        <f>+C17+D17+E17+F17</f>
        <v>60684875.790000007</v>
      </c>
      <c r="H17" s="31"/>
      <c r="I17" s="34"/>
    </row>
    <row r="18" spans="1:12" s="32" customFormat="1" ht="30.75" customHeight="1" thickBot="1" x14ac:dyDescent="0.4">
      <c r="A18" s="106">
        <v>64</v>
      </c>
      <c r="B18" s="82" t="s">
        <v>13</v>
      </c>
      <c r="C18" s="58">
        <v>72000</v>
      </c>
      <c r="D18" s="58">
        <v>802948</v>
      </c>
      <c r="E18" s="59">
        <v>515190</v>
      </c>
      <c r="F18" s="59">
        <v>227964.83</v>
      </c>
      <c r="G18" s="58">
        <f>+C18+D18+E18+F18</f>
        <v>1618102.83</v>
      </c>
      <c r="H18" s="31"/>
      <c r="I18" s="34"/>
    </row>
    <row r="19" spans="1:12" s="27" customFormat="1" ht="30.75" customHeight="1" thickBot="1" x14ac:dyDescent="0.4">
      <c r="A19" s="107" t="s">
        <v>14</v>
      </c>
      <c r="B19" s="85" t="s">
        <v>15</v>
      </c>
      <c r="C19" s="61">
        <f>+C16-C17-C18</f>
        <v>-9851111.5999999996</v>
      </c>
      <c r="D19" s="61">
        <f>+D16-D17-D18</f>
        <v>-18763504.170000006</v>
      </c>
      <c r="E19" s="62">
        <f>+E16-E17-E18</f>
        <v>1610435.8099999987</v>
      </c>
      <c r="F19" s="62">
        <f>+F16-F17-F18</f>
        <v>-17954965.739999995</v>
      </c>
      <c r="G19" s="61">
        <f>+G16-G17-G18</f>
        <v>-44959145.700000003</v>
      </c>
      <c r="H19" s="26"/>
      <c r="I19" s="34"/>
    </row>
    <row r="20" spans="1:12" s="32" customFormat="1" ht="30.75" customHeight="1" x14ac:dyDescent="0.35">
      <c r="A20" s="105">
        <v>75</v>
      </c>
      <c r="B20" s="84" t="s">
        <v>16</v>
      </c>
      <c r="C20" s="51">
        <v>0.5</v>
      </c>
      <c r="D20" s="51">
        <v>37903.760000000002</v>
      </c>
      <c r="E20" s="52">
        <v>1.2</v>
      </c>
      <c r="F20" s="52"/>
      <c r="G20" s="51">
        <f t="shared" ref="G20:G25" si="0">+C20+D20+E20+F20</f>
        <v>37905.46</v>
      </c>
      <c r="H20" s="31"/>
      <c r="L20" s="35"/>
    </row>
    <row r="21" spans="1:12" s="32" customFormat="1" ht="30.75" customHeight="1" x14ac:dyDescent="0.35">
      <c r="A21" s="109">
        <v>65</v>
      </c>
      <c r="B21" s="81" t="s">
        <v>17</v>
      </c>
      <c r="C21" s="54">
        <v>5231064.41</v>
      </c>
      <c r="D21" s="54">
        <v>102438.28</v>
      </c>
      <c r="E21" s="55">
        <v>4.71</v>
      </c>
      <c r="F21" s="55"/>
      <c r="G21" s="54">
        <f t="shared" si="0"/>
        <v>5333507.4000000004</v>
      </c>
      <c r="H21" s="31"/>
    </row>
    <row r="22" spans="1:12" s="27" customFormat="1" ht="30.75" customHeight="1" x14ac:dyDescent="0.35">
      <c r="A22" s="109"/>
      <c r="B22" s="87" t="s">
        <v>18</v>
      </c>
      <c r="C22" s="70"/>
      <c r="D22" s="70"/>
      <c r="E22" s="71"/>
      <c r="F22" s="71"/>
      <c r="G22" s="70">
        <f t="shared" si="0"/>
        <v>0</v>
      </c>
      <c r="H22" s="26"/>
    </row>
    <row r="23" spans="1:12" s="27" customFormat="1" ht="30.75" customHeight="1" x14ac:dyDescent="0.35">
      <c r="A23" s="109"/>
      <c r="B23" s="87" t="s">
        <v>19</v>
      </c>
      <c r="C23" s="70"/>
      <c r="D23" s="70"/>
      <c r="E23" s="71"/>
      <c r="F23" s="71"/>
      <c r="G23" s="70">
        <f t="shared" si="0"/>
        <v>0</v>
      </c>
      <c r="H23" s="26"/>
    </row>
    <row r="24" spans="1:12" s="32" customFormat="1" ht="30.75" customHeight="1" x14ac:dyDescent="0.35">
      <c r="A24" s="109">
        <v>68</v>
      </c>
      <c r="B24" s="81" t="s">
        <v>20</v>
      </c>
      <c r="C24" s="54">
        <v>1214219.58</v>
      </c>
      <c r="D24" s="54">
        <v>5815304.4699999997</v>
      </c>
      <c r="E24" s="55">
        <v>565308.73</v>
      </c>
      <c r="F24" s="55">
        <v>576832.29</v>
      </c>
      <c r="G24" s="57">
        <f t="shared" si="0"/>
        <v>8171665.0699999994</v>
      </c>
      <c r="H24" s="31"/>
    </row>
    <row r="25" spans="1:12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59">
        <v>854700.85</v>
      </c>
      <c r="G25" s="58">
        <f t="shared" si="0"/>
        <v>854700.85</v>
      </c>
      <c r="H25" s="31"/>
    </row>
    <row r="26" spans="1:12" s="27" customFormat="1" ht="30.75" customHeight="1" thickBot="1" x14ac:dyDescent="0.4">
      <c r="A26" s="107" t="s">
        <v>22</v>
      </c>
      <c r="B26" s="85" t="s">
        <v>23</v>
      </c>
      <c r="C26" s="61">
        <f t="shared" ref="C26:E26" si="1">+C19+C20+C25-(C21+C22+C23+C24)</f>
        <v>-16296395.09</v>
      </c>
      <c r="D26" s="61">
        <f t="shared" si="1"/>
        <v>-24643343.160000004</v>
      </c>
      <c r="E26" s="62">
        <f t="shared" si="1"/>
        <v>1045123.5699999987</v>
      </c>
      <c r="F26" s="62">
        <f>+F19+F20+F25-(F21+F22+F23+F24)</f>
        <v>-17677097.179999992</v>
      </c>
      <c r="G26" s="61">
        <f>+G19+G20+G25-(G21+G22+G23+G24)</f>
        <v>-57571711.859999999</v>
      </c>
      <c r="H26" s="26"/>
    </row>
    <row r="27" spans="1:12" s="32" customFormat="1" ht="30.75" customHeight="1" x14ac:dyDescent="0.35">
      <c r="A27" s="105">
        <v>76</v>
      </c>
      <c r="B27" s="84" t="s">
        <v>24</v>
      </c>
      <c r="C27" s="51"/>
      <c r="D27" s="51">
        <v>209852.56</v>
      </c>
      <c r="E27" s="52"/>
      <c r="F27" s="52"/>
      <c r="G27" s="51">
        <f>+C27+D27+E27+F27</f>
        <v>209852.56</v>
      </c>
      <c r="H27" s="31"/>
    </row>
    <row r="28" spans="1:12" s="32" customFormat="1" ht="30.75" customHeight="1" thickBot="1" x14ac:dyDescent="0.4">
      <c r="A28" s="106">
        <v>66</v>
      </c>
      <c r="B28" s="82" t="s">
        <v>25</v>
      </c>
      <c r="C28" s="73"/>
      <c r="D28" s="58">
        <v>309596.71000000002</v>
      </c>
      <c r="E28" s="59"/>
      <c r="F28" s="59"/>
      <c r="G28" s="58">
        <f>+C28+D28+E28+F28</f>
        <v>309596.71000000002</v>
      </c>
      <c r="H28" s="31"/>
    </row>
    <row r="29" spans="1:12" s="27" customFormat="1" ht="30.75" customHeight="1" thickBot="1" x14ac:dyDescent="0.4">
      <c r="A29" s="107" t="s">
        <v>26</v>
      </c>
      <c r="B29" s="85" t="s">
        <v>27</v>
      </c>
      <c r="C29" s="61">
        <f>+C27-C28</f>
        <v>0</v>
      </c>
      <c r="D29" s="61">
        <f>+D27-D28</f>
        <v>-99744.150000000023</v>
      </c>
      <c r="E29" s="62">
        <f>+E27-E28</f>
        <v>0</v>
      </c>
      <c r="F29" s="62">
        <f>+F27-F28</f>
        <v>0</v>
      </c>
      <c r="G29" s="61">
        <f>+G27-G28</f>
        <v>-99744.150000000023</v>
      </c>
      <c r="H29" s="26"/>
    </row>
    <row r="30" spans="1:12" s="27" customFormat="1" ht="30.75" customHeight="1" thickBot="1" x14ac:dyDescent="0.4">
      <c r="A30" s="107" t="s">
        <v>28</v>
      </c>
      <c r="B30" s="85" t="s">
        <v>29</v>
      </c>
      <c r="C30" s="61">
        <f>+C26+C29</f>
        <v>-16296395.09</v>
      </c>
      <c r="D30" s="61">
        <f>+D26+D29</f>
        <v>-24743087.310000002</v>
      </c>
      <c r="E30" s="62">
        <f>+E26+E29</f>
        <v>1045123.5699999987</v>
      </c>
      <c r="F30" s="62">
        <f>+F26+F29</f>
        <v>-17677097.179999992</v>
      </c>
      <c r="G30" s="61">
        <f>+G26+G29</f>
        <v>-57671456.009999998</v>
      </c>
      <c r="H30" s="26"/>
    </row>
    <row r="31" spans="1:12" s="32" customFormat="1" ht="30.75" customHeight="1" x14ac:dyDescent="0.35">
      <c r="A31" s="105" t="s">
        <v>30</v>
      </c>
      <c r="B31" s="84" t="s">
        <v>31</v>
      </c>
      <c r="C31" s="51"/>
      <c r="D31" s="51"/>
      <c r="E31" s="52"/>
      <c r="F31" s="52"/>
      <c r="G31" s="51">
        <f>+C31+D31+E31+F31</f>
        <v>0</v>
      </c>
      <c r="H31" s="31"/>
    </row>
    <row r="32" spans="1:12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5"/>
      <c r="G32" s="54">
        <f>+C32+D32+E32+F32</f>
        <v>0</v>
      </c>
      <c r="H32" s="31"/>
    </row>
    <row r="33" spans="1:8" s="37" customFormat="1" ht="30.75" customHeight="1" x14ac:dyDescent="0.35">
      <c r="A33" s="110"/>
      <c r="B33" s="88" t="s">
        <v>45</v>
      </c>
      <c r="C33" s="74">
        <f t="shared" ref="C33:E33" si="2">+C12+C20+C27+C25</f>
        <v>2500000.5</v>
      </c>
      <c r="D33" s="74">
        <f t="shared" si="2"/>
        <v>108927579.93000001</v>
      </c>
      <c r="E33" s="75">
        <f t="shared" si="2"/>
        <v>31762443.189999998</v>
      </c>
      <c r="F33" s="75">
        <f>+F12+F20+F27+F25</f>
        <v>9082526.4700000007</v>
      </c>
      <c r="G33" s="74">
        <f t="shared" ref="G33" si="3">+G12+G20+G27+G25</f>
        <v>152272550.09</v>
      </c>
      <c r="H33" s="36"/>
    </row>
    <row r="34" spans="1:8" s="37" customFormat="1" ht="30.75" customHeight="1" thickBot="1" x14ac:dyDescent="0.4">
      <c r="A34" s="111"/>
      <c r="B34" s="89" t="s">
        <v>46</v>
      </c>
      <c r="C34" s="73">
        <f>+C15+C17+C18+C24+C21+C28</f>
        <v>18796395.59</v>
      </c>
      <c r="D34" s="73">
        <f>+D15+D17+D18+D24+D21+D28</f>
        <v>133670667.23999999</v>
      </c>
      <c r="E34" s="77">
        <f>+E15+E17+E18+E24+E21+E28</f>
        <v>30717319.620000001</v>
      </c>
      <c r="F34" s="77">
        <f>+F15+F17+F18+F24+F21+F28</f>
        <v>26759623.649999999</v>
      </c>
      <c r="G34" s="73">
        <f>+G15+G17+G18+G24+G21+G28</f>
        <v>209944006.10000002</v>
      </c>
      <c r="H34" s="36"/>
    </row>
    <row r="35" spans="1:8" s="27" customFormat="1" ht="30.75" customHeight="1" thickBot="1" x14ac:dyDescent="0.4">
      <c r="A35" s="107" t="s">
        <v>34</v>
      </c>
      <c r="B35" s="85" t="s">
        <v>35</v>
      </c>
      <c r="C35" s="61">
        <f>+C30</f>
        <v>-16296395.09</v>
      </c>
      <c r="D35" s="61">
        <f>+D30</f>
        <v>-24743087.310000002</v>
      </c>
      <c r="E35" s="62">
        <f>+E30</f>
        <v>1045123.5699999987</v>
      </c>
      <c r="F35" s="62">
        <f>+F30</f>
        <v>-17677097.179999992</v>
      </c>
      <c r="G35" s="61">
        <f>+G30</f>
        <v>-57671456.009999998</v>
      </c>
      <c r="H35" s="26"/>
    </row>
    <row r="36" spans="1:8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2">
        <v>0</v>
      </c>
      <c r="G36" s="51">
        <f>+C36+D36+E36+F36</f>
        <v>0</v>
      </c>
      <c r="H36" s="31"/>
    </row>
    <row r="37" spans="1:8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59">
        <v>0</v>
      </c>
      <c r="G37" s="58">
        <f>+C37+D37+E37+F37</f>
        <v>0</v>
      </c>
      <c r="H37" s="31"/>
    </row>
    <row r="38" spans="1:8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2"/>
      <c r="G38" s="61"/>
      <c r="H38" s="26"/>
    </row>
    <row r="39" spans="1:8" s="27" customFormat="1" ht="30.6" customHeight="1" x14ac:dyDescent="0.35">
      <c r="A39" s="120" t="s">
        <v>40</v>
      </c>
      <c r="B39" s="121" t="s">
        <v>41</v>
      </c>
      <c r="C39" s="122">
        <f>+C35</f>
        <v>-16296395.09</v>
      </c>
      <c r="D39" s="122">
        <f>+D35</f>
        <v>-24743087.310000002</v>
      </c>
      <c r="E39" s="123">
        <f>+E35</f>
        <v>1045123.5699999987</v>
      </c>
      <c r="F39" s="123">
        <f>+F35</f>
        <v>-17677097.179999992</v>
      </c>
      <c r="G39" s="122">
        <f>+G35</f>
        <v>-57671456.009999998</v>
      </c>
      <c r="H39" s="26"/>
    </row>
    <row r="40" spans="1:8" s="27" customFormat="1" ht="11.4" customHeight="1" x14ac:dyDescent="0.35">
      <c r="A40" s="90"/>
      <c r="B40" s="90"/>
      <c r="C40" s="91"/>
      <c r="D40" s="91"/>
      <c r="E40" s="91"/>
      <c r="F40" s="91"/>
      <c r="G40" s="91"/>
      <c r="H40" s="26"/>
    </row>
    <row r="41" spans="1:8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  <c r="H41" s="26"/>
    </row>
    <row r="42" spans="1:8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1.3560709772844068</v>
      </c>
      <c r="E42" s="95">
        <f>+E12/E7</f>
        <v>0.62748014615607373</v>
      </c>
      <c r="F42" s="95">
        <f>+F12/F7</f>
        <v>0.36092522536788202</v>
      </c>
      <c r="G42" s="95">
        <f>+G12/G7</f>
        <v>0.96867461847167691</v>
      </c>
      <c r="H42" s="38"/>
    </row>
    <row r="43" spans="1:8" s="37" customFormat="1" ht="18" x14ac:dyDescent="0.35">
      <c r="A43" s="92">
        <v>2</v>
      </c>
      <c r="B43" s="93" t="s">
        <v>53</v>
      </c>
      <c r="C43" s="94">
        <f>+C13/C7</f>
        <v>0.14934136000000001</v>
      </c>
      <c r="D43" s="95">
        <f>+D13/D7</f>
        <v>1.109862453327837</v>
      </c>
      <c r="E43" s="95">
        <f>+E13/E7</f>
        <v>0.36424744590666769</v>
      </c>
      <c r="F43" s="95">
        <f>+F13/F7</f>
        <v>0.63206016440448576</v>
      </c>
      <c r="G43" s="95">
        <f>+G13/G7</f>
        <v>0.78283273328941949</v>
      </c>
      <c r="H43" s="36"/>
    </row>
    <row r="44" spans="1:8" s="37" customFormat="1" ht="18" x14ac:dyDescent="0.35">
      <c r="A44" s="92">
        <v>3</v>
      </c>
      <c r="B44" s="93" t="s">
        <v>56</v>
      </c>
      <c r="C44" s="94">
        <f>+C13/C12</f>
        <v>0.14934136000000001</v>
      </c>
      <c r="D44" s="95">
        <f>+D13/D12</f>
        <v>0.81843979549683044</v>
      </c>
      <c r="E44" s="95">
        <f>+E13/E12</f>
        <v>0.5804923839232804</v>
      </c>
      <c r="F44" s="95">
        <f>+F13/F12</f>
        <v>1.7512219151771471</v>
      </c>
      <c r="G44" s="95">
        <f>+G13/G12</f>
        <v>0.80814828670181438</v>
      </c>
      <c r="H44" s="36"/>
    </row>
    <row r="45" spans="1:8" s="37" customFormat="1" ht="18" x14ac:dyDescent="0.35">
      <c r="A45" s="92">
        <v>4</v>
      </c>
      <c r="B45" s="93" t="s">
        <v>57</v>
      </c>
      <c r="C45" s="94">
        <f>+C15/C12</f>
        <v>0.91758022400000006</v>
      </c>
      <c r="D45" s="95">
        <f>+D15/D12</f>
        <v>0.88463620179407099</v>
      </c>
      <c r="E45" s="95">
        <f>+E15/E12</f>
        <v>0.62697072618880212</v>
      </c>
      <c r="F45" s="95">
        <f>+F15/F12</f>
        <v>1.880944099298983</v>
      </c>
      <c r="G45" s="95">
        <f>+G15/G12</f>
        <v>0.88526941553035599</v>
      </c>
      <c r="H45" s="36"/>
    </row>
    <row r="46" spans="1:8" s="37" customFormat="1" ht="18" x14ac:dyDescent="0.35">
      <c r="A46" s="92">
        <v>5</v>
      </c>
      <c r="B46" s="93" t="s">
        <v>58</v>
      </c>
      <c r="C46" s="94">
        <f>+C17/C12</f>
        <v>3.9940644159999996</v>
      </c>
      <c r="D46" s="95">
        <f>+D17/D12</f>
        <v>0.28062498076408132</v>
      </c>
      <c r="E46" s="95">
        <f>+E17/E12</f>
        <v>0.3061066546161994</v>
      </c>
      <c r="F46" s="95">
        <f>+F17/F12</f>
        <v>1.2735742058665553</v>
      </c>
      <c r="G46" s="95">
        <f>+G17/G12</f>
        <v>0.4014344061067241</v>
      </c>
      <c r="H46" s="36"/>
    </row>
    <row r="47" spans="1:8" s="37" customFormat="1" ht="18" x14ac:dyDescent="0.35">
      <c r="A47" s="92">
        <v>6</v>
      </c>
      <c r="B47" s="93" t="s">
        <v>54</v>
      </c>
      <c r="C47" s="94">
        <f>+C16/C17</f>
        <v>2.0635565032409327E-2</v>
      </c>
      <c r="D47" s="95">
        <f>+D16/D17</f>
        <v>0.4110959683340315</v>
      </c>
      <c r="E47" s="95">
        <f>+E16/E17</f>
        <v>1.2186251693185399</v>
      </c>
      <c r="F47" s="95">
        <f>+F16/F17</f>
        <v>-0.69171006702320725</v>
      </c>
      <c r="G47" s="95">
        <f>+G16/G17</f>
        <v>0.28580157237230458</v>
      </c>
      <c r="H47" s="36"/>
    </row>
    <row r="48" spans="1:8" s="37" customFormat="1" ht="18" x14ac:dyDescent="0.35">
      <c r="A48" s="92">
        <v>7</v>
      </c>
      <c r="B48" s="93" t="s">
        <v>55</v>
      </c>
      <c r="C48" s="94">
        <f>+C19/C12</f>
        <v>-3.9404446399999999</v>
      </c>
      <c r="D48" s="95">
        <f>+D19/D12</f>
        <v>-0.17264938004806912</v>
      </c>
      <c r="E48" s="95">
        <f>+E19/E12</f>
        <v>5.07025187328803E-2</v>
      </c>
      <c r="F48" s="95">
        <f>+F19/F12</f>
        <v>-2.1822248755923428</v>
      </c>
      <c r="G48" s="95">
        <f>+G19/G12</f>
        <v>-0.2974076772538975</v>
      </c>
      <c r="H48" s="36"/>
    </row>
    <row r="49" spans="1:6" x14ac:dyDescent="0.55000000000000004">
      <c r="A49" s="90"/>
      <c r="B49" s="90"/>
      <c r="C49" s="96"/>
      <c r="D49" s="96"/>
      <c r="E49" s="96"/>
      <c r="F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T1:U1"/>
    <mergeCell ref="T2:U2"/>
    <mergeCell ref="T3:U3"/>
    <mergeCell ref="A5:G5"/>
  </mergeCells>
  <conditionalFormatting sqref="D1:G4 C42:G1048576 D40:G40 D7:F39">
    <cfRule type="cellIs" dxfId="244" priority="7" operator="lessThan">
      <formula>-0.01</formula>
    </cfRule>
  </conditionalFormatting>
  <conditionalFormatting sqref="C1:C4 C7:C40">
    <cfRule type="cellIs" dxfId="243" priority="6" operator="lessThan">
      <formula>-0.01</formula>
    </cfRule>
  </conditionalFormatting>
  <conditionalFormatting sqref="G7:G39">
    <cfRule type="cellIs" dxfId="242" priority="5" operator="lessThan">
      <formula>-0.01</formula>
    </cfRule>
  </conditionalFormatting>
  <conditionalFormatting sqref="G6">
    <cfRule type="cellIs" dxfId="241" priority="1" operator="lessThan">
      <formula>-0.01</formula>
    </cfRule>
  </conditionalFormatting>
  <conditionalFormatting sqref="D6:F6">
    <cfRule type="cellIs" dxfId="240" priority="3" operator="lessThan">
      <formula>-0.01</formula>
    </cfRule>
  </conditionalFormatting>
  <conditionalFormatting sqref="C6">
    <cfRule type="cellIs" dxfId="239" priority="2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C49"/>
  <sheetViews>
    <sheetView view="pageBreakPreview" zoomScale="90" zoomScaleNormal="50" zoomScaleSheetLayoutView="90" workbookViewId="0">
      <pane xSplit="2" ySplit="6" topLeftCell="C30" activePane="bottomRight" state="frozen"/>
      <selection activeCell="C5" sqref="C5:D5"/>
      <selection pane="topRight" activeCell="C5" sqref="C5:D5"/>
      <selection pane="bottomLeft" activeCell="C5" sqref="C5:D5"/>
      <selection pane="bottomRight" activeCell="C34" sqref="C34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7" width="19.77734375" style="96" customWidth="1"/>
    <col min="8" max="16384" width="11.44140625" style="1"/>
  </cols>
  <sheetData>
    <row r="1" spans="1:29" s="42" customFormat="1" ht="13.8" customHeight="1" x14ac:dyDescent="0.45">
      <c r="A1" s="25"/>
      <c r="B1" s="39"/>
      <c r="C1" s="97"/>
      <c r="D1" s="97"/>
      <c r="E1" s="97"/>
      <c r="F1" s="97"/>
      <c r="G1" s="97"/>
      <c r="H1" s="39"/>
      <c r="I1" s="39"/>
      <c r="J1" s="39"/>
      <c r="K1" s="39"/>
      <c r="L1" s="39"/>
      <c r="P1" s="39"/>
      <c r="Q1" s="39"/>
      <c r="R1" s="278"/>
      <c r="S1" s="278"/>
      <c r="T1" s="39"/>
      <c r="U1" s="39"/>
      <c r="V1" s="39"/>
      <c r="W1" s="39"/>
      <c r="X1" s="39"/>
      <c r="Y1" s="39"/>
      <c r="Z1" s="39"/>
      <c r="AA1" s="39"/>
      <c r="AB1" s="39"/>
      <c r="AC1" s="39"/>
    </row>
    <row r="2" spans="1:29" s="42" customFormat="1" ht="13.8" customHeight="1" x14ac:dyDescent="0.45">
      <c r="A2" s="25"/>
      <c r="B2" s="43"/>
      <c r="C2" s="98"/>
      <c r="D2" s="98"/>
      <c r="E2" s="98"/>
      <c r="F2" s="98"/>
      <c r="G2" s="98"/>
      <c r="H2" s="39"/>
      <c r="I2" s="39"/>
      <c r="J2" s="39"/>
      <c r="K2" s="39"/>
      <c r="L2" s="39"/>
      <c r="P2" s="43"/>
      <c r="Q2" s="45"/>
      <c r="R2" s="279"/>
      <c r="S2" s="27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 spans="1:29" s="42" customFormat="1" ht="13.8" customHeight="1" x14ac:dyDescent="0.4">
      <c r="A3" s="46"/>
      <c r="B3" s="47"/>
      <c r="C3" s="99"/>
      <c r="D3" s="99"/>
      <c r="E3" s="99"/>
      <c r="F3" s="99"/>
      <c r="G3" s="99"/>
      <c r="H3" s="46"/>
      <c r="I3" s="46"/>
      <c r="J3" s="46"/>
      <c r="K3" s="46"/>
      <c r="L3" s="46"/>
      <c r="P3" s="46"/>
      <c r="Q3" s="46"/>
      <c r="R3" s="280"/>
      <c r="S3" s="280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 spans="1:29" s="42" customFormat="1" ht="13.8" customHeight="1" x14ac:dyDescent="0.4">
      <c r="A4" s="46"/>
      <c r="B4" s="46"/>
      <c r="C4" s="100"/>
      <c r="D4" s="100"/>
      <c r="E4" s="100"/>
      <c r="F4" s="100"/>
      <c r="G4" s="100"/>
    </row>
    <row r="5" spans="1:29" ht="26.4" thickBot="1" x14ac:dyDescent="0.55000000000000004">
      <c r="A5" s="281" t="s">
        <v>83</v>
      </c>
      <c r="B5" s="281"/>
      <c r="C5" s="281"/>
      <c r="D5" s="281"/>
      <c r="E5" s="281"/>
      <c r="F5" s="281"/>
      <c r="G5" s="281"/>
    </row>
    <row r="6" spans="1:29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</row>
    <row r="7" spans="1:29" s="29" customFormat="1" ht="30.75" customHeight="1" x14ac:dyDescent="0.35">
      <c r="A7" s="101"/>
      <c r="B7" s="79" t="s">
        <v>2</v>
      </c>
      <c r="C7" s="51">
        <v>4300000</v>
      </c>
      <c r="D7" s="51">
        <v>121146022.3</v>
      </c>
      <c r="E7" s="52">
        <v>53091481.840000004</v>
      </c>
      <c r="F7" s="53">
        <v>29134300.149999999</v>
      </c>
      <c r="G7" s="51">
        <f>+C7+D7+E7+F7</f>
        <v>207671804.28999999</v>
      </c>
    </row>
    <row r="8" spans="1:29" s="29" customFormat="1" ht="30.75" customHeight="1" x14ac:dyDescent="0.35">
      <c r="A8" s="102"/>
      <c r="B8" s="80" t="s">
        <v>42</v>
      </c>
      <c r="C8" s="54">
        <v>0</v>
      </c>
      <c r="D8" s="54">
        <v>0</v>
      </c>
      <c r="E8" s="55">
        <v>0</v>
      </c>
      <c r="F8" s="56">
        <v>0</v>
      </c>
      <c r="G8" s="51">
        <f>+C8+D8+E8+F8</f>
        <v>0</v>
      </c>
      <c r="L8" s="30"/>
    </row>
    <row r="9" spans="1:29" s="27" customFormat="1" ht="30.75" customHeight="1" x14ac:dyDescent="0.35">
      <c r="A9" s="102"/>
      <c r="B9" s="81" t="s">
        <v>3</v>
      </c>
      <c r="C9" s="54">
        <v>0</v>
      </c>
      <c r="D9" s="57">
        <v>3499245.18</v>
      </c>
      <c r="E9" s="183">
        <v>-13688614.58</v>
      </c>
      <c r="F9" s="184">
        <v>-12096847.18</v>
      </c>
      <c r="G9" s="64">
        <f>+C9+D9+E9+F9</f>
        <v>-22286216.579999998</v>
      </c>
    </row>
    <row r="10" spans="1:29" s="27" customFormat="1" ht="30.75" customHeight="1" x14ac:dyDescent="0.35">
      <c r="A10" s="102"/>
      <c r="B10" s="81" t="s">
        <v>4</v>
      </c>
      <c r="C10" s="54">
        <v>0</v>
      </c>
      <c r="D10" s="54">
        <v>0</v>
      </c>
      <c r="E10" s="55">
        <v>0</v>
      </c>
      <c r="F10" s="56">
        <v>0</v>
      </c>
      <c r="G10" s="51">
        <f>+C10+D10+E10+F10</f>
        <v>0</v>
      </c>
    </row>
    <row r="11" spans="1:29" s="27" customFormat="1" ht="30.75" customHeight="1" thickBot="1" x14ac:dyDescent="0.4">
      <c r="A11" s="103"/>
      <c r="B11" s="82" t="s">
        <v>5</v>
      </c>
      <c r="C11" s="58">
        <v>0</v>
      </c>
      <c r="D11" s="58">
        <v>0</v>
      </c>
      <c r="E11" s="59">
        <v>0</v>
      </c>
      <c r="F11" s="60">
        <v>0</v>
      </c>
      <c r="G11" s="112">
        <f>+C11+D11+E11+F11</f>
        <v>0</v>
      </c>
    </row>
    <row r="12" spans="1:29" s="27" customFormat="1" ht="30.75" customHeight="1" thickBot="1" x14ac:dyDescent="0.4">
      <c r="A12" s="104"/>
      <c r="B12" s="83" t="s">
        <v>6</v>
      </c>
      <c r="C12" s="61">
        <f>SUM(C7:C11)</f>
        <v>4300000</v>
      </c>
      <c r="D12" s="61">
        <f>SUM(D7:D11)</f>
        <v>124645267.48</v>
      </c>
      <c r="E12" s="62">
        <f>SUM(E7:E11)</f>
        <v>39402867.260000005</v>
      </c>
      <c r="F12" s="63">
        <f>SUM(F7:F11)</f>
        <v>17037452.969999999</v>
      </c>
      <c r="G12" s="61">
        <f>SUM(G7:G11)</f>
        <v>185385587.70999998</v>
      </c>
    </row>
    <row r="13" spans="1:29" s="32" customFormat="1" ht="30.75" customHeight="1" x14ac:dyDescent="0.35">
      <c r="A13" s="105">
        <v>60</v>
      </c>
      <c r="B13" s="84" t="s">
        <v>7</v>
      </c>
      <c r="C13" s="51">
        <v>344147.48</v>
      </c>
      <c r="D13" s="64">
        <v>92051105.540000007</v>
      </c>
      <c r="E13" s="65">
        <v>22280541.390000001</v>
      </c>
      <c r="F13" s="66">
        <v>17153611.609999999</v>
      </c>
      <c r="G13" s="51">
        <f>+C13+D13+E13+F13</f>
        <v>131829406.02000001</v>
      </c>
    </row>
    <row r="14" spans="1:29" s="32" customFormat="1" ht="30.75" customHeight="1" thickBot="1" x14ac:dyDescent="0.4">
      <c r="A14" s="106" t="s">
        <v>8</v>
      </c>
      <c r="B14" s="82" t="s">
        <v>43</v>
      </c>
      <c r="C14" s="58">
        <v>1636167.19</v>
      </c>
      <c r="D14" s="58">
        <v>7076534.7999999998</v>
      </c>
      <c r="E14" s="59">
        <v>2067702.39</v>
      </c>
      <c r="F14" s="60">
        <v>3021044.07</v>
      </c>
      <c r="G14" s="58">
        <f>+C14+D14+E14+F14</f>
        <v>13801448.450000001</v>
      </c>
    </row>
    <row r="15" spans="1:29" s="27" customFormat="1" ht="30.75" customHeight="1" thickBot="1" x14ac:dyDescent="0.4">
      <c r="A15" s="107" t="s">
        <v>9</v>
      </c>
      <c r="B15" s="85" t="s">
        <v>10</v>
      </c>
      <c r="C15" s="61">
        <f>SUM(C13:C14)</f>
        <v>1980314.67</v>
      </c>
      <c r="D15" s="61">
        <f>SUM(D13:D14)</f>
        <v>99127640.340000004</v>
      </c>
      <c r="E15" s="62">
        <f>SUM(E13:E14)</f>
        <v>24348243.780000001</v>
      </c>
      <c r="F15" s="63">
        <f>SUM(F13:F14)</f>
        <v>20174655.68</v>
      </c>
      <c r="G15" s="61">
        <f>SUM(G13:G14)</f>
        <v>145630854.47</v>
      </c>
    </row>
    <row r="16" spans="1:29" s="27" customFormat="1" ht="30.75" customHeight="1" thickBot="1" x14ac:dyDescent="0.4">
      <c r="A16" s="108" t="s">
        <v>11</v>
      </c>
      <c r="B16" s="86" t="s">
        <v>12</v>
      </c>
      <c r="C16" s="67">
        <f>+C12-C15</f>
        <v>2319685.33</v>
      </c>
      <c r="D16" s="67">
        <f>+D12-D15</f>
        <v>25517627.140000001</v>
      </c>
      <c r="E16" s="68">
        <f>+E12-E15</f>
        <v>15054623.480000004</v>
      </c>
      <c r="F16" s="69">
        <f>+F12-F15</f>
        <v>-3137202.7100000009</v>
      </c>
      <c r="G16" s="67">
        <f>+G12-G15</f>
        <v>39754733.23999998</v>
      </c>
    </row>
    <row r="17" spans="1:10" s="32" customFormat="1" ht="30.75" customHeight="1" x14ac:dyDescent="0.35">
      <c r="A17" s="105">
        <v>63</v>
      </c>
      <c r="B17" s="84" t="s">
        <v>44</v>
      </c>
      <c r="C17" s="64">
        <v>13451512.279999999</v>
      </c>
      <c r="D17" s="64">
        <v>29603671.73</v>
      </c>
      <c r="E17" s="65">
        <v>9790981.7899999991</v>
      </c>
      <c r="F17" s="66">
        <v>9386123.5099999998</v>
      </c>
      <c r="G17" s="51">
        <f>+C17+D17+E17+F17</f>
        <v>62232289.309999995</v>
      </c>
    </row>
    <row r="18" spans="1:10" s="32" customFormat="1" ht="30.75" customHeight="1" thickBot="1" x14ac:dyDescent="0.4">
      <c r="A18" s="106">
        <v>64</v>
      </c>
      <c r="B18" s="82" t="s">
        <v>13</v>
      </c>
      <c r="C18" s="58">
        <v>102044.38</v>
      </c>
      <c r="D18" s="58">
        <v>1211860</v>
      </c>
      <c r="E18" s="59">
        <v>540696.05000000005</v>
      </c>
      <c r="F18" s="60">
        <v>292585.56</v>
      </c>
      <c r="G18" s="58">
        <f>+C18+D18+E18+F18</f>
        <v>2147185.9899999998</v>
      </c>
    </row>
    <row r="19" spans="1:10" s="27" customFormat="1" ht="30.75" customHeight="1" thickBot="1" x14ac:dyDescent="0.4">
      <c r="A19" s="107" t="s">
        <v>14</v>
      </c>
      <c r="B19" s="85" t="s">
        <v>15</v>
      </c>
      <c r="C19" s="61">
        <f>+C16-C17-C18</f>
        <v>-11233871.33</v>
      </c>
      <c r="D19" s="61">
        <f>+D16-D17-D18</f>
        <v>-5297904.59</v>
      </c>
      <c r="E19" s="62">
        <f>+E16-E17-E18</f>
        <v>4722945.6400000053</v>
      </c>
      <c r="F19" s="63">
        <f>+F16-F17-F18</f>
        <v>-12815911.780000001</v>
      </c>
      <c r="G19" s="61">
        <f>+G16-G17-G18</f>
        <v>-24624742.060000014</v>
      </c>
    </row>
    <row r="20" spans="1:10" s="32" customFormat="1" ht="30.75" customHeight="1" x14ac:dyDescent="0.35">
      <c r="A20" s="105">
        <v>75</v>
      </c>
      <c r="B20" s="84" t="s">
        <v>16</v>
      </c>
      <c r="C20" s="51">
        <v>6085238.5499999998</v>
      </c>
      <c r="D20" s="51">
        <v>150891.06</v>
      </c>
      <c r="E20" s="52">
        <v>79090.28</v>
      </c>
      <c r="F20" s="53">
        <v>0</v>
      </c>
      <c r="G20" s="51">
        <f t="shared" ref="G20:G25" si="0">+C20+D20+E20+F20</f>
        <v>6315219.8899999997</v>
      </c>
      <c r="J20" s="35"/>
    </row>
    <row r="21" spans="1:10" s="32" customFormat="1" ht="30.75" customHeight="1" x14ac:dyDescent="0.35">
      <c r="A21" s="109">
        <v>65</v>
      </c>
      <c r="B21" s="81" t="s">
        <v>17</v>
      </c>
      <c r="C21" s="54">
        <v>8202.02</v>
      </c>
      <c r="D21" s="54">
        <v>1.47</v>
      </c>
      <c r="E21" s="55">
        <v>0</v>
      </c>
      <c r="F21" s="56">
        <v>0</v>
      </c>
      <c r="G21" s="54">
        <f t="shared" si="0"/>
        <v>8203.49</v>
      </c>
    </row>
    <row r="22" spans="1:10" s="27" customFormat="1" ht="30.75" customHeight="1" x14ac:dyDescent="0.35">
      <c r="A22" s="109"/>
      <c r="B22" s="87" t="s">
        <v>18</v>
      </c>
      <c r="C22" s="70">
        <v>0</v>
      </c>
      <c r="D22" s="70">
        <v>0</v>
      </c>
      <c r="E22" s="71">
        <v>0</v>
      </c>
      <c r="F22" s="72">
        <v>0</v>
      </c>
      <c r="G22" s="70">
        <f t="shared" si="0"/>
        <v>0</v>
      </c>
    </row>
    <row r="23" spans="1:10" s="27" customFormat="1" ht="30.75" customHeight="1" x14ac:dyDescent="0.35">
      <c r="A23" s="109"/>
      <c r="B23" s="87" t="s">
        <v>19</v>
      </c>
      <c r="C23" s="70">
        <v>0</v>
      </c>
      <c r="D23" s="70">
        <v>0</v>
      </c>
      <c r="E23" s="71">
        <v>0</v>
      </c>
      <c r="F23" s="72">
        <v>0</v>
      </c>
      <c r="G23" s="70">
        <f t="shared" si="0"/>
        <v>0</v>
      </c>
    </row>
    <row r="24" spans="1:10" s="32" customFormat="1" ht="30.75" customHeight="1" x14ac:dyDescent="0.35">
      <c r="A24" s="109">
        <v>68</v>
      </c>
      <c r="B24" s="81" t="s">
        <v>20</v>
      </c>
      <c r="C24" s="54">
        <v>1216304.67</v>
      </c>
      <c r="D24" s="54">
        <v>5815216.2599999998</v>
      </c>
      <c r="E24" s="55">
        <v>563525.84</v>
      </c>
      <c r="F24" s="56">
        <v>577602.29</v>
      </c>
      <c r="G24" s="57">
        <f t="shared" si="0"/>
        <v>8172649.0599999996</v>
      </c>
    </row>
    <row r="25" spans="1:10" s="32" customFormat="1" ht="30.75" customHeight="1" thickBot="1" x14ac:dyDescent="0.4">
      <c r="A25" s="106">
        <v>78</v>
      </c>
      <c r="B25" s="82" t="s">
        <v>21</v>
      </c>
      <c r="C25" s="58">
        <v>0</v>
      </c>
      <c r="D25" s="58">
        <v>0</v>
      </c>
      <c r="E25" s="59">
        <v>0</v>
      </c>
      <c r="F25" s="60">
        <v>0</v>
      </c>
      <c r="G25" s="58">
        <f t="shared" si="0"/>
        <v>0</v>
      </c>
    </row>
    <row r="26" spans="1:10" s="27" customFormat="1" ht="30.75" customHeight="1" thickBot="1" x14ac:dyDescent="0.4">
      <c r="A26" s="107" t="s">
        <v>22</v>
      </c>
      <c r="B26" s="85" t="s">
        <v>23</v>
      </c>
      <c r="C26" s="61">
        <f t="shared" ref="C26:E26" si="1">+C19+C20+C25-(C21+C22+C23+C24)</f>
        <v>-6373139.4700000007</v>
      </c>
      <c r="D26" s="61">
        <f t="shared" si="1"/>
        <v>-10962231.26</v>
      </c>
      <c r="E26" s="62">
        <f t="shared" si="1"/>
        <v>4238510.0800000057</v>
      </c>
      <c r="F26" s="62">
        <f>+F19+F20+F25-(F21+F22+F23+F24)</f>
        <v>-13393514.07</v>
      </c>
      <c r="G26" s="61">
        <f>+G19+G20+G25-(G21+G22+G23+G24)</f>
        <v>-26490374.720000014</v>
      </c>
    </row>
    <row r="27" spans="1:10" s="32" customFormat="1" ht="30.75" customHeight="1" x14ac:dyDescent="0.35">
      <c r="A27" s="105">
        <v>76</v>
      </c>
      <c r="B27" s="84" t="s">
        <v>24</v>
      </c>
      <c r="C27" s="51">
        <v>-10875000</v>
      </c>
      <c r="D27" s="51">
        <v>252327.51</v>
      </c>
      <c r="E27" s="52">
        <v>0</v>
      </c>
      <c r="F27" s="53">
        <v>0</v>
      </c>
      <c r="G27" s="51">
        <f>+C27+D27+E27+F27</f>
        <v>-10622672.49</v>
      </c>
    </row>
    <row r="28" spans="1:10" s="32" customFormat="1" ht="30.75" customHeight="1" thickBot="1" x14ac:dyDescent="0.4">
      <c r="A28" s="106">
        <v>66</v>
      </c>
      <c r="B28" s="82" t="s">
        <v>25</v>
      </c>
      <c r="C28" s="73"/>
      <c r="D28" s="58">
        <v>104340.67</v>
      </c>
      <c r="E28" s="59">
        <v>0</v>
      </c>
      <c r="F28" s="60">
        <v>0</v>
      </c>
      <c r="G28" s="58">
        <f>+C28+D28+E28+F28</f>
        <v>104340.67</v>
      </c>
    </row>
    <row r="29" spans="1:10" s="27" customFormat="1" ht="30.75" customHeight="1" thickBot="1" x14ac:dyDescent="0.4">
      <c r="A29" s="107" t="s">
        <v>26</v>
      </c>
      <c r="B29" s="85" t="s">
        <v>27</v>
      </c>
      <c r="C29" s="61">
        <f>+C27-C28</f>
        <v>-10875000</v>
      </c>
      <c r="D29" s="61">
        <f>+D27-D28</f>
        <v>147986.84000000003</v>
      </c>
      <c r="E29" s="62">
        <f>+E27-E28</f>
        <v>0</v>
      </c>
      <c r="F29" s="63">
        <f>+F27-F28</f>
        <v>0</v>
      </c>
      <c r="G29" s="61">
        <f>+G27-G28</f>
        <v>-10727013.16</v>
      </c>
    </row>
    <row r="30" spans="1:10" s="27" customFormat="1" ht="30.75" customHeight="1" thickBot="1" x14ac:dyDescent="0.4">
      <c r="A30" s="107" t="s">
        <v>28</v>
      </c>
      <c r="B30" s="85" t="s">
        <v>29</v>
      </c>
      <c r="C30" s="61">
        <f>+C26+C29</f>
        <v>-17248139.469999999</v>
      </c>
      <c r="D30" s="61">
        <f>+D26+D29</f>
        <v>-10814244.42</v>
      </c>
      <c r="E30" s="62">
        <f>+E26+E29</f>
        <v>4238510.0800000057</v>
      </c>
      <c r="F30" s="63">
        <f>+F26+F29</f>
        <v>-13393514.07</v>
      </c>
      <c r="G30" s="61">
        <f>+G26+G29</f>
        <v>-37217387.88000001</v>
      </c>
    </row>
    <row r="31" spans="1:10" s="32" customFormat="1" ht="30.75" customHeight="1" x14ac:dyDescent="0.35">
      <c r="A31" s="105" t="s">
        <v>30</v>
      </c>
      <c r="B31" s="84" t="s">
        <v>31</v>
      </c>
      <c r="C31" s="51">
        <v>0</v>
      </c>
      <c r="D31" s="51">
        <v>0</v>
      </c>
      <c r="E31" s="52">
        <v>0</v>
      </c>
      <c r="F31" s="53">
        <v>0</v>
      </c>
      <c r="G31" s="51">
        <f>+C31+D31+E31+F31</f>
        <v>0</v>
      </c>
    </row>
    <row r="32" spans="1:10" s="32" customFormat="1" ht="30.75" customHeight="1" x14ac:dyDescent="0.35">
      <c r="A32" s="109" t="s">
        <v>32</v>
      </c>
      <c r="B32" s="81" t="s">
        <v>33</v>
      </c>
      <c r="C32" s="54">
        <v>0</v>
      </c>
      <c r="D32" s="54">
        <v>0</v>
      </c>
      <c r="E32" s="55">
        <v>0</v>
      </c>
      <c r="F32" s="56">
        <v>0</v>
      </c>
      <c r="G32" s="54">
        <f>+C32+D32+E32+F32</f>
        <v>0</v>
      </c>
    </row>
    <row r="33" spans="1:7" s="37" customFormat="1" ht="30.75" customHeight="1" x14ac:dyDescent="0.35">
      <c r="A33" s="110"/>
      <c r="B33" s="88" t="s">
        <v>45</v>
      </c>
      <c r="C33" s="74">
        <f>+C12+C20+C27+C25</f>
        <v>-489761.44999999925</v>
      </c>
      <c r="D33" s="74">
        <f>+D12+D20+D27+D25</f>
        <v>125048486.05000001</v>
      </c>
      <c r="E33" s="75">
        <f>+E12+E20+E27+E25</f>
        <v>39481957.540000007</v>
      </c>
      <c r="F33" s="76">
        <f>+F12+F20+F27+F25</f>
        <v>17037452.969999999</v>
      </c>
      <c r="G33" s="74">
        <f>+G12+G20+G27+G25</f>
        <v>181078135.10999995</v>
      </c>
    </row>
    <row r="34" spans="1:7" s="37" customFormat="1" ht="30.75" customHeight="1" thickBot="1" x14ac:dyDescent="0.4">
      <c r="A34" s="111"/>
      <c r="B34" s="89" t="s">
        <v>46</v>
      </c>
      <c r="C34" s="73">
        <f>+C15+C17+C18+C24+C21+C28</f>
        <v>16758378.02</v>
      </c>
      <c r="D34" s="73">
        <f>+D15+D17+D18+D24+D21+D28</f>
        <v>135862730.47</v>
      </c>
      <c r="E34" s="77">
        <f>+E15+E17+E18+E24+E21+E28</f>
        <v>35243447.460000001</v>
      </c>
      <c r="F34" s="78">
        <f>+F15+F17+F18+F24+F21+F28</f>
        <v>30430967.039999995</v>
      </c>
      <c r="G34" s="73">
        <f>+G15+G17+G18+G24+G21+G28</f>
        <v>218295522.99000001</v>
      </c>
    </row>
    <row r="35" spans="1:7" s="27" customFormat="1" ht="30.75" customHeight="1" thickBot="1" x14ac:dyDescent="0.4">
      <c r="A35" s="107" t="s">
        <v>34</v>
      </c>
      <c r="B35" s="85" t="s">
        <v>35</v>
      </c>
      <c r="C35" s="61">
        <f>+C30</f>
        <v>-17248139.469999999</v>
      </c>
      <c r="D35" s="61">
        <f>+D30</f>
        <v>-10814244.42</v>
      </c>
      <c r="E35" s="62">
        <f>+E30</f>
        <v>4238510.0800000057</v>
      </c>
      <c r="F35" s="63">
        <f>+F30</f>
        <v>-13393514.07</v>
      </c>
      <c r="G35" s="61">
        <f>+G30</f>
        <v>-37217387.88000001</v>
      </c>
    </row>
    <row r="36" spans="1:7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3">
        <v>0</v>
      </c>
      <c r="G36" s="51">
        <f>+C36+D36+E36+F36</f>
        <v>0</v>
      </c>
    </row>
    <row r="37" spans="1:7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60">
        <v>0</v>
      </c>
      <c r="G37" s="58">
        <f>+C37+D37+E37+F37</f>
        <v>0</v>
      </c>
    </row>
    <row r="38" spans="1:7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3"/>
      <c r="G38" s="61"/>
    </row>
    <row r="39" spans="1:7" s="27" customFormat="1" ht="30.6" customHeight="1" x14ac:dyDescent="0.35">
      <c r="A39" s="120" t="s">
        <v>40</v>
      </c>
      <c r="B39" s="121" t="s">
        <v>41</v>
      </c>
      <c r="C39" s="122">
        <f>+C35</f>
        <v>-17248139.469999999</v>
      </c>
      <c r="D39" s="122">
        <f>+D35</f>
        <v>-10814244.42</v>
      </c>
      <c r="E39" s="123">
        <f>+E35</f>
        <v>4238510.0800000057</v>
      </c>
      <c r="F39" s="124">
        <f>+F35</f>
        <v>-13393514.07</v>
      </c>
      <c r="G39" s="122">
        <f>+G35</f>
        <v>-37217387.88000001</v>
      </c>
    </row>
    <row r="40" spans="1:7" s="27" customFormat="1" ht="11.4" customHeight="1" x14ac:dyDescent="0.35">
      <c r="A40" s="90"/>
      <c r="B40" s="90"/>
      <c r="C40" s="91"/>
      <c r="D40" s="91"/>
      <c r="E40" s="91"/>
      <c r="F40" s="91"/>
      <c r="G40" s="91"/>
    </row>
    <row r="41" spans="1:7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</row>
    <row r="42" spans="1:7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1.0288845239287729</v>
      </c>
      <c r="E42" s="95">
        <f>+E12/E7</f>
        <v>0.74216928769754609</v>
      </c>
      <c r="F42" s="95">
        <f>+F12/F7</f>
        <v>0.58479019170810598</v>
      </c>
      <c r="G42" s="95">
        <f>+G12/G7</f>
        <v>0.89268540013800435</v>
      </c>
    </row>
    <row r="43" spans="1:7" s="37" customFormat="1" ht="18" x14ac:dyDescent="0.35">
      <c r="A43" s="92">
        <v>2</v>
      </c>
      <c r="B43" s="93" t="s">
        <v>53</v>
      </c>
      <c r="C43" s="94">
        <f>+C13/C7</f>
        <v>8.0034297674418595E-2</v>
      </c>
      <c r="D43" s="95">
        <f>+D13/D7</f>
        <v>0.75983597143659587</v>
      </c>
      <c r="E43" s="95">
        <f>+E13/E7</f>
        <v>0.41966320429981802</v>
      </c>
      <c r="F43" s="95">
        <f>+F13/F7</f>
        <v>0.5887771980683737</v>
      </c>
      <c r="G43" s="95">
        <f>+G13/G7</f>
        <v>0.6347968443318811</v>
      </c>
    </row>
    <row r="44" spans="1:7" s="37" customFormat="1" ht="18" x14ac:dyDescent="0.35">
      <c r="A44" s="92">
        <v>3</v>
      </c>
      <c r="B44" s="93" t="s">
        <v>56</v>
      </c>
      <c r="C44" s="94">
        <f>+C13/C12</f>
        <v>8.0034297674418595E-2</v>
      </c>
      <c r="D44" s="95">
        <f>+D13/D12</f>
        <v>0.73850461715098892</v>
      </c>
      <c r="E44" s="95">
        <f>+E13/E12</f>
        <v>0.56545482446700501</v>
      </c>
      <c r="F44" s="95">
        <f>+F13/F12</f>
        <v>1.0068178406833777</v>
      </c>
      <c r="G44" s="95">
        <f>+G13/G12</f>
        <v>0.71110924882802495</v>
      </c>
    </row>
    <row r="45" spans="1:7" s="37" customFormat="1" ht="18" x14ac:dyDescent="0.35">
      <c r="A45" s="92">
        <v>4</v>
      </c>
      <c r="B45" s="93" t="s">
        <v>57</v>
      </c>
      <c r="C45" s="94">
        <f>+C15/C12</f>
        <v>0.46053829534883717</v>
      </c>
      <c r="D45" s="95">
        <f>+D15/D12</f>
        <v>0.7952780105021281</v>
      </c>
      <c r="E45" s="95">
        <f>+E15/E12</f>
        <v>0.61793076172193262</v>
      </c>
      <c r="F45" s="95">
        <f>+F15/F12</f>
        <v>1.1841356636771982</v>
      </c>
      <c r="G45" s="95">
        <f>+G15/G12</f>
        <v>0.78555650559962298</v>
      </c>
    </row>
    <row r="46" spans="1:7" s="37" customFormat="1" ht="18" x14ac:dyDescent="0.35">
      <c r="A46" s="92">
        <v>5</v>
      </c>
      <c r="B46" s="93" t="s">
        <v>58</v>
      </c>
      <c r="C46" s="94">
        <f>+C17/C12</f>
        <v>3.1282586697674417</v>
      </c>
      <c r="D46" s="95">
        <f>+D17/D12</f>
        <v>0.23750337520636366</v>
      </c>
      <c r="E46" s="95">
        <f>+E17/E12</f>
        <v>0.24848399293874121</v>
      </c>
      <c r="F46" s="95">
        <f>+F17/F12</f>
        <v>0.55091119115793519</v>
      </c>
      <c r="G46" s="95">
        <f>+G17/G12</f>
        <v>0.33569108623131166</v>
      </c>
    </row>
    <row r="47" spans="1:7" s="37" customFormat="1" ht="18" x14ac:dyDescent="0.35">
      <c r="A47" s="92">
        <v>6</v>
      </c>
      <c r="B47" s="93" t="s">
        <v>54</v>
      </c>
      <c r="C47" s="94">
        <f>+C16/C17</f>
        <v>0.17244792122362024</v>
      </c>
      <c r="D47" s="95">
        <f>+D16/D17</f>
        <v>0.86197507433311893</v>
      </c>
      <c r="E47" s="95">
        <f>+E16/E17</f>
        <v>1.537601009060809</v>
      </c>
      <c r="F47" s="95">
        <f>+F16/F17</f>
        <v>-0.33423837931150352</v>
      </c>
      <c r="G47" s="95">
        <f>+G16/G17</f>
        <v>0.63881200066364685</v>
      </c>
    </row>
    <row r="48" spans="1:7" s="37" customFormat="1" ht="18" x14ac:dyDescent="0.35">
      <c r="A48" s="92">
        <v>7</v>
      </c>
      <c r="B48" s="93" t="s">
        <v>55</v>
      </c>
      <c r="C48" s="94">
        <f>+C19/C12</f>
        <v>-2.6125282162790699</v>
      </c>
      <c r="D48" s="95">
        <f>+D19/D12</f>
        <v>-4.2503856721636681E-2</v>
      </c>
      <c r="E48" s="95">
        <f>+E19/E12</f>
        <v>0.11986299395005004</v>
      </c>
      <c r="F48" s="95">
        <f>+F19/F12</f>
        <v>-0.75221993584173641</v>
      </c>
      <c r="G48" s="95">
        <f>+G19/G12</f>
        <v>-0.13282986214937417</v>
      </c>
    </row>
    <row r="49" spans="1:2" ht="15.6" x14ac:dyDescent="0.3">
      <c r="A49" s="90"/>
      <c r="B49" s="90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R1:S1"/>
    <mergeCell ref="R2:S2"/>
    <mergeCell ref="R3:S3"/>
    <mergeCell ref="A5:G5"/>
  </mergeCells>
  <conditionalFormatting sqref="D1:G4 C42:G1048576 D40:G40">
    <cfRule type="cellIs" dxfId="227" priority="12" operator="lessThan">
      <formula>-0.01</formula>
    </cfRule>
  </conditionalFormatting>
  <conditionalFormatting sqref="C1:C4 C40">
    <cfRule type="cellIs" dxfId="226" priority="11" operator="lessThan">
      <formula>-0.01</formula>
    </cfRule>
  </conditionalFormatting>
  <conditionalFormatting sqref="G7:G25 G27:G39">
    <cfRule type="cellIs" dxfId="225" priority="10" operator="lessThan">
      <formula>-0.01</formula>
    </cfRule>
  </conditionalFormatting>
  <conditionalFormatting sqref="D7:F25 D27:F39">
    <cfRule type="cellIs" dxfId="224" priority="9" operator="lessThan">
      <formula>-0.01</formula>
    </cfRule>
  </conditionalFormatting>
  <conditionalFormatting sqref="C7:C25 C27:C39">
    <cfRule type="cellIs" dxfId="223" priority="8" operator="lessThan">
      <formula>-0.01</formula>
    </cfRule>
  </conditionalFormatting>
  <conditionalFormatting sqref="G26">
    <cfRule type="cellIs" dxfId="222" priority="4" operator="lessThan">
      <formula>-0.01</formula>
    </cfRule>
  </conditionalFormatting>
  <conditionalFormatting sqref="D26:F26">
    <cfRule type="cellIs" dxfId="221" priority="6" operator="lessThan">
      <formula>-0.01</formula>
    </cfRule>
  </conditionalFormatting>
  <conditionalFormatting sqref="C26">
    <cfRule type="cellIs" dxfId="220" priority="5" operator="lessThan">
      <formula>-0.01</formula>
    </cfRule>
  </conditionalFormatting>
  <conditionalFormatting sqref="D6:F6">
    <cfRule type="cellIs" dxfId="219" priority="3" operator="lessThan">
      <formula>-0.01</formula>
    </cfRule>
  </conditionalFormatting>
  <conditionalFormatting sqref="C6">
    <cfRule type="cellIs" dxfId="218" priority="2" operator="lessThan">
      <formula>-0.01</formula>
    </cfRule>
  </conditionalFormatting>
  <conditionalFormatting sqref="G6">
    <cfRule type="cellIs" dxfId="217" priority="1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D49"/>
  <sheetViews>
    <sheetView view="pageBreakPreview" zoomScale="90" zoomScaleNormal="50" zoomScaleSheetLayoutView="90" workbookViewId="0">
      <pane xSplit="2" ySplit="6" topLeftCell="C7" activePane="bottomRight" state="frozen"/>
      <selection activeCell="C5" sqref="C5:D5"/>
      <selection pane="topRight" activeCell="C5" sqref="C5:D5"/>
      <selection pane="bottomLeft" activeCell="C5" sqref="C5:D5"/>
      <selection pane="bottomRight" activeCell="C34" sqref="C34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16384" width="11.44140625" style="1"/>
  </cols>
  <sheetData>
    <row r="1" spans="1:30" s="42" customFormat="1" ht="13.8" customHeight="1" x14ac:dyDescent="0.45">
      <c r="A1" s="25"/>
      <c r="B1" s="39"/>
      <c r="C1" s="40"/>
      <c r="D1" s="40"/>
      <c r="E1" s="40"/>
      <c r="F1" s="40"/>
      <c r="G1" s="97"/>
      <c r="H1" s="39"/>
      <c r="I1" s="39"/>
      <c r="J1" s="39"/>
      <c r="K1" s="39"/>
      <c r="L1" s="39"/>
      <c r="M1" s="39"/>
      <c r="Q1" s="39"/>
      <c r="R1" s="39"/>
      <c r="S1" s="278"/>
      <c r="T1" s="278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spans="1:30" s="42" customFormat="1" ht="13.8" customHeight="1" x14ac:dyDescent="0.45">
      <c r="A2" s="25"/>
      <c r="B2" s="43"/>
      <c r="C2" s="44"/>
      <c r="D2" s="44"/>
      <c r="E2" s="44"/>
      <c r="F2" s="44"/>
      <c r="G2" s="98"/>
      <c r="H2" s="39"/>
      <c r="I2" s="39"/>
      <c r="J2" s="39"/>
      <c r="K2" s="39"/>
      <c r="L2" s="39"/>
      <c r="M2" s="39"/>
      <c r="Q2" s="43"/>
      <c r="R2" s="45"/>
      <c r="S2" s="279"/>
      <c r="T2" s="27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spans="1:30" s="42" customFormat="1" ht="13.8" customHeight="1" x14ac:dyDescent="0.4">
      <c r="A3" s="46"/>
      <c r="B3" s="47"/>
      <c r="C3" s="48"/>
      <c r="D3" s="48"/>
      <c r="E3" s="48"/>
      <c r="F3" s="48"/>
      <c r="G3" s="99"/>
      <c r="H3" s="46"/>
      <c r="I3" s="46"/>
      <c r="J3" s="46"/>
      <c r="K3" s="46"/>
      <c r="L3" s="46"/>
      <c r="M3" s="46"/>
      <c r="Q3" s="46"/>
      <c r="R3" s="46"/>
      <c r="S3" s="280"/>
      <c r="T3" s="280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s="42" customFormat="1" ht="13.8" customHeight="1" x14ac:dyDescent="0.4">
      <c r="A4" s="46"/>
      <c r="B4" s="46"/>
      <c r="C4" s="50"/>
      <c r="D4" s="50"/>
      <c r="E4" s="50"/>
      <c r="F4" s="50"/>
      <c r="G4" s="100"/>
    </row>
    <row r="5" spans="1:30" ht="26.4" thickBot="1" x14ac:dyDescent="0.55000000000000004">
      <c r="A5" s="281" t="s">
        <v>89</v>
      </c>
      <c r="B5" s="281"/>
      <c r="C5" s="281"/>
      <c r="D5" s="281"/>
      <c r="E5" s="281"/>
      <c r="F5" s="281"/>
      <c r="G5" s="281"/>
    </row>
    <row r="6" spans="1:30" s="27" customFormat="1" ht="52.2" customHeight="1" x14ac:dyDescent="0.35">
      <c r="A6" s="113" t="s">
        <v>0</v>
      </c>
      <c r="B6" s="114" t="s">
        <v>1</v>
      </c>
      <c r="C6" s="115" t="s">
        <v>50</v>
      </c>
      <c r="D6" s="116" t="s">
        <v>47</v>
      </c>
      <c r="E6" s="117" t="s">
        <v>48</v>
      </c>
      <c r="F6" s="118" t="s">
        <v>49</v>
      </c>
      <c r="G6" s="119" t="s">
        <v>92</v>
      </c>
    </row>
    <row r="7" spans="1:30" s="29" customFormat="1" ht="30.75" customHeight="1" x14ac:dyDescent="0.35">
      <c r="A7" s="101"/>
      <c r="B7" s="79" t="s">
        <v>2</v>
      </c>
      <c r="C7" s="51">
        <f>+'07 2020'!C7+'08 2020'!C7+'09 2020'!C7</f>
        <v>9600000</v>
      </c>
      <c r="D7" s="51">
        <f>+'07 2020'!D7+'08 2020'!D7+'09 2020'!D7</f>
        <v>273729781.89999998</v>
      </c>
      <c r="E7" s="52">
        <f>+'07 2020'!E7+'08 2020'!E7+'09 2020'!E7</f>
        <v>138608521.04000002</v>
      </c>
      <c r="F7" s="53">
        <f>+'07 2020'!F7+'08 2020'!F7+'09 2020'!F7</f>
        <v>68493840.949999988</v>
      </c>
      <c r="G7" s="51">
        <f>+C7+D7+E7+F7</f>
        <v>490432143.88999999</v>
      </c>
    </row>
    <row r="8" spans="1:30" s="29" customFormat="1" ht="30.75" customHeight="1" x14ac:dyDescent="0.35">
      <c r="A8" s="102"/>
      <c r="B8" s="80" t="s">
        <v>42</v>
      </c>
      <c r="C8" s="54">
        <f>+'07 2020'!C8+'08 2020'!C8+'09 2020'!C8</f>
        <v>0</v>
      </c>
      <c r="D8" s="54">
        <f>+'07 2020'!D8+'08 2020'!D8+'09 2020'!D8</f>
        <v>0</v>
      </c>
      <c r="E8" s="55">
        <f>+'07 2020'!E8+'08 2020'!E8+'09 2020'!E8</f>
        <v>0</v>
      </c>
      <c r="F8" s="56">
        <f>+'07 2020'!F8+'08 2020'!F8+'09 2020'!F8</f>
        <v>0</v>
      </c>
      <c r="G8" s="51">
        <f>+C8+D8+E8+F8</f>
        <v>0</v>
      </c>
      <c r="M8" s="30"/>
    </row>
    <row r="9" spans="1:30" s="27" customFormat="1" ht="30.75" customHeight="1" x14ac:dyDescent="0.35">
      <c r="A9" s="102"/>
      <c r="B9" s="81" t="s">
        <v>3</v>
      </c>
      <c r="C9" s="54">
        <f>+'07 2020'!C9+'08 2020'!C9+'09 2020'!C9</f>
        <v>0</v>
      </c>
      <c r="D9" s="57">
        <f>+'07 2020'!D9+'08 2020'!D9+'09 2020'!D9</f>
        <v>38022303.719999999</v>
      </c>
      <c r="E9" s="55">
        <f>+'07 2020'!E9+'08 2020'!E9+'09 2020'!E9</f>
        <v>-45764028.130000003</v>
      </c>
      <c r="F9" s="56">
        <f>+'07 2020'!F9+'08 2020'!F9+'09 2020'!F9</f>
        <v>-36977852.730000004</v>
      </c>
      <c r="G9" s="51">
        <f>+C9+D9+E9+F9</f>
        <v>-44719577.140000008</v>
      </c>
    </row>
    <row r="10" spans="1:30" s="27" customFormat="1" ht="30.75" customHeight="1" x14ac:dyDescent="0.35">
      <c r="A10" s="102"/>
      <c r="B10" s="81" t="s">
        <v>4</v>
      </c>
      <c r="C10" s="54">
        <f>+'07 2020'!C10+'08 2020'!C10+'09 2020'!C10</f>
        <v>0</v>
      </c>
      <c r="D10" s="54">
        <f>+'07 2020'!D10+'08 2020'!D10+'09 2020'!D10</f>
        <v>162272</v>
      </c>
      <c r="E10" s="55">
        <f>+'07 2020'!E10+'08 2020'!E10+'09 2020'!E10</f>
        <v>0</v>
      </c>
      <c r="F10" s="56">
        <f>+'07 2020'!F10+'08 2020'!F10+'09 2020'!F10</f>
        <v>0</v>
      </c>
      <c r="G10" s="51">
        <f>+C10+D10+E10+F10</f>
        <v>162272</v>
      </c>
    </row>
    <row r="11" spans="1:30" s="27" customFormat="1" ht="30.75" customHeight="1" thickBot="1" x14ac:dyDescent="0.4">
      <c r="A11" s="103"/>
      <c r="B11" s="82" t="s">
        <v>5</v>
      </c>
      <c r="C11" s="58">
        <f>+'07 2020'!C11+'08 2020'!C11+'09 2020'!C11</f>
        <v>0</v>
      </c>
      <c r="D11" s="58">
        <f>+'07 2020'!D11+'08 2020'!D11+'09 2020'!D11</f>
        <v>0</v>
      </c>
      <c r="E11" s="59">
        <f>+'07 2020'!E11+'08 2020'!E11+'09 2020'!E11</f>
        <v>0</v>
      </c>
      <c r="F11" s="60">
        <f>+'07 2020'!F11+'08 2020'!F11+'09 2020'!F11</f>
        <v>0</v>
      </c>
      <c r="G11" s="112">
        <f>+C11+D11+E11+F11</f>
        <v>0</v>
      </c>
    </row>
    <row r="12" spans="1:30" s="27" customFormat="1" ht="30.75" customHeight="1" thickBot="1" x14ac:dyDescent="0.4">
      <c r="A12" s="104"/>
      <c r="B12" s="83" t="s">
        <v>6</v>
      </c>
      <c r="C12" s="61">
        <f>SUM(C7:C11)</f>
        <v>9600000</v>
      </c>
      <c r="D12" s="61">
        <f>SUM(D7:D11)</f>
        <v>311914357.62</v>
      </c>
      <c r="E12" s="62">
        <f>SUM(E7:E11)</f>
        <v>92844492.910000026</v>
      </c>
      <c r="F12" s="63">
        <f>SUM(F7:F11)</f>
        <v>31515988.219999984</v>
      </c>
      <c r="G12" s="61">
        <f>SUM(G7:G11)</f>
        <v>445874838.75</v>
      </c>
    </row>
    <row r="13" spans="1:30" s="32" customFormat="1" ht="30.75" customHeight="1" x14ac:dyDescent="0.35">
      <c r="A13" s="105">
        <v>60</v>
      </c>
      <c r="B13" s="84" t="s">
        <v>7</v>
      </c>
      <c r="C13" s="51">
        <f>+'07 2020'!C13+'08 2020'!C13+'09 2020'!C13</f>
        <v>1187919.52</v>
      </c>
      <c r="D13" s="64">
        <f>+'07 2020'!D13+'08 2020'!D13+'09 2020'!D13</f>
        <v>239732135.66000003</v>
      </c>
      <c r="E13" s="65">
        <f>+'07 2020'!E13+'08 2020'!E13+'09 2020'!E13</f>
        <v>54262536.130000003</v>
      </c>
      <c r="F13" s="66">
        <f>+'07 2020'!F13+'08 2020'!F13+'09 2020'!F13</f>
        <v>42175887.689999998</v>
      </c>
      <c r="G13" s="51">
        <f>+C13+D13+E13+F13</f>
        <v>337358479.00000006</v>
      </c>
    </row>
    <row r="14" spans="1:30" s="32" customFormat="1" ht="30.75" customHeight="1" thickBot="1" x14ac:dyDescent="0.4">
      <c r="A14" s="106" t="s">
        <v>8</v>
      </c>
      <c r="B14" s="82" t="s">
        <v>43</v>
      </c>
      <c r="C14" s="58">
        <f>+'07 2020'!C14+'08 2020'!C14+'09 2020'!C14</f>
        <v>7851269.0299999993</v>
      </c>
      <c r="D14" s="58">
        <f>+'07 2020'!D14+'08 2020'!D14+'09 2020'!D14</f>
        <v>20831187.609999999</v>
      </c>
      <c r="E14" s="59">
        <f>+'07 2020'!E14+'08 2020'!E14+'09 2020'!E14</f>
        <v>4768711.55</v>
      </c>
      <c r="F14" s="60">
        <f>+'07 2020'!F14+'08 2020'!F14+'09 2020'!F14</f>
        <v>7167958.1400000006</v>
      </c>
      <c r="G14" s="58">
        <f>+C14+D14+E14+F14</f>
        <v>40619126.329999998</v>
      </c>
      <c r="H14" s="34"/>
    </row>
    <row r="15" spans="1:30" s="27" customFormat="1" ht="30.75" customHeight="1" thickBot="1" x14ac:dyDescent="0.4">
      <c r="A15" s="107" t="s">
        <v>9</v>
      </c>
      <c r="B15" s="85" t="s">
        <v>10</v>
      </c>
      <c r="C15" s="61">
        <f>SUM(C13:C14)</f>
        <v>9039188.5499999989</v>
      </c>
      <c r="D15" s="61">
        <f>SUM(D13:D14)</f>
        <v>260563323.27000004</v>
      </c>
      <c r="E15" s="62">
        <f>SUM(E13:E14)</f>
        <v>59031247.68</v>
      </c>
      <c r="F15" s="63">
        <f>SUM(F13:F14)</f>
        <v>49343845.829999998</v>
      </c>
      <c r="G15" s="61">
        <f>SUM(G13:G14)</f>
        <v>377977605.33000004</v>
      </c>
      <c r="H15" s="34"/>
    </row>
    <row r="16" spans="1:30" s="27" customFormat="1" ht="30.75" customHeight="1" thickBot="1" x14ac:dyDescent="0.4">
      <c r="A16" s="108" t="s">
        <v>11</v>
      </c>
      <c r="B16" s="86" t="s">
        <v>12</v>
      </c>
      <c r="C16" s="67">
        <f>+C12-C15</f>
        <v>560811.45000000112</v>
      </c>
      <c r="D16" s="67">
        <f>+D12-D15</f>
        <v>51351034.349999964</v>
      </c>
      <c r="E16" s="68">
        <f>+E12-E15</f>
        <v>33813245.230000027</v>
      </c>
      <c r="F16" s="69">
        <f>+F12-F15</f>
        <v>-17827857.610000014</v>
      </c>
      <c r="G16" s="67">
        <f>+G12-G15</f>
        <v>67897233.419999957</v>
      </c>
      <c r="H16" s="34"/>
    </row>
    <row r="17" spans="1:11" s="32" customFormat="1" ht="30.75" customHeight="1" x14ac:dyDescent="0.35">
      <c r="A17" s="105">
        <v>63</v>
      </c>
      <c r="B17" s="84" t="s">
        <v>44</v>
      </c>
      <c r="C17" s="64">
        <f>+'07 2020'!C17+'08 2020'!C17+'09 2020'!C17</f>
        <v>32222950.810000002</v>
      </c>
      <c r="D17" s="64">
        <f>+'07 2020'!D17+'08 2020'!D17+'09 2020'!D17</f>
        <v>94428987.900000006</v>
      </c>
      <c r="E17" s="65">
        <f>+'07 2020'!E17+'08 2020'!E17+'09 2020'!E17</f>
        <v>30339440.849999998</v>
      </c>
      <c r="F17" s="66">
        <f>+'07 2020'!F17+'08 2020'!F17+'09 2020'!F17</f>
        <v>30842610.5</v>
      </c>
      <c r="G17" s="51">
        <f>+C17+D17+E17+F17</f>
        <v>187833990.06</v>
      </c>
      <c r="H17" s="34"/>
    </row>
    <row r="18" spans="1:11" s="32" customFormat="1" ht="30.75" customHeight="1" thickBot="1" x14ac:dyDescent="0.4">
      <c r="A18" s="106">
        <v>64</v>
      </c>
      <c r="B18" s="82" t="s">
        <v>13</v>
      </c>
      <c r="C18" s="58">
        <f>+'07 2020'!C18+'08 2020'!C18+'09 2020'!C18</f>
        <v>244444.38</v>
      </c>
      <c r="D18" s="58">
        <f>+'07 2020'!D18+'08 2020'!D18+'09 2020'!D18</f>
        <v>2740305</v>
      </c>
      <c r="E18" s="59">
        <f>+'07 2020'!E18+'08 2020'!E18+'09 2020'!E18</f>
        <v>2460240.5099999998</v>
      </c>
      <c r="F18" s="60">
        <f>+'07 2020'!F18+'08 2020'!F18+'09 2020'!F18</f>
        <v>688220.97</v>
      </c>
      <c r="G18" s="58">
        <f>+C18+D18+E18+F18</f>
        <v>6133210.8599999994</v>
      </c>
      <c r="H18" s="34"/>
    </row>
    <row r="19" spans="1:11" s="27" customFormat="1" ht="30.75" customHeight="1" thickBot="1" x14ac:dyDescent="0.4">
      <c r="A19" s="107" t="s">
        <v>14</v>
      </c>
      <c r="B19" s="85" t="s">
        <v>15</v>
      </c>
      <c r="C19" s="61">
        <f>+C16-C17-C18</f>
        <v>-31906583.739999998</v>
      </c>
      <c r="D19" s="61">
        <f>+D16-D17-D18</f>
        <v>-45818258.550000042</v>
      </c>
      <c r="E19" s="62">
        <f>+E16-E17-E18</f>
        <v>1013563.870000029</v>
      </c>
      <c r="F19" s="63">
        <f>+F16-F17-F18</f>
        <v>-49358689.080000013</v>
      </c>
      <c r="G19" s="61">
        <f>+G16-G17-G18</f>
        <v>-126069967.50000004</v>
      </c>
      <c r="H19" s="34"/>
    </row>
    <row r="20" spans="1:11" s="32" customFormat="1" ht="30.75" customHeight="1" x14ac:dyDescent="0.35">
      <c r="A20" s="105">
        <v>75</v>
      </c>
      <c r="B20" s="84" t="s">
        <v>16</v>
      </c>
      <c r="C20" s="51">
        <f>+'07 2020'!C20+'08 2020'!C20+'09 2020'!C20</f>
        <v>6086535.0599999996</v>
      </c>
      <c r="D20" s="51">
        <f>+'07 2020'!D20+'08 2020'!D20+'09 2020'!D20</f>
        <v>199189.91</v>
      </c>
      <c r="E20" s="52">
        <f>+'07 2020'!E20+'08 2020'!E20+'09 2020'!E20</f>
        <v>940739.21</v>
      </c>
      <c r="F20" s="53">
        <f>+'07 2020'!F20+'08 2020'!F20+'09 2020'!F20</f>
        <v>0</v>
      </c>
      <c r="G20" s="51">
        <f t="shared" ref="G20:G25" si="0">+C20+D20+E20+F20</f>
        <v>7226464.1799999997</v>
      </c>
      <c r="K20" s="35"/>
    </row>
    <row r="21" spans="1:11" s="32" customFormat="1" ht="30.75" customHeight="1" x14ac:dyDescent="0.35">
      <c r="A21" s="109">
        <v>65</v>
      </c>
      <c r="B21" s="81" t="s">
        <v>17</v>
      </c>
      <c r="C21" s="54">
        <f>+'07 2020'!C21+'08 2020'!C21+'09 2020'!C21</f>
        <v>5447358.29</v>
      </c>
      <c r="D21" s="54">
        <f>+'07 2020'!D21+'08 2020'!D21+'09 2020'!D21</f>
        <v>263480.49</v>
      </c>
      <c r="E21" s="55">
        <f>+'07 2020'!E21+'08 2020'!E21+'09 2020'!E21</f>
        <v>925659.39</v>
      </c>
      <c r="F21" s="56">
        <f>+'07 2020'!F21+'08 2020'!F21+'09 2020'!F21</f>
        <v>0</v>
      </c>
      <c r="G21" s="54">
        <f t="shared" si="0"/>
        <v>6636498.1699999999</v>
      </c>
    </row>
    <row r="22" spans="1:11" s="27" customFormat="1" ht="30.75" customHeight="1" x14ac:dyDescent="0.35">
      <c r="A22" s="109"/>
      <c r="B22" s="87" t="s">
        <v>18</v>
      </c>
      <c r="C22" s="70">
        <f>+'07 2020'!C22+'08 2020'!C22+'09 2020'!C22</f>
        <v>0</v>
      </c>
      <c r="D22" s="70">
        <f>+'07 2020'!D22+'08 2020'!D22+'09 2020'!D22</f>
        <v>0</v>
      </c>
      <c r="E22" s="71">
        <f>+'07 2020'!E22+'08 2020'!E22+'09 2020'!E22</f>
        <v>0</v>
      </c>
      <c r="F22" s="72">
        <f>+'07 2020'!F22+'08 2020'!F22+'09 2020'!F22</f>
        <v>0</v>
      </c>
      <c r="G22" s="70">
        <f t="shared" si="0"/>
        <v>0</v>
      </c>
    </row>
    <row r="23" spans="1:11" s="27" customFormat="1" ht="30.75" customHeight="1" x14ac:dyDescent="0.35">
      <c r="A23" s="109"/>
      <c r="B23" s="87" t="s">
        <v>19</v>
      </c>
      <c r="C23" s="70">
        <f>+'07 2020'!C23+'08 2020'!C23+'09 2020'!C23</f>
        <v>0</v>
      </c>
      <c r="D23" s="70">
        <f>+'07 2020'!D23+'08 2020'!D23+'09 2020'!D23</f>
        <v>0</v>
      </c>
      <c r="E23" s="71">
        <f>+'07 2020'!E23+'08 2020'!E23+'09 2020'!E23</f>
        <v>0</v>
      </c>
      <c r="F23" s="72">
        <f>+'07 2020'!F23+'08 2020'!F23+'09 2020'!F23</f>
        <v>0</v>
      </c>
      <c r="G23" s="70">
        <f t="shared" si="0"/>
        <v>0</v>
      </c>
    </row>
    <row r="24" spans="1:11" s="32" customFormat="1" ht="30.75" customHeight="1" x14ac:dyDescent="0.35">
      <c r="A24" s="109">
        <v>68</v>
      </c>
      <c r="B24" s="81" t="s">
        <v>20</v>
      </c>
      <c r="C24" s="54">
        <f>+'07 2020'!C24+'08 2020'!C24+'09 2020'!C24</f>
        <v>3644815.26</v>
      </c>
      <c r="D24" s="54">
        <f>+'07 2020'!D24+'08 2020'!D24+'09 2020'!D24</f>
        <v>17432382.030000001</v>
      </c>
      <c r="E24" s="55">
        <f>+'07 2020'!E24+'08 2020'!E24+'09 2020'!E24</f>
        <v>1694148.73</v>
      </c>
      <c r="F24" s="56">
        <f>+'07 2020'!F24+'08 2020'!F24+'09 2020'!F24</f>
        <v>1728430.75</v>
      </c>
      <c r="G24" s="57">
        <f t="shared" si="0"/>
        <v>24499776.77</v>
      </c>
    </row>
    <row r="25" spans="1:11" s="32" customFormat="1" ht="30.75" customHeight="1" thickBot="1" x14ac:dyDescent="0.4">
      <c r="A25" s="106">
        <v>78</v>
      </c>
      <c r="B25" s="82" t="s">
        <v>21</v>
      </c>
      <c r="C25" s="58">
        <f>+'07 2020'!C25+'08 2020'!C25+'09 2020'!C25</f>
        <v>0</v>
      </c>
      <c r="D25" s="58">
        <f>+'07 2020'!D25+'08 2020'!D25+'09 2020'!D25</f>
        <v>0</v>
      </c>
      <c r="E25" s="59">
        <f>+'07 2020'!E25+'08 2020'!E25+'09 2020'!E25</f>
        <v>0</v>
      </c>
      <c r="F25" s="60">
        <f>+'07 2020'!F25+'08 2020'!F25+'09 2020'!F25</f>
        <v>854700.85</v>
      </c>
      <c r="G25" s="58">
        <f t="shared" si="0"/>
        <v>854700.85</v>
      </c>
    </row>
    <row r="26" spans="1:11" s="27" customFormat="1" ht="30.75" customHeight="1" thickBot="1" x14ac:dyDescent="0.4">
      <c r="A26" s="107" t="s">
        <v>22</v>
      </c>
      <c r="B26" s="85" t="s">
        <v>23</v>
      </c>
      <c r="C26" s="61">
        <f t="shared" ref="C26:E26" si="1">+C19+C20+C25-(C21+C22+C23+C24)</f>
        <v>-34912222.230000004</v>
      </c>
      <c r="D26" s="61">
        <f t="shared" si="1"/>
        <v>-63314931.160000041</v>
      </c>
      <c r="E26" s="62">
        <f t="shared" si="1"/>
        <v>-665505.03999997117</v>
      </c>
      <c r="F26" s="62">
        <f>+F19+F20+F25-(F21+F22+F23+F24)</f>
        <v>-50232418.980000012</v>
      </c>
      <c r="G26" s="61">
        <f>+G19+G20+G25-(G21+G22+G23+G24)</f>
        <v>-149125077.41000006</v>
      </c>
    </row>
    <row r="27" spans="1:11" s="32" customFormat="1" ht="30.75" customHeight="1" x14ac:dyDescent="0.35">
      <c r="A27" s="105">
        <v>76</v>
      </c>
      <c r="B27" s="84" t="s">
        <v>24</v>
      </c>
      <c r="C27" s="51">
        <f>+'07 2020'!C27+'08 2020'!C27+'09 2020'!C27</f>
        <v>-10875000</v>
      </c>
      <c r="D27" s="51">
        <f>+'07 2020'!D27+'08 2020'!D27+'09 2020'!D27</f>
        <v>741731.8</v>
      </c>
      <c r="E27" s="52">
        <f>+'07 2020'!E27+'08 2020'!E27+'09 2020'!E27</f>
        <v>0</v>
      </c>
      <c r="F27" s="53">
        <f>+'07 2020'!F27+'08 2020'!F27+'09 2020'!F27</f>
        <v>0</v>
      </c>
      <c r="G27" s="51">
        <f>+C27+D27+E27+F27</f>
        <v>-10133268.199999999</v>
      </c>
    </row>
    <row r="28" spans="1:11" s="32" customFormat="1" ht="30.75" customHeight="1" thickBot="1" x14ac:dyDescent="0.4">
      <c r="A28" s="106">
        <v>66</v>
      </c>
      <c r="B28" s="82" t="s">
        <v>25</v>
      </c>
      <c r="C28" s="73">
        <f>+'07 2020'!C28+'08 2020'!C28+'09 2020'!C28</f>
        <v>0</v>
      </c>
      <c r="D28" s="58">
        <f>+'07 2020'!D28+'08 2020'!D28+'09 2020'!D28</f>
        <v>632338.55000000005</v>
      </c>
      <c r="E28" s="59">
        <f>+'07 2020'!E28+'08 2020'!E28+'09 2020'!E28</f>
        <v>0</v>
      </c>
      <c r="F28" s="60">
        <f>+'07 2020'!F28+'08 2020'!F28+'09 2020'!F28</f>
        <v>0</v>
      </c>
      <c r="G28" s="58">
        <f>+C28+D28+E28+F28</f>
        <v>632338.55000000005</v>
      </c>
    </row>
    <row r="29" spans="1:11" s="27" customFormat="1" ht="30.75" customHeight="1" thickBot="1" x14ac:dyDescent="0.4">
      <c r="A29" s="107" t="s">
        <v>26</v>
      </c>
      <c r="B29" s="85" t="s">
        <v>27</v>
      </c>
      <c r="C29" s="61">
        <f>+C27-C28</f>
        <v>-10875000</v>
      </c>
      <c r="D29" s="61">
        <f>+D27-D28</f>
        <v>109393.25</v>
      </c>
      <c r="E29" s="62">
        <f>+E27-E28</f>
        <v>0</v>
      </c>
      <c r="F29" s="63">
        <f>+F27-F28</f>
        <v>0</v>
      </c>
      <c r="G29" s="61">
        <f>+G27-G28</f>
        <v>-10765606.75</v>
      </c>
    </row>
    <row r="30" spans="1:11" s="27" customFormat="1" ht="30.75" customHeight="1" thickBot="1" x14ac:dyDescent="0.4">
      <c r="A30" s="107" t="s">
        <v>28</v>
      </c>
      <c r="B30" s="85" t="s">
        <v>29</v>
      </c>
      <c r="C30" s="61">
        <f>+C26+C29</f>
        <v>-45787222.230000004</v>
      </c>
      <c r="D30" s="61">
        <f>+D26+D29</f>
        <v>-63205537.910000041</v>
      </c>
      <c r="E30" s="62">
        <f>+E26+E29</f>
        <v>-665505.03999997117</v>
      </c>
      <c r="F30" s="63">
        <f>+F26+F29</f>
        <v>-50232418.980000012</v>
      </c>
      <c r="G30" s="61">
        <f>+G26+G29</f>
        <v>-159890684.16000006</v>
      </c>
    </row>
    <row r="31" spans="1:11" s="32" customFormat="1" ht="30.75" customHeight="1" x14ac:dyDescent="0.35">
      <c r="A31" s="105" t="s">
        <v>30</v>
      </c>
      <c r="B31" s="84" t="s">
        <v>31</v>
      </c>
      <c r="C31" s="51">
        <f>+'07 2020'!C31+'08 2020'!C31+'09 2020'!C31</f>
        <v>0</v>
      </c>
      <c r="D31" s="51">
        <f>+'07 2020'!D31+'08 2020'!D31+'09 2020'!D31</f>
        <v>0</v>
      </c>
      <c r="E31" s="52">
        <f>+'07 2020'!E31+'08 2020'!E31+'09 2020'!E31</f>
        <v>0</v>
      </c>
      <c r="F31" s="53">
        <f>+'07 2020'!F31+'08 2020'!F31+'09 2020'!F31</f>
        <v>0</v>
      </c>
      <c r="G31" s="51">
        <f>+C31+D31+E31+F31</f>
        <v>0</v>
      </c>
    </row>
    <row r="32" spans="1:11" s="32" customFormat="1" ht="30.75" customHeight="1" x14ac:dyDescent="0.35">
      <c r="A32" s="109" t="s">
        <v>32</v>
      </c>
      <c r="B32" s="81" t="s">
        <v>33</v>
      </c>
      <c r="C32" s="54">
        <f>+'07 2020'!C32+'08 2020'!C32+'09 2020'!C32</f>
        <v>0</v>
      </c>
      <c r="D32" s="54">
        <f>+'07 2020'!D32+'08 2020'!D32+'09 2020'!D32</f>
        <v>0</v>
      </c>
      <c r="E32" s="55">
        <f>+'07 2020'!E32+'08 2020'!E32+'09 2020'!E32</f>
        <v>0</v>
      </c>
      <c r="F32" s="56">
        <f>+'07 2020'!F32+'08 2020'!F32+'09 2020'!F32</f>
        <v>0</v>
      </c>
      <c r="G32" s="54">
        <f>+C32+D32+E32+F32</f>
        <v>0</v>
      </c>
    </row>
    <row r="33" spans="1:7" s="37" customFormat="1" ht="30.75" customHeight="1" x14ac:dyDescent="0.35">
      <c r="A33" s="110"/>
      <c r="B33" s="88" t="s">
        <v>45</v>
      </c>
      <c r="C33" s="74">
        <f>+C12+C20+C27+C25</f>
        <v>4811535.0599999987</v>
      </c>
      <c r="D33" s="74">
        <f>+D12+D20+D27+D25</f>
        <v>312855279.33000004</v>
      </c>
      <c r="E33" s="75">
        <f>+E12+E20+E27+E25</f>
        <v>93785232.12000002</v>
      </c>
      <c r="F33" s="76">
        <f>+F12+F20+F27+F25</f>
        <v>32370689.069999985</v>
      </c>
      <c r="G33" s="74">
        <f>+G12+G20+G27+G25</f>
        <v>443822735.58000004</v>
      </c>
    </row>
    <row r="34" spans="1:7" s="37" customFormat="1" ht="30.75" customHeight="1" thickBot="1" x14ac:dyDescent="0.4">
      <c r="A34" s="111"/>
      <c r="B34" s="89" t="s">
        <v>46</v>
      </c>
      <c r="C34" s="73">
        <f>+C15+C17+C18+C24+C21+C28+C31</f>
        <v>50598757.289999999</v>
      </c>
      <c r="D34" s="73">
        <f t="shared" ref="D34:G34" si="2">(D15+D17+D18+D24+D21+D28)-D32</f>
        <v>376060817.24000007</v>
      </c>
      <c r="E34" s="77">
        <f t="shared" si="2"/>
        <v>94450737.160000011</v>
      </c>
      <c r="F34" s="78">
        <f t="shared" si="2"/>
        <v>82603108.049999997</v>
      </c>
      <c r="G34" s="73">
        <f t="shared" si="2"/>
        <v>603713419.74000001</v>
      </c>
    </row>
    <row r="35" spans="1:7" s="27" customFormat="1" ht="30.75" customHeight="1" thickBot="1" x14ac:dyDescent="0.4">
      <c r="A35" s="107" t="s">
        <v>34</v>
      </c>
      <c r="B35" s="85" t="s">
        <v>35</v>
      </c>
      <c r="C35" s="61">
        <f>+C30-C31</f>
        <v>-45787222.230000004</v>
      </c>
      <c r="D35" s="61">
        <f>+D30</f>
        <v>-63205537.910000041</v>
      </c>
      <c r="E35" s="62">
        <f>+E30</f>
        <v>-665505.03999997117</v>
      </c>
      <c r="F35" s="63">
        <f>+F30</f>
        <v>-50232418.980000012</v>
      </c>
      <c r="G35" s="61">
        <f>+G30</f>
        <v>-159890684.16000006</v>
      </c>
    </row>
    <row r="36" spans="1:7" s="32" customFormat="1" ht="30.75" customHeight="1" x14ac:dyDescent="0.35">
      <c r="A36" s="105">
        <v>77</v>
      </c>
      <c r="B36" s="84" t="s">
        <v>36</v>
      </c>
      <c r="C36" s="51">
        <f>+'07 2020'!C36+'08 2020'!C36+'09 2020'!C36</f>
        <v>0</v>
      </c>
      <c r="D36" s="51">
        <f>+'07 2020'!D36+'08 2020'!D36+'09 2020'!D36</f>
        <v>0</v>
      </c>
      <c r="E36" s="52">
        <f>+'07 2020'!E36+'08 2020'!E36+'09 2020'!E36</f>
        <v>0</v>
      </c>
      <c r="F36" s="53">
        <f>+'07 2020'!F36+'08 2020'!F36+'09 2020'!F36</f>
        <v>0</v>
      </c>
      <c r="G36" s="51">
        <f>+C36+D36+E36+F36</f>
        <v>0</v>
      </c>
    </row>
    <row r="37" spans="1:7" s="32" customFormat="1" ht="30.75" customHeight="1" thickBot="1" x14ac:dyDescent="0.4">
      <c r="A37" s="106">
        <v>67</v>
      </c>
      <c r="B37" s="82" t="s">
        <v>37</v>
      </c>
      <c r="C37" s="58">
        <f>+'07 2020'!C37+'08 2020'!C37+'09 2020'!C37</f>
        <v>0</v>
      </c>
      <c r="D37" s="58">
        <f>+'07 2020'!D37+'08 2020'!D37+'09 2020'!D37</f>
        <v>0</v>
      </c>
      <c r="E37" s="59">
        <f>+'07 2020'!E37+'08 2020'!E37+'09 2020'!E37</f>
        <v>0</v>
      </c>
      <c r="F37" s="60">
        <f>+'07 2020'!F37+'08 2020'!F37+'09 2020'!F37</f>
        <v>0</v>
      </c>
      <c r="G37" s="58">
        <f>+C37+D37+E37+F37</f>
        <v>0</v>
      </c>
    </row>
    <row r="38" spans="1:7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3"/>
      <c r="G38" s="61"/>
    </row>
    <row r="39" spans="1:7" s="27" customFormat="1" ht="30.6" customHeight="1" x14ac:dyDescent="0.35">
      <c r="A39" s="120" t="s">
        <v>40</v>
      </c>
      <c r="B39" s="121" t="s">
        <v>41</v>
      </c>
      <c r="C39" s="122">
        <f>+C35</f>
        <v>-45787222.230000004</v>
      </c>
      <c r="D39" s="122">
        <f>+D35</f>
        <v>-63205537.910000041</v>
      </c>
      <c r="E39" s="123">
        <f>+E35</f>
        <v>-665505.03999997117</v>
      </c>
      <c r="F39" s="124">
        <f>+F35</f>
        <v>-50232418.980000012</v>
      </c>
      <c r="G39" s="122">
        <f>+G35</f>
        <v>-159890684.16000006</v>
      </c>
    </row>
    <row r="40" spans="1:7" s="27" customFormat="1" ht="11.4" customHeight="1" x14ac:dyDescent="0.35">
      <c r="A40" s="90"/>
      <c r="B40" s="90"/>
      <c r="C40" s="91"/>
      <c r="D40" s="91"/>
      <c r="E40" s="91"/>
      <c r="F40" s="91"/>
      <c r="G40" s="91"/>
    </row>
    <row r="41" spans="1:7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</row>
    <row r="42" spans="1:7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1.1394973373191442</v>
      </c>
      <c r="E42" s="95">
        <f>+E12/E7</f>
        <v>0.66983250534219829</v>
      </c>
      <c r="F42" s="95">
        <f>+F12/F7</f>
        <v>0.46012879089386194</v>
      </c>
      <c r="G42" s="95">
        <f>+G12/G7</f>
        <v>0.90914684998707218</v>
      </c>
    </row>
    <row r="43" spans="1:7" s="37" customFormat="1" ht="18" x14ac:dyDescent="0.35">
      <c r="A43" s="92">
        <v>2</v>
      </c>
      <c r="B43" s="93" t="s">
        <v>53</v>
      </c>
      <c r="C43" s="94">
        <f>+C13/C7</f>
        <v>0.12374161666666667</v>
      </c>
      <c r="D43" s="95">
        <f>+D13/D7</f>
        <v>0.87579851193386005</v>
      </c>
      <c r="E43" s="95">
        <f>+E13/E7</f>
        <v>0.39148052170862407</v>
      </c>
      <c r="F43" s="95">
        <f>+F13/F7</f>
        <v>0.61576175470708516</v>
      </c>
      <c r="G43" s="95">
        <f>+G13/G7</f>
        <v>0.68788003234075712</v>
      </c>
    </row>
    <row r="44" spans="1:7" s="37" customFormat="1" ht="18" x14ac:dyDescent="0.35">
      <c r="A44" s="92">
        <v>3</v>
      </c>
      <c r="B44" s="93" t="s">
        <v>56</v>
      </c>
      <c r="C44" s="94">
        <f>+C13/C12</f>
        <v>0.12374161666666667</v>
      </c>
      <c r="D44" s="95">
        <f>+D13/D12</f>
        <v>0.76858320177765471</v>
      </c>
      <c r="E44" s="95">
        <f>+E13/E12</f>
        <v>0.58444539282044516</v>
      </c>
      <c r="F44" s="95">
        <f>+F13/F12</f>
        <v>1.338237830132049</v>
      </c>
      <c r="G44" s="95">
        <f>+G13/G12</f>
        <v>0.75662147688301251</v>
      </c>
    </row>
    <row r="45" spans="1:7" s="37" customFormat="1" ht="18" x14ac:dyDescent="0.35">
      <c r="A45" s="92">
        <v>4</v>
      </c>
      <c r="B45" s="93" t="s">
        <v>57</v>
      </c>
      <c r="C45" s="94">
        <f>+C15/C12</f>
        <v>0.9415821406249999</v>
      </c>
      <c r="D45" s="95">
        <f>+D15/D12</f>
        <v>0.83536816085728227</v>
      </c>
      <c r="E45" s="95">
        <f>+E15/E12</f>
        <v>0.63580774507781179</v>
      </c>
      <c r="F45" s="95">
        <f>+F15/F12</f>
        <v>1.5656766173902328</v>
      </c>
      <c r="G45" s="95">
        <f>+G15/G12</f>
        <v>0.84772131656868477</v>
      </c>
    </row>
    <row r="46" spans="1:7" s="37" customFormat="1" ht="18" x14ac:dyDescent="0.35">
      <c r="A46" s="92">
        <v>5</v>
      </c>
      <c r="B46" s="93" t="s">
        <v>58</v>
      </c>
      <c r="C46" s="94">
        <f>+C17/C12</f>
        <v>3.3565573760416667</v>
      </c>
      <c r="D46" s="95">
        <f>+D17/D12</f>
        <v>0.30274011308912319</v>
      </c>
      <c r="E46" s="95">
        <f>+E17/E12</f>
        <v>0.32677695681325886</v>
      </c>
      <c r="F46" s="95">
        <f>+F17/F12</f>
        <v>0.97863377421963049</v>
      </c>
      <c r="G46" s="95">
        <f>+G17/G12</f>
        <v>0.42127066552261244</v>
      </c>
    </row>
    <row r="47" spans="1:7" s="37" customFormat="1" ht="18" x14ac:dyDescent="0.35">
      <c r="A47" s="92">
        <v>6</v>
      </c>
      <c r="B47" s="93" t="s">
        <v>54</v>
      </c>
      <c r="C47" s="94">
        <f>+C16/C17</f>
        <v>1.7404099745761337E-2</v>
      </c>
      <c r="D47" s="95">
        <f>+D16/D17</f>
        <v>0.54380583221309697</v>
      </c>
      <c r="E47" s="95">
        <f>+E16/E17</f>
        <v>1.1144979697277457</v>
      </c>
      <c r="F47" s="95">
        <f>+F16/F17</f>
        <v>-0.57802687000181174</v>
      </c>
      <c r="G47" s="95">
        <f>+G16/G17</f>
        <v>0.36147469048765601</v>
      </c>
    </row>
    <row r="48" spans="1:7" s="37" customFormat="1" ht="18" x14ac:dyDescent="0.35">
      <c r="A48" s="92">
        <v>7</v>
      </c>
      <c r="B48" s="93" t="s">
        <v>55</v>
      </c>
      <c r="C48" s="94">
        <f>+C19/C12</f>
        <v>-3.3236024729166664</v>
      </c>
      <c r="D48" s="95">
        <f>+D19/D12</f>
        <v>-0.14689371435033347</v>
      </c>
      <c r="E48" s="95">
        <f>+E19/E12</f>
        <v>1.09167904119261E-2</v>
      </c>
      <c r="F48" s="95">
        <f>+F19/F12</f>
        <v>-1.5661475926265604</v>
      </c>
      <c r="G48" s="95">
        <f>+G19/G12</f>
        <v>-0.28274743614919906</v>
      </c>
    </row>
    <row r="49" spans="1:6" ht="15.6" x14ac:dyDescent="0.3">
      <c r="A49" s="90"/>
      <c r="B49" s="90"/>
      <c r="C49" s="96"/>
      <c r="D49" s="96"/>
      <c r="E49" s="96"/>
      <c r="F49" s="96"/>
    </row>
  </sheetData>
  <sheetProtection selectLockedCells="1" selectUnlockedCells="1"/>
  <mergeCells count="5">
    <mergeCell ref="A41:G41"/>
    <mergeCell ref="S1:T1"/>
    <mergeCell ref="S2:T2"/>
    <mergeCell ref="S3:T3"/>
    <mergeCell ref="A5:G5"/>
  </mergeCells>
  <conditionalFormatting sqref="D1:G4 C42:G1048576 D40:G40 D6:F25 D27:F39">
    <cfRule type="cellIs" dxfId="205" priority="7" operator="lessThan">
      <formula>-0.01</formula>
    </cfRule>
  </conditionalFormatting>
  <conditionalFormatting sqref="C1:C4 C6:C25 C27:C40">
    <cfRule type="cellIs" dxfId="204" priority="6" operator="lessThan">
      <formula>-0.01</formula>
    </cfRule>
  </conditionalFormatting>
  <conditionalFormatting sqref="G7:G25 G27:G39">
    <cfRule type="cellIs" dxfId="203" priority="5" operator="lessThan">
      <formula>-0.01</formula>
    </cfRule>
  </conditionalFormatting>
  <conditionalFormatting sqref="G6">
    <cfRule type="cellIs" dxfId="202" priority="4" operator="lessThan">
      <formula>-0.01</formula>
    </cfRule>
  </conditionalFormatting>
  <conditionalFormatting sqref="D26:F26">
    <cfRule type="cellIs" dxfId="201" priority="3" operator="lessThan">
      <formula>-0.01</formula>
    </cfRule>
  </conditionalFormatting>
  <conditionalFormatting sqref="C26">
    <cfRule type="cellIs" dxfId="200" priority="2" operator="lessThan">
      <formula>-0.01</formula>
    </cfRule>
  </conditionalFormatting>
  <conditionalFormatting sqref="G26">
    <cfRule type="cellIs" dxfId="199" priority="1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legacyDrawing r:id="rId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90" zoomScaleNormal="50" zoomScaleSheetLayoutView="90" workbookViewId="0">
      <pane xSplit="2" ySplit="6" topLeftCell="C7" activePane="bottomRight" state="frozen"/>
      <selection activeCell="C5" sqref="C5:D5"/>
      <selection pane="topRight" activeCell="C5" sqref="C5:D5"/>
      <selection pane="bottomLeft" activeCell="C5" sqref="C5:D5"/>
      <selection pane="bottomRight" activeCell="C19" sqref="C19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8" width="11.44140625" style="1"/>
    <col min="9" max="9" width="18.109375" style="186" bestFit="1" customWidth="1"/>
    <col min="10" max="10" width="22.44140625" style="193" bestFit="1" customWidth="1"/>
    <col min="11" max="16384" width="11.44140625" style="1"/>
  </cols>
  <sheetData>
    <row r="1" spans="1:31" s="42" customFormat="1" ht="13.8" customHeight="1" x14ac:dyDescent="0.45">
      <c r="A1" s="25"/>
      <c r="B1" s="39"/>
      <c r="C1" s="40"/>
      <c r="D1" s="40"/>
      <c r="E1" s="40"/>
      <c r="F1" s="40"/>
      <c r="G1" s="40"/>
      <c r="H1" s="41"/>
      <c r="I1" s="39"/>
      <c r="J1" s="39"/>
      <c r="K1" s="39"/>
      <c r="L1" s="39"/>
      <c r="M1" s="39"/>
      <c r="N1" s="39"/>
      <c r="R1" s="39"/>
      <c r="S1" s="39"/>
      <c r="T1" s="278"/>
      <c r="U1" s="278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44"/>
      <c r="D2" s="44"/>
      <c r="E2" s="44"/>
      <c r="F2" s="44"/>
      <c r="G2" s="44"/>
      <c r="H2" s="41"/>
      <c r="I2" s="39"/>
      <c r="J2" s="39"/>
      <c r="K2" s="39"/>
      <c r="L2" s="39"/>
      <c r="M2" s="39"/>
      <c r="N2" s="39"/>
      <c r="R2" s="43"/>
      <c r="S2" s="4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4">
      <c r="A3" s="46"/>
      <c r="B3" s="47"/>
      <c r="C3" s="48"/>
      <c r="D3" s="48"/>
      <c r="E3" s="48"/>
      <c r="F3" s="48"/>
      <c r="G3" s="99"/>
      <c r="H3" s="46"/>
      <c r="I3" s="185"/>
      <c r="J3" s="191"/>
      <c r="K3" s="46"/>
      <c r="L3" s="46"/>
      <c r="M3" s="46"/>
      <c r="Q3" s="46"/>
      <c r="R3" s="46"/>
      <c r="S3" s="280"/>
      <c r="T3" s="280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1" s="42" customFormat="1" ht="13.8" customHeight="1" x14ac:dyDescent="0.55000000000000004">
      <c r="A4" s="46"/>
      <c r="B4" s="46"/>
      <c r="C4" s="50"/>
      <c r="D4" s="50"/>
      <c r="E4" s="50"/>
      <c r="F4" s="50"/>
      <c r="G4" s="50"/>
      <c r="H4" s="5"/>
    </row>
    <row r="5" spans="1:31" ht="29.4" thickBot="1" x14ac:dyDescent="0.6">
      <c r="A5" s="281" t="s">
        <v>84</v>
      </c>
      <c r="B5" s="281"/>
      <c r="C5" s="281"/>
      <c r="D5" s="281"/>
      <c r="E5" s="281"/>
      <c r="F5" s="281"/>
      <c r="G5" s="281"/>
      <c r="H5" s="4"/>
      <c r="I5" s="1"/>
      <c r="J5" s="1"/>
    </row>
    <row r="6" spans="1:31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  <c r="I6" s="187"/>
      <c r="J6" s="193"/>
    </row>
    <row r="7" spans="1:31" s="29" customFormat="1" ht="30.75" customHeight="1" x14ac:dyDescent="0.35">
      <c r="A7" s="101"/>
      <c r="B7" s="79" t="s">
        <v>2</v>
      </c>
      <c r="C7" s="51">
        <v>2500000</v>
      </c>
      <c r="D7" s="51">
        <v>97806413.980000004</v>
      </c>
      <c r="E7" s="52">
        <v>60938075.200000003</v>
      </c>
      <c r="F7" s="53">
        <v>56564470.960000001</v>
      </c>
      <c r="G7" s="51">
        <f>+C7+D7+E7+F7</f>
        <v>217808960.14000002</v>
      </c>
      <c r="I7" s="188"/>
      <c r="J7" s="194"/>
    </row>
    <row r="8" spans="1:31" s="29" customFormat="1" ht="30.75" customHeight="1" x14ac:dyDescent="0.35">
      <c r="A8" s="102"/>
      <c r="B8" s="80" t="s">
        <v>42</v>
      </c>
      <c r="C8" s="54"/>
      <c r="D8" s="54"/>
      <c r="E8" s="55"/>
      <c r="F8" s="56"/>
      <c r="G8" s="51">
        <f>+C8+D8+E8+F8</f>
        <v>0</v>
      </c>
      <c r="I8" s="188"/>
      <c r="J8" s="194"/>
      <c r="M8" s="30"/>
    </row>
    <row r="9" spans="1:31" s="27" customFormat="1" ht="30.75" customHeight="1" x14ac:dyDescent="0.35">
      <c r="A9" s="102"/>
      <c r="B9" s="81" t="s">
        <v>3</v>
      </c>
      <c r="C9" s="54"/>
      <c r="D9" s="57">
        <v>58509080.939999998</v>
      </c>
      <c r="E9" s="55">
        <v>-25034302.91</v>
      </c>
      <c r="F9" s="56">
        <v>-35132240.829999998</v>
      </c>
      <c r="G9" s="51">
        <f>+C9+D9+E9+F9</f>
        <v>-1657462.8000000007</v>
      </c>
      <c r="I9" s="187"/>
      <c r="J9" s="193"/>
    </row>
    <row r="10" spans="1:31" s="27" customFormat="1" ht="30.75" customHeight="1" x14ac:dyDescent="0.35">
      <c r="A10" s="102"/>
      <c r="B10" s="81" t="s">
        <v>4</v>
      </c>
      <c r="C10" s="54"/>
      <c r="D10" s="54">
        <v>96621.17</v>
      </c>
      <c r="E10" s="55"/>
      <c r="F10" s="56"/>
      <c r="G10" s="51">
        <f>+C10+D10+E10+F10</f>
        <v>96621.17</v>
      </c>
      <c r="I10" s="187"/>
      <c r="J10" s="193"/>
    </row>
    <row r="11" spans="1:31" s="27" customFormat="1" ht="30.75" customHeight="1" thickBot="1" x14ac:dyDescent="0.4">
      <c r="A11" s="103"/>
      <c r="B11" s="82" t="s">
        <v>5</v>
      </c>
      <c r="C11" s="58"/>
      <c r="D11" s="58"/>
      <c r="E11" s="59"/>
      <c r="F11" s="60"/>
      <c r="G11" s="112">
        <f>+C11+D11+E11+F11</f>
        <v>0</v>
      </c>
      <c r="I11" s="187"/>
      <c r="J11" s="193"/>
    </row>
    <row r="12" spans="1:31" s="27" customFormat="1" ht="30.75" customHeight="1" thickBot="1" x14ac:dyDescent="0.4">
      <c r="A12" s="104"/>
      <c r="B12" s="83" t="s">
        <v>6</v>
      </c>
      <c r="C12" s="61">
        <f>SUM(C7:C11)</f>
        <v>2500000</v>
      </c>
      <c r="D12" s="61">
        <f>SUM(D7:D11)</f>
        <v>156412116.09</v>
      </c>
      <c r="E12" s="62">
        <f>SUM(E7:E11)</f>
        <v>35903772.290000007</v>
      </c>
      <c r="F12" s="63">
        <f>SUM(F7:F11)</f>
        <v>21432230.130000003</v>
      </c>
      <c r="G12" s="61">
        <f>SUM(G7:G11)</f>
        <v>216248118.50999999</v>
      </c>
      <c r="I12" s="187"/>
      <c r="J12" s="193"/>
    </row>
    <row r="13" spans="1:31" s="32" customFormat="1" ht="30.75" customHeight="1" x14ac:dyDescent="0.35">
      <c r="A13" s="105">
        <v>60</v>
      </c>
      <c r="B13" s="84" t="s">
        <v>7</v>
      </c>
      <c r="C13" s="51">
        <v>680712.24</v>
      </c>
      <c r="D13" s="64">
        <v>133844093.31999999</v>
      </c>
      <c r="E13" s="65">
        <v>18089272.68</v>
      </c>
      <c r="F13" s="66">
        <v>20570214.59</v>
      </c>
      <c r="G13" s="51">
        <f>+C13+D13+E13+F13</f>
        <v>173184292.83000001</v>
      </c>
      <c r="I13" s="35"/>
      <c r="J13" s="195"/>
    </row>
    <row r="14" spans="1:31" s="32" customFormat="1" ht="30.75" customHeight="1" thickBot="1" x14ac:dyDescent="0.4">
      <c r="A14" s="106" t="s">
        <v>8</v>
      </c>
      <c r="B14" s="82" t="s">
        <v>43</v>
      </c>
      <c r="C14" s="58">
        <v>2168311.9500000002</v>
      </c>
      <c r="D14" s="58">
        <v>7965855.4199999999</v>
      </c>
      <c r="E14" s="59">
        <v>2543404.7999999998</v>
      </c>
      <c r="F14" s="60">
        <v>1920846.96</v>
      </c>
      <c r="G14" s="58">
        <f>+C14+D14+E14+F14</f>
        <v>14598419.130000003</v>
      </c>
      <c r="H14" s="34"/>
      <c r="I14" s="189"/>
      <c r="J14" s="195"/>
    </row>
    <row r="15" spans="1:31" s="27" customFormat="1" ht="30.75" customHeight="1" thickBot="1" x14ac:dyDescent="0.4">
      <c r="A15" s="107" t="s">
        <v>9</v>
      </c>
      <c r="B15" s="85" t="s">
        <v>10</v>
      </c>
      <c r="C15" s="61">
        <f>SUM(C13:C14)</f>
        <v>2849024.1900000004</v>
      </c>
      <c r="D15" s="61">
        <f>SUM(D13:D14)</f>
        <v>141809948.73999998</v>
      </c>
      <c r="E15" s="62">
        <f>SUM(E13:E14)</f>
        <v>20632677.48</v>
      </c>
      <c r="F15" s="63">
        <f>SUM(F13:F14)</f>
        <v>22491061.550000001</v>
      </c>
      <c r="G15" s="61">
        <f>SUM(G13:G14)</f>
        <v>187782711.96000001</v>
      </c>
      <c r="H15" s="34"/>
      <c r="I15" s="187"/>
      <c r="J15" s="193"/>
    </row>
    <row r="16" spans="1:31" s="27" customFormat="1" ht="30.75" customHeight="1" thickBot="1" x14ac:dyDescent="0.4">
      <c r="A16" s="108" t="s">
        <v>11</v>
      </c>
      <c r="B16" s="86" t="s">
        <v>12</v>
      </c>
      <c r="C16" s="67">
        <f>+C12-C15</f>
        <v>-349024.19000000041</v>
      </c>
      <c r="D16" s="67">
        <f>+D12-D15</f>
        <v>14602167.350000024</v>
      </c>
      <c r="E16" s="68">
        <f>+E12-E15</f>
        <v>15271094.810000006</v>
      </c>
      <c r="F16" s="69">
        <f>+F12-F15</f>
        <v>-1058831.4199999981</v>
      </c>
      <c r="G16" s="67">
        <f>+G12-G15</f>
        <v>28465406.549999982</v>
      </c>
      <c r="H16" s="34"/>
      <c r="I16" s="187"/>
      <c r="J16" s="193"/>
    </row>
    <row r="17" spans="1:11" s="32" customFormat="1" ht="30.75" customHeight="1" x14ac:dyDescent="0.35">
      <c r="A17" s="105">
        <v>63</v>
      </c>
      <c r="B17" s="84" t="s">
        <v>44</v>
      </c>
      <c r="C17" s="64">
        <v>10257791.529999999</v>
      </c>
      <c r="D17" s="64">
        <v>30555508.739999998</v>
      </c>
      <c r="E17" s="65">
        <v>10346519.199999999</v>
      </c>
      <c r="F17" s="66">
        <v>10638240.699999999</v>
      </c>
      <c r="G17" s="51">
        <f>+C17+D17+E17+F17</f>
        <v>61798060.170000002</v>
      </c>
      <c r="H17" s="34"/>
      <c r="I17" s="189"/>
      <c r="J17" s="195"/>
    </row>
    <row r="18" spans="1:11" s="32" customFormat="1" ht="30.75" customHeight="1" thickBot="1" x14ac:dyDescent="0.4">
      <c r="A18" s="106">
        <v>64</v>
      </c>
      <c r="B18" s="82" t="s">
        <v>13</v>
      </c>
      <c r="C18" s="58">
        <v>50000</v>
      </c>
      <c r="D18" s="58">
        <v>990138.6</v>
      </c>
      <c r="E18" s="59">
        <v>618851</v>
      </c>
      <c r="F18" s="60">
        <v>570220</v>
      </c>
      <c r="G18" s="58">
        <f>+C18+D18+E18+F18</f>
        <v>2229209.6</v>
      </c>
      <c r="H18" s="34"/>
      <c r="I18" s="189"/>
      <c r="J18" s="195"/>
    </row>
    <row r="19" spans="1:11" s="27" customFormat="1" ht="30.75" customHeight="1" thickBot="1" x14ac:dyDescent="0.4">
      <c r="A19" s="107" t="s">
        <v>14</v>
      </c>
      <c r="B19" s="85" t="s">
        <v>15</v>
      </c>
      <c r="C19" s="61">
        <f>+C16-C17-C18</f>
        <v>-10656815.719999999</v>
      </c>
      <c r="D19" s="61">
        <f>+D16-D17-D18</f>
        <v>-16943479.989999976</v>
      </c>
      <c r="E19" s="62">
        <f>+E16-E17-E18</f>
        <v>4305724.6100000069</v>
      </c>
      <c r="F19" s="63">
        <f>+F16-F17-F18</f>
        <v>-12267292.119999997</v>
      </c>
      <c r="G19" s="61">
        <f>+G16-G17-G18</f>
        <v>-35561863.220000021</v>
      </c>
      <c r="H19" s="34"/>
      <c r="I19" s="187"/>
      <c r="J19" s="193"/>
    </row>
    <row r="20" spans="1:11" s="32" customFormat="1" ht="30.75" customHeight="1" x14ac:dyDescent="0.35">
      <c r="A20" s="105">
        <v>75</v>
      </c>
      <c r="B20" s="84" t="s">
        <v>16</v>
      </c>
      <c r="C20" s="51"/>
      <c r="D20" s="51">
        <v>3.56</v>
      </c>
      <c r="E20" s="52"/>
      <c r="F20" s="53"/>
      <c r="G20" s="51">
        <f t="shared" ref="G20:G25" si="0">+C20+D20+E20+F20</f>
        <v>3.56</v>
      </c>
      <c r="I20" s="189"/>
      <c r="J20" s="195"/>
      <c r="K20" s="35"/>
    </row>
    <row r="21" spans="1:11" s="32" customFormat="1" ht="30.75" customHeight="1" x14ac:dyDescent="0.35">
      <c r="A21" s="109">
        <v>65</v>
      </c>
      <c r="B21" s="81" t="s">
        <v>17</v>
      </c>
      <c r="C21" s="54">
        <v>3211.55</v>
      </c>
      <c r="D21" s="54">
        <v>39.630000000000003</v>
      </c>
      <c r="E21" s="55"/>
      <c r="F21" s="56">
        <v>1200</v>
      </c>
      <c r="G21" s="54">
        <f t="shared" si="0"/>
        <v>4451.18</v>
      </c>
      <c r="I21" s="189"/>
      <c r="J21" s="195"/>
    </row>
    <row r="22" spans="1:11" s="27" customFormat="1" ht="30.75" customHeight="1" x14ac:dyDescent="0.35">
      <c r="A22" s="109"/>
      <c r="B22" s="87" t="s">
        <v>18</v>
      </c>
      <c r="C22" s="70"/>
      <c r="D22" s="70"/>
      <c r="E22" s="71"/>
      <c r="F22" s="72"/>
      <c r="G22" s="70">
        <f t="shared" si="0"/>
        <v>0</v>
      </c>
      <c r="I22" s="187"/>
      <c r="J22" s="193"/>
    </row>
    <row r="23" spans="1:11" s="27" customFormat="1" ht="30.75" customHeight="1" x14ac:dyDescent="0.35">
      <c r="A23" s="109"/>
      <c r="B23" s="87" t="s">
        <v>19</v>
      </c>
      <c r="C23" s="70"/>
      <c r="D23" s="70"/>
      <c r="E23" s="71"/>
      <c r="F23" s="72"/>
      <c r="G23" s="70">
        <f t="shared" si="0"/>
        <v>0</v>
      </c>
      <c r="I23" s="187"/>
      <c r="J23" s="193"/>
    </row>
    <row r="24" spans="1:11" s="32" customFormat="1" ht="30.75" customHeight="1" x14ac:dyDescent="0.35">
      <c r="A24" s="109">
        <v>68</v>
      </c>
      <c r="B24" s="81" t="s">
        <v>20</v>
      </c>
      <c r="C24" s="54">
        <v>1232461.47</v>
      </c>
      <c r="D24" s="54">
        <v>5872978.7400000002</v>
      </c>
      <c r="E24" s="55">
        <v>572009.06999999995</v>
      </c>
      <c r="F24" s="56">
        <v>573368.19999999995</v>
      </c>
      <c r="G24" s="57">
        <f t="shared" si="0"/>
        <v>8250817.4800000004</v>
      </c>
      <c r="I24" s="189"/>
      <c r="J24" s="195"/>
    </row>
    <row r="25" spans="1:11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60"/>
      <c r="G25" s="58">
        <f t="shared" si="0"/>
        <v>0</v>
      </c>
      <c r="I25" s="189"/>
      <c r="J25" s="195"/>
    </row>
    <row r="26" spans="1:11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-11892488.739999998</v>
      </c>
      <c r="D26" s="61">
        <f>+D19+D20-(D21+D22+D23+D24+D25)</f>
        <v>-22816494.799999978</v>
      </c>
      <c r="E26" s="62">
        <f>+E19+E20-(E21+E22+E23+E24+E25)</f>
        <v>3733715.540000007</v>
      </c>
      <c r="F26" s="63">
        <f>+F19+F20-(F21+F22+F23+F24+F25)</f>
        <v>-12841860.319999997</v>
      </c>
      <c r="G26" s="61">
        <f>+G19+G20-(G21+G22+G23+G24+G25)</f>
        <v>-43817128.320000023</v>
      </c>
      <c r="I26" s="187"/>
      <c r="J26" s="193"/>
    </row>
    <row r="27" spans="1:11" s="32" customFormat="1" ht="30.75" customHeight="1" x14ac:dyDescent="0.35">
      <c r="A27" s="105">
        <v>76</v>
      </c>
      <c r="B27" s="84" t="s">
        <v>24</v>
      </c>
      <c r="C27" s="51"/>
      <c r="D27" s="51">
        <v>42632.75</v>
      </c>
      <c r="E27" s="52"/>
      <c r="F27" s="53"/>
      <c r="G27" s="51">
        <f>+C27+D27+E27+F27</f>
        <v>42632.75</v>
      </c>
      <c r="I27" s="189"/>
      <c r="J27" s="195"/>
    </row>
    <row r="28" spans="1:11" s="32" customFormat="1" ht="30.75" customHeight="1" thickBot="1" x14ac:dyDescent="0.4">
      <c r="A28" s="106">
        <v>66</v>
      </c>
      <c r="B28" s="82" t="s">
        <v>25</v>
      </c>
      <c r="C28" s="73"/>
      <c r="D28" s="58">
        <v>20690.27</v>
      </c>
      <c r="E28" s="59"/>
      <c r="F28" s="60"/>
      <c r="G28" s="58">
        <f>+C28+D28+E28+F28</f>
        <v>20690.27</v>
      </c>
      <c r="I28" s="189"/>
      <c r="J28" s="195"/>
    </row>
    <row r="29" spans="1:11" s="27" customFormat="1" ht="30.75" customHeight="1" thickBot="1" x14ac:dyDescent="0.4">
      <c r="A29" s="107" t="s">
        <v>26</v>
      </c>
      <c r="B29" s="85" t="s">
        <v>27</v>
      </c>
      <c r="C29" s="61">
        <f>+C27-C28</f>
        <v>0</v>
      </c>
      <c r="D29" s="61">
        <f>+D27-D28</f>
        <v>21942.48</v>
      </c>
      <c r="E29" s="62">
        <f>+E27-E28</f>
        <v>0</v>
      </c>
      <c r="F29" s="63">
        <f>+F27-F28</f>
        <v>0</v>
      </c>
      <c r="G29" s="61">
        <f>+G27-G28</f>
        <v>21942.48</v>
      </c>
      <c r="I29" s="187"/>
      <c r="J29" s="193"/>
    </row>
    <row r="30" spans="1:11" s="27" customFormat="1" ht="30.75" customHeight="1" thickBot="1" x14ac:dyDescent="0.4">
      <c r="A30" s="107" t="s">
        <v>28</v>
      </c>
      <c r="B30" s="85" t="s">
        <v>29</v>
      </c>
      <c r="C30" s="61">
        <f>+C26+C29</f>
        <v>-11892488.739999998</v>
      </c>
      <c r="D30" s="61">
        <f>+D26+D29</f>
        <v>-22794552.319999978</v>
      </c>
      <c r="E30" s="62">
        <f>+E26+E29</f>
        <v>3733715.540000007</v>
      </c>
      <c r="F30" s="63">
        <f>+F26+F29</f>
        <v>-12841860.319999997</v>
      </c>
      <c r="G30" s="61">
        <f>+G26+G29</f>
        <v>-43795185.840000026</v>
      </c>
      <c r="I30" s="187"/>
      <c r="J30" s="193"/>
    </row>
    <row r="31" spans="1:11" s="32" customFormat="1" ht="30.75" customHeight="1" x14ac:dyDescent="0.35">
      <c r="A31" s="105" t="s">
        <v>30</v>
      </c>
      <c r="B31" s="84" t="s">
        <v>31</v>
      </c>
      <c r="C31" s="51"/>
      <c r="D31" s="51"/>
      <c r="E31" s="52"/>
      <c r="F31" s="53"/>
      <c r="G31" s="51">
        <f>+C31+D31+E31+F31</f>
        <v>0</v>
      </c>
      <c r="I31" s="189"/>
      <c r="J31" s="195"/>
    </row>
    <row r="32" spans="1:11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6"/>
      <c r="G32" s="54">
        <f>+C32+D32+E32+F32</f>
        <v>0</v>
      </c>
      <c r="I32" s="189"/>
      <c r="J32" s="195"/>
    </row>
    <row r="33" spans="1:10" s="37" customFormat="1" ht="30.75" customHeight="1" x14ac:dyDescent="0.35">
      <c r="A33" s="110"/>
      <c r="B33" s="88" t="s">
        <v>45</v>
      </c>
      <c r="C33" s="75">
        <f>+C12+C20+C27</f>
        <v>2500000</v>
      </c>
      <c r="D33" s="75">
        <f>+D12+D20+D27</f>
        <v>156454752.40000001</v>
      </c>
      <c r="E33" s="75">
        <f>+E12+E20+E27</f>
        <v>35903772.290000007</v>
      </c>
      <c r="F33" s="75">
        <f>+F12+F20+F27</f>
        <v>21432230.130000003</v>
      </c>
      <c r="G33" s="74">
        <f>+G12+G20+G27</f>
        <v>216290754.81999999</v>
      </c>
      <c r="I33" s="190"/>
      <c r="J33" s="192"/>
    </row>
    <row r="34" spans="1:10" s="37" customFormat="1" ht="30.75" customHeight="1" thickBot="1" x14ac:dyDescent="0.4">
      <c r="A34" s="111"/>
      <c r="B34" s="89" t="s">
        <v>46</v>
      </c>
      <c r="C34" s="77">
        <f>+C15+C17+C18+C24+C21+C28</f>
        <v>14392488.74</v>
      </c>
      <c r="D34" s="77">
        <f>+D15+D17+D18+D24+D21+D28</f>
        <v>179249304.72</v>
      </c>
      <c r="E34" s="77">
        <f>+E15+E17+E18+E24+E21+E28</f>
        <v>32170056.75</v>
      </c>
      <c r="F34" s="77">
        <f>+F15+F17+F18+F24+F21+F28</f>
        <v>34274090.450000003</v>
      </c>
      <c r="G34" s="73">
        <f>+G15+G17+G18+G24+G21+G28</f>
        <v>260085940.66</v>
      </c>
      <c r="I34" s="190"/>
      <c r="J34" s="192"/>
    </row>
    <row r="35" spans="1:10" s="27" customFormat="1" ht="30.75" customHeight="1" thickBot="1" x14ac:dyDescent="0.4">
      <c r="A35" s="107" t="s">
        <v>34</v>
      </c>
      <c r="B35" s="85" t="s">
        <v>35</v>
      </c>
      <c r="C35" s="61">
        <f>+C30</f>
        <v>-11892488.739999998</v>
      </c>
      <c r="D35" s="61">
        <f>+D30</f>
        <v>-22794552.319999978</v>
      </c>
      <c r="E35" s="62">
        <f>+E30</f>
        <v>3733715.540000007</v>
      </c>
      <c r="F35" s="63">
        <f>+F30</f>
        <v>-12841860.319999997</v>
      </c>
      <c r="G35" s="61">
        <f>+G30</f>
        <v>-43795185.840000026</v>
      </c>
      <c r="I35" s="187"/>
      <c r="J35" s="193"/>
    </row>
    <row r="36" spans="1:10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3">
        <v>0</v>
      </c>
      <c r="G36" s="51">
        <f>+C36+D36+E36+F36</f>
        <v>0</v>
      </c>
      <c r="I36" s="189"/>
      <c r="J36" s="195"/>
    </row>
    <row r="37" spans="1:10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60">
        <v>0</v>
      </c>
      <c r="G37" s="58">
        <f>+C37+D37+E37+F37</f>
        <v>0</v>
      </c>
      <c r="I37" s="189"/>
      <c r="J37" s="195"/>
    </row>
    <row r="38" spans="1:10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3"/>
      <c r="G38" s="61"/>
      <c r="I38" s="187"/>
      <c r="J38" s="193"/>
    </row>
    <row r="39" spans="1:10" s="27" customFormat="1" ht="30.6" customHeight="1" x14ac:dyDescent="0.35">
      <c r="A39" s="120" t="s">
        <v>40</v>
      </c>
      <c r="B39" s="121" t="s">
        <v>41</v>
      </c>
      <c r="C39" s="122">
        <f>+C35</f>
        <v>-11892488.739999998</v>
      </c>
      <c r="D39" s="122">
        <f>+D35</f>
        <v>-22794552.319999978</v>
      </c>
      <c r="E39" s="123">
        <f>+E35</f>
        <v>3733715.540000007</v>
      </c>
      <c r="F39" s="124">
        <f>+F35</f>
        <v>-12841860.319999997</v>
      </c>
      <c r="G39" s="122">
        <f>+G35</f>
        <v>-43795185.840000026</v>
      </c>
      <c r="I39" s="187"/>
      <c r="J39" s="193"/>
    </row>
    <row r="40" spans="1:10" s="27" customFormat="1" ht="11.4" customHeight="1" x14ac:dyDescent="0.35">
      <c r="A40" s="90"/>
      <c r="B40" s="90"/>
      <c r="C40" s="91"/>
      <c r="D40" s="91"/>
      <c r="E40" s="91"/>
      <c r="F40" s="91"/>
      <c r="G40" s="91"/>
      <c r="I40" s="187"/>
      <c r="J40" s="193"/>
    </row>
    <row r="41" spans="1:10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  <c r="I41" s="187"/>
      <c r="J41" s="193"/>
    </row>
    <row r="42" spans="1:10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1.5992010107024681</v>
      </c>
      <c r="E42" s="95">
        <f>+E12/E7</f>
        <v>0.58918454795565978</v>
      </c>
      <c r="F42" s="95">
        <f>+F12/F7</f>
        <v>0.37889915288266318</v>
      </c>
      <c r="G42" s="95">
        <f>+G12/G7</f>
        <v>0.99283389614000839</v>
      </c>
      <c r="I42" s="190"/>
      <c r="J42" s="192"/>
    </row>
    <row r="43" spans="1:10" s="37" customFormat="1" ht="18" x14ac:dyDescent="0.35">
      <c r="A43" s="92">
        <v>2</v>
      </c>
      <c r="B43" s="93" t="s">
        <v>53</v>
      </c>
      <c r="C43" s="94">
        <f>+C13/C7</f>
        <v>0.272284896</v>
      </c>
      <c r="D43" s="95">
        <f>+D13/D7</f>
        <v>1.368459264311328</v>
      </c>
      <c r="E43" s="95">
        <f>+E13/E7</f>
        <v>0.29684680096361166</v>
      </c>
      <c r="F43" s="95">
        <f>+F13/F7</f>
        <v>0.3636596301686687</v>
      </c>
      <c r="G43" s="95">
        <f>+G13/G7</f>
        <v>0.79512014895385008</v>
      </c>
      <c r="I43" s="190"/>
      <c r="J43" s="192"/>
    </row>
    <row r="44" spans="1:10" s="37" customFormat="1" ht="18" x14ac:dyDescent="0.35">
      <c r="A44" s="92">
        <v>3</v>
      </c>
      <c r="B44" s="93" t="s">
        <v>56</v>
      </c>
      <c r="C44" s="94">
        <f>+C13/C12</f>
        <v>0.272284896</v>
      </c>
      <c r="D44" s="95">
        <f>+D13/D12</f>
        <v>0.8557143568276111</v>
      </c>
      <c r="E44" s="95">
        <f>+E13/E12</f>
        <v>0.5038265208984255</v>
      </c>
      <c r="F44" s="95">
        <f>+F13/F12</f>
        <v>0.95977947536157771</v>
      </c>
      <c r="G44" s="95">
        <f>+G13/G12</f>
        <v>0.80085918908002629</v>
      </c>
      <c r="I44" s="190"/>
      <c r="J44" s="192"/>
    </row>
    <row r="45" spans="1:10" s="37" customFormat="1" ht="18" x14ac:dyDescent="0.35">
      <c r="A45" s="92">
        <v>4</v>
      </c>
      <c r="B45" s="93" t="s">
        <v>57</v>
      </c>
      <c r="C45" s="94">
        <f>+C15/C12</f>
        <v>1.1396096760000001</v>
      </c>
      <c r="D45" s="95">
        <f>+D15/D12</f>
        <v>0.90664299086908395</v>
      </c>
      <c r="E45" s="95">
        <f>+E15/E12</f>
        <v>0.57466600760908504</v>
      </c>
      <c r="F45" s="95">
        <f>+F15/F12</f>
        <v>1.0494036977756172</v>
      </c>
      <c r="G45" s="95">
        <f>+G15/G12</f>
        <v>0.8683669169187076</v>
      </c>
      <c r="I45" s="190"/>
      <c r="J45" s="192"/>
    </row>
    <row r="46" spans="1:10" s="37" customFormat="1" ht="18" x14ac:dyDescent="0.35">
      <c r="A46" s="92">
        <v>5</v>
      </c>
      <c r="B46" s="93" t="s">
        <v>58</v>
      </c>
      <c r="C46" s="94">
        <f>+C17/C12</f>
        <v>4.103116612</v>
      </c>
      <c r="D46" s="95">
        <f>+D17/D12</f>
        <v>0.19535256924993116</v>
      </c>
      <c r="E46" s="95">
        <f>+E17/E12</f>
        <v>0.28817359681399646</v>
      </c>
      <c r="F46" s="95">
        <f>+F17/F12</f>
        <v>0.4963664833511191</v>
      </c>
      <c r="G46" s="95">
        <f>+G17/G12</f>
        <v>0.28577386289324996</v>
      </c>
      <c r="I46" s="190"/>
      <c r="J46" s="192"/>
    </row>
    <row r="47" spans="1:10" s="37" customFormat="1" ht="18" x14ac:dyDescent="0.35">
      <c r="A47" s="92">
        <v>6</v>
      </c>
      <c r="B47" s="93" t="s">
        <v>54</v>
      </c>
      <c r="C47" s="94">
        <f>+C16/C17</f>
        <v>-3.4025276198998797E-2</v>
      </c>
      <c r="D47" s="95">
        <f>+D16/D17</f>
        <v>0.4778898454694826</v>
      </c>
      <c r="E47" s="95">
        <f>+E16/E17</f>
        <v>1.4759644779859884</v>
      </c>
      <c r="F47" s="95">
        <f>+F16/F17</f>
        <v>-9.9530688377825305E-2</v>
      </c>
      <c r="G47" s="95">
        <f>+G16/G17</f>
        <v>0.46061974229764857</v>
      </c>
      <c r="I47" s="190"/>
      <c r="J47" s="192"/>
    </row>
    <row r="48" spans="1:10" s="37" customFormat="1" ht="18" x14ac:dyDescent="0.35">
      <c r="A48" s="92">
        <v>7</v>
      </c>
      <c r="B48" s="93" t="s">
        <v>55</v>
      </c>
      <c r="C48" s="94">
        <f>+C19/C12</f>
        <v>-4.2627262879999996</v>
      </c>
      <c r="D48" s="95">
        <f>+D19/D12</f>
        <v>-0.10832587918093664</v>
      </c>
      <c r="E48" s="95">
        <f>+E19/E12</f>
        <v>0.11992401732113386</v>
      </c>
      <c r="F48" s="95">
        <f>+F19/F12</f>
        <v>-0.57237590514804704</v>
      </c>
      <c r="G48" s="95">
        <f>+G19/G12</f>
        <v>-0.16444935320145007</v>
      </c>
      <c r="I48" s="190"/>
      <c r="J48" s="192"/>
    </row>
    <row r="49" spans="1:6" ht="15.6" x14ac:dyDescent="0.3">
      <c r="A49" s="90"/>
      <c r="B49" s="90"/>
      <c r="C49" s="96"/>
      <c r="D49" s="96"/>
      <c r="E49" s="96"/>
      <c r="F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S3:T3"/>
    <mergeCell ref="A5:G5"/>
    <mergeCell ref="T1:U1"/>
    <mergeCell ref="T2:U2"/>
  </mergeCells>
  <conditionalFormatting sqref="C42:G1048576 D40:G40 D7:F32 D35:F39">
    <cfRule type="cellIs" dxfId="188" priority="14" operator="lessThan">
      <formula>-0.01</formula>
    </cfRule>
  </conditionalFormatting>
  <conditionalFormatting sqref="C7:C32 C35:C40">
    <cfRule type="cellIs" dxfId="187" priority="13" operator="lessThan">
      <formula>-0.01</formula>
    </cfRule>
  </conditionalFormatting>
  <conditionalFormatting sqref="G7:G39">
    <cfRule type="cellIs" dxfId="186" priority="12" operator="lessThan">
      <formula>-0.01</formula>
    </cfRule>
  </conditionalFormatting>
  <conditionalFormatting sqref="F33:F34">
    <cfRule type="cellIs" dxfId="185" priority="8" operator="lessThan">
      <formula>-0.01</formula>
    </cfRule>
  </conditionalFormatting>
  <conditionalFormatting sqref="E33:E34">
    <cfRule type="cellIs" dxfId="184" priority="10" operator="lessThan">
      <formula>-0.01</formula>
    </cfRule>
  </conditionalFormatting>
  <conditionalFormatting sqref="C33:D34">
    <cfRule type="cellIs" dxfId="183" priority="9" operator="lessThan">
      <formula>-0.01</formula>
    </cfRule>
  </conditionalFormatting>
  <conditionalFormatting sqref="D6:F6">
    <cfRule type="cellIs" dxfId="182" priority="7" operator="lessThan">
      <formula>-0.01</formula>
    </cfRule>
  </conditionalFormatting>
  <conditionalFormatting sqref="C6">
    <cfRule type="cellIs" dxfId="181" priority="6" operator="lessThan">
      <formula>-0.01</formula>
    </cfRule>
  </conditionalFormatting>
  <conditionalFormatting sqref="G6">
    <cfRule type="cellIs" dxfId="180" priority="5" operator="lessThan">
      <formula>-0.01</formula>
    </cfRule>
  </conditionalFormatting>
  <conditionalFormatting sqref="D1:G2 D4:G4">
    <cfRule type="cellIs" dxfId="179" priority="4" operator="lessThan">
      <formula>-0.01</formula>
    </cfRule>
  </conditionalFormatting>
  <conditionalFormatting sqref="C1:C2 C4">
    <cfRule type="cellIs" dxfId="178" priority="3" operator="lessThan">
      <formula>-0.01</formula>
    </cfRule>
  </conditionalFormatting>
  <conditionalFormatting sqref="D3:G3">
    <cfRule type="cellIs" dxfId="177" priority="2" operator="lessThan">
      <formula>-0.01</formula>
    </cfRule>
  </conditionalFormatting>
  <conditionalFormatting sqref="C3">
    <cfRule type="cellIs" dxfId="176" priority="1" operator="lessThan">
      <formula>-0.01</formula>
    </cfRule>
  </conditionalFormatting>
  <pageMargins left="0.14000000000000001" right="0.11" top="0.16" bottom="0.16" header="0.16" footer="0"/>
  <pageSetup paperSize="9" scale="51" orientation="portrait" r:id="rId1"/>
  <drawing r:id="rId2"/>
  <legacyDrawing r:id="rId3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90" zoomScaleNormal="50" zoomScaleSheetLayoutView="90" workbookViewId="0">
      <pane xSplit="2" ySplit="6" topLeftCell="C7" activePane="bottomRight" state="frozen"/>
      <selection activeCell="C5" sqref="C5:D5"/>
      <selection pane="topRight" activeCell="C5" sqref="C5:D5"/>
      <selection pane="bottomLeft" activeCell="C5" sqref="C5:D5"/>
      <selection pane="bottomRight" activeCell="F20" sqref="F20"/>
    </sheetView>
  </sheetViews>
  <sheetFormatPr baseColWidth="10" defaultColWidth="11.44140625" defaultRowHeight="28.8" x14ac:dyDescent="0.55000000000000004"/>
  <cols>
    <col min="1" max="1" width="7.6640625" style="2" customWidth="1"/>
    <col min="2" max="2" width="76.5546875" style="2" customWidth="1"/>
    <col min="3" max="7" width="19.77734375" style="3" customWidth="1"/>
    <col min="8" max="8" width="23.5546875" style="4" bestFit="1" customWidth="1"/>
    <col min="9" max="16384" width="11.44140625" style="1"/>
  </cols>
  <sheetData>
    <row r="1" spans="1:31" s="42" customFormat="1" ht="13.8" customHeight="1" x14ac:dyDescent="0.45">
      <c r="A1" s="25"/>
      <c r="B1" s="39"/>
      <c r="C1" s="40"/>
      <c r="D1" s="40"/>
      <c r="E1" s="40"/>
      <c r="F1" s="40"/>
      <c r="G1" s="40"/>
      <c r="H1" s="41"/>
      <c r="I1" s="39"/>
      <c r="J1" s="39"/>
      <c r="K1" s="39"/>
      <c r="L1" s="39"/>
      <c r="M1" s="39"/>
      <c r="N1" s="39"/>
      <c r="R1" s="39"/>
      <c r="S1" s="39"/>
      <c r="T1" s="278"/>
      <c r="U1" s="278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44"/>
      <c r="D2" s="44"/>
      <c r="E2" s="44"/>
      <c r="F2" s="44"/>
      <c r="G2" s="44"/>
      <c r="H2" s="41"/>
      <c r="I2" s="39"/>
      <c r="J2" s="39"/>
      <c r="K2" s="39"/>
      <c r="L2" s="39"/>
      <c r="M2" s="39"/>
      <c r="N2" s="39"/>
      <c r="R2" s="43"/>
      <c r="S2" s="4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4">
      <c r="A3" s="46"/>
      <c r="B3" s="47"/>
      <c r="C3" s="48"/>
      <c r="D3" s="48"/>
      <c r="E3" s="48"/>
      <c r="F3" s="48"/>
      <c r="G3" s="99"/>
      <c r="H3" s="46"/>
      <c r="I3" s="185"/>
      <c r="J3" s="191"/>
      <c r="K3" s="46"/>
      <c r="L3" s="46"/>
      <c r="M3" s="46"/>
      <c r="Q3" s="46"/>
      <c r="R3" s="46"/>
      <c r="S3" s="280"/>
      <c r="T3" s="280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1" s="42" customFormat="1" ht="13.8" customHeight="1" x14ac:dyDescent="0.55000000000000004">
      <c r="A4" s="46"/>
      <c r="B4" s="46"/>
      <c r="C4" s="50"/>
      <c r="D4" s="50"/>
      <c r="E4" s="50"/>
      <c r="F4" s="50"/>
      <c r="G4" s="50"/>
      <c r="H4" s="5"/>
    </row>
    <row r="5" spans="1:31" ht="29.4" thickBot="1" x14ac:dyDescent="0.6">
      <c r="A5" s="281" t="s">
        <v>85</v>
      </c>
      <c r="B5" s="281"/>
      <c r="C5" s="281"/>
      <c r="D5" s="281"/>
      <c r="E5" s="281"/>
      <c r="F5" s="281"/>
      <c r="G5" s="281"/>
    </row>
    <row r="6" spans="1:31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  <c r="H6" s="26"/>
    </row>
    <row r="7" spans="1:31" s="29" customFormat="1" ht="30.75" customHeight="1" x14ac:dyDescent="0.35">
      <c r="A7" s="101"/>
      <c r="B7" s="79" t="s">
        <v>2</v>
      </c>
      <c r="C7" s="51">
        <v>2500000</v>
      </c>
      <c r="D7" s="51">
        <v>122316909.01000001</v>
      </c>
      <c r="E7" s="52">
        <v>63315339.159999996</v>
      </c>
      <c r="F7" s="53">
        <v>47013622.200000003</v>
      </c>
      <c r="G7" s="51">
        <f>+C7+D7+E7+F7</f>
        <v>235145870.37</v>
      </c>
      <c r="H7" s="28"/>
    </row>
    <row r="8" spans="1:31" s="29" customFormat="1" ht="30.75" customHeight="1" x14ac:dyDescent="0.35">
      <c r="A8" s="102"/>
      <c r="B8" s="80" t="s">
        <v>42</v>
      </c>
      <c r="C8" s="54"/>
      <c r="D8" s="54"/>
      <c r="E8" s="55"/>
      <c r="F8" s="56"/>
      <c r="G8" s="51">
        <f>+C8+D8+E8+F8</f>
        <v>0</v>
      </c>
      <c r="H8" s="28"/>
      <c r="N8" s="30"/>
    </row>
    <row r="9" spans="1:31" s="27" customFormat="1" ht="30.75" customHeight="1" x14ac:dyDescent="0.35">
      <c r="A9" s="102"/>
      <c r="B9" s="81" t="s">
        <v>3</v>
      </c>
      <c r="C9" s="54"/>
      <c r="D9" s="57">
        <v>15303313.800000001</v>
      </c>
      <c r="E9" s="55">
        <v>-32225145.620000001</v>
      </c>
      <c r="F9" s="56">
        <v>-24669350.640000001</v>
      </c>
      <c r="G9" s="51">
        <f>+C9+D9+E9+F9</f>
        <v>-41591182.460000001</v>
      </c>
      <c r="H9" s="26"/>
    </row>
    <row r="10" spans="1:31" s="27" customFormat="1" ht="30.75" customHeight="1" x14ac:dyDescent="0.35">
      <c r="A10" s="102"/>
      <c r="B10" s="81" t="s">
        <v>4</v>
      </c>
      <c r="C10" s="54"/>
      <c r="D10" s="54">
        <v>25172.82</v>
      </c>
      <c r="E10" s="55"/>
      <c r="F10" s="56"/>
      <c r="G10" s="51">
        <f>+C10+D10+E10+F10</f>
        <v>25172.82</v>
      </c>
      <c r="H10" s="26"/>
    </row>
    <row r="11" spans="1:31" s="27" customFormat="1" ht="30.75" customHeight="1" thickBot="1" x14ac:dyDescent="0.4">
      <c r="A11" s="103"/>
      <c r="B11" s="82" t="s">
        <v>5</v>
      </c>
      <c r="C11" s="58"/>
      <c r="D11" s="58"/>
      <c r="E11" s="59"/>
      <c r="F11" s="60"/>
      <c r="G11" s="112">
        <f>+C11+D11+E11+F11</f>
        <v>0</v>
      </c>
      <c r="H11" s="26"/>
    </row>
    <row r="12" spans="1:31" s="27" customFormat="1" ht="30.75" customHeight="1" thickBot="1" x14ac:dyDescent="0.4">
      <c r="A12" s="104"/>
      <c r="B12" s="83" t="s">
        <v>6</v>
      </c>
      <c r="C12" s="61">
        <f>SUM(C7:C11)</f>
        <v>2500000</v>
      </c>
      <c r="D12" s="61">
        <f>SUM(D7:D11)</f>
        <v>137645395.63</v>
      </c>
      <c r="E12" s="62">
        <f>SUM(E7:E11)</f>
        <v>31090193.539999995</v>
      </c>
      <c r="F12" s="63">
        <f>SUM(F7:F11)</f>
        <v>22344271.560000002</v>
      </c>
      <c r="G12" s="61">
        <f>SUM(G7:G11)</f>
        <v>193579860.72999999</v>
      </c>
      <c r="H12" s="196"/>
    </row>
    <row r="13" spans="1:31" s="32" customFormat="1" ht="30.75" customHeight="1" x14ac:dyDescent="0.35">
      <c r="A13" s="105">
        <v>60</v>
      </c>
      <c r="B13" s="84" t="s">
        <v>7</v>
      </c>
      <c r="C13" s="51">
        <v>1731112.52</v>
      </c>
      <c r="D13" s="64">
        <v>92003714.959999993</v>
      </c>
      <c r="E13" s="65">
        <v>16517132.140000001</v>
      </c>
      <c r="F13" s="66">
        <v>18216417.879999999</v>
      </c>
      <c r="G13" s="51">
        <f>+C13+D13+E13+F13</f>
        <v>128468377.49999999</v>
      </c>
      <c r="H13" s="31"/>
    </row>
    <row r="14" spans="1:31" s="32" customFormat="1" ht="30.75" customHeight="1" thickBot="1" x14ac:dyDescent="0.4">
      <c r="A14" s="106" t="s">
        <v>8</v>
      </c>
      <c r="B14" s="82" t="s">
        <v>43</v>
      </c>
      <c r="C14" s="58">
        <v>3651887.44</v>
      </c>
      <c r="D14" s="58">
        <v>5561229.5099999998</v>
      </c>
      <c r="E14" s="59">
        <v>5755529.6799999997</v>
      </c>
      <c r="F14" s="60">
        <v>4043276.75</v>
      </c>
      <c r="G14" s="58">
        <f>+C14+D14+E14+F14</f>
        <v>19011923.379999999</v>
      </c>
      <c r="H14" s="33"/>
      <c r="I14" s="34"/>
    </row>
    <row r="15" spans="1:31" s="27" customFormat="1" ht="30.75" customHeight="1" thickBot="1" x14ac:dyDescent="0.4">
      <c r="A15" s="107" t="s">
        <v>9</v>
      </c>
      <c r="B15" s="85" t="s">
        <v>10</v>
      </c>
      <c r="C15" s="61">
        <f>SUM(C13:C14)</f>
        <v>5382999.96</v>
      </c>
      <c r="D15" s="61">
        <f>SUM(D13:D14)</f>
        <v>97564944.469999999</v>
      </c>
      <c r="E15" s="62">
        <f>SUM(E13:E14)</f>
        <v>22272661.82</v>
      </c>
      <c r="F15" s="63">
        <f>SUM(F13:F14)</f>
        <v>22259694.629999999</v>
      </c>
      <c r="G15" s="61">
        <f>SUM(G13:G14)</f>
        <v>147480300.88</v>
      </c>
      <c r="H15" s="26"/>
      <c r="I15" s="34"/>
    </row>
    <row r="16" spans="1:31" s="27" customFormat="1" ht="30.75" customHeight="1" thickBot="1" x14ac:dyDescent="0.4">
      <c r="A16" s="108" t="s">
        <v>11</v>
      </c>
      <c r="B16" s="86" t="s">
        <v>12</v>
      </c>
      <c r="C16" s="67">
        <f>+C12-C15</f>
        <v>-2882999.96</v>
      </c>
      <c r="D16" s="67">
        <f>+D12-D15</f>
        <v>40080451.159999996</v>
      </c>
      <c r="E16" s="68">
        <f>+E12-E15</f>
        <v>8817531.7199999951</v>
      </c>
      <c r="F16" s="69">
        <f>+F12-F15</f>
        <v>84576.930000003427</v>
      </c>
      <c r="G16" s="67">
        <f>+G12-G15</f>
        <v>46099559.849999994</v>
      </c>
      <c r="H16" s="26"/>
      <c r="I16" s="34"/>
    </row>
    <row r="17" spans="1:12" s="32" customFormat="1" ht="30.75" customHeight="1" x14ac:dyDescent="0.35">
      <c r="A17" s="105">
        <v>63</v>
      </c>
      <c r="B17" s="84" t="s">
        <v>44</v>
      </c>
      <c r="C17" s="64">
        <v>10000583.970000001</v>
      </c>
      <c r="D17" s="64">
        <v>30827675.829999998</v>
      </c>
      <c r="E17" s="65">
        <v>11827444.01</v>
      </c>
      <c r="F17" s="66">
        <v>10971405.65</v>
      </c>
      <c r="G17" s="51">
        <f>+C17+D17+E17+F17</f>
        <v>63627109.459999993</v>
      </c>
      <c r="H17" s="31"/>
      <c r="I17" s="34"/>
    </row>
    <row r="18" spans="1:12" s="32" customFormat="1" ht="30.75" customHeight="1" thickBot="1" x14ac:dyDescent="0.4">
      <c r="A18" s="106">
        <v>64</v>
      </c>
      <c r="B18" s="82" t="s">
        <v>13</v>
      </c>
      <c r="C18" s="58">
        <v>50100</v>
      </c>
      <c r="D18" s="58">
        <v>1223509</v>
      </c>
      <c r="E18" s="59">
        <v>645911.17000000004</v>
      </c>
      <c r="F18" s="60">
        <v>2265762</v>
      </c>
      <c r="G18" s="58">
        <f>+C18+D18+E18+F18</f>
        <v>4185282.17</v>
      </c>
      <c r="H18" s="31"/>
      <c r="I18" s="34"/>
    </row>
    <row r="19" spans="1:12" s="27" customFormat="1" ht="30.75" customHeight="1" thickBot="1" x14ac:dyDescent="0.4">
      <c r="A19" s="107" t="s">
        <v>14</v>
      </c>
      <c r="B19" s="85" t="s">
        <v>15</v>
      </c>
      <c r="C19" s="61">
        <f>+C16-C17-C18</f>
        <v>-12933683.93</v>
      </c>
      <c r="D19" s="61">
        <f>+D16-D17-D18</f>
        <v>8029266.3299999982</v>
      </c>
      <c r="E19" s="62">
        <f>+E16-E17-E18</f>
        <v>-3655823.4600000046</v>
      </c>
      <c r="F19" s="63">
        <f>+F16-F17-F18</f>
        <v>-13152590.719999997</v>
      </c>
      <c r="G19" s="61">
        <f>+G16-G17-G18</f>
        <v>-21712831.780000001</v>
      </c>
      <c r="H19" s="26"/>
      <c r="I19" s="34"/>
    </row>
    <row r="20" spans="1:12" s="32" customFormat="1" ht="30.75" customHeight="1" x14ac:dyDescent="0.35">
      <c r="A20" s="105">
        <v>75</v>
      </c>
      <c r="B20" s="84" t="s">
        <v>16</v>
      </c>
      <c r="C20" s="51">
        <v>0.42</v>
      </c>
      <c r="D20" s="51">
        <v>73266.94</v>
      </c>
      <c r="E20" s="52"/>
      <c r="F20" s="53">
        <v>2676723.13</v>
      </c>
      <c r="G20" s="51">
        <f t="shared" ref="G20:G25" si="0">+C20+D20+E20+F20</f>
        <v>2749990.4899999998</v>
      </c>
      <c r="H20" s="31"/>
      <c r="L20" s="35"/>
    </row>
    <row r="21" spans="1:12" s="32" customFormat="1" ht="30.75" customHeight="1" x14ac:dyDescent="0.35">
      <c r="A21" s="109">
        <v>65</v>
      </c>
      <c r="B21" s="81" t="s">
        <v>17</v>
      </c>
      <c r="C21" s="54">
        <v>35034.980000000003</v>
      </c>
      <c r="D21" s="54">
        <v>0.02</v>
      </c>
      <c r="E21" s="55"/>
      <c r="F21" s="56"/>
      <c r="G21" s="54">
        <f t="shared" si="0"/>
        <v>35035</v>
      </c>
      <c r="H21" s="31"/>
    </row>
    <row r="22" spans="1:12" s="27" customFormat="1" ht="30.75" customHeight="1" x14ac:dyDescent="0.35">
      <c r="A22" s="109"/>
      <c r="B22" s="87" t="s">
        <v>18</v>
      </c>
      <c r="C22" s="70"/>
      <c r="D22" s="70"/>
      <c r="E22" s="71"/>
      <c r="F22" s="72"/>
      <c r="G22" s="70">
        <f t="shared" si="0"/>
        <v>0</v>
      </c>
      <c r="H22" s="26"/>
    </row>
    <row r="23" spans="1:12" s="27" customFormat="1" ht="30.75" customHeight="1" x14ac:dyDescent="0.35">
      <c r="A23" s="109"/>
      <c r="B23" s="87" t="s">
        <v>19</v>
      </c>
      <c r="C23" s="70"/>
      <c r="D23" s="70"/>
      <c r="E23" s="71"/>
      <c r="F23" s="72"/>
      <c r="G23" s="70">
        <f t="shared" si="0"/>
        <v>0</v>
      </c>
      <c r="H23" s="26"/>
    </row>
    <row r="24" spans="1:12" s="32" customFormat="1" ht="30.75" customHeight="1" x14ac:dyDescent="0.35">
      <c r="A24" s="109">
        <v>68</v>
      </c>
      <c r="B24" s="81" t="s">
        <v>20</v>
      </c>
      <c r="C24" s="54">
        <v>1235939.52</v>
      </c>
      <c r="D24" s="54">
        <v>5894971.8700000001</v>
      </c>
      <c r="E24" s="55">
        <v>553549.44999999995</v>
      </c>
      <c r="F24" s="56">
        <v>573352.72</v>
      </c>
      <c r="G24" s="57">
        <f t="shared" si="0"/>
        <v>8257813.5600000005</v>
      </c>
      <c r="H24" s="31"/>
    </row>
    <row r="25" spans="1:12" s="32" customFormat="1" ht="30.75" customHeight="1" thickBot="1" x14ac:dyDescent="0.4">
      <c r="A25" s="106">
        <v>78</v>
      </c>
      <c r="B25" s="82" t="s">
        <v>21</v>
      </c>
      <c r="C25" s="58"/>
      <c r="D25" s="58"/>
      <c r="E25" s="59"/>
      <c r="F25" s="60"/>
      <c r="G25" s="58">
        <f t="shared" si="0"/>
        <v>0</v>
      </c>
      <c r="H25" s="31"/>
    </row>
    <row r="26" spans="1:12" s="27" customFormat="1" ht="30.75" customHeight="1" thickBot="1" x14ac:dyDescent="0.4">
      <c r="A26" s="107" t="s">
        <v>22</v>
      </c>
      <c r="B26" s="85" t="s">
        <v>23</v>
      </c>
      <c r="C26" s="61">
        <f>+C19+C20-(C21+C22+C23+C24+C25)</f>
        <v>-14204658.01</v>
      </c>
      <c r="D26" s="61">
        <f>+D19+D20-(D21+D22+D23+D24+D25)</f>
        <v>2207561.379999999</v>
      </c>
      <c r="E26" s="62">
        <f>+E19+E20-(E21+E22+E23+E24+E25)</f>
        <v>-4209372.9100000048</v>
      </c>
      <c r="F26" s="63">
        <f>+F19+F20-(F21+F22+F23+F24+F25)</f>
        <v>-11049220.309999997</v>
      </c>
      <c r="G26" s="61">
        <f>+G19+G20-(G21+G22+G23+G24+G25)</f>
        <v>-27255689.850000001</v>
      </c>
      <c r="H26" s="26"/>
    </row>
    <row r="27" spans="1:12" s="32" customFormat="1" ht="30.75" customHeight="1" x14ac:dyDescent="0.35">
      <c r="A27" s="105">
        <v>76</v>
      </c>
      <c r="B27" s="84" t="s">
        <v>24</v>
      </c>
      <c r="C27" s="51"/>
      <c r="D27" s="51">
        <v>277278.74</v>
      </c>
      <c r="E27" s="52"/>
      <c r="F27" s="53"/>
      <c r="G27" s="51">
        <f>+C27+D27+E27+F27</f>
        <v>277278.74</v>
      </c>
      <c r="H27" s="31"/>
    </row>
    <row r="28" spans="1:12" s="32" customFormat="1" ht="30.75" customHeight="1" thickBot="1" x14ac:dyDescent="0.4">
      <c r="A28" s="106">
        <v>66</v>
      </c>
      <c r="B28" s="82" t="s">
        <v>25</v>
      </c>
      <c r="C28" s="73"/>
      <c r="D28" s="58">
        <v>266444.57</v>
      </c>
      <c r="E28" s="59"/>
      <c r="F28" s="60"/>
      <c r="G28" s="58">
        <f>+C28+D28+E28+F28</f>
        <v>266444.57</v>
      </c>
      <c r="H28" s="31"/>
    </row>
    <row r="29" spans="1:12" s="27" customFormat="1" ht="30.75" customHeight="1" thickBot="1" x14ac:dyDescent="0.4">
      <c r="A29" s="107" t="s">
        <v>26</v>
      </c>
      <c r="B29" s="85" t="s">
        <v>27</v>
      </c>
      <c r="C29" s="61">
        <f>+C27-C28</f>
        <v>0</v>
      </c>
      <c r="D29" s="61">
        <f>+D27-D28</f>
        <v>10834.169999999984</v>
      </c>
      <c r="E29" s="62">
        <f>+E27-E28</f>
        <v>0</v>
      </c>
      <c r="F29" s="63">
        <f>+F27-F28</f>
        <v>0</v>
      </c>
      <c r="G29" s="61">
        <f>+G27-G28</f>
        <v>10834.169999999984</v>
      </c>
      <c r="H29" s="26"/>
    </row>
    <row r="30" spans="1:12" s="27" customFormat="1" ht="30.75" customHeight="1" thickBot="1" x14ac:dyDescent="0.4">
      <c r="A30" s="107" t="s">
        <v>28</v>
      </c>
      <c r="B30" s="85" t="s">
        <v>29</v>
      </c>
      <c r="C30" s="61">
        <f>+C26+C29</f>
        <v>-14204658.01</v>
      </c>
      <c r="D30" s="61">
        <f>+D26+D29</f>
        <v>2218395.5499999989</v>
      </c>
      <c r="E30" s="62">
        <f>+E26+E29</f>
        <v>-4209372.9100000048</v>
      </c>
      <c r="F30" s="63">
        <f>+F26+F29</f>
        <v>-11049220.309999997</v>
      </c>
      <c r="G30" s="61">
        <f>+G26+G29</f>
        <v>-27244855.68</v>
      </c>
      <c r="H30" s="26"/>
    </row>
    <row r="31" spans="1:12" s="32" customFormat="1" ht="30.75" customHeight="1" x14ac:dyDescent="0.35">
      <c r="A31" s="105" t="s">
        <v>30</v>
      </c>
      <c r="B31" s="84" t="s">
        <v>31</v>
      </c>
      <c r="C31" s="51"/>
      <c r="D31" s="51"/>
      <c r="E31" s="52"/>
      <c r="F31" s="53"/>
      <c r="G31" s="51">
        <f>+C31+D31+E31+F31</f>
        <v>0</v>
      </c>
      <c r="H31" s="31"/>
    </row>
    <row r="32" spans="1:12" s="32" customFormat="1" ht="30.75" customHeight="1" x14ac:dyDescent="0.35">
      <c r="A32" s="109" t="s">
        <v>32</v>
      </c>
      <c r="B32" s="81" t="s">
        <v>33</v>
      </c>
      <c r="C32" s="54"/>
      <c r="D32" s="54"/>
      <c r="E32" s="55"/>
      <c r="F32" s="56"/>
      <c r="G32" s="54">
        <f>+C32+D32+E32+F32</f>
        <v>0</v>
      </c>
      <c r="H32" s="31"/>
    </row>
    <row r="33" spans="1:8" s="37" customFormat="1" ht="30.75" customHeight="1" x14ac:dyDescent="0.35">
      <c r="A33" s="110"/>
      <c r="B33" s="88" t="s">
        <v>45</v>
      </c>
      <c r="C33" s="74">
        <f>+C12+C20+C27</f>
        <v>2500000.42</v>
      </c>
      <c r="D33" s="74">
        <f>+D12+D20+D27</f>
        <v>137995941.31</v>
      </c>
      <c r="E33" s="75">
        <f>+E12+E20+E27</f>
        <v>31090193.539999995</v>
      </c>
      <c r="F33" s="75">
        <f>+F12+F20+F27</f>
        <v>25020994.690000001</v>
      </c>
      <c r="G33" s="74">
        <f>+G12+G20+G27</f>
        <v>196607129.96000001</v>
      </c>
      <c r="H33" s="36"/>
    </row>
    <row r="34" spans="1:8" s="37" customFormat="1" ht="30.75" customHeight="1" thickBot="1" x14ac:dyDescent="0.4">
      <c r="A34" s="111"/>
      <c r="B34" s="89" t="s">
        <v>46</v>
      </c>
      <c r="C34" s="73">
        <f>+C15+C17+C18+C24+C21+C28</f>
        <v>16704658.43</v>
      </c>
      <c r="D34" s="73">
        <f>+D15+D17+D18+D24+D21+D28</f>
        <v>135777545.75999999</v>
      </c>
      <c r="E34" s="77">
        <f>+E15+E17+E18+E24+E21+E28</f>
        <v>35299566.450000003</v>
      </c>
      <c r="F34" s="77">
        <f>+F15+F17+F18+F24+F21+F28</f>
        <v>36070215</v>
      </c>
      <c r="G34" s="73">
        <f>+G15+G17+G18+G24+G21+G28</f>
        <v>223851985.63999996</v>
      </c>
      <c r="H34" s="36"/>
    </row>
    <row r="35" spans="1:8" s="27" customFormat="1" ht="30.75" customHeight="1" thickBot="1" x14ac:dyDescent="0.4">
      <c r="A35" s="107" t="s">
        <v>34</v>
      </c>
      <c r="B35" s="85" t="s">
        <v>35</v>
      </c>
      <c r="C35" s="61">
        <f>+C30</f>
        <v>-14204658.01</v>
      </c>
      <c r="D35" s="61">
        <f>+D30</f>
        <v>2218395.5499999989</v>
      </c>
      <c r="E35" s="62">
        <f>+E30</f>
        <v>-4209372.9100000048</v>
      </c>
      <c r="F35" s="63">
        <f>+F30</f>
        <v>-11049220.309999997</v>
      </c>
      <c r="G35" s="61">
        <f>+G30</f>
        <v>-27244855.68</v>
      </c>
      <c r="H35" s="196"/>
    </row>
    <row r="36" spans="1:8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3">
        <v>0</v>
      </c>
      <c r="G36" s="51">
        <f>+C36+D36+E36+F36</f>
        <v>0</v>
      </c>
      <c r="H36" s="31"/>
    </row>
    <row r="37" spans="1:8" s="32" customFormat="1" ht="30.75" customHeight="1" thickBot="1" x14ac:dyDescent="0.4">
      <c r="A37" s="106">
        <v>67</v>
      </c>
      <c r="B37" s="82" t="s">
        <v>37</v>
      </c>
      <c r="C37" s="58">
        <v>0</v>
      </c>
      <c r="D37" s="58">
        <v>0</v>
      </c>
      <c r="E37" s="59">
        <v>0</v>
      </c>
      <c r="F37" s="60">
        <v>0</v>
      </c>
      <c r="G37" s="58">
        <f>+C37+D37+E37+F37</f>
        <v>0</v>
      </c>
      <c r="H37" s="31"/>
    </row>
    <row r="38" spans="1:8" s="27" customFormat="1" ht="30.75" customHeight="1" thickBot="1" x14ac:dyDescent="0.4">
      <c r="A38" s="107" t="s">
        <v>38</v>
      </c>
      <c r="B38" s="85" t="s">
        <v>39</v>
      </c>
      <c r="C38" s="61"/>
      <c r="D38" s="61"/>
      <c r="E38" s="62"/>
      <c r="F38" s="63"/>
      <c r="G38" s="61"/>
      <c r="H38" s="26"/>
    </row>
    <row r="39" spans="1:8" s="27" customFormat="1" ht="30.6" customHeight="1" x14ac:dyDescent="0.35">
      <c r="A39" s="120" t="s">
        <v>40</v>
      </c>
      <c r="B39" s="121" t="s">
        <v>41</v>
      </c>
      <c r="C39" s="122">
        <f>+C35</f>
        <v>-14204658.01</v>
      </c>
      <c r="D39" s="122">
        <f>+D35</f>
        <v>2218395.5499999989</v>
      </c>
      <c r="E39" s="123">
        <f>+E35</f>
        <v>-4209372.9100000048</v>
      </c>
      <c r="F39" s="124">
        <f>+F35</f>
        <v>-11049220.309999997</v>
      </c>
      <c r="G39" s="122">
        <f>+G35</f>
        <v>-27244855.68</v>
      </c>
      <c r="H39" s="26"/>
    </row>
    <row r="40" spans="1:8" s="27" customFormat="1" ht="11.4" customHeight="1" x14ac:dyDescent="0.35">
      <c r="A40" s="90"/>
      <c r="B40" s="90"/>
      <c r="C40" s="91"/>
      <c r="D40" s="91"/>
      <c r="E40" s="91"/>
      <c r="F40" s="91"/>
      <c r="G40" s="91"/>
      <c r="H40" s="26"/>
    </row>
    <row r="41" spans="1:8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  <c r="H41" s="26"/>
    </row>
    <row r="42" spans="1:8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1.125317805559874</v>
      </c>
      <c r="E42" s="95">
        <f>+E12/E7</f>
        <v>0.491037305532456</v>
      </c>
      <c r="F42" s="95">
        <f>+F12/F7</f>
        <v>0.47527228310436376</v>
      </c>
      <c r="G42" s="95">
        <f>+G12/G7</f>
        <v>0.82323308687243257</v>
      </c>
      <c r="H42" s="197"/>
    </row>
    <row r="43" spans="1:8" s="37" customFormat="1" ht="18" x14ac:dyDescent="0.35">
      <c r="A43" s="92">
        <v>2</v>
      </c>
      <c r="B43" s="93" t="s">
        <v>53</v>
      </c>
      <c r="C43" s="94">
        <f>+C13/C7</f>
        <v>0.69244500799999997</v>
      </c>
      <c r="D43" s="95">
        <f>+D13/D7</f>
        <v>0.75217495033722803</v>
      </c>
      <c r="E43" s="95">
        <f>+E13/E7</f>
        <v>0.26087094153062423</v>
      </c>
      <c r="F43" s="95">
        <f>+F13/F7</f>
        <v>0.38747105684615807</v>
      </c>
      <c r="G43" s="95">
        <f>+G13/G7</f>
        <v>0.54633482313704296</v>
      </c>
      <c r="H43" s="197"/>
    </row>
    <row r="44" spans="1:8" s="37" customFormat="1" ht="18" x14ac:dyDescent="0.35">
      <c r="A44" s="92">
        <v>3</v>
      </c>
      <c r="B44" s="93" t="s">
        <v>56</v>
      </c>
      <c r="C44" s="94">
        <f>+C13/C12</f>
        <v>0.69244500799999997</v>
      </c>
      <c r="D44" s="95">
        <f>+D13/D12</f>
        <v>0.66841113383343465</v>
      </c>
      <c r="E44" s="95">
        <f>+E13/E12</f>
        <v>0.53126501508423873</v>
      </c>
      <c r="F44" s="95">
        <f>+F13/F12</f>
        <v>0.81526121051135292</v>
      </c>
      <c r="G44" s="95">
        <f>+G13/G12</f>
        <v>0.66364536587400613</v>
      </c>
      <c r="H44" s="197"/>
    </row>
    <row r="45" spans="1:8" s="37" customFormat="1" ht="18" x14ac:dyDescent="0.35">
      <c r="A45" s="92">
        <v>4</v>
      </c>
      <c r="B45" s="93" t="s">
        <v>57</v>
      </c>
      <c r="C45" s="94">
        <f>+C15/C12</f>
        <v>2.153199984</v>
      </c>
      <c r="D45" s="95">
        <f>+D15/D12</f>
        <v>0.70881371674982196</v>
      </c>
      <c r="E45" s="95">
        <f>+E15/E12</f>
        <v>0.71638865133935103</v>
      </c>
      <c r="F45" s="95">
        <f>+F15/F12</f>
        <v>0.99621482715277188</v>
      </c>
      <c r="G45" s="95">
        <f>+G15/G12</f>
        <v>0.76185766599812554</v>
      </c>
      <c r="H45" s="197"/>
    </row>
    <row r="46" spans="1:8" s="37" customFormat="1" ht="18" x14ac:dyDescent="0.35">
      <c r="A46" s="92">
        <v>5</v>
      </c>
      <c r="B46" s="93" t="s">
        <v>58</v>
      </c>
      <c r="C46" s="94">
        <f>+C17/C12</f>
        <v>4.0002335880000004</v>
      </c>
      <c r="D46" s="95">
        <f>+D17/D12</f>
        <v>0.22396445365209924</v>
      </c>
      <c r="E46" s="95">
        <f>+E17/E12</f>
        <v>0.38042362119049072</v>
      </c>
      <c r="F46" s="95">
        <f>+F17/F12</f>
        <v>0.49101648360023775</v>
      </c>
      <c r="G46" s="95">
        <f>+G17/G12</f>
        <v>0.32868661657291603</v>
      </c>
      <c r="H46" s="197"/>
    </row>
    <row r="47" spans="1:8" s="37" customFormat="1" ht="18" x14ac:dyDescent="0.35">
      <c r="A47" s="92">
        <v>6</v>
      </c>
      <c r="B47" s="93" t="s">
        <v>54</v>
      </c>
      <c r="C47" s="94">
        <f>+C16/C17</f>
        <v>-0.2882831611282396</v>
      </c>
      <c r="D47" s="95">
        <f>+D16/D17</f>
        <v>1.3001450833019221</v>
      </c>
      <c r="E47" s="95">
        <f>+E16/E17</f>
        <v>0.74551456025028318</v>
      </c>
      <c r="F47" s="95">
        <f>+F16/F17</f>
        <v>7.7088508709003412E-3</v>
      </c>
      <c r="G47" s="95">
        <f>+G16/G17</f>
        <v>0.72452701751257587</v>
      </c>
      <c r="H47" s="197"/>
    </row>
    <row r="48" spans="1:8" s="37" customFormat="1" ht="18" x14ac:dyDescent="0.35">
      <c r="A48" s="92">
        <v>7</v>
      </c>
      <c r="B48" s="93" t="s">
        <v>55</v>
      </c>
      <c r="C48" s="94">
        <f>+C19/C12</f>
        <v>-5.1734735719999998</v>
      </c>
      <c r="D48" s="95">
        <f>+D19/D12</f>
        <v>5.8332981595571869E-2</v>
      </c>
      <c r="E48" s="95">
        <f>+E19/E12</f>
        <v>-0.1175876713439078</v>
      </c>
      <c r="F48" s="95">
        <f>+F19/F12</f>
        <v>-0.58863367663080779</v>
      </c>
      <c r="G48" s="95">
        <f>+G19/G12</f>
        <v>-0.11216472466774051</v>
      </c>
      <c r="H48" s="197"/>
    </row>
    <row r="49" spans="1:7" x14ac:dyDescent="0.55000000000000004">
      <c r="A49" s="90"/>
      <c r="B49" s="90"/>
      <c r="C49" s="96"/>
      <c r="D49" s="96"/>
      <c r="E49" s="96"/>
      <c r="F49" s="96"/>
      <c r="G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T1:U1"/>
    <mergeCell ref="T2:U2"/>
    <mergeCell ref="A5:G5"/>
    <mergeCell ref="S3:T3"/>
  </mergeCells>
  <conditionalFormatting sqref="D1:G2 C42:G1048576 D40:G40 D7:F32 D35:F39 D33:E34 D4:G4">
    <cfRule type="cellIs" dxfId="164" priority="10" operator="lessThan">
      <formula>-0.01</formula>
    </cfRule>
  </conditionalFormatting>
  <conditionalFormatting sqref="C1:C2 C7:C40 C4">
    <cfRule type="cellIs" dxfId="163" priority="9" operator="lessThan">
      <formula>-0.01</formula>
    </cfRule>
  </conditionalFormatting>
  <conditionalFormatting sqref="G7:G39">
    <cfRule type="cellIs" dxfId="162" priority="8" operator="lessThan">
      <formula>-0.01</formula>
    </cfRule>
  </conditionalFormatting>
  <conditionalFormatting sqref="C6">
    <cfRule type="cellIs" dxfId="161" priority="4" operator="lessThan">
      <formula>-0.01</formula>
    </cfRule>
  </conditionalFormatting>
  <conditionalFormatting sqref="F33:F34">
    <cfRule type="cellIs" dxfId="160" priority="6" operator="lessThan">
      <formula>-0.01</formula>
    </cfRule>
  </conditionalFormatting>
  <conditionalFormatting sqref="D6:F6">
    <cfRule type="cellIs" dxfId="159" priority="5" operator="lessThan">
      <formula>-0.01</formula>
    </cfRule>
  </conditionalFormatting>
  <conditionalFormatting sqref="G6">
    <cfRule type="cellIs" dxfId="158" priority="3" operator="lessThan">
      <formula>-0.01</formula>
    </cfRule>
  </conditionalFormatting>
  <conditionalFormatting sqref="D3:G3">
    <cfRule type="cellIs" dxfId="157" priority="2" operator="lessThan">
      <formula>-0.01</formula>
    </cfRule>
  </conditionalFormatting>
  <conditionalFormatting sqref="C3">
    <cfRule type="cellIs" dxfId="156" priority="1" operator="lessThan">
      <formula>-0.01</formula>
    </cfRule>
  </conditionalFormatting>
  <pageMargins left="0.14000000000000001" right="0.11" top="0.16" bottom="0.16" header="0.16" footer="0"/>
  <pageSetup paperSize="9" scale="48" orientation="portrait" r:id="rId1"/>
  <drawing r:id="rId2"/>
  <legacyDrawing r:id="rId3"/>
  <tableParts count="1"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A49"/>
  <sheetViews>
    <sheetView view="pageBreakPreview" zoomScale="90" zoomScaleNormal="50" zoomScaleSheetLayoutView="90" workbookViewId="0">
      <pane xSplit="2" ySplit="6" topLeftCell="C7" activePane="bottomRight" state="frozen"/>
      <selection activeCell="C5" sqref="C5:D5"/>
      <selection pane="topRight" activeCell="C5" sqref="C5:D5"/>
      <selection pane="bottomLeft" activeCell="C5" sqref="C5:D5"/>
      <selection pane="bottomRight" activeCell="E9" sqref="E9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16384" width="11.44140625" style="1"/>
  </cols>
  <sheetData>
    <row r="1" spans="1:27" s="42" customFormat="1" ht="13.8" customHeight="1" x14ac:dyDescent="0.45">
      <c r="A1" s="25"/>
      <c r="B1" s="39"/>
      <c r="C1" s="255"/>
      <c r="D1" s="40"/>
      <c r="E1" s="40"/>
      <c r="F1" s="40"/>
      <c r="G1" s="97"/>
      <c r="H1" s="39"/>
      <c r="I1" s="39"/>
      <c r="J1" s="39"/>
      <c r="N1" s="39"/>
      <c r="O1" s="39"/>
      <c r="P1" s="278"/>
      <c r="Q1" s="278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s="42" customFormat="1" ht="13.8" customHeight="1" x14ac:dyDescent="0.45">
      <c r="A2" s="25"/>
      <c r="B2" s="43"/>
      <c r="C2" s="256"/>
      <c r="D2" s="44"/>
      <c r="E2" s="44"/>
      <c r="F2" s="44"/>
      <c r="G2" s="98"/>
      <c r="H2" s="39"/>
      <c r="I2" s="39"/>
      <c r="J2" s="39"/>
      <c r="N2" s="43"/>
      <c r="O2" s="45"/>
      <c r="P2" s="279"/>
      <c r="Q2" s="27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s="42" customFormat="1" ht="13.8" customHeight="1" x14ac:dyDescent="0.4">
      <c r="A3" s="46"/>
      <c r="B3" s="47"/>
      <c r="C3" s="257"/>
      <c r="D3" s="48"/>
      <c r="E3" s="254"/>
      <c r="F3" s="48"/>
      <c r="G3" s="99"/>
      <c r="H3" s="46"/>
      <c r="I3" s="46"/>
      <c r="J3" s="46"/>
      <c r="N3" s="46"/>
      <c r="O3" s="46"/>
      <c r="P3" s="280"/>
      <c r="Q3" s="280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42" customFormat="1" ht="13.8" customHeight="1" x14ac:dyDescent="0.4">
      <c r="A4" s="46"/>
      <c r="B4" s="46"/>
      <c r="C4" s="258"/>
      <c r="D4" s="50"/>
      <c r="E4" s="50"/>
      <c r="F4" s="50"/>
      <c r="G4" s="100"/>
    </row>
    <row r="5" spans="1:27" ht="26.4" thickBot="1" x14ac:dyDescent="0.55000000000000004">
      <c r="A5" s="281" t="s">
        <v>86</v>
      </c>
      <c r="B5" s="281"/>
      <c r="C5" s="281"/>
      <c r="D5" s="281"/>
      <c r="E5" s="281"/>
      <c r="F5" s="281"/>
      <c r="G5" s="281"/>
    </row>
    <row r="6" spans="1:27" s="27" customFormat="1" ht="52.2" customHeight="1" x14ac:dyDescent="0.35">
      <c r="A6" s="198" t="s">
        <v>0</v>
      </c>
      <c r="B6" s="199" t="s">
        <v>1</v>
      </c>
      <c r="C6" s="200" t="s">
        <v>50</v>
      </c>
      <c r="D6" s="200" t="s">
        <v>47</v>
      </c>
      <c r="E6" s="201" t="s">
        <v>48</v>
      </c>
      <c r="F6" s="202" t="s">
        <v>49</v>
      </c>
      <c r="G6" s="200" t="s">
        <v>92</v>
      </c>
    </row>
    <row r="7" spans="1:27" s="29" customFormat="1" ht="30.75" customHeight="1" x14ac:dyDescent="0.35">
      <c r="A7" s="101"/>
      <c r="B7" s="79" t="s">
        <v>2</v>
      </c>
      <c r="C7" s="51">
        <v>98593823.540000007</v>
      </c>
      <c r="D7" s="64">
        <v>136095103.42000008</v>
      </c>
      <c r="E7" s="65">
        <v>100780954.89999998</v>
      </c>
      <c r="F7" s="66">
        <v>151103715.44</v>
      </c>
      <c r="G7" s="64">
        <f>SUM(Tableau13[[#This Row],[SIEGE]:[AZDU]])</f>
        <v>486573597.30000007</v>
      </c>
    </row>
    <row r="8" spans="1:27" s="29" customFormat="1" ht="30.75" customHeight="1" x14ac:dyDescent="0.35">
      <c r="A8" s="102"/>
      <c r="B8" s="80" t="s">
        <v>42</v>
      </c>
      <c r="C8" s="54"/>
      <c r="D8" s="57">
        <v>1328118.3700000001</v>
      </c>
      <c r="E8" s="183">
        <v>0</v>
      </c>
      <c r="F8" s="184">
        <v>0</v>
      </c>
      <c r="G8" s="64">
        <f>SUM(Tableau13[[#This Row],[SIEGE]:[AZDU]])</f>
        <v>1328118.3700000001</v>
      </c>
      <c r="J8" s="30"/>
    </row>
    <row r="9" spans="1:27" s="27" customFormat="1" ht="30.75" customHeight="1" x14ac:dyDescent="0.35">
      <c r="A9" s="102"/>
      <c r="B9" s="81" t="s">
        <v>3</v>
      </c>
      <c r="C9" s="54"/>
      <c r="D9" s="57">
        <v>13221747.91</v>
      </c>
      <c r="E9" s="262">
        <v>-53640146.740000002</v>
      </c>
      <c r="F9" s="184">
        <v>-62833965.240000002</v>
      </c>
      <c r="G9" s="64">
        <f>SUM(Tableau13[[#This Row],[SIEGE]:[AZDU]])</f>
        <v>-103252364.06999999</v>
      </c>
    </row>
    <row r="10" spans="1:27" s="27" customFormat="1" ht="30.75" customHeight="1" x14ac:dyDescent="0.35">
      <c r="A10" s="102"/>
      <c r="B10" s="81" t="s">
        <v>4</v>
      </c>
      <c r="C10" s="54"/>
      <c r="D10" s="54">
        <v>0</v>
      </c>
      <c r="E10" s="55">
        <v>0</v>
      </c>
      <c r="F10" s="56">
        <v>0</v>
      </c>
      <c r="G10" s="51">
        <f>SUM(Tableau13[[#This Row],[SIEGE]:[AZDU]])</f>
        <v>0</v>
      </c>
    </row>
    <row r="11" spans="1:27" s="27" customFormat="1" ht="30.75" customHeight="1" thickBot="1" x14ac:dyDescent="0.4">
      <c r="A11" s="103"/>
      <c r="B11" s="82" t="s">
        <v>5</v>
      </c>
      <c r="C11" s="58"/>
      <c r="D11" s="58">
        <v>0</v>
      </c>
      <c r="E11" s="59">
        <v>0</v>
      </c>
      <c r="F11" s="60">
        <v>0</v>
      </c>
      <c r="G11" s="112">
        <f>SUM(Tableau13[[#This Row],[SIEGE]:[AZDU]])</f>
        <v>0</v>
      </c>
    </row>
    <row r="12" spans="1:27" s="27" customFormat="1" ht="30.75" customHeight="1" thickBot="1" x14ac:dyDescent="0.4">
      <c r="A12" s="104"/>
      <c r="B12" s="83" t="s">
        <v>6</v>
      </c>
      <c r="C12" s="61">
        <f>SUM(C7:C11)</f>
        <v>98593823.540000007</v>
      </c>
      <c r="D12" s="62">
        <f>SUM(D7:D11)</f>
        <v>150644969.70000008</v>
      </c>
      <c r="E12" s="62">
        <f>SUM(E7:E11)</f>
        <v>47140808.159999974</v>
      </c>
      <c r="F12" s="62">
        <f>SUM(F7:F11)</f>
        <v>88269750.199999988</v>
      </c>
      <c r="G12" s="61">
        <f>SUM(Tableau13[[#This Row],[SIEGE]:[AZDU]])</f>
        <v>384649351.60000002</v>
      </c>
    </row>
    <row r="13" spans="1:27" s="32" customFormat="1" ht="30.75" customHeight="1" x14ac:dyDescent="0.35">
      <c r="A13" s="105">
        <v>60</v>
      </c>
      <c r="B13" s="84" t="s">
        <v>7</v>
      </c>
      <c r="C13" s="51">
        <v>38791888.240000002</v>
      </c>
      <c r="D13" s="64">
        <v>114330015.73</v>
      </c>
      <c r="E13" s="65">
        <v>23164809.280000001</v>
      </c>
      <c r="F13" s="66">
        <v>45832103.880000003</v>
      </c>
      <c r="G13" s="51">
        <f>SUM(Tableau13[[#This Row],[SIEGE]:[AZDU]])</f>
        <v>222118817.13</v>
      </c>
    </row>
    <row r="14" spans="1:27" s="32" customFormat="1" ht="30.75" customHeight="1" thickBot="1" x14ac:dyDescent="0.4">
      <c r="A14" s="106" t="s">
        <v>8</v>
      </c>
      <c r="B14" s="82" t="s">
        <v>43</v>
      </c>
      <c r="C14" s="58">
        <f>6700462.06+1328118.37</f>
        <v>8028580.4299999997</v>
      </c>
      <c r="D14" s="73">
        <v>8509485.4499999993</v>
      </c>
      <c r="E14" s="77">
        <v>5286417</v>
      </c>
      <c r="F14" s="78">
        <v>10212396.5</v>
      </c>
      <c r="G14" s="58">
        <f>SUM(Tableau13[[#This Row],[SIEGE]:[AZDU]])</f>
        <v>32036879.379999999</v>
      </c>
    </row>
    <row r="15" spans="1:27" s="27" customFormat="1" ht="30.75" customHeight="1" thickBot="1" x14ac:dyDescent="0.4">
      <c r="A15" s="107" t="s">
        <v>9</v>
      </c>
      <c r="B15" s="85" t="s">
        <v>10</v>
      </c>
      <c r="C15" s="61">
        <f>SUM(C13:C14)</f>
        <v>46820468.670000002</v>
      </c>
      <c r="D15" s="62">
        <f>SUM(D13:D14)</f>
        <v>122839501.18000001</v>
      </c>
      <c r="E15" s="62">
        <f>SUM(E13:E14)</f>
        <v>28451226.280000001</v>
      </c>
      <c r="F15" s="62">
        <f>SUM(F13:F14)</f>
        <v>56044500.380000003</v>
      </c>
      <c r="G15" s="61">
        <f>SUM(Tableau13[[#This Row],[SIEGE]:[AZDU]])</f>
        <v>254155696.51000002</v>
      </c>
    </row>
    <row r="16" spans="1:27" s="27" customFormat="1" ht="30.75" customHeight="1" thickBot="1" x14ac:dyDescent="0.4">
      <c r="A16" s="108" t="s">
        <v>11</v>
      </c>
      <c r="B16" s="86" t="s">
        <v>12</v>
      </c>
      <c r="C16" s="67">
        <f>+C12-C15</f>
        <v>51773354.870000005</v>
      </c>
      <c r="D16" s="68">
        <f>+D12-D15</f>
        <v>27805468.52000007</v>
      </c>
      <c r="E16" s="68">
        <f>+E12-E15</f>
        <v>18689581.879999973</v>
      </c>
      <c r="F16" s="68">
        <f>+F12-F15</f>
        <v>32225249.819999985</v>
      </c>
      <c r="G16" s="67">
        <f>SUM(Tableau13[[#This Row],[SIEGE]:[AZDU]])</f>
        <v>130493655.09000003</v>
      </c>
    </row>
    <row r="17" spans="1:8" s="32" customFormat="1" ht="30.75" customHeight="1" x14ac:dyDescent="0.35">
      <c r="A17" s="105">
        <v>63</v>
      </c>
      <c r="B17" s="84" t="s">
        <v>44</v>
      </c>
      <c r="C17" s="64">
        <v>36880329.840000004</v>
      </c>
      <c r="D17" s="64">
        <v>13651820.65</v>
      </c>
      <c r="E17" s="65">
        <v>9900268.1600000001</v>
      </c>
      <c r="F17" s="66">
        <v>7184550.8200000003</v>
      </c>
      <c r="G17" s="51">
        <f>SUM(Tableau13[[#This Row],[SIEGE]:[AZDU]])</f>
        <v>67616969.469999999</v>
      </c>
    </row>
    <row r="18" spans="1:8" s="32" customFormat="1" ht="30.75" customHeight="1" thickBot="1" x14ac:dyDescent="0.4">
      <c r="A18" s="106">
        <v>64</v>
      </c>
      <c r="B18" s="82" t="s">
        <v>13</v>
      </c>
      <c r="C18" s="58">
        <v>3565835.95</v>
      </c>
      <c r="D18" s="58">
        <v>1373872.88</v>
      </c>
      <c r="E18" s="59">
        <v>1424505</v>
      </c>
      <c r="F18" s="78">
        <v>1460056.85</v>
      </c>
      <c r="G18" s="58">
        <f>SUM(Tableau13[[#This Row],[SIEGE]:[AZDU]])</f>
        <v>7824270.6799999997</v>
      </c>
    </row>
    <row r="19" spans="1:8" s="27" customFormat="1" ht="30.75" customHeight="1" thickBot="1" x14ac:dyDescent="0.4">
      <c r="A19" s="107" t="s">
        <v>14</v>
      </c>
      <c r="B19" s="85" t="s">
        <v>15</v>
      </c>
      <c r="C19" s="61">
        <f>+C16-C17-C18</f>
        <v>11327189.080000002</v>
      </c>
      <c r="D19" s="62">
        <f>+D16-D17-D18</f>
        <v>12779774.990000069</v>
      </c>
      <c r="E19" s="62">
        <f>+E16-E17-E18</f>
        <v>7364808.7199999727</v>
      </c>
      <c r="F19" s="62">
        <f>+F16-F17-F18</f>
        <v>23580642.149999984</v>
      </c>
      <c r="G19" s="61">
        <f>SUM(Tableau13[[#This Row],[SIEGE]:[AZDU]])</f>
        <v>55052414.940000027</v>
      </c>
    </row>
    <row r="20" spans="1:8" s="32" customFormat="1" ht="30.75" customHeight="1" x14ac:dyDescent="0.35">
      <c r="A20" s="105">
        <v>75</v>
      </c>
      <c r="B20" s="84" t="s">
        <v>16</v>
      </c>
      <c r="C20" s="51">
        <v>71292193.859999999</v>
      </c>
      <c r="D20" s="64">
        <v>212226.62</v>
      </c>
      <c r="E20" s="52">
        <v>34306</v>
      </c>
      <c r="F20" s="53">
        <v>0</v>
      </c>
      <c r="G20" s="51">
        <f>SUM(Tableau13[[#This Row],[SIEGE]:[AZDU]])</f>
        <v>71538726.480000004</v>
      </c>
      <c r="H20" s="35"/>
    </row>
    <row r="21" spans="1:8" s="32" customFormat="1" ht="30.75" customHeight="1" x14ac:dyDescent="0.35">
      <c r="A21" s="109">
        <v>65</v>
      </c>
      <c r="B21" s="81" t="s">
        <v>17</v>
      </c>
      <c r="C21" s="54">
        <v>545309.02</v>
      </c>
      <c r="D21" s="57">
        <v>2065345.55</v>
      </c>
      <c r="E21" s="55">
        <v>904706.22</v>
      </c>
      <c r="F21" s="56">
        <v>769093.9</v>
      </c>
      <c r="G21" s="54">
        <f>SUM(Tableau13[[#This Row],[SIEGE]:[AZDU]])</f>
        <v>4284454.6900000004</v>
      </c>
    </row>
    <row r="22" spans="1:8" s="27" customFormat="1" ht="30.75" customHeight="1" x14ac:dyDescent="0.35">
      <c r="A22" s="109"/>
      <c r="B22" s="87" t="s">
        <v>18</v>
      </c>
      <c r="C22" s="70"/>
      <c r="D22" s="70">
        <v>0</v>
      </c>
      <c r="E22" s="71">
        <v>0</v>
      </c>
      <c r="F22" s="72">
        <v>0</v>
      </c>
      <c r="G22" s="70">
        <f>SUM(Tableau13[[#This Row],[SIEGE]:[AZDU]])</f>
        <v>0</v>
      </c>
    </row>
    <row r="23" spans="1:8" s="27" customFormat="1" ht="30.75" customHeight="1" x14ac:dyDescent="0.35">
      <c r="A23" s="109"/>
      <c r="B23" s="87" t="s">
        <v>19</v>
      </c>
      <c r="C23" s="70"/>
      <c r="D23" s="70">
        <v>0</v>
      </c>
      <c r="E23" s="71">
        <v>0</v>
      </c>
      <c r="F23" s="72">
        <v>0</v>
      </c>
      <c r="G23" s="70">
        <f>SUM(Tableau13[[#This Row],[SIEGE]:[AZDU]])</f>
        <v>0</v>
      </c>
    </row>
    <row r="24" spans="1:8" s="32" customFormat="1" ht="30.75" customHeight="1" x14ac:dyDescent="0.35">
      <c r="A24" s="109">
        <v>68</v>
      </c>
      <c r="B24" s="81" t="s">
        <v>20</v>
      </c>
      <c r="C24" s="54">
        <v>29596211.210000001</v>
      </c>
      <c r="D24" s="54">
        <v>-21967799.649999999</v>
      </c>
      <c r="E24" s="55">
        <v>3260353.03</v>
      </c>
      <c r="F24" s="56">
        <v>2752525.73</v>
      </c>
      <c r="G24" s="57">
        <f>SUM(Tableau13[[#This Row],[SIEGE]:[AZDU]])</f>
        <v>13641290.320000002</v>
      </c>
    </row>
    <row r="25" spans="1:8" s="32" customFormat="1" ht="30.75" customHeight="1" thickBot="1" x14ac:dyDescent="0.4">
      <c r="A25" s="106">
        <v>78</v>
      </c>
      <c r="B25" s="82" t="s">
        <v>21</v>
      </c>
      <c r="C25" s="58">
        <v>48854248.280000001</v>
      </c>
      <c r="D25" s="58">
        <v>85657724.030000001</v>
      </c>
      <c r="E25" s="59">
        <v>10093631.470000001</v>
      </c>
      <c r="F25" s="60">
        <v>54352939.409999996</v>
      </c>
      <c r="G25" s="58">
        <f>SUM(Tableau13[[#This Row],[SIEGE]:[AZDU]])</f>
        <v>198958543.19</v>
      </c>
    </row>
    <row r="26" spans="1:8" s="27" customFormat="1" ht="30.75" customHeight="1" thickBot="1" x14ac:dyDescent="0.4">
      <c r="A26" s="107" t="s">
        <v>22</v>
      </c>
      <c r="B26" s="85" t="s">
        <v>23</v>
      </c>
      <c r="C26" s="61">
        <f t="shared" ref="C26:F26" si="0">+C19+C20+C25-(C21+C22+C23+C24)</f>
        <v>101332110.98999999</v>
      </c>
      <c r="D26" s="62">
        <f t="shared" si="0"/>
        <v>118552179.74000007</v>
      </c>
      <c r="E26" s="62">
        <f t="shared" si="0"/>
        <v>13327686.939999975</v>
      </c>
      <c r="F26" s="62">
        <f t="shared" si="0"/>
        <v>74411961.929999977</v>
      </c>
      <c r="G26" s="61">
        <f>SUM(Tableau13[[#This Row],[SIEGE]:[AZDU]])</f>
        <v>307623939.60000002</v>
      </c>
    </row>
    <row r="27" spans="1:8" s="32" customFormat="1" ht="30.75" customHeight="1" x14ac:dyDescent="0.35">
      <c r="A27" s="105">
        <v>76</v>
      </c>
      <c r="B27" s="84" t="s">
        <v>24</v>
      </c>
      <c r="C27" s="51">
        <v>12801261.27</v>
      </c>
      <c r="D27" s="64">
        <v>270854.48</v>
      </c>
      <c r="E27" s="52"/>
      <c r="F27" s="53">
        <v>0</v>
      </c>
      <c r="G27" s="51">
        <f>SUM(Tableau13[[#This Row],[SIEGE]:[AZDU]])</f>
        <v>13072115.75</v>
      </c>
    </row>
    <row r="28" spans="1:8" s="32" customFormat="1" ht="30.75" customHeight="1" thickBot="1" x14ac:dyDescent="0.4">
      <c r="A28" s="106">
        <v>66</v>
      </c>
      <c r="B28" s="82" t="s">
        <v>25</v>
      </c>
      <c r="C28" s="73">
        <v>-58117500.009999998</v>
      </c>
      <c r="D28" s="73">
        <v>4083347.3</v>
      </c>
      <c r="E28" s="59"/>
      <c r="F28" s="60">
        <v>0</v>
      </c>
      <c r="G28" s="58">
        <f>SUM(Tableau13[[#This Row],[SIEGE]:[AZDU]])</f>
        <v>-54034152.710000001</v>
      </c>
    </row>
    <row r="29" spans="1:8" s="27" customFormat="1" ht="30.75" customHeight="1" thickBot="1" x14ac:dyDescent="0.4">
      <c r="A29" s="107" t="s">
        <v>26</v>
      </c>
      <c r="B29" s="85" t="s">
        <v>27</v>
      </c>
      <c r="C29" s="61">
        <f>+C27-C28</f>
        <v>70918761.280000001</v>
      </c>
      <c r="D29" s="62">
        <f>+D27-D28</f>
        <v>-3812492.82</v>
      </c>
      <c r="E29" s="62">
        <v>0</v>
      </c>
      <c r="F29" s="62">
        <f>+F27-F28</f>
        <v>0</v>
      </c>
      <c r="G29" s="61">
        <f>SUM(Tableau13[[#This Row],[SIEGE]:[AZDU]])</f>
        <v>67106268.460000001</v>
      </c>
    </row>
    <row r="30" spans="1:8" s="27" customFormat="1" ht="30.75" customHeight="1" thickBot="1" x14ac:dyDescent="0.4">
      <c r="A30" s="107" t="s">
        <v>28</v>
      </c>
      <c r="B30" s="85" t="s">
        <v>29</v>
      </c>
      <c r="C30" s="61">
        <f>+C26+C29</f>
        <v>172250872.26999998</v>
      </c>
      <c r="D30" s="62">
        <f>+D26+D29</f>
        <v>114739686.92000008</v>
      </c>
      <c r="E30" s="62">
        <f>+E26+E29</f>
        <v>13327686.939999975</v>
      </c>
      <c r="F30" s="62">
        <f>+F26+F29</f>
        <v>74411961.929999977</v>
      </c>
      <c r="G30" s="61">
        <f>SUM(Tableau13[[#This Row],[SIEGE]:[AZDU]])</f>
        <v>374730208.06000006</v>
      </c>
    </row>
    <row r="31" spans="1:8" s="32" customFormat="1" ht="30.75" customHeight="1" x14ac:dyDescent="0.35">
      <c r="A31" s="105" t="s">
        <v>30</v>
      </c>
      <c r="B31" s="84" t="s">
        <v>31</v>
      </c>
      <c r="C31" s="51"/>
      <c r="D31" s="51">
        <v>0</v>
      </c>
      <c r="E31" s="52">
        <v>0</v>
      </c>
      <c r="F31" s="53">
        <v>0</v>
      </c>
      <c r="G31" s="51">
        <f>SUM(Tableau13[[#This Row],[SIEGE]:[AZDU]])</f>
        <v>0</v>
      </c>
    </row>
    <row r="32" spans="1:8" s="32" customFormat="1" ht="30.75" customHeight="1" x14ac:dyDescent="0.35">
      <c r="A32" s="109" t="s">
        <v>32</v>
      </c>
      <c r="B32" s="81" t="s">
        <v>33</v>
      </c>
      <c r="C32" s="54">
        <v>-6235117.2300000004</v>
      </c>
      <c r="D32" s="54">
        <v>-17280073.210000001</v>
      </c>
      <c r="E32" s="55">
        <v>-3301632.18</v>
      </c>
      <c r="F32" s="56">
        <v>-15258025.529999999</v>
      </c>
      <c r="G32" s="54">
        <f>SUM(Tableau13[[#This Row],[SIEGE]:[AZDU]])</f>
        <v>-42074848.149999999</v>
      </c>
    </row>
    <row r="33" spans="1:7" s="37" customFormat="1" ht="30.75" customHeight="1" x14ac:dyDescent="0.35">
      <c r="A33" s="110"/>
      <c r="B33" s="88" t="s">
        <v>45</v>
      </c>
      <c r="C33" s="74">
        <f t="shared" ref="C33" si="1">+C12+C20+C27+C25</f>
        <v>231541526.95000002</v>
      </c>
      <c r="D33" s="75">
        <f>+D12+D20+D27+D25</f>
        <v>236785774.83000007</v>
      </c>
      <c r="E33" s="75">
        <f t="shared" ref="E33" si="2">+E12+E20+E27+E25</f>
        <v>57268745.629999973</v>
      </c>
      <c r="F33" s="75">
        <f t="shared" ref="F33" si="3">+F12+F20+F27+F25</f>
        <v>142622689.60999998</v>
      </c>
      <c r="G33" s="74">
        <f>SUM(Tableau13[[#This Row],[SIEGE]:[AZDU]])</f>
        <v>668218737.0200001</v>
      </c>
    </row>
    <row r="34" spans="1:7" s="37" customFormat="1" ht="30.75" customHeight="1" thickBot="1" x14ac:dyDescent="0.4">
      <c r="A34" s="111"/>
      <c r="B34" s="89" t="s">
        <v>46</v>
      </c>
      <c r="C34" s="73">
        <f>(C15+C17+C18+C24+C21+C28)-C32</f>
        <v>65525771.910000011</v>
      </c>
      <c r="D34" s="77">
        <f t="shared" ref="D34:G34" si="4">(D15+D17+D18+D24+D21+D28)-D32</f>
        <v>139326161.12</v>
      </c>
      <c r="E34" s="77">
        <f>(E15+E17+E18+E24+E21+E28)-E32</f>
        <v>47242690.869999997</v>
      </c>
      <c r="F34" s="77">
        <f>(F15+F17+F18+F24+F21+F28)-F32</f>
        <v>83468753.210000008</v>
      </c>
      <c r="G34" s="73">
        <f t="shared" si="4"/>
        <v>335563377.11000001</v>
      </c>
    </row>
    <row r="35" spans="1:7" s="27" customFormat="1" ht="30.75" customHeight="1" thickBot="1" x14ac:dyDescent="0.4">
      <c r="A35" s="107" t="s">
        <v>34</v>
      </c>
      <c r="B35" s="85" t="s">
        <v>35</v>
      </c>
      <c r="C35" s="61">
        <f>+C33-C34</f>
        <v>166015755.04000002</v>
      </c>
      <c r="D35" s="62">
        <f t="shared" ref="D35:F35" si="5">+D33-D34</f>
        <v>97459613.710000068</v>
      </c>
      <c r="E35" s="62">
        <f t="shared" si="5"/>
        <v>10026054.759999976</v>
      </c>
      <c r="F35" s="62">
        <f t="shared" si="5"/>
        <v>59153936.399999976</v>
      </c>
      <c r="G35" s="61">
        <f>SUM(Tableau13[[#This Row],[SIEGE]:[AZDU]])</f>
        <v>332655359.91000003</v>
      </c>
    </row>
    <row r="36" spans="1:7" s="32" customFormat="1" ht="30.75" customHeight="1" x14ac:dyDescent="0.35">
      <c r="A36" s="105">
        <v>77</v>
      </c>
      <c r="B36" s="84" t="s">
        <v>36</v>
      </c>
      <c r="C36" s="51">
        <v>0</v>
      </c>
      <c r="D36" s="51">
        <v>0</v>
      </c>
      <c r="E36" s="52">
        <v>0</v>
      </c>
      <c r="F36" s="53">
        <v>0</v>
      </c>
      <c r="G36" s="51">
        <f>SUM(Tableau13[[#This Row],[SIEGE]:[AZDU]])</f>
        <v>0</v>
      </c>
    </row>
    <row r="37" spans="1:7" s="32" customFormat="1" ht="30.75" customHeight="1" thickBot="1" x14ac:dyDescent="0.4">
      <c r="A37" s="106">
        <v>67</v>
      </c>
      <c r="B37" s="82" t="s">
        <v>37</v>
      </c>
      <c r="C37" s="58"/>
      <c r="D37" s="58">
        <v>0</v>
      </c>
      <c r="E37" s="59">
        <v>0</v>
      </c>
      <c r="F37" s="60">
        <v>0</v>
      </c>
      <c r="G37" s="58">
        <f>SUM(Tableau13[[#This Row],[SIEGE]:[AZDU]])</f>
        <v>0</v>
      </c>
    </row>
    <row r="38" spans="1:7" s="27" customFormat="1" ht="30.75" customHeight="1" thickBot="1" x14ac:dyDescent="0.4">
      <c r="A38" s="107" t="s">
        <v>38</v>
      </c>
      <c r="B38" s="85" t="s">
        <v>39</v>
      </c>
      <c r="C38" s="61">
        <v>0</v>
      </c>
      <c r="D38" s="62">
        <f t="shared" ref="D38" si="6">+D36-D37</f>
        <v>0</v>
      </c>
      <c r="E38" s="62">
        <f t="shared" ref="E38" si="7">+E36-E37</f>
        <v>0</v>
      </c>
      <c r="F38" s="62">
        <f t="shared" ref="F38" si="8">+F36-F37</f>
        <v>0</v>
      </c>
      <c r="G38" s="61">
        <f>SUM(Tableau13[[#This Row],[SIEGE]:[AZDU]])</f>
        <v>0</v>
      </c>
    </row>
    <row r="39" spans="1:7" s="27" customFormat="1" ht="30.6" customHeight="1" x14ac:dyDescent="0.35">
      <c r="A39" s="120" t="s">
        <v>40</v>
      </c>
      <c r="B39" s="121" t="s">
        <v>41</v>
      </c>
      <c r="C39" s="122">
        <f>+C35+C38</f>
        <v>166015755.04000002</v>
      </c>
      <c r="D39" s="123">
        <f t="shared" ref="D39" si="9">+D35+D38</f>
        <v>97459613.710000068</v>
      </c>
      <c r="E39" s="123">
        <f t="shared" ref="E39" si="10">+E35+E38</f>
        <v>10026054.759999976</v>
      </c>
      <c r="F39" s="123">
        <f t="shared" ref="F39" si="11">+F35+F38</f>
        <v>59153936.399999976</v>
      </c>
      <c r="G39" s="122">
        <f>SUM(Tableau13[[#This Row],[SIEGE]:[AZDU]])</f>
        <v>332655359.91000003</v>
      </c>
    </row>
    <row r="40" spans="1:7" s="27" customFormat="1" ht="11.4" customHeight="1" x14ac:dyDescent="0.35">
      <c r="A40" s="90"/>
      <c r="B40" s="90"/>
      <c r="C40" s="91"/>
      <c r="D40" s="91"/>
      <c r="E40" s="91"/>
      <c r="F40" s="91"/>
      <c r="G40" s="91"/>
    </row>
    <row r="41" spans="1:7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</row>
    <row r="42" spans="1:7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1.1069095501187722</v>
      </c>
      <c r="E42" s="95">
        <f>+E12/E7</f>
        <v>0.46775512503106859</v>
      </c>
      <c r="F42" s="95">
        <f>+F12/F7</f>
        <v>0.58416664304359867</v>
      </c>
      <c r="G42" s="95">
        <f>+G12/G7</f>
        <v>0.79052655905380331</v>
      </c>
    </row>
    <row r="43" spans="1:7" s="37" customFormat="1" ht="18" x14ac:dyDescent="0.35">
      <c r="A43" s="92">
        <v>2</v>
      </c>
      <c r="B43" s="93" t="s">
        <v>53</v>
      </c>
      <c r="C43" s="94">
        <f>+C13/C7</f>
        <v>0.3934515048426126</v>
      </c>
      <c r="D43" s="95">
        <f>+D13/D7</f>
        <v>0.84007442484663597</v>
      </c>
      <c r="E43" s="95">
        <f>+E13/E7</f>
        <v>0.22985304418860994</v>
      </c>
      <c r="F43" s="95">
        <f>+F13/F7</f>
        <v>0.30331553229211583</v>
      </c>
      <c r="G43" s="95">
        <f>+G13/G7</f>
        <v>0.45649582789230386</v>
      </c>
    </row>
    <row r="44" spans="1:7" s="37" customFormat="1" ht="18" x14ac:dyDescent="0.35">
      <c r="A44" s="92">
        <v>3</v>
      </c>
      <c r="B44" s="93" t="s">
        <v>56</v>
      </c>
      <c r="C44" s="94">
        <f>+C13/C12</f>
        <v>0.3934515048426126</v>
      </c>
      <c r="D44" s="95">
        <f>+D13/D12</f>
        <v>0.75893682980374977</v>
      </c>
      <c r="E44" s="95">
        <f>+E13/E12</f>
        <v>0.49139609998574141</v>
      </c>
      <c r="F44" s="95">
        <f>+F13/F12</f>
        <v>0.51922775102630814</v>
      </c>
      <c r="G44" s="95">
        <f>+G13/G12</f>
        <v>0.57745792682625696</v>
      </c>
    </row>
    <row r="45" spans="1:7" s="37" customFormat="1" ht="18" x14ac:dyDescent="0.35">
      <c r="A45" s="92">
        <v>4</v>
      </c>
      <c r="B45" s="93" t="s">
        <v>57</v>
      </c>
      <c r="C45" s="94">
        <f>+C15/C12</f>
        <v>0.47488237081103468</v>
      </c>
      <c r="D45" s="95">
        <f>+D15/D12</f>
        <v>0.81542385002716722</v>
      </c>
      <c r="E45" s="95">
        <f>+E15/E12</f>
        <v>0.6035370921820874</v>
      </c>
      <c r="F45" s="95">
        <f>+F15/F12</f>
        <v>0.63492306541046506</v>
      </c>
      <c r="G45" s="95">
        <f>+G15/G12</f>
        <v>0.66074645765761897</v>
      </c>
    </row>
    <row r="46" spans="1:7" s="37" customFormat="1" ht="18" x14ac:dyDescent="0.35">
      <c r="A46" s="92">
        <v>5</v>
      </c>
      <c r="B46" s="93" t="s">
        <v>58</v>
      </c>
      <c r="C46" s="94">
        <f>+C17/C12</f>
        <v>0.37406328830565611</v>
      </c>
      <c r="D46" s="95">
        <f>+D17/D12</f>
        <v>9.0622479311368562E-2</v>
      </c>
      <c r="E46" s="95">
        <f>+E17/E12</f>
        <v>0.21001481617365647</v>
      </c>
      <c r="F46" s="95">
        <f>+F17/F12</f>
        <v>8.1393125093493252E-2</v>
      </c>
      <c r="G46" s="95">
        <f>+G17/G12</f>
        <v>0.17578859599980667</v>
      </c>
    </row>
    <row r="47" spans="1:7" s="37" customFormat="1" ht="18" x14ac:dyDescent="0.35">
      <c r="A47" s="92">
        <v>6</v>
      </c>
      <c r="B47" s="93" t="s">
        <v>54</v>
      </c>
      <c r="C47" s="94">
        <f>+C16/C17</f>
        <v>1.4038202774923989</v>
      </c>
      <c r="D47" s="95">
        <f>+D16/D17</f>
        <v>2.0367589959512156</v>
      </c>
      <c r="E47" s="95">
        <f>+E16/E17</f>
        <v>1.8877854193395882</v>
      </c>
      <c r="F47" s="95">
        <f>+F16/F17</f>
        <v>4.4853534517833618</v>
      </c>
      <c r="G47" s="95">
        <f>+G16/G17</f>
        <v>1.9298950561204447</v>
      </c>
    </row>
    <row r="48" spans="1:7" s="37" customFormat="1" ht="18" x14ac:dyDescent="0.35">
      <c r="A48" s="92">
        <v>7</v>
      </c>
      <c r="B48" s="93" t="s">
        <v>55</v>
      </c>
      <c r="C48" s="94">
        <f>+C19/C12</f>
        <v>0.1148874105222677</v>
      </c>
      <c r="D48" s="95">
        <f>+D19/D12</f>
        <v>8.4833732022052785E-2</v>
      </c>
      <c r="E48" s="95">
        <f>+E19/E12</f>
        <v>0.15623000554006575</v>
      </c>
      <c r="F48" s="95">
        <f>+F19/F12</f>
        <v>0.26714295776946684</v>
      </c>
      <c r="G48" s="95">
        <f>+G19/G12</f>
        <v>0.14312363900004563</v>
      </c>
    </row>
    <row r="49" spans="1:6" ht="15.6" x14ac:dyDescent="0.3">
      <c r="A49" s="90"/>
      <c r="B49" s="90"/>
      <c r="C49" s="96"/>
      <c r="D49" s="96"/>
      <c r="E49" s="96"/>
      <c r="F49" s="96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41:G41"/>
    <mergeCell ref="P1:Q1"/>
    <mergeCell ref="P2:Q2"/>
    <mergeCell ref="P3:Q3"/>
    <mergeCell ref="A5:G5"/>
  </mergeCells>
  <conditionalFormatting sqref="D1:G4 C42:G1048576 D40:G40 D7:F39">
    <cfRule type="cellIs" dxfId="144" priority="14" operator="lessThan">
      <formula>-0.01</formula>
    </cfRule>
  </conditionalFormatting>
  <conditionalFormatting sqref="C1:C4 C7:C40">
    <cfRule type="cellIs" dxfId="143" priority="13" operator="lessThan">
      <formula>-0.01</formula>
    </cfRule>
  </conditionalFormatting>
  <conditionalFormatting sqref="G7:G39">
    <cfRule type="cellIs" dxfId="142" priority="12" operator="lessThan">
      <formula>-0.01</formula>
    </cfRule>
  </conditionalFormatting>
  <conditionalFormatting sqref="G6">
    <cfRule type="cellIs" dxfId="141" priority="8" operator="lessThan">
      <formula>-0.01</formula>
    </cfRule>
  </conditionalFormatting>
  <conditionalFormatting sqref="D6:F6">
    <cfRule type="cellIs" dxfId="140" priority="10" operator="lessThan">
      <formula>-0.01</formula>
    </cfRule>
  </conditionalFormatting>
  <conditionalFormatting sqref="C6">
    <cfRule type="cellIs" dxfId="139" priority="9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D49"/>
  <sheetViews>
    <sheetView tabSelected="1" view="pageBreakPreview" zoomScale="90" zoomScaleNormal="50" zoomScaleSheetLayoutView="90" workbookViewId="0">
      <pane xSplit="2" ySplit="6" topLeftCell="C7" activePane="bottomRight" state="frozen"/>
      <selection activeCell="C5" sqref="C5:D5"/>
      <selection pane="topRight" activeCell="C5" sqref="C5:D5"/>
      <selection pane="bottomLeft" activeCell="C5" sqref="C5:D5"/>
      <selection pane="bottomRight" activeCell="C35" sqref="C35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16384" width="11.44140625" style="1"/>
  </cols>
  <sheetData>
    <row r="1" spans="1:30" s="42" customFormat="1" ht="13.8" customHeight="1" x14ac:dyDescent="0.45">
      <c r="A1" s="25"/>
      <c r="B1" s="39"/>
      <c r="C1" s="40"/>
      <c r="D1" s="40"/>
      <c r="E1" s="40"/>
      <c r="F1" s="40"/>
      <c r="G1" s="97"/>
      <c r="H1" s="39"/>
      <c r="I1" s="39"/>
      <c r="J1" s="39"/>
      <c r="K1" s="39"/>
      <c r="L1" s="39"/>
      <c r="M1" s="39"/>
      <c r="Q1" s="39"/>
      <c r="R1" s="39"/>
      <c r="S1" s="278"/>
      <c r="T1" s="278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spans="1:30" s="42" customFormat="1" ht="13.8" customHeight="1" x14ac:dyDescent="0.45">
      <c r="A2" s="25"/>
      <c r="B2" s="43"/>
      <c r="C2" s="44"/>
      <c r="D2" s="44"/>
      <c r="E2" s="44"/>
      <c r="F2" s="44"/>
      <c r="G2" s="98"/>
      <c r="H2" s="39"/>
      <c r="I2" s="39"/>
      <c r="J2" s="39"/>
      <c r="K2" s="39"/>
      <c r="L2" s="39"/>
      <c r="M2" s="39"/>
      <c r="Q2" s="43"/>
      <c r="R2" s="45"/>
      <c r="S2" s="279"/>
      <c r="T2" s="27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spans="1:30" s="42" customFormat="1" ht="13.8" customHeight="1" x14ac:dyDescent="0.4">
      <c r="A3" s="46"/>
      <c r="B3" s="47"/>
      <c r="C3" s="48"/>
      <c r="D3" s="48"/>
      <c r="E3" s="48"/>
      <c r="F3" s="48"/>
      <c r="G3" s="99"/>
      <c r="H3" s="46"/>
      <c r="I3" s="46"/>
      <c r="J3" s="46"/>
      <c r="K3" s="46"/>
      <c r="L3" s="46"/>
      <c r="M3" s="46"/>
      <c r="Q3" s="46"/>
      <c r="R3" s="46"/>
      <c r="S3" s="280"/>
      <c r="T3" s="280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s="42" customFormat="1" ht="13.8" customHeight="1" x14ac:dyDescent="0.4">
      <c r="A4" s="46"/>
      <c r="B4" s="46"/>
      <c r="C4" s="50"/>
      <c r="D4" s="50"/>
      <c r="E4" s="50"/>
      <c r="F4" s="50"/>
      <c r="G4" s="100"/>
    </row>
    <row r="5" spans="1:30" ht="26.4" thickBot="1" x14ac:dyDescent="0.55000000000000004">
      <c r="A5" s="281" t="s">
        <v>90</v>
      </c>
      <c r="B5" s="281"/>
      <c r="C5" s="281"/>
      <c r="D5" s="281"/>
      <c r="E5" s="281"/>
      <c r="F5" s="281"/>
      <c r="G5" s="281"/>
    </row>
    <row r="6" spans="1:30" s="27" customFormat="1" ht="52.2" customHeight="1" x14ac:dyDescent="0.35">
      <c r="A6" s="113" t="s">
        <v>0</v>
      </c>
      <c r="B6" s="114" t="s">
        <v>1</v>
      </c>
      <c r="C6" s="115" t="s">
        <v>50</v>
      </c>
      <c r="D6" s="116" t="s">
        <v>47</v>
      </c>
      <c r="E6" s="117" t="s">
        <v>48</v>
      </c>
      <c r="F6" s="118" t="s">
        <v>49</v>
      </c>
      <c r="G6" s="119" t="s">
        <v>92</v>
      </c>
    </row>
    <row r="7" spans="1:30" s="29" customFormat="1" ht="30.75" customHeight="1" x14ac:dyDescent="0.35">
      <c r="A7" s="101"/>
      <c r="B7" s="79" t="s">
        <v>2</v>
      </c>
      <c r="C7" s="51">
        <f>+Tableau11[[#This Row],[SIEGE]]+Tableau12[[#This Row],[SIEGE]]+Tableau13[[#This Row],[SIEGE]]</f>
        <v>103593823.54000001</v>
      </c>
      <c r="D7" s="51">
        <f>+Tableau11[[#This Row],[KDU]]+Tableau12[[#This Row],[KDU]]+Tableau13[[#This Row],[KDU]]</f>
        <v>356218426.41000009</v>
      </c>
      <c r="E7" s="52">
        <f>+Tableau11[[#This Row],[SKDU]]+Tableau12[[#This Row],[SKDU]]+Tableau13[[#This Row],[SKDU]]</f>
        <v>225034369.25999999</v>
      </c>
      <c r="F7" s="53">
        <f>+Tableau11[[#This Row],[AZDU]]+Tableau12[[#This Row],[AZDU]]+Tableau13[[#This Row],[AZDU]]</f>
        <v>254681808.59999999</v>
      </c>
      <c r="G7" s="51">
        <f>+Tableau16[[#This Row],[SIEGE]]+Tableau16[[#This Row],[KDU]]+Tableau16[[#This Row],[SKDU]]+Tableau16[[#This Row],[AZDU]]</f>
        <v>939528427.81000006</v>
      </c>
    </row>
    <row r="8" spans="1:30" s="29" customFormat="1" ht="30.75" customHeight="1" x14ac:dyDescent="0.35">
      <c r="A8" s="102"/>
      <c r="B8" s="80" t="s">
        <v>42</v>
      </c>
      <c r="C8" s="54">
        <f>+Tableau11[[#This Row],[SIEGE]]+Tableau12[[#This Row],[SIEGE]]+Tableau13[[#This Row],[SIEGE]]</f>
        <v>0</v>
      </c>
      <c r="D8" s="54">
        <f>+Tableau11[[#This Row],[KDU]]+Tableau12[[#This Row],[KDU]]+Tableau13[[#This Row],[KDU]]</f>
        <v>1328118.3700000001</v>
      </c>
      <c r="E8" s="55">
        <f>+Tableau11[[#This Row],[SKDU]]+Tableau12[[#This Row],[SKDU]]+Tableau13[[#This Row],[SKDU]]</f>
        <v>0</v>
      </c>
      <c r="F8" s="56">
        <f>+Tableau11[[#This Row],[AZDU]]+Tableau12[[#This Row],[AZDU]]+Tableau13[[#This Row],[AZDU]]</f>
        <v>0</v>
      </c>
      <c r="G8" s="51">
        <f>+Tableau16[[#This Row],[SIEGE]]+Tableau16[[#This Row],[KDU]]+Tableau16[[#This Row],[SKDU]]+Tableau16[[#This Row],[AZDU]]</f>
        <v>1328118.3700000001</v>
      </c>
      <c r="M8" s="30"/>
    </row>
    <row r="9" spans="1:30" s="27" customFormat="1" ht="30.75" customHeight="1" x14ac:dyDescent="0.35">
      <c r="A9" s="102"/>
      <c r="B9" s="81" t="s">
        <v>3</v>
      </c>
      <c r="C9" s="54">
        <f>+Tableau11[[#This Row],[SIEGE]]+Tableau12[[#This Row],[SIEGE]]+Tableau13[[#This Row],[SIEGE]]</f>
        <v>0</v>
      </c>
      <c r="D9" s="57">
        <f>+Tableau11[[#This Row],[KDU]]+Tableau12[[#This Row],[KDU]]+Tableau13[[#This Row],[KDU]]</f>
        <v>87034142.649999991</v>
      </c>
      <c r="E9" s="55">
        <f>+Tableau11[[#This Row],[SKDU]]+Tableau12[[#This Row],[SKDU]]+Tableau13[[#This Row],[SKDU]]</f>
        <v>-110899595.27000001</v>
      </c>
      <c r="F9" s="56">
        <f>+Tableau11[[#This Row],[AZDU]]+Tableau12[[#This Row],[AZDU]]+Tableau13[[#This Row],[AZDU]]</f>
        <v>-122635556.71000001</v>
      </c>
      <c r="G9" s="51">
        <f>+Tableau16[[#This Row],[SIEGE]]+Tableau16[[#This Row],[KDU]]+Tableau16[[#This Row],[SKDU]]+Tableau16[[#This Row],[AZDU]]</f>
        <v>-146501009.33000004</v>
      </c>
    </row>
    <row r="10" spans="1:30" s="27" customFormat="1" ht="30.75" customHeight="1" x14ac:dyDescent="0.35">
      <c r="A10" s="102"/>
      <c r="B10" s="81" t="s">
        <v>4</v>
      </c>
      <c r="C10" s="54">
        <f>+Tableau11[[#This Row],[SIEGE]]+Tableau12[[#This Row],[SIEGE]]+Tableau13[[#This Row],[SIEGE]]</f>
        <v>0</v>
      </c>
      <c r="D10" s="54">
        <f>+Tableau11[[#This Row],[KDU]]+Tableau12[[#This Row],[KDU]]+Tableau13[[#This Row],[KDU]]</f>
        <v>121793.98999999999</v>
      </c>
      <c r="E10" s="55">
        <f>+Tableau11[[#This Row],[SKDU]]+Tableau12[[#This Row],[SKDU]]+Tableau13[[#This Row],[SKDU]]</f>
        <v>0</v>
      </c>
      <c r="F10" s="56">
        <f>+Tableau11[[#This Row],[AZDU]]+Tableau12[[#This Row],[AZDU]]+Tableau13[[#This Row],[AZDU]]</f>
        <v>0</v>
      </c>
      <c r="G10" s="51">
        <f>+Tableau16[[#This Row],[SIEGE]]+Tableau16[[#This Row],[KDU]]+Tableau16[[#This Row],[SKDU]]+Tableau16[[#This Row],[AZDU]]</f>
        <v>121793.98999999999</v>
      </c>
    </row>
    <row r="11" spans="1:30" s="27" customFormat="1" ht="30.75" customHeight="1" thickBot="1" x14ac:dyDescent="0.4">
      <c r="A11" s="103"/>
      <c r="B11" s="82" t="s">
        <v>5</v>
      </c>
      <c r="C11" s="58">
        <f>+Tableau11[[#This Row],[SIEGE]]+Tableau12[[#This Row],[SIEGE]]+Tableau13[[#This Row],[SIEGE]]</f>
        <v>0</v>
      </c>
      <c r="D11" s="58">
        <f>+Tableau11[[#This Row],[KDU]]+Tableau12[[#This Row],[KDU]]+Tableau13[[#This Row],[KDU]]</f>
        <v>0</v>
      </c>
      <c r="E11" s="59">
        <f>+Tableau11[[#This Row],[SKDU]]+Tableau12[[#This Row],[SKDU]]+Tableau13[[#This Row],[SKDU]]</f>
        <v>0</v>
      </c>
      <c r="F11" s="60">
        <f>+Tableau11[[#This Row],[AZDU]]+Tableau12[[#This Row],[AZDU]]+Tableau13[[#This Row],[AZDU]]</f>
        <v>0</v>
      </c>
      <c r="G11" s="112">
        <f>+Tableau16[[#This Row],[SIEGE]]+Tableau16[[#This Row],[KDU]]+Tableau16[[#This Row],[SKDU]]+Tableau16[[#This Row],[AZDU]]</f>
        <v>0</v>
      </c>
    </row>
    <row r="12" spans="1:30" s="27" customFormat="1" ht="30.75" customHeight="1" thickBot="1" x14ac:dyDescent="0.4">
      <c r="A12" s="104"/>
      <c r="B12" s="83" t="s">
        <v>6</v>
      </c>
      <c r="C12" s="61">
        <f>+Tableau11[[#This Row],[SIEGE]]+Tableau12[[#This Row],[SIEGE]]+Tableau13[[#This Row],[SIEGE]]</f>
        <v>103593823.54000001</v>
      </c>
      <c r="D12" s="61">
        <f>+Tableau11[[#This Row],[KDU]]+Tableau12[[#This Row],[KDU]]+Tableau13[[#This Row],[KDU]]</f>
        <v>444702481.42000008</v>
      </c>
      <c r="E12" s="62">
        <f>+Tableau11[[#This Row],[SKDU]]+Tableau12[[#This Row],[SKDU]]+Tableau13[[#This Row],[SKDU]]</f>
        <v>114134773.98999998</v>
      </c>
      <c r="F12" s="63">
        <f>+Tableau11[[#This Row],[AZDU]]+Tableau12[[#This Row],[AZDU]]+Tableau13[[#This Row],[AZDU]]</f>
        <v>132046251.88999999</v>
      </c>
      <c r="G12" s="61">
        <f>+Tableau16[[#This Row],[SIEGE]]+Tableau16[[#This Row],[KDU]]+Tableau16[[#This Row],[SKDU]]+Tableau16[[#This Row],[AZDU]]</f>
        <v>794477330.84000003</v>
      </c>
    </row>
    <row r="13" spans="1:30" s="32" customFormat="1" ht="30.75" customHeight="1" x14ac:dyDescent="0.35">
      <c r="A13" s="105">
        <v>60</v>
      </c>
      <c r="B13" s="84" t="s">
        <v>7</v>
      </c>
      <c r="C13" s="51">
        <f>+Tableau11[[#This Row],[SIEGE]]+Tableau12[[#This Row],[SIEGE]]+Tableau13[[#This Row],[SIEGE]]</f>
        <v>41203713</v>
      </c>
      <c r="D13" s="64">
        <f>+Tableau11[[#This Row],[KDU]]+Tableau12[[#This Row],[KDU]]+Tableau13[[#This Row],[KDU]]</f>
        <v>340177824.00999999</v>
      </c>
      <c r="E13" s="65">
        <f>+Tableau11[[#This Row],[SKDU]]+Tableau12[[#This Row],[SKDU]]+Tableau13[[#This Row],[SKDU]]</f>
        <v>57771214.100000001</v>
      </c>
      <c r="F13" s="66">
        <f>+Tableau11[[#This Row],[AZDU]]+Tableau12[[#This Row],[AZDU]]+Tableau13[[#This Row],[AZDU]]</f>
        <v>84618736.349999994</v>
      </c>
      <c r="G13" s="51">
        <f>+Tableau16[[#This Row],[SIEGE]]+Tableau16[[#This Row],[KDU]]+Tableau16[[#This Row],[SKDU]]+Tableau16[[#This Row],[AZDU]]</f>
        <v>523771487.46000004</v>
      </c>
    </row>
    <row r="14" spans="1:30" s="32" customFormat="1" ht="30.75" customHeight="1" thickBot="1" x14ac:dyDescent="0.4">
      <c r="A14" s="106" t="s">
        <v>8</v>
      </c>
      <c r="B14" s="82" t="s">
        <v>43</v>
      </c>
      <c r="C14" s="58">
        <f>+Tableau11[[#This Row],[SIEGE]]+Tableau12[[#This Row],[SIEGE]]+Tableau13[[#This Row],[SIEGE]]</f>
        <v>13848779.82</v>
      </c>
      <c r="D14" s="58">
        <f>+Tableau11[[#This Row],[KDU]]+Tableau12[[#This Row],[KDU]]+Tableau13[[#This Row],[KDU]]</f>
        <v>22036570.379999999</v>
      </c>
      <c r="E14" s="59">
        <f>+Tableau11[[#This Row],[SKDU]]+Tableau12[[#This Row],[SKDU]]+Tableau13[[#This Row],[SKDU]]</f>
        <v>13585351.48</v>
      </c>
      <c r="F14" s="60">
        <f>+Tableau11[[#This Row],[AZDU]]+Tableau12[[#This Row],[AZDU]]+Tableau13[[#This Row],[AZDU]]</f>
        <v>16176520.210000001</v>
      </c>
      <c r="G14" s="58">
        <f>+Tableau16[[#This Row],[SIEGE]]+Tableau16[[#This Row],[KDU]]+Tableau16[[#This Row],[SKDU]]+Tableau16[[#This Row],[AZDU]]</f>
        <v>65647221.890000008</v>
      </c>
      <c r="H14" s="34"/>
    </row>
    <row r="15" spans="1:30" s="27" customFormat="1" ht="30.75" customHeight="1" thickBot="1" x14ac:dyDescent="0.4">
      <c r="A15" s="107" t="s">
        <v>9</v>
      </c>
      <c r="B15" s="85" t="s">
        <v>10</v>
      </c>
      <c r="C15" s="61">
        <f>+Tableau11[[#This Row],[SIEGE]]+Tableau12[[#This Row],[SIEGE]]+Tableau13[[#This Row],[SIEGE]]</f>
        <v>55052492.82</v>
      </c>
      <c r="D15" s="61">
        <f>+Tableau11[[#This Row],[KDU]]+Tableau12[[#This Row],[KDU]]+Tableau13[[#This Row],[KDU]]</f>
        <v>362214394.38999999</v>
      </c>
      <c r="E15" s="62">
        <f>+Tableau11[[#This Row],[SKDU]]+Tableau12[[#This Row],[SKDU]]+Tableau13[[#This Row],[SKDU]]</f>
        <v>71356565.579999998</v>
      </c>
      <c r="F15" s="63">
        <f>+Tableau11[[#This Row],[AZDU]]+Tableau12[[#This Row],[AZDU]]+Tableau13[[#This Row],[AZDU]]</f>
        <v>100795256.56</v>
      </c>
      <c r="G15" s="61">
        <f>+Tableau16[[#This Row],[SIEGE]]+Tableau16[[#This Row],[KDU]]+Tableau16[[#This Row],[SKDU]]+Tableau16[[#This Row],[AZDU]]</f>
        <v>589418709.3499999</v>
      </c>
      <c r="H15" s="34"/>
    </row>
    <row r="16" spans="1:30" s="27" customFormat="1" ht="30.75" customHeight="1" thickBot="1" x14ac:dyDescent="0.4">
      <c r="A16" s="108" t="s">
        <v>11</v>
      </c>
      <c r="B16" s="86" t="s">
        <v>12</v>
      </c>
      <c r="C16" s="67">
        <f>+Tableau11[[#This Row],[SIEGE]]+Tableau12[[#This Row],[SIEGE]]+Tableau13[[#This Row],[SIEGE]]</f>
        <v>48541330.720000006</v>
      </c>
      <c r="D16" s="67">
        <f>+Tableau11[[#This Row],[KDU]]+Tableau12[[#This Row],[KDU]]+Tableau13[[#This Row],[KDU]]</f>
        <v>82488087.030000091</v>
      </c>
      <c r="E16" s="68">
        <f>+Tableau11[[#This Row],[SKDU]]+Tableau12[[#This Row],[SKDU]]+Tableau13[[#This Row],[SKDU]]</f>
        <v>42778208.409999974</v>
      </c>
      <c r="F16" s="69">
        <f>+Tableau11[[#This Row],[AZDU]]+Tableau12[[#This Row],[AZDU]]+Tableau13[[#This Row],[AZDU]]</f>
        <v>31250995.329999991</v>
      </c>
      <c r="G16" s="67">
        <f>+Tableau16[[#This Row],[SIEGE]]+Tableau16[[#This Row],[KDU]]+Tableau16[[#This Row],[SKDU]]+Tableau16[[#This Row],[AZDU]]</f>
        <v>205058621.49000004</v>
      </c>
      <c r="H16" s="34"/>
    </row>
    <row r="17" spans="1:11" s="32" customFormat="1" ht="30.75" customHeight="1" x14ac:dyDescent="0.35">
      <c r="A17" s="105">
        <v>63</v>
      </c>
      <c r="B17" s="84" t="s">
        <v>44</v>
      </c>
      <c r="C17" s="64">
        <f>+Tableau11[[#This Row],[SIEGE]]+Tableau12[[#This Row],[SIEGE]]+Tableau13[[#This Row],[SIEGE]]</f>
        <v>57138705.340000004</v>
      </c>
      <c r="D17" s="64">
        <f>+Tableau11[[#This Row],[KDU]]+Tableau12[[#This Row],[KDU]]+Tableau13[[#This Row],[KDU]]</f>
        <v>75035005.219999999</v>
      </c>
      <c r="E17" s="65">
        <f>+Tableau11[[#This Row],[SKDU]]+Tableau12[[#This Row],[SKDU]]+Tableau13[[#This Row],[SKDU]]</f>
        <v>32074231.370000001</v>
      </c>
      <c r="F17" s="66">
        <f>+Tableau11[[#This Row],[AZDU]]+Tableau12[[#This Row],[AZDU]]+Tableau13[[#This Row],[AZDU]]</f>
        <v>28794197.170000002</v>
      </c>
      <c r="G17" s="51">
        <f>+Tableau16[[#This Row],[SIEGE]]+Tableau16[[#This Row],[KDU]]+Tableau16[[#This Row],[SKDU]]+Tableau16[[#This Row],[AZDU]]</f>
        <v>193042139.10000002</v>
      </c>
      <c r="H17" s="34"/>
    </row>
    <row r="18" spans="1:11" s="32" customFormat="1" ht="30.75" customHeight="1" thickBot="1" x14ac:dyDescent="0.4">
      <c r="A18" s="106">
        <v>64</v>
      </c>
      <c r="B18" s="82" t="s">
        <v>13</v>
      </c>
      <c r="C18" s="58">
        <f>+Tableau11[[#This Row],[SIEGE]]+Tableau12[[#This Row],[SIEGE]]+Tableau13[[#This Row],[SIEGE]]</f>
        <v>3665935.95</v>
      </c>
      <c r="D18" s="58">
        <f>+Tableau11[[#This Row],[KDU]]+Tableau12[[#This Row],[KDU]]+Tableau13[[#This Row],[KDU]]</f>
        <v>3587520.48</v>
      </c>
      <c r="E18" s="59">
        <f>+Tableau11[[#This Row],[SKDU]]+Tableau12[[#This Row],[SKDU]]+Tableau13[[#This Row],[SKDU]]</f>
        <v>2689267.17</v>
      </c>
      <c r="F18" s="60">
        <f>+Tableau11[[#This Row],[AZDU]]+Tableau12[[#This Row],[AZDU]]+Tableau13[[#This Row],[AZDU]]</f>
        <v>4296038.8499999996</v>
      </c>
      <c r="G18" s="58">
        <f>+Tableau16[[#This Row],[SIEGE]]+Tableau16[[#This Row],[KDU]]+Tableau16[[#This Row],[SKDU]]+Tableau16[[#This Row],[AZDU]]</f>
        <v>14238762.449999999</v>
      </c>
      <c r="H18" s="34"/>
    </row>
    <row r="19" spans="1:11" s="27" customFormat="1" ht="30.75" customHeight="1" thickBot="1" x14ac:dyDescent="0.4">
      <c r="A19" s="107" t="s">
        <v>14</v>
      </c>
      <c r="B19" s="85" t="s">
        <v>15</v>
      </c>
      <c r="C19" s="61">
        <f>+Tableau11[[#This Row],[SIEGE]]+Tableau12[[#This Row],[SIEGE]]+Tableau13[[#This Row],[SIEGE]]</f>
        <v>-12263310.569999997</v>
      </c>
      <c r="D19" s="61">
        <f>+Tableau11[[#This Row],[KDU]]+Tableau12[[#This Row],[KDU]]+Tableau13[[#This Row],[KDU]]</f>
        <v>3865561.3300000913</v>
      </c>
      <c r="E19" s="62">
        <f>+Tableau11[[#This Row],[SKDU]]+Tableau12[[#This Row],[SKDU]]+Tableau13[[#This Row],[SKDU]]</f>
        <v>8014709.869999975</v>
      </c>
      <c r="F19" s="63">
        <f>+Tableau11[[#This Row],[AZDU]]+Tableau12[[#This Row],[AZDU]]+Tableau13[[#This Row],[AZDU]]</f>
        <v>-1839240.6900000125</v>
      </c>
      <c r="G19" s="61">
        <f>+Tableau16[[#This Row],[SIEGE]]+Tableau16[[#This Row],[KDU]]+Tableau16[[#This Row],[SKDU]]+Tableau16[[#This Row],[AZDU]]</f>
        <v>-2222280.0599999428</v>
      </c>
      <c r="H19" s="34"/>
    </row>
    <row r="20" spans="1:11" s="32" customFormat="1" ht="30.75" customHeight="1" x14ac:dyDescent="0.35">
      <c r="A20" s="105">
        <v>75</v>
      </c>
      <c r="B20" s="84" t="s">
        <v>16</v>
      </c>
      <c r="C20" s="51">
        <f>+Tableau11[[#This Row],[SIEGE]]+Tableau12[[#This Row],[SIEGE]]+Tableau13[[#This Row],[SIEGE]]</f>
        <v>71292194.280000001</v>
      </c>
      <c r="D20" s="51">
        <f>+Tableau11[[#This Row],[KDU]]+Tableau12[[#This Row],[KDU]]+Tableau13[[#This Row],[KDU]]</f>
        <v>285497.12</v>
      </c>
      <c r="E20" s="52">
        <f>+Tableau11[[#This Row],[SKDU]]+Tableau12[[#This Row],[SKDU]]+Tableau13[[#This Row],[SKDU]]</f>
        <v>34306</v>
      </c>
      <c r="F20" s="53">
        <f>+Tableau11[[#This Row],[AZDU]]+Tableau12[[#This Row],[AZDU]]+Tableau13[[#This Row],[AZDU]]</f>
        <v>2676723.13</v>
      </c>
      <c r="G20" s="51">
        <f>+Tableau16[[#This Row],[SIEGE]]+Tableau16[[#This Row],[KDU]]+Tableau16[[#This Row],[SKDU]]+Tableau16[[#This Row],[AZDU]]</f>
        <v>74288720.530000001</v>
      </c>
      <c r="K20" s="35"/>
    </row>
    <row r="21" spans="1:11" s="32" customFormat="1" ht="30.75" customHeight="1" x14ac:dyDescent="0.35">
      <c r="A21" s="109">
        <v>65</v>
      </c>
      <c r="B21" s="81" t="s">
        <v>17</v>
      </c>
      <c r="C21" s="54">
        <f>+Tableau11[[#This Row],[SIEGE]]+Tableau12[[#This Row],[SIEGE]]+Tableau13[[#This Row],[SIEGE]]</f>
        <v>583555.55000000005</v>
      </c>
      <c r="D21" s="54">
        <f>+Tableau11[[#This Row],[KDU]]+Tableau12[[#This Row],[KDU]]+Tableau13[[#This Row],[KDU]]</f>
        <v>2065385.2</v>
      </c>
      <c r="E21" s="55">
        <f>+Tableau11[[#This Row],[SKDU]]+Tableau12[[#This Row],[SKDU]]+Tableau13[[#This Row],[SKDU]]</f>
        <v>904706.22</v>
      </c>
      <c r="F21" s="56">
        <f>+Tableau11[[#This Row],[AZDU]]+Tableau12[[#This Row],[AZDU]]+Tableau13[[#This Row],[AZDU]]</f>
        <v>770293.9</v>
      </c>
      <c r="G21" s="54">
        <f>+Tableau16[[#This Row],[SIEGE]]+Tableau16[[#This Row],[KDU]]+Tableau16[[#This Row],[SKDU]]+Tableau16[[#This Row],[AZDU]]</f>
        <v>4323940.87</v>
      </c>
    </row>
    <row r="22" spans="1:11" s="27" customFormat="1" ht="30.75" customHeight="1" x14ac:dyDescent="0.35">
      <c r="A22" s="109"/>
      <c r="B22" s="87" t="s">
        <v>18</v>
      </c>
      <c r="C22" s="70">
        <f>+Tableau11[[#This Row],[SIEGE]]+Tableau12[[#This Row],[SIEGE]]+Tableau13[[#This Row],[SIEGE]]</f>
        <v>0</v>
      </c>
      <c r="D22" s="70">
        <f>+Tableau11[[#This Row],[KDU]]+Tableau12[[#This Row],[KDU]]+Tableau13[[#This Row],[KDU]]</f>
        <v>0</v>
      </c>
      <c r="E22" s="71">
        <f>+Tableau11[[#This Row],[SKDU]]+Tableau12[[#This Row],[SKDU]]+Tableau13[[#This Row],[SKDU]]</f>
        <v>0</v>
      </c>
      <c r="F22" s="72">
        <f>+Tableau11[[#This Row],[AZDU]]+Tableau12[[#This Row],[AZDU]]+Tableau13[[#This Row],[AZDU]]</f>
        <v>0</v>
      </c>
      <c r="G22" s="70">
        <f>+Tableau16[[#This Row],[SIEGE]]+Tableau16[[#This Row],[KDU]]+Tableau16[[#This Row],[SKDU]]+Tableau16[[#This Row],[AZDU]]</f>
        <v>0</v>
      </c>
    </row>
    <row r="23" spans="1:11" s="27" customFormat="1" ht="30.75" customHeight="1" x14ac:dyDescent="0.35">
      <c r="A23" s="109"/>
      <c r="B23" s="87" t="s">
        <v>19</v>
      </c>
      <c r="C23" s="70">
        <f>+Tableau11[[#This Row],[SIEGE]]+Tableau12[[#This Row],[SIEGE]]+Tableau13[[#This Row],[SIEGE]]</f>
        <v>0</v>
      </c>
      <c r="D23" s="70">
        <f>+Tableau11[[#This Row],[KDU]]+Tableau12[[#This Row],[KDU]]+Tableau13[[#This Row],[KDU]]</f>
        <v>0</v>
      </c>
      <c r="E23" s="71">
        <f>+Tableau11[[#This Row],[SKDU]]+Tableau12[[#This Row],[SKDU]]+Tableau13[[#This Row],[SKDU]]</f>
        <v>0</v>
      </c>
      <c r="F23" s="72">
        <f>+Tableau11[[#This Row],[AZDU]]+Tableau12[[#This Row],[AZDU]]+Tableau13[[#This Row],[AZDU]]</f>
        <v>0</v>
      </c>
      <c r="G23" s="70">
        <f>+Tableau16[[#This Row],[SIEGE]]+Tableau16[[#This Row],[KDU]]+Tableau16[[#This Row],[SKDU]]+Tableau16[[#This Row],[AZDU]]</f>
        <v>0</v>
      </c>
    </row>
    <row r="24" spans="1:11" s="32" customFormat="1" ht="30.75" customHeight="1" x14ac:dyDescent="0.35">
      <c r="A24" s="109">
        <v>68</v>
      </c>
      <c r="B24" s="81" t="s">
        <v>20</v>
      </c>
      <c r="C24" s="54">
        <f>+Tableau11[[#This Row],[SIEGE]]+Tableau12[[#This Row],[SIEGE]]+Tableau13[[#This Row],[SIEGE]]</f>
        <v>32064612.200000003</v>
      </c>
      <c r="D24" s="54">
        <f>+Tableau11[[#This Row],[KDU]]+Tableau12[[#This Row],[KDU]]+Tableau13[[#This Row],[KDU]]</f>
        <v>-10199849.039999999</v>
      </c>
      <c r="E24" s="55">
        <f>+Tableau11[[#This Row],[SKDU]]+Tableau12[[#This Row],[SKDU]]+Tableau13[[#This Row],[SKDU]]</f>
        <v>4385911.55</v>
      </c>
      <c r="F24" s="56">
        <f>+Tableau11[[#This Row],[AZDU]]+Tableau12[[#This Row],[AZDU]]+Tableau13[[#This Row],[AZDU]]</f>
        <v>3899246.65</v>
      </c>
      <c r="G24" s="57">
        <f>+Tableau16[[#This Row],[SIEGE]]+Tableau16[[#This Row],[KDU]]+Tableau16[[#This Row],[SKDU]]+Tableau16[[#This Row],[AZDU]]</f>
        <v>30149921.360000003</v>
      </c>
    </row>
    <row r="25" spans="1:11" s="32" customFormat="1" ht="30.75" customHeight="1" thickBot="1" x14ac:dyDescent="0.4">
      <c r="A25" s="106">
        <v>78</v>
      </c>
      <c r="B25" s="82" t="s">
        <v>21</v>
      </c>
      <c r="C25" s="58">
        <f>+Tableau11[[#This Row],[SIEGE]]+Tableau12[[#This Row],[SIEGE]]+Tableau13[[#This Row],[SIEGE]]</f>
        <v>48854248.280000001</v>
      </c>
      <c r="D25" s="58">
        <f>+Tableau11[[#This Row],[KDU]]+Tableau12[[#This Row],[KDU]]+Tableau13[[#This Row],[KDU]]</f>
        <v>85657724.030000001</v>
      </c>
      <c r="E25" s="59">
        <f>+Tableau11[[#This Row],[SKDU]]+Tableau12[[#This Row],[SKDU]]+Tableau13[[#This Row],[SKDU]]</f>
        <v>10093631.470000001</v>
      </c>
      <c r="F25" s="60">
        <f>+Tableau11[[#This Row],[AZDU]]+Tableau12[[#This Row],[AZDU]]+Tableau13[[#This Row],[AZDU]]</f>
        <v>54352939.409999996</v>
      </c>
      <c r="G25" s="58">
        <f>+Tableau16[[#This Row],[SIEGE]]+Tableau16[[#This Row],[KDU]]+Tableau16[[#This Row],[SKDU]]+Tableau16[[#This Row],[AZDU]]</f>
        <v>198958543.19</v>
      </c>
    </row>
    <row r="26" spans="1:11" s="27" customFormat="1" ht="30.75" customHeight="1" thickBot="1" x14ac:dyDescent="0.4">
      <c r="A26" s="107" t="s">
        <v>22</v>
      </c>
      <c r="B26" s="85" t="s">
        <v>23</v>
      </c>
      <c r="C26" s="61">
        <f>+Tableau11[[#This Row],[SIEGE]]+Tableau12[[#This Row],[SIEGE]]+Tableau13[[#This Row],[SIEGE]]</f>
        <v>75234964.239999995</v>
      </c>
      <c r="D26" s="61">
        <f>+Tableau11[[#This Row],[KDU]]+Tableau12[[#This Row],[KDU]]+Tableau13[[#This Row],[KDU]]</f>
        <v>97943246.320000082</v>
      </c>
      <c r="E26" s="62">
        <f>+Tableau11[[#This Row],[SKDU]]+Tableau12[[#This Row],[SKDU]]+Tableau13[[#This Row],[SKDU]]</f>
        <v>12852029.569999978</v>
      </c>
      <c r="F26" s="62">
        <f>+Tableau11[[#This Row],[AZDU]]+Tableau12[[#This Row],[AZDU]]+Tableau13[[#This Row],[AZDU]]</f>
        <v>50520881.299999982</v>
      </c>
      <c r="G26" s="61">
        <f>+Tableau16[[#This Row],[SIEGE]]+Tableau16[[#This Row],[KDU]]+Tableau16[[#This Row],[SKDU]]+Tableau16[[#This Row],[AZDU]]</f>
        <v>236551121.43000004</v>
      </c>
    </row>
    <row r="27" spans="1:11" s="32" customFormat="1" ht="30.75" customHeight="1" x14ac:dyDescent="0.35">
      <c r="A27" s="105">
        <v>76</v>
      </c>
      <c r="B27" s="84" t="s">
        <v>24</v>
      </c>
      <c r="C27" s="51">
        <f>+Tableau11[[#This Row],[SIEGE]]+Tableau12[[#This Row],[SIEGE]]+Tableau13[[#This Row],[SIEGE]]</f>
        <v>12801261.27</v>
      </c>
      <c r="D27" s="51">
        <f>+Tableau11[[#This Row],[KDU]]+Tableau12[[#This Row],[KDU]]+Tableau13[[#This Row],[KDU]]</f>
        <v>590765.97</v>
      </c>
      <c r="E27" s="52">
        <f>+Tableau11[[#This Row],[SKDU]]+Tableau12[[#This Row],[SKDU]]+Tableau13[[#This Row],[SKDU]]</f>
        <v>0</v>
      </c>
      <c r="F27" s="53">
        <f>+Tableau11[[#This Row],[AZDU]]+Tableau12[[#This Row],[AZDU]]+Tableau13[[#This Row],[AZDU]]</f>
        <v>0</v>
      </c>
      <c r="G27" s="51">
        <f>+Tableau16[[#This Row],[SIEGE]]+Tableau16[[#This Row],[KDU]]+Tableau16[[#This Row],[SKDU]]+Tableau16[[#This Row],[AZDU]]</f>
        <v>13392027.24</v>
      </c>
    </row>
    <row r="28" spans="1:11" s="32" customFormat="1" ht="30.75" customHeight="1" thickBot="1" x14ac:dyDescent="0.4">
      <c r="A28" s="106">
        <v>66</v>
      </c>
      <c r="B28" s="82" t="s">
        <v>25</v>
      </c>
      <c r="C28" s="73">
        <f>+Tableau11[[#This Row],[SIEGE]]+Tableau12[[#This Row],[SIEGE]]+Tableau13[[#This Row],[SIEGE]]</f>
        <v>-58117500.009999998</v>
      </c>
      <c r="D28" s="58">
        <f>+Tableau11[[#This Row],[KDU]]+Tableau12[[#This Row],[KDU]]+Tableau13[[#This Row],[KDU]]</f>
        <v>4370482.1399999997</v>
      </c>
      <c r="E28" s="59">
        <f>+Tableau11[[#This Row],[SKDU]]+Tableau12[[#This Row],[SKDU]]+Tableau13[[#This Row],[SKDU]]</f>
        <v>0</v>
      </c>
      <c r="F28" s="60">
        <f>+Tableau11[[#This Row],[AZDU]]+Tableau12[[#This Row],[AZDU]]+Tableau13[[#This Row],[AZDU]]</f>
        <v>0</v>
      </c>
      <c r="G28" s="58">
        <f>+Tableau16[[#This Row],[SIEGE]]+Tableau16[[#This Row],[KDU]]+Tableau16[[#This Row],[SKDU]]+Tableau16[[#This Row],[AZDU]]</f>
        <v>-53747017.869999997</v>
      </c>
    </row>
    <row r="29" spans="1:11" s="27" customFormat="1" ht="30.75" customHeight="1" thickBot="1" x14ac:dyDescent="0.4">
      <c r="A29" s="107" t="s">
        <v>26</v>
      </c>
      <c r="B29" s="85" t="s">
        <v>27</v>
      </c>
      <c r="C29" s="61">
        <f>+Tableau11[[#This Row],[SIEGE]]+Tableau12[[#This Row],[SIEGE]]+Tableau13[[#This Row],[SIEGE]]</f>
        <v>70918761.280000001</v>
      </c>
      <c r="D29" s="61">
        <f>+Tableau11[[#This Row],[KDU]]+Tableau12[[#This Row],[KDU]]+Tableau13[[#This Row],[KDU]]</f>
        <v>-3779716.17</v>
      </c>
      <c r="E29" s="62">
        <f>+Tableau11[[#This Row],[SKDU]]+Tableau12[[#This Row],[SKDU]]+Tableau13[[#This Row],[SKDU]]</f>
        <v>0</v>
      </c>
      <c r="F29" s="63">
        <f>+Tableau11[[#This Row],[AZDU]]+Tableau12[[#This Row],[AZDU]]+Tableau13[[#This Row],[AZDU]]</f>
        <v>0</v>
      </c>
      <c r="G29" s="61">
        <f>+Tableau16[[#This Row],[SIEGE]]+Tableau16[[#This Row],[KDU]]+Tableau16[[#This Row],[SKDU]]+Tableau16[[#This Row],[AZDU]]</f>
        <v>67139045.109999999</v>
      </c>
    </row>
    <row r="30" spans="1:11" s="27" customFormat="1" ht="30.75" customHeight="1" thickBot="1" x14ac:dyDescent="0.4">
      <c r="A30" s="107" t="s">
        <v>28</v>
      </c>
      <c r="B30" s="85" t="s">
        <v>29</v>
      </c>
      <c r="C30" s="61">
        <f>+Tableau11[[#This Row],[SIEGE]]+Tableau12[[#This Row],[SIEGE]]+Tableau13[[#This Row],[SIEGE]]</f>
        <v>146153725.51999998</v>
      </c>
      <c r="D30" s="61">
        <f>+Tableau11[[#This Row],[KDU]]+Tableau12[[#This Row],[KDU]]+Tableau13[[#This Row],[KDU]]</f>
        <v>94163530.150000095</v>
      </c>
      <c r="E30" s="62">
        <f>+Tableau11[[#This Row],[SKDU]]+Tableau12[[#This Row],[SKDU]]+Tableau13[[#This Row],[SKDU]]</f>
        <v>12852029.569999978</v>
      </c>
      <c r="F30" s="63">
        <f>+Tableau11[[#This Row],[AZDU]]+Tableau12[[#This Row],[AZDU]]+Tableau13[[#This Row],[AZDU]]</f>
        <v>50520881.299999982</v>
      </c>
      <c r="G30" s="61">
        <f>+Tableau16[[#This Row],[SIEGE]]+Tableau16[[#This Row],[KDU]]+Tableau16[[#This Row],[SKDU]]+Tableau16[[#This Row],[AZDU]]</f>
        <v>303690166.54000008</v>
      </c>
    </row>
    <row r="31" spans="1:11" s="32" customFormat="1" ht="30.75" customHeight="1" x14ac:dyDescent="0.35">
      <c r="A31" s="105" t="s">
        <v>30</v>
      </c>
      <c r="B31" s="84" t="s">
        <v>31</v>
      </c>
      <c r="C31" s="51">
        <f>+Tableau11[[#This Row],[SIEGE]]+Tableau12[[#This Row],[SIEGE]]+Tableau13[[#This Row],[SIEGE]]</f>
        <v>0</v>
      </c>
      <c r="D31" s="51">
        <f>+Tableau11[[#This Row],[KDU]]+Tableau12[[#This Row],[KDU]]+Tableau13[[#This Row],[KDU]]</f>
        <v>0</v>
      </c>
      <c r="E31" s="52">
        <f>+Tableau11[[#This Row],[SKDU]]+Tableau12[[#This Row],[SKDU]]+Tableau13[[#This Row],[SKDU]]</f>
        <v>0</v>
      </c>
      <c r="F31" s="53">
        <f>+Tableau11[[#This Row],[AZDU]]+Tableau12[[#This Row],[AZDU]]+Tableau13[[#This Row],[AZDU]]</f>
        <v>0</v>
      </c>
      <c r="G31" s="51">
        <f>+Tableau16[[#This Row],[SIEGE]]+Tableau16[[#This Row],[KDU]]+Tableau16[[#This Row],[SKDU]]+Tableau16[[#This Row],[AZDU]]</f>
        <v>0</v>
      </c>
    </row>
    <row r="32" spans="1:11" s="32" customFormat="1" ht="30.75" customHeight="1" x14ac:dyDescent="0.35">
      <c r="A32" s="109" t="s">
        <v>32</v>
      </c>
      <c r="B32" s="81" t="s">
        <v>33</v>
      </c>
      <c r="C32" s="54">
        <f>+Tableau11[[#This Row],[SIEGE]]+Tableau12[[#This Row],[SIEGE]]+Tableau13[[#This Row],[SIEGE]]</f>
        <v>-6235117.2300000004</v>
      </c>
      <c r="D32" s="54">
        <f>+Tableau11[[#This Row],[KDU]]+Tableau12[[#This Row],[KDU]]+Tableau13[[#This Row],[KDU]]</f>
        <v>-17280073.210000001</v>
      </c>
      <c r="E32" s="55">
        <f>+Tableau11[[#This Row],[SKDU]]+Tableau12[[#This Row],[SKDU]]+Tableau13[[#This Row],[SKDU]]</f>
        <v>-3301632.18</v>
      </c>
      <c r="F32" s="56">
        <f>+Tableau11[[#This Row],[AZDU]]+Tableau12[[#This Row],[AZDU]]+Tableau13[[#This Row],[AZDU]]</f>
        <v>-15258025.529999999</v>
      </c>
      <c r="G32" s="54">
        <f>+Tableau16[[#This Row],[SIEGE]]+Tableau16[[#This Row],[KDU]]+Tableau16[[#This Row],[SKDU]]+Tableau16[[#This Row],[AZDU]]</f>
        <v>-42074848.149999999</v>
      </c>
    </row>
    <row r="33" spans="1:8" s="37" customFormat="1" ht="30.75" customHeight="1" x14ac:dyDescent="0.35">
      <c r="A33" s="110"/>
      <c r="B33" s="88" t="s">
        <v>45</v>
      </c>
      <c r="C33" s="74">
        <f>+Tableau11[[#This Row],[SIEGE]]+Tableau12[[#This Row],[SIEGE]]+Tableau13[[#This Row],[SIEGE]]</f>
        <v>236541527.37</v>
      </c>
      <c r="D33" s="74">
        <f>+Tableau11[[#This Row],[KDU]]+Tableau12[[#This Row],[KDU]]+Tableau13[[#This Row],[KDU]]</f>
        <v>531236468.54000008</v>
      </c>
      <c r="E33" s="75">
        <f>+Tableau11[[#This Row],[SKDU]]+Tableau12[[#This Row],[SKDU]]+Tableau13[[#This Row],[SKDU]]</f>
        <v>124262711.45999998</v>
      </c>
      <c r="F33" s="76">
        <f>+Tableau11[[#This Row],[AZDU]]+Tableau12[[#This Row],[AZDU]]+Tableau13[[#This Row],[AZDU]]</f>
        <v>189075914.43000001</v>
      </c>
      <c r="G33" s="74">
        <f>+G12+G20+G27+G25</f>
        <v>1081116621.8</v>
      </c>
    </row>
    <row r="34" spans="1:8" s="37" customFormat="1" ht="30.75" customHeight="1" thickBot="1" x14ac:dyDescent="0.4">
      <c r="A34" s="111"/>
      <c r="B34" s="89" t="s">
        <v>46</v>
      </c>
      <c r="C34" s="73">
        <f>+Tableau11[[#This Row],[SIEGE]]+Tableau12[[#This Row],[SIEGE]]+Tableau13[[#This Row],[SIEGE]]</f>
        <v>96622919.080000013</v>
      </c>
      <c r="D34" s="73">
        <f>+Tableau11[[#This Row],[KDU]]+Tableau12[[#This Row],[KDU]]+Tableau13[[#This Row],[KDU]]</f>
        <v>454353011.60000002</v>
      </c>
      <c r="E34" s="77">
        <f>+Tableau11[[#This Row],[SKDU]]+Tableau12[[#This Row],[SKDU]]+Tableau13[[#This Row],[SKDU]]</f>
        <v>114712314.06999999</v>
      </c>
      <c r="F34" s="78">
        <f>+Tableau11[[#This Row],[AZDU]]+Tableau12[[#This Row],[AZDU]]+Tableau13[[#This Row],[AZDU]]</f>
        <v>153813058.66000003</v>
      </c>
      <c r="G34" s="73">
        <f t="shared" ref="G34" si="0">(G15+G17+G18+G24+G21+G28)-G32</f>
        <v>819501303.40999997</v>
      </c>
    </row>
    <row r="35" spans="1:8" s="27" customFormat="1" ht="30.75" customHeight="1" thickBot="1" x14ac:dyDescent="0.4">
      <c r="A35" s="107" t="s">
        <v>34</v>
      </c>
      <c r="B35" s="85" t="s">
        <v>35</v>
      </c>
      <c r="C35" s="61">
        <f>+Tableau11[[#This Row],[SIEGE]]+Tableau12[[#This Row],[SIEGE]]+Tableau13[[#This Row],[SIEGE]]</f>
        <v>139918608.29000002</v>
      </c>
      <c r="D35" s="61">
        <f>+Tableau11[[#This Row],[KDU]]+Tableau12[[#This Row],[KDU]]+Tableau13[[#This Row],[KDU]]</f>
        <v>76883456.940000087</v>
      </c>
      <c r="E35" s="62">
        <f>+Tableau11[[#This Row],[SKDU]]+Tableau12[[#This Row],[SKDU]]+Tableau13[[#This Row],[SKDU]]</f>
        <v>9550397.3899999782</v>
      </c>
      <c r="F35" s="63">
        <f>+Tableau11[[#This Row],[AZDU]]+Tableau12[[#This Row],[AZDU]]+Tableau13[[#This Row],[AZDU]]</f>
        <v>35262855.769999981</v>
      </c>
      <c r="G35" s="61">
        <f>+G30-G31</f>
        <v>303690166.54000008</v>
      </c>
      <c r="H35" s="266"/>
    </row>
    <row r="36" spans="1:8" s="32" customFormat="1" ht="30.75" customHeight="1" x14ac:dyDescent="0.35">
      <c r="A36" s="105">
        <v>77</v>
      </c>
      <c r="B36" s="84" t="s">
        <v>36</v>
      </c>
      <c r="C36" s="51">
        <f>+Tableau11[[#This Row],[SIEGE]]+Tableau12[[#This Row],[SIEGE]]+Tableau13[[#This Row],[SIEGE]]</f>
        <v>0</v>
      </c>
      <c r="D36" s="51">
        <f>+Tableau11[[#This Row],[KDU]]+Tableau12[[#This Row],[KDU]]+Tableau13[[#This Row],[KDU]]</f>
        <v>0</v>
      </c>
      <c r="E36" s="52">
        <f>+Tableau11[[#This Row],[SKDU]]+Tableau12[[#This Row],[SKDU]]+Tableau13[[#This Row],[SKDU]]</f>
        <v>0</v>
      </c>
      <c r="F36" s="53">
        <f>+Tableau11[[#This Row],[AZDU]]+Tableau12[[#This Row],[AZDU]]+Tableau13[[#This Row],[AZDU]]</f>
        <v>0</v>
      </c>
      <c r="G36" s="51">
        <f>+Tableau16[[#This Row],[SIEGE]]+Tableau16[[#This Row],[KDU]]+Tableau16[[#This Row],[SKDU]]+Tableau16[[#This Row],[AZDU]]</f>
        <v>0</v>
      </c>
    </row>
    <row r="37" spans="1:8" s="32" customFormat="1" ht="30.75" customHeight="1" thickBot="1" x14ac:dyDescent="0.4">
      <c r="A37" s="106">
        <v>67</v>
      </c>
      <c r="B37" s="82" t="s">
        <v>37</v>
      </c>
      <c r="C37" s="58">
        <f>+Tableau11[[#This Row],[SIEGE]]+Tableau12[[#This Row],[SIEGE]]+Tableau13[[#This Row],[SIEGE]]</f>
        <v>0</v>
      </c>
      <c r="D37" s="58">
        <f>+Tableau11[[#This Row],[KDU]]+Tableau12[[#This Row],[KDU]]+Tableau13[[#This Row],[KDU]]</f>
        <v>0</v>
      </c>
      <c r="E37" s="59">
        <f>+Tableau11[[#This Row],[SKDU]]+Tableau12[[#This Row],[SKDU]]+Tableau13[[#This Row],[SKDU]]</f>
        <v>0</v>
      </c>
      <c r="F37" s="60">
        <f>+Tableau11[[#This Row],[AZDU]]+Tableau12[[#This Row],[AZDU]]+Tableau13[[#This Row],[AZDU]]</f>
        <v>0</v>
      </c>
      <c r="G37" s="58">
        <f>+Tableau16[[#This Row],[SIEGE]]+Tableau16[[#This Row],[KDU]]+Tableau16[[#This Row],[SKDU]]+Tableau16[[#This Row],[AZDU]]</f>
        <v>0</v>
      </c>
    </row>
    <row r="38" spans="1:8" s="27" customFormat="1" ht="30.75" customHeight="1" thickBot="1" x14ac:dyDescent="0.4">
      <c r="A38" s="107" t="s">
        <v>38</v>
      </c>
      <c r="B38" s="85" t="s">
        <v>39</v>
      </c>
      <c r="C38" s="61">
        <f>+Tableau11[[#This Row],[SIEGE]]+Tableau12[[#This Row],[SIEGE]]+Tableau13[[#This Row],[SIEGE]]</f>
        <v>0</v>
      </c>
      <c r="D38" s="61">
        <f>+Tableau11[[#This Row],[KDU]]+Tableau12[[#This Row],[KDU]]+Tableau13[[#This Row],[KDU]]</f>
        <v>0</v>
      </c>
      <c r="E38" s="62">
        <f>+Tableau11[[#This Row],[SKDU]]+Tableau12[[#This Row],[SKDU]]+Tableau13[[#This Row],[SKDU]]</f>
        <v>0</v>
      </c>
      <c r="F38" s="63">
        <f>+Tableau11[[#This Row],[AZDU]]+Tableau12[[#This Row],[AZDU]]+Tableau13[[#This Row],[AZDU]]</f>
        <v>0</v>
      </c>
      <c r="G38" s="61">
        <f>+Tableau16[[#This Row],[SIEGE]]+Tableau16[[#This Row],[KDU]]+Tableau16[[#This Row],[SKDU]]+Tableau16[[#This Row],[AZDU]]</f>
        <v>0</v>
      </c>
    </row>
    <row r="39" spans="1:8" s="27" customFormat="1" ht="30.6" customHeight="1" x14ac:dyDescent="0.35">
      <c r="A39" s="120" t="s">
        <v>40</v>
      </c>
      <c r="B39" s="121" t="s">
        <v>41</v>
      </c>
      <c r="C39" s="122">
        <f>+Tableau11[[#This Row],[SIEGE]]+Tableau12[[#This Row],[SIEGE]]+Tableau13[[#This Row],[SIEGE]]</f>
        <v>139918608.29000002</v>
      </c>
      <c r="D39" s="122">
        <f>+Tableau11[[#This Row],[KDU]]+Tableau12[[#This Row],[KDU]]+Tableau13[[#This Row],[KDU]]</f>
        <v>76883456.940000087</v>
      </c>
      <c r="E39" s="123">
        <f>+Tableau11[[#This Row],[SKDU]]+Tableau12[[#This Row],[SKDU]]+Tableau13[[#This Row],[SKDU]]</f>
        <v>9550397.3899999782</v>
      </c>
      <c r="F39" s="124">
        <f>+Tableau11[[#This Row],[AZDU]]+Tableau12[[#This Row],[AZDU]]+Tableau13[[#This Row],[AZDU]]</f>
        <v>35262855.769999981</v>
      </c>
      <c r="G39" s="122">
        <f>+Tableau16[[#This Row],[SIEGE]]+Tableau16[[#This Row],[KDU]]+Tableau16[[#This Row],[SKDU]]+Tableau16[[#This Row],[AZDU]]</f>
        <v>261615318.39000008</v>
      </c>
    </row>
    <row r="40" spans="1:8" s="27" customFormat="1" ht="11.4" customHeight="1" x14ac:dyDescent="0.35">
      <c r="A40" s="90"/>
      <c r="B40" s="90"/>
      <c r="C40" s="91"/>
      <c r="D40" s="91"/>
      <c r="E40" s="91"/>
      <c r="F40" s="91"/>
      <c r="G40" s="91"/>
    </row>
    <row r="41" spans="1:8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</row>
    <row r="42" spans="1:8" s="37" customFormat="1" ht="18" x14ac:dyDescent="0.35">
      <c r="A42" s="92">
        <v>1</v>
      </c>
      <c r="B42" s="93" t="s">
        <v>52</v>
      </c>
      <c r="C42" s="94">
        <f>+C12/C7</f>
        <v>1</v>
      </c>
      <c r="D42" s="95">
        <f>+D12/D7</f>
        <v>1.2483983097161759</v>
      </c>
      <c r="E42" s="95">
        <f>+E12/E7</f>
        <v>0.50718818803242915</v>
      </c>
      <c r="F42" s="95">
        <f>+F12/F7</f>
        <v>0.51847539726478908</v>
      </c>
      <c r="G42" s="95">
        <f>+G12/G7</f>
        <v>0.84561287058859114</v>
      </c>
    </row>
    <row r="43" spans="1:8" s="37" customFormat="1" ht="18" x14ac:dyDescent="0.35">
      <c r="A43" s="92">
        <v>2</v>
      </c>
      <c r="B43" s="93" t="s">
        <v>53</v>
      </c>
      <c r="C43" s="94">
        <f>+C13/C7</f>
        <v>0.39774295022608447</v>
      </c>
      <c r="D43" s="95">
        <f>+D13/D7</f>
        <v>0.95496975672578577</v>
      </c>
      <c r="E43" s="95">
        <f>+E13/E7</f>
        <v>0.25672173672836773</v>
      </c>
      <c r="F43" s="95">
        <f>+F13/F7</f>
        <v>0.33225276989806957</v>
      </c>
      <c r="G43" s="95">
        <f>+G13/G7</f>
        <v>0.55748338417059784</v>
      </c>
    </row>
    <row r="44" spans="1:8" s="37" customFormat="1" ht="18" x14ac:dyDescent="0.35">
      <c r="A44" s="92">
        <v>3</v>
      </c>
      <c r="B44" s="93" t="s">
        <v>56</v>
      </c>
      <c r="C44" s="94">
        <f>+C13/C12</f>
        <v>0.39774295022608447</v>
      </c>
      <c r="D44" s="95">
        <f>+D13/D12</f>
        <v>0.7649559834336036</v>
      </c>
      <c r="E44" s="95">
        <f>+E13/E12</f>
        <v>0.50616663160923836</v>
      </c>
      <c r="F44" s="95">
        <f>+F13/F12</f>
        <v>0.64082649176964834</v>
      </c>
      <c r="G44" s="95">
        <f>+G13/G12</f>
        <v>0.65926549081799102</v>
      </c>
    </row>
    <row r="45" spans="1:8" s="37" customFormat="1" ht="18" x14ac:dyDescent="0.35">
      <c r="A45" s="92">
        <v>4</v>
      </c>
      <c r="B45" s="93" t="s">
        <v>57</v>
      </c>
      <c r="C45" s="94">
        <f>+C15/C12</f>
        <v>0.53142640109951089</v>
      </c>
      <c r="D45" s="95">
        <f>+D15/D12</f>
        <v>0.81450949685146001</v>
      </c>
      <c r="E45" s="95">
        <f>+E15/E12</f>
        <v>0.62519566198336685</v>
      </c>
      <c r="F45" s="95">
        <f>+F15/F12</f>
        <v>0.76333296187737798</v>
      </c>
      <c r="G45" s="95">
        <f>+G15/G12</f>
        <v>0.74189493704849718</v>
      </c>
    </row>
    <row r="46" spans="1:8" s="37" customFormat="1" ht="18" x14ac:dyDescent="0.35">
      <c r="A46" s="92">
        <v>5</v>
      </c>
      <c r="B46" s="93" t="s">
        <v>58</v>
      </c>
      <c r="C46" s="94">
        <f>+C17/C12</f>
        <v>0.55156478820320221</v>
      </c>
      <c r="D46" s="95">
        <f>+D17/D12</f>
        <v>0.16873079947834393</v>
      </c>
      <c r="E46" s="95">
        <f>+E17/E12</f>
        <v>0.28102067624727772</v>
      </c>
      <c r="F46" s="95">
        <f>+F17/F12</f>
        <v>0.21806145011966538</v>
      </c>
      <c r="G46" s="95">
        <f>+G17/G12</f>
        <v>0.24298004688931374</v>
      </c>
    </row>
    <row r="47" spans="1:8" s="37" customFormat="1" ht="18" x14ac:dyDescent="0.35">
      <c r="A47" s="92">
        <v>6</v>
      </c>
      <c r="B47" s="93" t="s">
        <v>54</v>
      </c>
      <c r="C47" s="94">
        <f>+C16/C17</f>
        <v>0.84953501188306768</v>
      </c>
      <c r="D47" s="95">
        <f>+D16/D17</f>
        <v>1.0993280641235104</v>
      </c>
      <c r="E47" s="95">
        <f>+E16/E17</f>
        <v>1.3337251301994326</v>
      </c>
      <c r="F47" s="95">
        <f>+F16/F17</f>
        <v>1.0853226830911498</v>
      </c>
      <c r="G47" s="95">
        <f>+G16/G17</f>
        <v>1.0622479757322583</v>
      </c>
    </row>
    <row r="48" spans="1:8" s="37" customFormat="1" ht="18" x14ac:dyDescent="0.35">
      <c r="A48" s="92">
        <v>7</v>
      </c>
      <c r="B48" s="93" t="s">
        <v>55</v>
      </c>
      <c r="C48" s="94">
        <f>+C19/C12</f>
        <v>-0.11837878119504726</v>
      </c>
      <c r="D48" s="95">
        <f>+D19/D12</f>
        <v>8.6924662926475896E-3</v>
      </c>
      <c r="E48" s="95">
        <f>+E19/E12</f>
        <v>7.0221454775055592E-2</v>
      </c>
      <c r="F48" s="95">
        <f>+F19/F12</f>
        <v>-1.3928761049061631E-2</v>
      </c>
      <c r="G48" s="95">
        <f>+G19/G12</f>
        <v>-2.7971598102746725E-3</v>
      </c>
    </row>
    <row r="49" spans="1:6" ht="15.6" x14ac:dyDescent="0.3">
      <c r="A49" s="90"/>
      <c r="B49" s="90"/>
      <c r="C49" s="96"/>
      <c r="D49" s="96"/>
      <c r="E49" s="96"/>
      <c r="F49" s="96"/>
    </row>
  </sheetData>
  <sheetProtection selectLockedCells="1" selectUnlockedCells="1"/>
  <mergeCells count="5">
    <mergeCell ref="A41:G41"/>
    <mergeCell ref="S1:T1"/>
    <mergeCell ref="S2:T2"/>
    <mergeCell ref="S3:T3"/>
    <mergeCell ref="A5:G5"/>
  </mergeCells>
  <conditionalFormatting sqref="D1:G4 C42:G1048576 D40:G40 D6:F25 D27:F39">
    <cfRule type="cellIs" dxfId="127" priority="10" operator="lessThan">
      <formula>-0.01</formula>
    </cfRule>
  </conditionalFormatting>
  <conditionalFormatting sqref="C1:C4 C6:C25 C27:C40">
    <cfRule type="cellIs" dxfId="126" priority="9" operator="lessThan">
      <formula>-0.01</formula>
    </cfRule>
  </conditionalFormatting>
  <conditionalFormatting sqref="G7:G25 G27:G39">
    <cfRule type="cellIs" dxfId="125" priority="8" operator="lessThan">
      <formula>-0.01</formula>
    </cfRule>
  </conditionalFormatting>
  <conditionalFormatting sqref="G6">
    <cfRule type="cellIs" dxfId="124" priority="7" operator="lessThan">
      <formula>-0.01</formula>
    </cfRule>
  </conditionalFormatting>
  <conditionalFormatting sqref="D26:F26">
    <cfRule type="cellIs" dxfId="123" priority="3" operator="lessThan">
      <formula>-0.01</formula>
    </cfRule>
  </conditionalFormatting>
  <conditionalFormatting sqref="C26">
    <cfRule type="cellIs" dxfId="122" priority="2" operator="lessThan">
      <formula>-0.01</formula>
    </cfRule>
  </conditionalFormatting>
  <conditionalFormatting sqref="G26">
    <cfRule type="cellIs" dxfId="121" priority="1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Q49"/>
  <sheetViews>
    <sheetView view="pageBreakPreview" zoomScale="70" zoomScaleNormal="50" zoomScaleSheetLayoutView="70" workbookViewId="0">
      <pane xSplit="2" ySplit="6" topLeftCell="C28" activePane="bottomRight" state="frozen"/>
      <selection activeCell="C5" sqref="C5:D5"/>
      <selection pane="topRight" activeCell="C5" sqref="C5:D5"/>
      <selection pane="bottomLeft" activeCell="C5" sqref="C5:D5"/>
      <selection pane="bottomRight" activeCell="I33" sqref="I33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6" width="19.77734375" style="3" customWidth="1"/>
    <col min="7" max="7" width="19.77734375" style="96" customWidth="1"/>
    <col min="8" max="16384" width="11.44140625" style="1"/>
  </cols>
  <sheetData>
    <row r="1" spans="1:17" s="42" customFormat="1" ht="13.8" customHeight="1" x14ac:dyDescent="0.45">
      <c r="A1" s="25"/>
      <c r="B1" s="39"/>
      <c r="C1" s="40"/>
      <c r="D1" s="40"/>
      <c r="E1" s="40"/>
      <c r="F1" s="40"/>
      <c r="G1" s="97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s="42" customFormat="1" ht="13.8" customHeight="1" x14ac:dyDescent="0.45">
      <c r="A2" s="25"/>
      <c r="B2" s="43"/>
      <c r="C2" s="44"/>
      <c r="D2" s="44"/>
      <c r="E2" s="44"/>
      <c r="F2" s="44"/>
      <c r="G2" s="98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s="42" customFormat="1" ht="13.8" customHeight="1" x14ac:dyDescent="0.4">
      <c r="A3" s="46"/>
      <c r="B3" s="47"/>
      <c r="C3" s="48"/>
      <c r="D3" s="48"/>
      <c r="E3" s="48"/>
      <c r="F3" s="48"/>
      <c r="G3" s="99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7" s="42" customFormat="1" ht="13.8" customHeight="1" x14ac:dyDescent="0.4">
      <c r="A4" s="46"/>
      <c r="B4" s="46"/>
      <c r="C4" s="50"/>
      <c r="D4" s="50"/>
      <c r="E4" s="50"/>
      <c r="F4" s="50"/>
      <c r="G4" s="100"/>
    </row>
    <row r="5" spans="1:17" ht="26.4" thickBot="1" x14ac:dyDescent="0.55000000000000004">
      <c r="A5" s="281" t="s">
        <v>91</v>
      </c>
      <c r="B5" s="281"/>
      <c r="C5" s="281"/>
      <c r="D5" s="281"/>
      <c r="E5" s="281"/>
      <c r="F5" s="281"/>
      <c r="G5" s="281"/>
    </row>
    <row r="6" spans="1:17" s="27" customFormat="1" ht="52.2" customHeight="1" x14ac:dyDescent="0.35">
      <c r="A6" s="113" t="s">
        <v>0</v>
      </c>
      <c r="B6" s="114" t="s">
        <v>1</v>
      </c>
      <c r="C6" s="115" t="s">
        <v>50</v>
      </c>
      <c r="D6" s="116" t="s">
        <v>47</v>
      </c>
      <c r="E6" s="117" t="s">
        <v>48</v>
      </c>
      <c r="F6" s="118" t="s">
        <v>49</v>
      </c>
      <c r="G6" s="119" t="s">
        <v>92</v>
      </c>
    </row>
    <row r="7" spans="1:17" s="29" customFormat="1" ht="30.75" customHeight="1" x14ac:dyDescent="0.35">
      <c r="A7" s="101"/>
      <c r="B7" s="79" t="s">
        <v>2</v>
      </c>
      <c r="C7" s="51">
        <f>+Tableau14[[#This Row],[SIEGE]]+Tableau15[[#This Row],[SIEGE]]+Tableau17[[#This Row],[SIEGE]]+Tableau16[[#This Row],[SIEGE]]</f>
        <v>139593823.54000002</v>
      </c>
      <c r="D7" s="51">
        <f>+Tableau14[[#This Row],[KDU]]+Tableau15[[#This Row],[KDU]]+Tableau17[[#This Row],[KDU]]+Tableau16[[#This Row],[KDU]]</f>
        <v>983594551.85000002</v>
      </c>
      <c r="E7" s="52">
        <f>+Tableau14[[#This Row],[SKDU]]+Tableau15[[#This Row],[SKDU]]+Tableau17[[#This Row],[SKDU]]+Tableau16[[#This Row],[SKDU]]</f>
        <v>576110952.13999999</v>
      </c>
      <c r="F7" s="53">
        <f>+Tableau14[[#This Row],[AZDU]]+Tableau15[[#This Row],[AZDU]]+Tableau17[[#This Row],[AZDU]]+Tableau16[[#This Row],[AZDU]]</f>
        <v>409268514.94999999</v>
      </c>
      <c r="G7" s="51">
        <f>SUM(Tableau18[[#This Row],[SIEGE]:[AZDU]])</f>
        <v>2108567842.4800003</v>
      </c>
    </row>
    <row r="8" spans="1:17" s="29" customFormat="1" ht="30.75" customHeight="1" x14ac:dyDescent="0.35">
      <c r="A8" s="102"/>
      <c r="B8" s="80" t="s">
        <v>42</v>
      </c>
      <c r="C8" s="54">
        <f>+Tableau14[[#This Row],[SIEGE]]+Tableau15[[#This Row],[SIEGE]]+Tableau17[[#This Row],[SIEGE]]+Tableau16[[#This Row],[SIEGE]]</f>
        <v>0</v>
      </c>
      <c r="D8" s="54">
        <f>+Tableau14[[#This Row],[KDU]]+Tableau15[[#This Row],[KDU]]+Tableau17[[#This Row],[KDU]]+Tableau16[[#This Row],[KDU]]</f>
        <v>1328118.3700000001</v>
      </c>
      <c r="E8" s="55">
        <f>+Tableau14[[#This Row],[SKDU]]+Tableau15[[#This Row],[SKDU]]+Tableau17[[#This Row],[SKDU]]+Tableau16[[#This Row],[SKDU]]</f>
        <v>0</v>
      </c>
      <c r="F8" s="56">
        <f>+Tableau14[[#This Row],[AZDU]]+Tableau15[[#This Row],[AZDU]]+Tableau17[[#This Row],[AZDU]]+Tableau16[[#This Row],[AZDU]]</f>
        <v>10400</v>
      </c>
      <c r="G8" s="51">
        <f>SUM(Tableau18[[#This Row],[SIEGE]:[AZDU]])</f>
        <v>1338518.3700000001</v>
      </c>
    </row>
    <row r="9" spans="1:17" s="27" customFormat="1" ht="30.75" customHeight="1" x14ac:dyDescent="0.35">
      <c r="A9" s="102"/>
      <c r="B9" s="81" t="s">
        <v>3</v>
      </c>
      <c r="C9" s="54">
        <f>+Tableau14[[#This Row],[SIEGE]]+Tableau15[[#This Row],[SIEGE]]+Tableau17[[#This Row],[SIEGE]]+Tableau16[[#This Row],[SIEGE]]</f>
        <v>0</v>
      </c>
      <c r="D9" s="57">
        <f>+Tableau14[[#This Row],[KDU]]+Tableau15[[#This Row],[KDU]]+Tableau17[[#This Row],[KDU]]+Tableau16[[#This Row],[KDU]]</f>
        <v>341724218.10000002</v>
      </c>
      <c r="E9" s="55">
        <f>+Tableau14[[#This Row],[SKDU]]+Tableau15[[#This Row],[SKDU]]+Tableau17[[#This Row],[SKDU]]+Tableau16[[#This Row],[SKDU]]</f>
        <v>-252638975.14000002</v>
      </c>
      <c r="F9" s="56">
        <f>+Tableau14[[#This Row],[AZDU]]+Tableau15[[#This Row],[AZDU]]+Tableau17[[#This Row],[AZDU]]+Tableau16[[#This Row],[AZDU]]</f>
        <v>-192242248.20000002</v>
      </c>
      <c r="G9" s="51">
        <f>SUM(Tableau18[[#This Row],[SIEGE]:[AZDU]])</f>
        <v>-103157005.24000001</v>
      </c>
    </row>
    <row r="10" spans="1:17" s="27" customFormat="1" ht="30.75" customHeight="1" x14ac:dyDescent="0.35">
      <c r="A10" s="102"/>
      <c r="B10" s="81" t="s">
        <v>4</v>
      </c>
      <c r="C10" s="54">
        <f>+Tableau14[[#This Row],[SIEGE]]+Tableau15[[#This Row],[SIEGE]]+Tableau17[[#This Row],[SIEGE]]+Tableau16[[#This Row],[SIEGE]]</f>
        <v>0</v>
      </c>
      <c r="D10" s="54">
        <f>+Tableau14[[#This Row],[KDU]]+Tableau15[[#This Row],[KDU]]+Tableau17[[#This Row],[KDU]]+Tableau16[[#This Row],[KDU]]</f>
        <v>419267.27</v>
      </c>
      <c r="E10" s="55">
        <f>+Tableau14[[#This Row],[SKDU]]+Tableau15[[#This Row],[SKDU]]+Tableau17[[#This Row],[SKDU]]+Tableau16[[#This Row],[SKDU]]</f>
        <v>0</v>
      </c>
      <c r="F10" s="56">
        <f>+Tableau14[[#This Row],[AZDU]]+Tableau15[[#This Row],[AZDU]]+Tableau17[[#This Row],[AZDU]]+Tableau16[[#This Row],[AZDU]]</f>
        <v>0</v>
      </c>
      <c r="G10" s="51">
        <f>SUM(Tableau18[[#This Row],[SIEGE]:[AZDU]])</f>
        <v>419267.27</v>
      </c>
    </row>
    <row r="11" spans="1:17" s="27" customFormat="1" ht="30.75" customHeight="1" thickBot="1" x14ac:dyDescent="0.4">
      <c r="A11" s="103"/>
      <c r="B11" s="82" t="s">
        <v>5</v>
      </c>
      <c r="C11" s="58">
        <f>+Tableau14[[#This Row],[SIEGE]]+Tableau15[[#This Row],[SIEGE]]+Tableau17[[#This Row],[SIEGE]]+Tableau16[[#This Row],[SIEGE]]</f>
        <v>0</v>
      </c>
      <c r="D11" s="58">
        <f>+Tableau14[[#This Row],[KDU]]+Tableau15[[#This Row],[KDU]]+Tableau17[[#This Row],[KDU]]+Tableau16[[#This Row],[KDU]]</f>
        <v>0</v>
      </c>
      <c r="E11" s="59">
        <f>+Tableau14[[#This Row],[SKDU]]+Tableau15[[#This Row],[SKDU]]+Tableau17[[#This Row],[SKDU]]+Tableau16[[#This Row],[SKDU]]</f>
        <v>0</v>
      </c>
      <c r="F11" s="60">
        <f>+Tableau14[[#This Row],[AZDU]]+Tableau15[[#This Row],[AZDU]]+Tableau17[[#This Row],[AZDU]]+Tableau16[[#This Row],[AZDU]]</f>
        <v>0</v>
      </c>
      <c r="G11" s="112">
        <f>SUM(Tableau18[[#This Row],[SIEGE]:[AZDU]])</f>
        <v>0</v>
      </c>
    </row>
    <row r="12" spans="1:17" s="27" customFormat="1" ht="30.75" customHeight="1" thickBot="1" x14ac:dyDescent="0.4">
      <c r="A12" s="104"/>
      <c r="B12" s="83" t="s">
        <v>6</v>
      </c>
      <c r="C12" s="61">
        <f>+Tableau14[[#This Row],[SIEGE]]+Tableau15[[#This Row],[SIEGE]]+Tableau17[[#This Row],[SIEGE]]+Tableau16[[#This Row],[SIEGE]]</f>
        <v>139593823.54000002</v>
      </c>
      <c r="D12" s="61">
        <f>+Tableau14[[#This Row],[KDU]]+Tableau15[[#This Row],[KDU]]+Tableau17[[#This Row],[KDU]]+Tableau16[[#This Row],[KDU]]</f>
        <v>1327066155.5900002</v>
      </c>
      <c r="E12" s="62">
        <f>+Tableau14[[#This Row],[SKDU]]+Tableau15[[#This Row],[SKDU]]+Tableau17[[#This Row],[SKDU]]+Tableau16[[#This Row],[SKDU]]</f>
        <v>323471977</v>
      </c>
      <c r="F12" s="63">
        <f>+Tableau14[[#This Row],[AZDU]]+Tableau15[[#This Row],[AZDU]]+Tableau17[[#This Row],[AZDU]]+Tableau16[[#This Row],[AZDU]]</f>
        <v>217036666.74999997</v>
      </c>
      <c r="G12" s="61">
        <f>SUM(Tableau18[[#This Row],[SIEGE]:[AZDU]])</f>
        <v>2007168622.8800001</v>
      </c>
    </row>
    <row r="13" spans="1:17" s="32" customFormat="1" ht="30.75" customHeight="1" x14ac:dyDescent="0.35">
      <c r="A13" s="105">
        <v>60</v>
      </c>
      <c r="B13" s="84" t="s">
        <v>7</v>
      </c>
      <c r="C13" s="51">
        <f>+Tableau14[[#This Row],[SIEGE]]+Tableau15[[#This Row],[SIEGE]]+Tableau17[[#This Row],[SIEGE]]+Tableau16[[#This Row],[SIEGE]]</f>
        <v>43453712.189999998</v>
      </c>
      <c r="D13" s="64">
        <f>+Tableau14[[#This Row],[KDU]]+Tableau15[[#This Row],[KDU]]+Tableau17[[#This Row],[KDU]]+Tableau16[[#This Row],[KDU]]</f>
        <v>1034518944.25</v>
      </c>
      <c r="E13" s="65">
        <f>+Tableau14[[#This Row],[SKDU]]+Tableau15[[#This Row],[SKDU]]+Tableau17[[#This Row],[SKDU]]+Tableau16[[#This Row],[SKDU]]</f>
        <v>174887799.56999999</v>
      </c>
      <c r="F13" s="66">
        <f>+Tableau14[[#This Row],[AZDU]]+Tableau15[[#This Row],[AZDU]]+Tableau17[[#This Row],[AZDU]]+Tableau16[[#This Row],[AZDU]]</f>
        <v>180282304.06</v>
      </c>
      <c r="G13" s="51">
        <f>SUM(Tableau18[[#This Row],[SIEGE]:[AZDU]])</f>
        <v>1433142760.0699999</v>
      </c>
    </row>
    <row r="14" spans="1:17" s="32" customFormat="1" ht="30.75" customHeight="1" thickBot="1" x14ac:dyDescent="0.4">
      <c r="A14" s="106" t="s">
        <v>8</v>
      </c>
      <c r="B14" s="82" t="s">
        <v>43</v>
      </c>
      <c r="C14" s="58">
        <f>+Tableau14[[#This Row],[SIEGE]]+Tableau15[[#This Row],[SIEGE]]+Tableau17[[#This Row],[SIEGE]]+Tableau16[[#This Row],[SIEGE]]</f>
        <v>32748868.77</v>
      </c>
      <c r="D14" s="58">
        <f>+Tableau14[[#This Row],[KDU]]+Tableau15[[#This Row],[KDU]]+Tableau17[[#This Row],[KDU]]+Tableau16[[#This Row],[KDU]]</f>
        <v>68644558.349999994</v>
      </c>
      <c r="E14" s="59">
        <f>+Tableau14[[#This Row],[SKDU]]+Tableau15[[#This Row],[SKDU]]+Tableau17[[#This Row],[SKDU]]+Tableau16[[#This Row],[SKDU]]</f>
        <v>28327488.640000001</v>
      </c>
      <c r="F14" s="60">
        <f>+Tableau14[[#This Row],[AZDU]]+Tableau15[[#This Row],[AZDU]]+Tableau17[[#This Row],[AZDU]]+Tableau16[[#This Row],[AZDU]]</f>
        <v>33332229.340000004</v>
      </c>
      <c r="G14" s="58">
        <f>SUM(Tableau18[[#This Row],[SIEGE]:[AZDU]])</f>
        <v>163053145.09999999</v>
      </c>
    </row>
    <row r="15" spans="1:17" s="27" customFormat="1" ht="30.75" customHeight="1" thickBot="1" x14ac:dyDescent="0.4">
      <c r="A15" s="107" t="s">
        <v>9</v>
      </c>
      <c r="B15" s="85" t="s">
        <v>10</v>
      </c>
      <c r="C15" s="61">
        <f>+Tableau14[[#This Row],[SIEGE]]+Tableau15[[#This Row],[SIEGE]]+Tableau17[[#This Row],[SIEGE]]+Tableau16[[#This Row],[SIEGE]]</f>
        <v>76202580.960000008</v>
      </c>
      <c r="D15" s="61">
        <f>+Tableau14[[#This Row],[KDU]]+Tableau15[[#This Row],[KDU]]+Tableau17[[#This Row],[KDU]]+Tableau16[[#This Row],[KDU]]</f>
        <v>1103163502.5999999</v>
      </c>
      <c r="E15" s="62">
        <f>+Tableau14[[#This Row],[SKDU]]+Tableau15[[#This Row],[SKDU]]+Tableau17[[#This Row],[SKDU]]+Tableau16[[#This Row],[SKDU]]</f>
        <v>203215288.20999998</v>
      </c>
      <c r="F15" s="63">
        <f>+Tableau14[[#This Row],[AZDU]]+Tableau15[[#This Row],[AZDU]]+Tableau17[[#This Row],[AZDU]]+Tableau16[[#This Row],[AZDU]]</f>
        <v>213614533.40000001</v>
      </c>
      <c r="G15" s="61">
        <f>SUM(Tableau18[[#This Row],[SIEGE]:[AZDU]])</f>
        <v>1596195905.1700001</v>
      </c>
    </row>
    <row r="16" spans="1:17" s="27" customFormat="1" ht="30.75" customHeight="1" thickBot="1" x14ac:dyDescent="0.4">
      <c r="A16" s="108" t="s">
        <v>11</v>
      </c>
      <c r="B16" s="86" t="s">
        <v>12</v>
      </c>
      <c r="C16" s="67">
        <f>+Tableau14[[#This Row],[SIEGE]]+Tableau15[[#This Row],[SIEGE]]+Tableau17[[#This Row],[SIEGE]]+Tableau16[[#This Row],[SIEGE]]</f>
        <v>63391242.580000006</v>
      </c>
      <c r="D16" s="67">
        <f>+Tableau14[[#This Row],[KDU]]+Tableau15[[#This Row],[KDU]]+Tableau17[[#This Row],[KDU]]+Tableau16[[#This Row],[KDU]]</f>
        <v>223902652.98999998</v>
      </c>
      <c r="E16" s="68">
        <f>+Tableau14[[#This Row],[SKDU]]+Tableau15[[#This Row],[SKDU]]+Tableau17[[#This Row],[SKDU]]+Tableau16[[#This Row],[SKDU]]</f>
        <v>120256688.78999999</v>
      </c>
      <c r="F16" s="69">
        <f>+Tableau14[[#This Row],[AZDU]]+Tableau15[[#This Row],[AZDU]]+Tableau17[[#This Row],[AZDU]]+Tableau16[[#This Row],[AZDU]]</f>
        <v>3422133.3499999754</v>
      </c>
      <c r="G16" s="67">
        <f>SUM(Tableau18[[#This Row],[SIEGE]:[AZDU]])</f>
        <v>410972717.70999998</v>
      </c>
    </row>
    <row r="17" spans="1:7" s="32" customFormat="1" ht="30.75" customHeight="1" x14ac:dyDescent="0.35">
      <c r="A17" s="105">
        <v>63</v>
      </c>
      <c r="B17" s="84" t="s">
        <v>44</v>
      </c>
      <c r="C17" s="64">
        <f>+Tableau14[[#This Row],[SIEGE]]+Tableau15[[#This Row],[SIEGE]]+Tableau17[[#This Row],[SIEGE]]+Tableau16[[#This Row],[SIEGE]]</f>
        <v>139080976.17000002</v>
      </c>
      <c r="D17" s="64">
        <f>+Tableau14[[#This Row],[KDU]]+Tableau15[[#This Row],[KDU]]+Tableau17[[#This Row],[KDU]]+Tableau16[[#This Row],[KDU]]</f>
        <v>320676117.25999999</v>
      </c>
      <c r="E17" s="65">
        <f>+Tableau14[[#This Row],[SKDU]]+Tableau15[[#This Row],[SKDU]]+Tableau17[[#This Row],[SKDU]]+Tableau16[[#This Row],[SKDU]]</f>
        <v>112584989.68000001</v>
      </c>
      <c r="F17" s="66">
        <f>+Tableau14[[#This Row],[AZDU]]+Tableau15[[#This Row],[AZDU]]+Tableau17[[#This Row],[AZDU]]+Tableau16[[#This Row],[AZDU]]</f>
        <v>114095929.81</v>
      </c>
      <c r="G17" s="51">
        <f>SUM(Tableau18[[#This Row],[SIEGE]:[AZDU]])</f>
        <v>686438012.92000008</v>
      </c>
    </row>
    <row r="18" spans="1:7" s="32" customFormat="1" ht="30.75" customHeight="1" thickBot="1" x14ac:dyDescent="0.4">
      <c r="A18" s="106">
        <v>64</v>
      </c>
      <c r="B18" s="82" t="s">
        <v>13</v>
      </c>
      <c r="C18" s="58">
        <f>+Tableau14[[#This Row],[SIEGE]]+Tableau15[[#This Row],[SIEGE]]+Tableau17[[#This Row],[SIEGE]]+Tableau16[[#This Row],[SIEGE]]</f>
        <v>4871140.2</v>
      </c>
      <c r="D18" s="58">
        <f>+Tableau14[[#This Row],[KDU]]+Tableau15[[#This Row],[KDU]]+Tableau17[[#This Row],[KDU]]+Tableau16[[#This Row],[KDU]]</f>
        <v>9878189.790000001</v>
      </c>
      <c r="E18" s="59">
        <f>+Tableau14[[#This Row],[SKDU]]+Tableau15[[#This Row],[SKDU]]+Tableau17[[#This Row],[SKDU]]+Tableau16[[#This Row],[SKDU]]</f>
        <v>7302859.0299999993</v>
      </c>
      <c r="F18" s="60">
        <f>+Tableau14[[#This Row],[AZDU]]+Tableau15[[#This Row],[AZDU]]+Tableau17[[#This Row],[AZDU]]+Tableau16[[#This Row],[AZDU]]</f>
        <v>6071006.1899999995</v>
      </c>
      <c r="G18" s="58">
        <f>SUM(Tableau18[[#This Row],[SIEGE]:[AZDU]])</f>
        <v>28123195.210000001</v>
      </c>
    </row>
    <row r="19" spans="1:7" s="27" customFormat="1" ht="30.75" customHeight="1" thickBot="1" x14ac:dyDescent="0.4">
      <c r="A19" s="107" t="s">
        <v>14</v>
      </c>
      <c r="B19" s="85" t="s">
        <v>15</v>
      </c>
      <c r="C19" s="61">
        <f>+Tableau14[[#This Row],[SIEGE]]+Tableau15[[#This Row],[SIEGE]]+Tableau17[[#This Row],[SIEGE]]+Tableau16[[#This Row],[SIEGE]]</f>
        <v>-80560873.789999992</v>
      </c>
      <c r="D19" s="61">
        <f>+Tableau14[[#This Row],[KDU]]+Tableau15[[#This Row],[KDU]]+Tableau17[[#This Row],[KDU]]+Tableau16[[#This Row],[KDU]]</f>
        <v>-106651654.06000003</v>
      </c>
      <c r="E19" s="62">
        <f>+Tableau14[[#This Row],[SKDU]]+Tableau15[[#This Row],[SKDU]]+Tableau17[[#This Row],[SKDU]]+Tableau16[[#This Row],[SKDU]]</f>
        <v>368840.08000000194</v>
      </c>
      <c r="F19" s="63">
        <f>+Tableau14[[#This Row],[AZDU]]+Tableau15[[#This Row],[AZDU]]+Tableau17[[#This Row],[AZDU]]+Tableau16[[#This Row],[AZDU]]</f>
        <v>-116744802.65000002</v>
      </c>
      <c r="G19" s="61">
        <f>SUM(Tableau18[[#This Row],[SIEGE]:[AZDU]])</f>
        <v>-303588490.42000002</v>
      </c>
    </row>
    <row r="20" spans="1:7" s="32" customFormat="1" ht="30.75" customHeight="1" x14ac:dyDescent="0.35">
      <c r="A20" s="105">
        <v>75</v>
      </c>
      <c r="B20" s="84" t="s">
        <v>16</v>
      </c>
      <c r="C20" s="51">
        <f>+Tableau14[[#This Row],[SIEGE]]+Tableau15[[#This Row],[SIEGE]]+Tableau17[[#This Row],[SIEGE]]+Tableau16[[#This Row],[SIEGE]]</f>
        <v>103407278.50999999</v>
      </c>
      <c r="D20" s="51">
        <f>+Tableau14[[#This Row],[KDU]]+Tableau15[[#This Row],[KDU]]+Tableau17[[#This Row],[KDU]]+Tableau16[[#This Row],[KDU]]</f>
        <v>825639.78</v>
      </c>
      <c r="E20" s="52">
        <f>+Tableau14[[#This Row],[SKDU]]+Tableau15[[#This Row],[SKDU]]+Tableau17[[#This Row],[SKDU]]+Tableau16[[#This Row],[SKDU]]</f>
        <v>1015045.21</v>
      </c>
      <c r="F20" s="53">
        <f>+Tableau14[[#This Row],[AZDU]]+Tableau15[[#This Row],[AZDU]]+Tableau17[[#This Row],[AZDU]]+Tableau16[[#This Row],[AZDU]]</f>
        <v>2730623.13</v>
      </c>
      <c r="G20" s="51">
        <f>SUM(Tableau18[[#This Row],[SIEGE]:[AZDU]])</f>
        <v>107978586.62999998</v>
      </c>
    </row>
    <row r="21" spans="1:7" s="32" customFormat="1" ht="30.75" customHeight="1" x14ac:dyDescent="0.35">
      <c r="A21" s="109">
        <v>65</v>
      </c>
      <c r="B21" s="81" t="s">
        <v>17</v>
      </c>
      <c r="C21" s="54">
        <f>+Tableau14[[#This Row],[SIEGE]]+Tableau15[[#This Row],[SIEGE]]+Tableau17[[#This Row],[SIEGE]]+Tableau16[[#This Row],[SIEGE]]</f>
        <v>7914381.8899999997</v>
      </c>
      <c r="D21" s="54">
        <f>+Tableau14[[#This Row],[KDU]]+Tableau15[[#This Row],[KDU]]+Tableau17[[#This Row],[KDU]]+Tableau16[[#This Row],[KDU]]</f>
        <v>2332175.96</v>
      </c>
      <c r="E21" s="55">
        <f>+Tableau14[[#This Row],[SKDU]]+Tableau15[[#This Row],[SKDU]]+Tableau17[[#This Row],[SKDU]]+Tableau16[[#This Row],[SKDU]]</f>
        <v>1881837.73</v>
      </c>
      <c r="F21" s="56">
        <f>+Tableau14[[#This Row],[AZDU]]+Tableau15[[#This Row],[AZDU]]+Tableau17[[#This Row],[AZDU]]+Tableau16[[#This Row],[AZDU]]</f>
        <v>830343.9</v>
      </c>
      <c r="G21" s="54">
        <f>SUM(Tableau18[[#This Row],[SIEGE]:[AZDU]])</f>
        <v>12958739.48</v>
      </c>
    </row>
    <row r="22" spans="1:7" s="27" customFormat="1" ht="30.75" customHeight="1" x14ac:dyDescent="0.35">
      <c r="A22" s="109"/>
      <c r="B22" s="87" t="s">
        <v>18</v>
      </c>
      <c r="C22" s="70">
        <f>+Tableau14[[#This Row],[SIEGE]]+Tableau15[[#This Row],[SIEGE]]+Tableau17[[#This Row],[SIEGE]]+Tableau16[[#This Row],[SIEGE]]</f>
        <v>0</v>
      </c>
      <c r="D22" s="70">
        <f>+Tableau14[[#This Row],[KDU]]+Tableau15[[#This Row],[KDU]]+Tableau17[[#This Row],[KDU]]+Tableau16[[#This Row],[KDU]]</f>
        <v>0</v>
      </c>
      <c r="E22" s="71">
        <f>+Tableau14[[#This Row],[SKDU]]+Tableau15[[#This Row],[SKDU]]+Tableau17[[#This Row],[SKDU]]+Tableau16[[#This Row],[SKDU]]</f>
        <v>0</v>
      </c>
      <c r="F22" s="72">
        <f>+Tableau14[[#This Row],[AZDU]]+Tableau15[[#This Row],[AZDU]]+Tableau17[[#This Row],[AZDU]]+Tableau16[[#This Row],[AZDU]]</f>
        <v>0</v>
      </c>
      <c r="G22" s="70">
        <f>SUM(Tableau18[[#This Row],[SIEGE]:[AZDU]])</f>
        <v>0</v>
      </c>
    </row>
    <row r="23" spans="1:7" s="27" customFormat="1" ht="30.75" customHeight="1" x14ac:dyDescent="0.35">
      <c r="A23" s="109"/>
      <c r="B23" s="87" t="s">
        <v>19</v>
      </c>
      <c r="C23" s="70">
        <f>+Tableau14[[#This Row],[SIEGE]]+Tableau15[[#This Row],[SIEGE]]+Tableau17[[#This Row],[SIEGE]]+Tableau16[[#This Row],[SIEGE]]</f>
        <v>0</v>
      </c>
      <c r="D23" s="70">
        <f>+Tableau14[[#This Row],[KDU]]+Tableau15[[#This Row],[KDU]]+Tableau17[[#This Row],[KDU]]+Tableau16[[#This Row],[KDU]]</f>
        <v>0</v>
      </c>
      <c r="E23" s="71">
        <f>+Tableau14[[#This Row],[SKDU]]+Tableau15[[#This Row],[SKDU]]+Tableau17[[#This Row],[SKDU]]+Tableau16[[#This Row],[SKDU]]</f>
        <v>0</v>
      </c>
      <c r="F23" s="72">
        <f>+Tableau14[[#This Row],[AZDU]]+Tableau15[[#This Row],[AZDU]]+Tableau17[[#This Row],[AZDU]]+Tableau16[[#This Row],[AZDU]]</f>
        <v>0</v>
      </c>
      <c r="G23" s="70">
        <f>SUM(Tableau18[[#This Row],[SIEGE]:[AZDU]])</f>
        <v>0</v>
      </c>
    </row>
    <row r="24" spans="1:7" s="32" customFormat="1" ht="30.75" customHeight="1" x14ac:dyDescent="0.35">
      <c r="A24" s="109">
        <v>68</v>
      </c>
      <c r="B24" s="81" t="s">
        <v>20</v>
      </c>
      <c r="C24" s="54">
        <f>+Tableau14[[#This Row],[SIEGE]]+Tableau15[[#This Row],[SIEGE]]+Tableau17[[#This Row],[SIEGE]]+Tableau16[[#This Row],[SIEGE]]</f>
        <v>42452717.010000005</v>
      </c>
      <c r="D24" s="54">
        <f>+Tableau14[[#This Row],[KDU]]+Tableau15[[#This Row],[KDU]]+Tableau17[[#This Row],[KDU]]+Tableau16[[#This Row],[KDU]]</f>
        <v>41833962.970000006</v>
      </c>
      <c r="E24" s="55">
        <f>+Tableau14[[#This Row],[SKDU]]+Tableau15[[#This Row],[SKDU]]+Tableau17[[#This Row],[SKDU]]+Tableau16[[#This Row],[SKDU]]</f>
        <v>8666831.8000000007</v>
      </c>
      <c r="F24" s="56">
        <f>+Tableau14[[#This Row],[AZDU]]+Tableau15[[#This Row],[AZDU]]+Tableau17[[#This Row],[AZDU]]+Tableau16[[#This Row],[AZDU]]</f>
        <v>9081620.8499999996</v>
      </c>
      <c r="G24" s="57">
        <f>SUM(Tableau18[[#This Row],[SIEGE]:[AZDU]])</f>
        <v>102035132.63000001</v>
      </c>
    </row>
    <row r="25" spans="1:7" s="32" customFormat="1" ht="30.75" customHeight="1" thickBot="1" x14ac:dyDescent="0.4">
      <c r="A25" s="106">
        <v>78</v>
      </c>
      <c r="B25" s="82" t="s">
        <v>21</v>
      </c>
      <c r="C25" s="58">
        <f>+Tableau14[[#This Row],[SIEGE]]+Tableau15[[#This Row],[SIEGE]]+Tableau17[[#This Row],[SIEGE]]+Tableau16[[#This Row],[SIEGE]]</f>
        <v>48854248.280000001</v>
      </c>
      <c r="D25" s="58">
        <f>+Tableau14[[#This Row],[KDU]]+Tableau15[[#This Row],[KDU]]+Tableau17[[#This Row],[KDU]]+Tableau16[[#This Row],[KDU]]</f>
        <v>85657724.030000001</v>
      </c>
      <c r="E25" s="59">
        <f>+Tableau14[[#This Row],[SKDU]]+Tableau15[[#This Row],[SKDU]]+Tableau17[[#This Row],[SKDU]]+Tableau16[[#This Row],[SKDU]]</f>
        <v>10093631.470000001</v>
      </c>
      <c r="F25" s="60">
        <f>+Tableau14[[#This Row],[AZDU]]+Tableau15[[#This Row],[AZDU]]+Tableau17[[#This Row],[AZDU]]+Tableau16[[#This Row],[AZDU]]</f>
        <v>55207640.259999998</v>
      </c>
      <c r="G25" s="58">
        <f>SUM(Tableau18[[#This Row],[SIEGE]:[AZDU]])</f>
        <v>199813244.03999999</v>
      </c>
    </row>
    <row r="26" spans="1:7" s="27" customFormat="1" ht="30.75" customHeight="1" thickBot="1" x14ac:dyDescent="0.4">
      <c r="A26" s="107" t="s">
        <v>22</v>
      </c>
      <c r="B26" s="85" t="s">
        <v>23</v>
      </c>
      <c r="C26" s="61">
        <f>+Tableau14[[#This Row],[SIEGE]]+Tableau15[[#This Row],[SIEGE]]+Tableau17[[#This Row],[SIEGE]]+Tableau16[[#This Row],[SIEGE]]</f>
        <v>21333554.099999987</v>
      </c>
      <c r="D26" s="61">
        <f>+Tableau14[[#This Row],[KDU]]+Tableau15[[#This Row],[KDU]]+Tableau17[[#This Row],[KDU]]+Tableau16[[#This Row],[KDU]]</f>
        <v>-64334429.180000037</v>
      </c>
      <c r="E26" s="62">
        <f>+Tableau14[[#This Row],[SKDU]]+Tableau15[[#This Row],[SKDU]]+Tableau17[[#This Row],[SKDU]]+Tableau16[[#This Row],[SKDU]]</f>
        <v>928847.23000000231</v>
      </c>
      <c r="F26" s="62">
        <f>+Tableau14[[#This Row],[AZDU]]+Tableau15[[#This Row],[AZDU]]+Tableau17[[#This Row],[AZDU]]+Tableau16[[#This Row],[AZDU]]</f>
        <v>-68718504.01000002</v>
      </c>
      <c r="G26" s="61">
        <f>SUM(Tableau18[[#This Row],[SIEGE]:[AZDU]])</f>
        <v>-110790531.86000007</v>
      </c>
    </row>
    <row r="27" spans="1:7" s="32" customFormat="1" ht="30.75" customHeight="1" x14ac:dyDescent="0.35">
      <c r="A27" s="105">
        <v>76</v>
      </c>
      <c r="B27" s="84" t="s">
        <v>24</v>
      </c>
      <c r="C27" s="51">
        <f>+Tableau14[[#This Row],[SIEGE]]+Tableau15[[#This Row],[SIEGE]]+Tableau17[[#This Row],[SIEGE]]+Tableau16[[#This Row],[SIEGE]]</f>
        <v>176216204.18000001</v>
      </c>
      <c r="D27" s="51">
        <f>+Tableau14[[#This Row],[KDU]]+Tableau15[[#This Row],[KDU]]+Tableau17[[#This Row],[KDU]]+Tableau16[[#This Row],[KDU]]</f>
        <v>1668747.96</v>
      </c>
      <c r="E27" s="52">
        <f>+Tableau14[[#This Row],[SKDU]]+Tableau15[[#This Row],[SKDU]]+Tableau17[[#This Row],[SKDU]]+Tableau16[[#This Row],[SKDU]]</f>
        <v>0</v>
      </c>
      <c r="F27" s="53">
        <f>+Tableau14[[#This Row],[AZDU]]+Tableau15[[#This Row],[AZDU]]+Tableau17[[#This Row],[AZDU]]+Tableau16[[#This Row],[AZDU]]</f>
        <v>0</v>
      </c>
      <c r="G27" s="51">
        <f>SUM(Tableau18[[#This Row],[SIEGE]:[AZDU]])</f>
        <v>177884952.14000002</v>
      </c>
    </row>
    <row r="28" spans="1:7" s="32" customFormat="1" ht="30.75" customHeight="1" thickBot="1" x14ac:dyDescent="0.4">
      <c r="A28" s="106">
        <v>66</v>
      </c>
      <c r="B28" s="82" t="s">
        <v>25</v>
      </c>
      <c r="C28" s="73">
        <f>+Tableau14[[#This Row],[SIEGE]]+Tableau15[[#This Row],[SIEGE]]+Tableau17[[#This Row],[SIEGE]]+Tableau16[[#This Row],[SIEGE]]</f>
        <v>0</v>
      </c>
      <c r="D28" s="58">
        <f>+Tableau14[[#This Row],[KDU]]+Tableau15[[#This Row],[KDU]]+Tableau17[[#This Row],[KDU]]+Tableau16[[#This Row],[KDU]]</f>
        <v>5463990.0299999993</v>
      </c>
      <c r="E28" s="59">
        <f>+Tableau14[[#This Row],[SKDU]]+Tableau15[[#This Row],[SKDU]]+Tableau17[[#This Row],[SKDU]]+Tableau16[[#This Row],[SKDU]]</f>
        <v>37119.15</v>
      </c>
      <c r="F28" s="60">
        <f>+Tableau14[[#This Row],[AZDU]]+Tableau15[[#This Row],[AZDU]]+Tableau17[[#This Row],[AZDU]]+Tableau16[[#This Row],[AZDU]]</f>
        <v>0</v>
      </c>
      <c r="G28" s="58">
        <f>SUM(Tableau18[[#This Row],[SIEGE]:[AZDU]])</f>
        <v>5501109.1799999997</v>
      </c>
    </row>
    <row r="29" spans="1:7" s="27" customFormat="1" ht="30.75" customHeight="1" thickBot="1" x14ac:dyDescent="0.4">
      <c r="A29" s="107" t="s">
        <v>26</v>
      </c>
      <c r="B29" s="85" t="s">
        <v>27</v>
      </c>
      <c r="C29" s="61">
        <f>+Tableau14[[#This Row],[SIEGE]]+Tableau15[[#This Row],[SIEGE]]+Tableau17[[#This Row],[SIEGE]]+Tableau16[[#This Row],[SIEGE]]</f>
        <v>176216204.18000001</v>
      </c>
      <c r="D29" s="61">
        <f>+Tableau14[[#This Row],[KDU]]+Tableau15[[#This Row],[KDU]]+Tableau17[[#This Row],[KDU]]+Tableau16[[#This Row],[KDU]]</f>
        <v>-3795242.07</v>
      </c>
      <c r="E29" s="62">
        <f>+Tableau14[[#This Row],[SKDU]]+Tableau15[[#This Row],[SKDU]]+Tableau17[[#This Row],[SKDU]]+Tableau16[[#This Row],[SKDU]]</f>
        <v>-37119.15</v>
      </c>
      <c r="F29" s="63">
        <f>+Tableau14[[#This Row],[AZDU]]+Tableau15[[#This Row],[AZDU]]+Tableau17[[#This Row],[AZDU]]+Tableau16[[#This Row],[AZDU]]</f>
        <v>0</v>
      </c>
      <c r="G29" s="61">
        <f>SUM(Tableau18[[#This Row],[SIEGE]:[AZDU]])</f>
        <v>172383842.96000001</v>
      </c>
    </row>
    <row r="30" spans="1:7" s="27" customFormat="1" ht="30.75" customHeight="1" thickBot="1" x14ac:dyDescent="0.4">
      <c r="A30" s="107" t="s">
        <v>28</v>
      </c>
      <c r="B30" s="85" t="s">
        <v>29</v>
      </c>
      <c r="C30" s="61">
        <f>+Tableau14[[#This Row],[SIEGE]]+Tableau15[[#This Row],[SIEGE]]+Tableau17[[#This Row],[SIEGE]]+Tableau16[[#This Row],[SIEGE]]</f>
        <v>197549758.27999997</v>
      </c>
      <c r="D30" s="61">
        <f>+Tableau14[[#This Row],[KDU]]+Tableau15[[#This Row],[KDU]]+Tableau17[[#This Row],[KDU]]+Tableau16[[#This Row],[KDU]]</f>
        <v>-68129671.25</v>
      </c>
      <c r="E30" s="62">
        <f>+Tableau14[[#This Row],[SKDU]]+Tableau15[[#This Row],[SKDU]]+Tableau17[[#This Row],[SKDU]]+Tableau16[[#This Row],[SKDU]]</f>
        <v>891728.0800000038</v>
      </c>
      <c r="F30" s="63">
        <f>+Tableau14[[#This Row],[AZDU]]+Tableau15[[#This Row],[AZDU]]+Tableau17[[#This Row],[AZDU]]+Tableau16[[#This Row],[AZDU]]</f>
        <v>-68718504.01000002</v>
      </c>
      <c r="G30" s="61">
        <f>SUM(Tableau18[[#This Row],[SIEGE]:[AZDU]])</f>
        <v>61593311.099999949</v>
      </c>
    </row>
    <row r="31" spans="1:7" s="32" customFormat="1" ht="30.75" customHeight="1" x14ac:dyDescent="0.35">
      <c r="A31" s="105" t="s">
        <v>30</v>
      </c>
      <c r="B31" s="84" t="s">
        <v>31</v>
      </c>
      <c r="C31" s="51">
        <f>+Tableau14[[#This Row],[SIEGE]]+Tableau15[[#This Row],[SIEGE]]+Tableau17[[#This Row],[SIEGE]]+Tableau16[[#This Row],[SIEGE]]</f>
        <v>10000</v>
      </c>
      <c r="D31" s="51">
        <f>+Tableau14[[#This Row],[KDU]]+Tableau15[[#This Row],[KDU]]+Tableau17[[#This Row],[KDU]]+Tableau16[[#This Row],[KDU]]</f>
        <v>0</v>
      </c>
      <c r="E31" s="52">
        <f>+Tableau14[[#This Row],[SKDU]]+Tableau15[[#This Row],[SKDU]]+Tableau17[[#This Row],[SKDU]]+Tableau16[[#This Row],[SKDU]]</f>
        <v>0</v>
      </c>
      <c r="F31" s="53">
        <f>+Tableau14[[#This Row],[AZDU]]+Tableau15[[#This Row],[AZDU]]+Tableau17[[#This Row],[AZDU]]+Tableau16[[#This Row],[AZDU]]</f>
        <v>0</v>
      </c>
      <c r="G31" s="51">
        <f>SUM(Tableau18[[#This Row],[SIEGE]:[AZDU]])</f>
        <v>10000</v>
      </c>
    </row>
    <row r="32" spans="1:7" s="32" customFormat="1" ht="30.75" customHeight="1" x14ac:dyDescent="0.35">
      <c r="A32" s="109" t="s">
        <v>32</v>
      </c>
      <c r="B32" s="81" t="s">
        <v>33</v>
      </c>
      <c r="C32" s="54">
        <f>+Tableau14[[#This Row],[SIEGE]]+Tableau15[[#This Row],[SIEGE]]+Tableau17[[#This Row],[SIEGE]]+Tableau16[[#This Row],[SIEGE]]</f>
        <v>-6235117.2300000004</v>
      </c>
      <c r="D32" s="54">
        <f>+Tableau14[[#This Row],[KDU]]+Tableau15[[#This Row],[KDU]]+Tableau17[[#This Row],[KDU]]+Tableau16[[#This Row],[KDU]]</f>
        <v>-17280073.210000001</v>
      </c>
      <c r="E32" s="55">
        <f>+Tableau14[[#This Row],[SKDU]]+Tableau15[[#This Row],[SKDU]]+Tableau17[[#This Row],[SKDU]]+Tableau16[[#This Row],[SKDU]]</f>
        <v>-3301632.18</v>
      </c>
      <c r="F32" s="56">
        <f>+Tableau14[[#This Row],[AZDU]]+Tableau15[[#This Row],[AZDU]]+Tableau17[[#This Row],[AZDU]]+Tableau16[[#This Row],[AZDU]]</f>
        <v>-15258025.529999999</v>
      </c>
      <c r="G32" s="54">
        <f>SUM(Tableau18[[#This Row],[SIEGE]:[AZDU]])</f>
        <v>-42074848.149999999</v>
      </c>
    </row>
    <row r="33" spans="1:7" s="37" customFormat="1" ht="30.75" customHeight="1" x14ac:dyDescent="0.35">
      <c r="A33" s="110"/>
      <c r="B33" s="88" t="s">
        <v>45</v>
      </c>
      <c r="C33" s="74">
        <f>+Tableau14[[#This Row],[SIEGE]]+Tableau15[[#This Row],[SIEGE]]+Tableau17[[#This Row],[SIEGE]]+Tableau16[[#This Row],[SIEGE]]</f>
        <v>468071554.50999999</v>
      </c>
      <c r="D33" s="74">
        <f>+Tableau14[[#This Row],[KDU]]+Tableau15[[#This Row],[KDU]]+Tableau17[[#This Row],[KDU]]+Tableau16[[#This Row],[KDU]]</f>
        <v>1415218267.3600001</v>
      </c>
      <c r="E33" s="75">
        <f>+Tableau14[[#This Row],[SKDU]]+Tableau15[[#This Row],[SKDU]]+Tableau17[[#This Row],[SKDU]]+Tableau16[[#This Row],[SKDU]]</f>
        <v>334580653.68000001</v>
      </c>
      <c r="F33" s="76">
        <f>+Tableau14[[#This Row],[AZDU]]+Tableau15[[#This Row],[AZDU]]+Tableau17[[#This Row],[AZDU]]+Tableau16[[#This Row],[AZDU]]</f>
        <v>274974930.13999999</v>
      </c>
      <c r="G33" s="74">
        <f>SUM(Tableau18[[#This Row],[SIEGE]:[AZDU]])</f>
        <v>2492845405.6900001</v>
      </c>
    </row>
    <row r="34" spans="1:7" s="37" customFormat="1" ht="30.75" customHeight="1" thickBot="1" x14ac:dyDescent="0.4">
      <c r="A34" s="111"/>
      <c r="B34" s="89" t="s">
        <v>46</v>
      </c>
      <c r="C34" s="73">
        <f>+Tableau14[[#This Row],[SIEGE]]+Tableau15[[#This Row],[SIEGE]]+Tableau17[[#This Row],[SIEGE]]+Tableau16[[#This Row],[SIEGE]]</f>
        <v>276766913.46000004</v>
      </c>
      <c r="D34" s="73">
        <f>+Tableau14[[#This Row],[KDU]]+Tableau15[[#This Row],[KDU]]+Tableau17[[#This Row],[KDU]]+Tableau16[[#This Row],[KDU]]</f>
        <v>1500628011.8200002</v>
      </c>
      <c r="E34" s="77">
        <f>+Tableau14[[#This Row],[SKDU]]+Tableau15[[#This Row],[SKDU]]+Tableau17[[#This Row],[SKDU]]+Tableau16[[#This Row],[SKDU]]</f>
        <v>336990557.77999997</v>
      </c>
      <c r="F34" s="78">
        <f>+Tableau14[[#This Row],[AZDU]]+Tableau15[[#This Row],[AZDU]]+Tableau17[[#This Row],[AZDU]]+Tableau16[[#This Row],[AZDU]]</f>
        <v>358951459.68000001</v>
      </c>
      <c r="G34" s="73">
        <f>SUM(Tableau18[[#This Row],[SIEGE]:[AZDU]])</f>
        <v>2473336942.7400002</v>
      </c>
    </row>
    <row r="35" spans="1:7" s="27" customFormat="1" ht="30.75" customHeight="1" thickBot="1" x14ac:dyDescent="0.4">
      <c r="A35" s="107" t="s">
        <v>34</v>
      </c>
      <c r="B35" s="85" t="s">
        <v>35</v>
      </c>
      <c r="C35" s="61">
        <f>+Tableau14[[#This Row],[SIEGE]]+Tableau15[[#This Row],[SIEGE]]+Tableau17[[#This Row],[SIEGE]]+Tableau16[[#This Row],[SIEGE]]</f>
        <v>191304641.05000001</v>
      </c>
      <c r="D35" s="61">
        <f>+Tableau14[[#This Row],[KDU]]+Tableau15[[#This Row],[KDU]]+Tableau17[[#This Row],[KDU]]+Tableau16[[#This Row],[KDU]]</f>
        <v>-85409744.460000008</v>
      </c>
      <c r="E35" s="62">
        <f>+Tableau14[[#This Row],[SKDU]]+Tableau15[[#This Row],[SKDU]]+Tableau17[[#This Row],[SKDU]]+Tableau16[[#This Row],[SKDU]]</f>
        <v>-2409904.0999999959</v>
      </c>
      <c r="F35" s="63">
        <f>+Tableau14[[#This Row],[AZDU]]+Tableau15[[#This Row],[AZDU]]+Tableau17[[#This Row],[AZDU]]+Tableau16[[#This Row],[AZDU]]</f>
        <v>-83976529.540000021</v>
      </c>
      <c r="G35" s="61">
        <f>SUM(Tableau18[[#This Row],[SIEGE]:[AZDU]])</f>
        <v>19508462.949999988</v>
      </c>
    </row>
    <row r="36" spans="1:7" s="32" customFormat="1" ht="30.75" customHeight="1" x14ac:dyDescent="0.35">
      <c r="A36" s="105">
        <v>77</v>
      </c>
      <c r="B36" s="84" t="s">
        <v>36</v>
      </c>
      <c r="C36" s="51">
        <f>+Tableau14[[#This Row],[SIEGE]]+Tableau15[[#This Row],[SIEGE]]+Tableau17[[#This Row],[SIEGE]]+Tableau16[[#This Row],[SIEGE]]</f>
        <v>0</v>
      </c>
      <c r="D36" s="51">
        <f>+Tableau14[[#This Row],[KDU]]+Tableau15[[#This Row],[KDU]]+Tableau17[[#This Row],[KDU]]+Tableau16[[#This Row],[KDU]]</f>
        <v>0</v>
      </c>
      <c r="E36" s="52">
        <f>+Tableau14[[#This Row],[SKDU]]+Tableau15[[#This Row],[SKDU]]+Tableau17[[#This Row],[SKDU]]+Tableau16[[#This Row],[SKDU]]</f>
        <v>0</v>
      </c>
      <c r="F36" s="53">
        <f>+Tableau14[[#This Row],[AZDU]]+Tableau15[[#This Row],[AZDU]]+Tableau17[[#This Row],[AZDU]]+Tableau16[[#This Row],[AZDU]]</f>
        <v>0</v>
      </c>
      <c r="G36" s="51">
        <f>SUM(Tableau18[[#This Row],[SIEGE]:[AZDU]])</f>
        <v>0</v>
      </c>
    </row>
    <row r="37" spans="1:7" s="32" customFormat="1" ht="30.75" customHeight="1" thickBot="1" x14ac:dyDescent="0.4">
      <c r="A37" s="106">
        <v>67</v>
      </c>
      <c r="B37" s="82" t="s">
        <v>37</v>
      </c>
      <c r="C37" s="58">
        <f>+Tableau14[[#This Row],[SIEGE]]+Tableau15[[#This Row],[SIEGE]]+Tableau17[[#This Row],[SIEGE]]+Tableau16[[#This Row],[SIEGE]]</f>
        <v>0</v>
      </c>
      <c r="D37" s="58">
        <f>+Tableau14[[#This Row],[KDU]]+Tableau15[[#This Row],[KDU]]+Tableau17[[#This Row],[KDU]]+Tableau16[[#This Row],[KDU]]</f>
        <v>0</v>
      </c>
      <c r="E37" s="59">
        <f>+Tableau14[[#This Row],[SKDU]]+Tableau15[[#This Row],[SKDU]]+Tableau17[[#This Row],[SKDU]]+Tableau16[[#This Row],[SKDU]]</f>
        <v>0</v>
      </c>
      <c r="F37" s="60">
        <f>+Tableau14[[#This Row],[AZDU]]+Tableau15[[#This Row],[AZDU]]+Tableau17[[#This Row],[AZDU]]+Tableau16[[#This Row],[AZDU]]</f>
        <v>0</v>
      </c>
      <c r="G37" s="58">
        <f>SUM(Tableau18[[#This Row],[SIEGE]:[AZDU]])</f>
        <v>0</v>
      </c>
    </row>
    <row r="38" spans="1:7" s="27" customFormat="1" ht="30.75" customHeight="1" thickBot="1" x14ac:dyDescent="0.4">
      <c r="A38" s="107" t="s">
        <v>38</v>
      </c>
      <c r="B38" s="85" t="s">
        <v>39</v>
      </c>
      <c r="C38" s="61">
        <f>+Tableau14[[#This Row],[SIEGE]]+Tableau15[[#This Row],[SIEGE]]+Tableau17[[#This Row],[SIEGE]]+Tableau16[[#This Row],[SIEGE]]</f>
        <v>0</v>
      </c>
      <c r="D38" s="61">
        <f>+Tableau14[[#This Row],[KDU]]+Tableau15[[#This Row],[KDU]]+Tableau17[[#This Row],[KDU]]+Tableau16[[#This Row],[KDU]]</f>
        <v>0</v>
      </c>
      <c r="E38" s="62">
        <f>+Tableau14[[#This Row],[SKDU]]+Tableau15[[#This Row],[SKDU]]+Tableau17[[#This Row],[SKDU]]+Tableau16[[#This Row],[SKDU]]</f>
        <v>0</v>
      </c>
      <c r="F38" s="63">
        <f>+Tableau14[[#This Row],[AZDU]]+Tableau15[[#This Row],[AZDU]]+Tableau17[[#This Row],[AZDU]]+Tableau16[[#This Row],[AZDU]]</f>
        <v>0</v>
      </c>
      <c r="G38" s="61">
        <f>SUM(Tableau18[[#This Row],[SIEGE]:[AZDU]])</f>
        <v>0</v>
      </c>
    </row>
    <row r="39" spans="1:7" s="27" customFormat="1" ht="30.6" customHeight="1" x14ac:dyDescent="0.35">
      <c r="A39" s="120" t="s">
        <v>40</v>
      </c>
      <c r="B39" s="121" t="s">
        <v>41</v>
      </c>
      <c r="C39" s="122">
        <f>+Tableau14[[#This Row],[SIEGE]]+Tableau15[[#This Row],[SIEGE]]+Tableau17[[#This Row],[SIEGE]]+Tableau16[[#This Row],[SIEGE]]</f>
        <v>191304641.05000001</v>
      </c>
      <c r="D39" s="122">
        <f>+Tableau14[[#This Row],[KDU]]+Tableau15[[#This Row],[KDU]]+Tableau17[[#This Row],[KDU]]+Tableau16[[#This Row],[KDU]]</f>
        <v>-85409744.460000008</v>
      </c>
      <c r="E39" s="123">
        <f>+Tableau14[[#This Row],[SKDU]]+Tableau15[[#This Row],[SKDU]]+Tableau17[[#This Row],[SKDU]]+Tableau16[[#This Row],[SKDU]]</f>
        <v>-2409904.0999999959</v>
      </c>
      <c r="F39" s="124">
        <f>+Tableau14[[#This Row],[AZDU]]+Tableau15[[#This Row],[AZDU]]+Tableau17[[#This Row],[AZDU]]+Tableau16[[#This Row],[AZDU]]</f>
        <v>-83976529.540000021</v>
      </c>
      <c r="G39" s="122">
        <f>SUM(Tableau18[[#This Row],[SIEGE]:[AZDU]])</f>
        <v>19508462.949999988</v>
      </c>
    </row>
    <row r="40" spans="1:7" s="27" customFormat="1" ht="11.4" customHeight="1" x14ac:dyDescent="0.35">
      <c r="A40" s="90"/>
      <c r="B40" s="90"/>
      <c r="C40" s="91"/>
      <c r="D40" s="91"/>
      <c r="E40" s="91"/>
      <c r="F40" s="91"/>
      <c r="G40" s="91"/>
    </row>
    <row r="41" spans="1:7" s="27" customFormat="1" ht="18" x14ac:dyDescent="0.35">
      <c r="A41" s="275" t="s">
        <v>51</v>
      </c>
      <c r="B41" s="276"/>
      <c r="C41" s="276"/>
      <c r="D41" s="276"/>
      <c r="E41" s="276"/>
      <c r="F41" s="276"/>
      <c r="G41" s="277"/>
    </row>
    <row r="42" spans="1:7" s="37" customFormat="1" ht="18" x14ac:dyDescent="0.35">
      <c r="A42" s="92">
        <v>1</v>
      </c>
      <c r="B42" s="93" t="s">
        <v>52</v>
      </c>
      <c r="C42" s="94">
        <f t="shared" ref="C42:G42" si="0">+C12/C7</f>
        <v>1</v>
      </c>
      <c r="D42" s="95">
        <f t="shared" si="0"/>
        <v>1.3492003926760059</v>
      </c>
      <c r="E42" s="95">
        <f t="shared" si="0"/>
        <v>0.56147513911763558</v>
      </c>
      <c r="F42" s="95">
        <f t="shared" si="0"/>
        <v>0.5303038441071265</v>
      </c>
      <c r="G42" s="95">
        <f t="shared" si="0"/>
        <v>0.95191085742788384</v>
      </c>
    </row>
    <row r="43" spans="1:7" s="37" customFormat="1" ht="18" x14ac:dyDescent="0.35">
      <c r="A43" s="92">
        <v>2</v>
      </c>
      <c r="B43" s="93" t="s">
        <v>53</v>
      </c>
      <c r="C43" s="94">
        <f t="shared" ref="C43:G43" si="1">+C13/C7</f>
        <v>0.31128678252407438</v>
      </c>
      <c r="D43" s="95">
        <f t="shared" si="1"/>
        <v>1.051773764204182</v>
      </c>
      <c r="E43" s="95">
        <f t="shared" si="1"/>
        <v>0.3035661775225213</v>
      </c>
      <c r="F43" s="95">
        <f t="shared" si="1"/>
        <v>0.44049883505459725</v>
      </c>
      <c r="G43" s="95">
        <f t="shared" si="1"/>
        <v>0.6796759066497019</v>
      </c>
    </row>
    <row r="44" spans="1:7" s="37" customFormat="1" ht="18" x14ac:dyDescent="0.35">
      <c r="A44" s="92">
        <v>3</v>
      </c>
      <c r="B44" s="93" t="s">
        <v>56</v>
      </c>
      <c r="C44" s="94">
        <f t="shared" ref="C44:G44" si="2">+C13/C12</f>
        <v>0.31128678252407438</v>
      </c>
      <c r="D44" s="95">
        <f t="shared" si="2"/>
        <v>0.77955340801383288</v>
      </c>
      <c r="E44" s="95">
        <f t="shared" si="2"/>
        <v>0.54065827028348734</v>
      </c>
      <c r="F44" s="95">
        <f t="shared" si="2"/>
        <v>0.83065367138016111</v>
      </c>
      <c r="G44" s="95">
        <f t="shared" si="2"/>
        <v>0.7140121381598945</v>
      </c>
    </row>
    <row r="45" spans="1:7" s="37" customFormat="1" ht="18" x14ac:dyDescent="0.35">
      <c r="A45" s="92">
        <v>4</v>
      </c>
      <c r="B45" s="93" t="s">
        <v>57</v>
      </c>
      <c r="C45" s="94">
        <f t="shared" ref="C45:G45" si="3">+C15/C12</f>
        <v>0.54588791271387793</v>
      </c>
      <c r="D45" s="95">
        <f t="shared" si="3"/>
        <v>0.83127996140444449</v>
      </c>
      <c r="E45" s="95">
        <f t="shared" si="3"/>
        <v>0.62823150893840796</v>
      </c>
      <c r="F45" s="95">
        <f t="shared" si="3"/>
        <v>0.98423246448978208</v>
      </c>
      <c r="G45" s="95">
        <f t="shared" si="3"/>
        <v>0.79524753773785439</v>
      </c>
    </row>
    <row r="46" spans="1:7" s="37" customFormat="1" ht="18" x14ac:dyDescent="0.35">
      <c r="A46" s="92">
        <v>5</v>
      </c>
      <c r="B46" s="93" t="s">
        <v>58</v>
      </c>
      <c r="C46" s="94">
        <f t="shared" ref="C46:G46" si="4">+C17/C12</f>
        <v>0.9963261456918755</v>
      </c>
      <c r="D46" s="95">
        <f t="shared" si="4"/>
        <v>0.24164290220891863</v>
      </c>
      <c r="E46" s="95">
        <f t="shared" si="4"/>
        <v>0.34805175621132711</v>
      </c>
      <c r="F46" s="95">
        <f t="shared" si="4"/>
        <v>0.52569886700953039</v>
      </c>
      <c r="G46" s="95">
        <f t="shared" si="4"/>
        <v>0.34199319633397796</v>
      </c>
    </row>
    <row r="47" spans="1:7" s="37" customFormat="1" ht="18" x14ac:dyDescent="0.35">
      <c r="A47" s="92">
        <v>6</v>
      </c>
      <c r="B47" s="93" t="s">
        <v>54</v>
      </c>
      <c r="C47" s="94">
        <f t="shared" ref="C47:G47" si="5">+C16/C17</f>
        <v>0.45578658077950418</v>
      </c>
      <c r="D47" s="95">
        <f t="shared" si="5"/>
        <v>0.69822054384069598</v>
      </c>
      <c r="E47" s="95">
        <f t="shared" si="5"/>
        <v>1.0681414026133078</v>
      </c>
      <c r="F47" s="95">
        <f t="shared" si="5"/>
        <v>2.9993474400872456E-2</v>
      </c>
      <c r="G47" s="95">
        <f t="shared" si="5"/>
        <v>0.59870332058358222</v>
      </c>
    </row>
    <row r="48" spans="1:7" s="37" customFormat="1" ht="18" x14ac:dyDescent="0.35">
      <c r="A48" s="92">
        <v>7</v>
      </c>
      <c r="B48" s="93" t="s">
        <v>55</v>
      </c>
      <c r="C48" s="94">
        <f t="shared" ref="C48:G48" si="6">+C19/C12</f>
        <v>-0.57710915674514507</v>
      </c>
      <c r="D48" s="95">
        <f t="shared" si="6"/>
        <v>-8.0366493871274855E-2</v>
      </c>
      <c r="E48" s="95">
        <f t="shared" si="6"/>
        <v>1.1402535806061553E-3</v>
      </c>
      <c r="F48" s="95">
        <f t="shared" si="6"/>
        <v>-0.53790359204362426</v>
      </c>
      <c r="G48" s="95">
        <f t="shared" si="6"/>
        <v>-0.15125211053986781</v>
      </c>
    </row>
    <row r="49" spans="1:6" ht="15.6" x14ac:dyDescent="0.3">
      <c r="A49" s="90"/>
      <c r="B49" s="90"/>
      <c r="C49" s="96"/>
      <c r="D49" s="96"/>
      <c r="E49" s="96"/>
      <c r="F49" s="96"/>
    </row>
  </sheetData>
  <sheetProtection selectLockedCells="1" selectUnlockedCells="1"/>
  <mergeCells count="2">
    <mergeCell ref="A41:G41"/>
    <mergeCell ref="A5:G5"/>
  </mergeCells>
  <conditionalFormatting sqref="D1:G4 C42:G1048576 D40:G40 D6:F25 D27:F39">
    <cfRule type="cellIs" dxfId="110" priority="20" operator="lessThan">
      <formula>-0.01</formula>
    </cfRule>
  </conditionalFormatting>
  <conditionalFormatting sqref="C1:C4 C6:C25 C27:C40">
    <cfRule type="cellIs" dxfId="109" priority="19" operator="lessThan">
      <formula>-0.01</formula>
    </cfRule>
  </conditionalFormatting>
  <conditionalFormatting sqref="G7:G25 G27:G39">
    <cfRule type="cellIs" dxfId="108" priority="18" operator="lessThan">
      <formula>-0.01</formula>
    </cfRule>
  </conditionalFormatting>
  <conditionalFormatting sqref="G6">
    <cfRule type="cellIs" dxfId="107" priority="17" operator="lessThan">
      <formula>-0.01</formula>
    </cfRule>
  </conditionalFormatting>
  <conditionalFormatting sqref="D26:F26">
    <cfRule type="cellIs" dxfId="106" priority="13" operator="lessThan">
      <formula>-0.01</formula>
    </cfRule>
  </conditionalFormatting>
  <conditionalFormatting sqref="C26">
    <cfRule type="cellIs" dxfId="105" priority="12" operator="lessThan">
      <formula>-0.01</formula>
    </cfRule>
  </conditionalFormatting>
  <conditionalFormatting sqref="G26">
    <cfRule type="cellIs" dxfId="104" priority="11" operator="lessThan">
      <formula>-0.01</formula>
    </cfRule>
  </conditionalFormatting>
  <pageMargins left="0.14000000000000001" right="0.11" top="0.16" bottom="0.16" header="0.16" footer="0"/>
  <pageSetup paperSize="9" scale="54" orientation="portrait" r:id="rId1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49"/>
  <sheetViews>
    <sheetView view="pageBreakPreview" zoomScale="60" zoomScaleNormal="50" workbookViewId="0">
      <pane xSplit="2" ySplit="6" topLeftCell="C7" activePane="bottomRight" state="frozen"/>
      <selection activeCell="C5" sqref="C5:D5"/>
      <selection pane="topRight" activeCell="C5" sqref="C5:D5"/>
      <selection pane="bottomLeft" activeCell="C5" sqref="C5:D5"/>
      <selection pane="bottomRight" activeCell="A14" sqref="A14:XFD14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5" width="19.77734375" style="3" customWidth="1"/>
    <col min="6" max="6" width="19.77734375" style="239" hidden="1" customWidth="1"/>
    <col min="7" max="9" width="19.77734375" style="3" customWidth="1"/>
    <col min="10" max="10" width="19.77734375" style="239" hidden="1" customWidth="1"/>
    <col min="11" max="13" width="19.77734375" style="3" customWidth="1"/>
    <col min="14" max="14" width="19.77734375" style="239" hidden="1" customWidth="1"/>
    <col min="15" max="17" width="19.77734375" style="3" customWidth="1"/>
    <col min="18" max="18" width="19.77734375" style="239" hidden="1" customWidth="1"/>
    <col min="19" max="19" width="20.6640625" style="142" bestFit="1" customWidth="1"/>
    <col min="20" max="16384" width="11.44140625" style="1"/>
  </cols>
  <sheetData>
    <row r="1" spans="1:39" s="42" customFormat="1" ht="13.8" customHeight="1" x14ac:dyDescent="0.45">
      <c r="A1" s="25"/>
      <c r="B1" s="39"/>
      <c r="C1" s="40"/>
      <c r="D1" s="40"/>
      <c r="E1" s="40"/>
      <c r="F1" s="234"/>
      <c r="G1" s="40"/>
      <c r="H1" s="40"/>
      <c r="I1" s="40"/>
      <c r="J1" s="234"/>
      <c r="K1" s="40"/>
      <c r="L1" s="40"/>
      <c r="M1" s="40"/>
      <c r="N1" s="234"/>
      <c r="O1" s="40"/>
      <c r="P1" s="40"/>
      <c r="Q1" s="40"/>
      <c r="R1" s="234"/>
      <c r="S1" s="162"/>
      <c r="T1" s="39"/>
      <c r="U1" s="39"/>
      <c r="V1" s="39"/>
      <c r="Z1" s="39"/>
      <c r="AA1" s="39"/>
      <c r="AB1" s="278"/>
      <c r="AC1" s="278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1:39" s="42" customFormat="1" ht="13.8" customHeight="1" x14ac:dyDescent="0.45">
      <c r="A2" s="25"/>
      <c r="B2" s="43"/>
      <c r="C2" s="44"/>
      <c r="D2" s="44"/>
      <c r="E2" s="44"/>
      <c r="F2" s="235"/>
      <c r="G2" s="44"/>
      <c r="H2" s="44"/>
      <c r="I2" s="44"/>
      <c r="J2" s="235"/>
      <c r="K2" s="44"/>
      <c r="L2" s="44"/>
      <c r="M2" s="44"/>
      <c r="N2" s="235"/>
      <c r="O2" s="44"/>
      <c r="P2" s="44"/>
      <c r="Q2" s="44"/>
      <c r="R2" s="235"/>
      <c r="S2" s="163"/>
      <c r="T2" s="39"/>
      <c r="U2" s="39"/>
      <c r="V2" s="39"/>
      <c r="Z2" s="43"/>
      <c r="AA2" s="45"/>
      <c r="AB2" s="279"/>
      <c r="AC2" s="27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1:39" s="42" customFormat="1" ht="13.8" customHeight="1" x14ac:dyDescent="0.4">
      <c r="A3" s="46"/>
      <c r="B3" s="47"/>
      <c r="C3" s="48"/>
      <c r="D3" s="48"/>
      <c r="E3" s="48"/>
      <c r="F3" s="236"/>
      <c r="G3" s="48"/>
      <c r="H3" s="48"/>
      <c r="I3" s="48"/>
      <c r="J3" s="236"/>
      <c r="K3" s="48"/>
      <c r="L3" s="48"/>
      <c r="M3" s="48"/>
      <c r="N3" s="236"/>
      <c r="O3" s="48"/>
      <c r="P3" s="48"/>
      <c r="Q3" s="48"/>
      <c r="R3" s="236"/>
      <c r="S3" s="164"/>
      <c r="T3" s="46"/>
      <c r="U3" s="46"/>
      <c r="V3" s="46"/>
      <c r="Z3" s="46"/>
      <c r="AA3" s="46"/>
      <c r="AB3" s="280"/>
      <c r="AC3" s="280"/>
      <c r="AD3" s="46"/>
      <c r="AE3" s="46"/>
      <c r="AF3" s="46"/>
      <c r="AG3" s="46"/>
      <c r="AH3" s="46"/>
      <c r="AI3" s="46"/>
      <c r="AJ3" s="46"/>
      <c r="AK3" s="46"/>
      <c r="AL3" s="46"/>
      <c r="AM3" s="46"/>
    </row>
    <row r="4" spans="1:39" s="42" customFormat="1" ht="13.8" customHeight="1" x14ac:dyDescent="0.4">
      <c r="A4" s="46"/>
      <c r="B4" s="46"/>
      <c r="C4" s="50"/>
      <c r="D4" s="50"/>
      <c r="E4" s="50"/>
      <c r="F4" s="237"/>
      <c r="G4" s="50"/>
      <c r="H4" s="50"/>
      <c r="I4" s="50"/>
      <c r="J4" s="237"/>
      <c r="K4" s="50"/>
      <c r="L4" s="50"/>
      <c r="M4" s="50"/>
      <c r="N4" s="237"/>
      <c r="O4" s="50"/>
      <c r="P4" s="50"/>
      <c r="Q4" s="50"/>
      <c r="R4" s="237"/>
      <c r="S4" s="165"/>
    </row>
    <row r="5" spans="1:39" ht="26.4" thickBot="1" x14ac:dyDescent="0.55000000000000004">
      <c r="A5" s="281" t="s">
        <v>119</v>
      </c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</row>
    <row r="6" spans="1:39" s="27" customFormat="1" ht="52.2" customHeight="1" x14ac:dyDescent="0.35">
      <c r="A6" s="198" t="s">
        <v>0</v>
      </c>
      <c r="B6" s="199" t="s">
        <v>1</v>
      </c>
      <c r="C6" s="230" t="s">
        <v>102</v>
      </c>
      <c r="D6" s="231" t="s">
        <v>103</v>
      </c>
      <c r="E6" s="232" t="s">
        <v>104</v>
      </c>
      <c r="F6" s="233" t="s">
        <v>93</v>
      </c>
      <c r="G6" s="232" t="s">
        <v>105</v>
      </c>
      <c r="H6" s="232" t="s">
        <v>106</v>
      </c>
      <c r="I6" s="232" t="s">
        <v>107</v>
      </c>
      <c r="J6" s="233" t="s">
        <v>94</v>
      </c>
      <c r="K6" s="232" t="s">
        <v>108</v>
      </c>
      <c r="L6" s="232" t="s">
        <v>109</v>
      </c>
      <c r="M6" s="232" t="s">
        <v>110</v>
      </c>
      <c r="N6" s="233" t="s">
        <v>96</v>
      </c>
      <c r="O6" s="232" t="s">
        <v>111</v>
      </c>
      <c r="P6" s="232" t="s">
        <v>112</v>
      </c>
      <c r="Q6" s="230" t="s">
        <v>113</v>
      </c>
      <c r="R6" s="233" t="s">
        <v>97</v>
      </c>
      <c r="S6" s="200" t="s">
        <v>114</v>
      </c>
    </row>
    <row r="7" spans="1:39" s="29" customFormat="1" ht="30.75" customHeight="1" x14ac:dyDescent="0.35">
      <c r="A7" s="101"/>
      <c r="B7" s="79" t="s">
        <v>2</v>
      </c>
      <c r="C7" s="52">
        <f>+'SIEGE 2020'!C7+'KDU 2020'!C7+'SKDU 2020'!C7+'AZDU 2020'!C7</f>
        <v>72594616.900000006</v>
      </c>
      <c r="D7" s="52">
        <f>+'SIEGE 2020'!D7+'KDU 2020'!D7+'SKDU 2020'!D7+'AZDU 2020'!D7</f>
        <v>94859717.140000001</v>
      </c>
      <c r="E7" s="52">
        <f>+'SIEGE 2020'!E7+'KDU 2020'!E7+'SKDU 2020'!E7+'AZDU 2020'!E7</f>
        <v>93211833.340000004</v>
      </c>
      <c r="F7" s="134">
        <f>SUM(Tableau132024[[#This Row],[janvier-20]:[mars-20]])</f>
        <v>260666167.38000003</v>
      </c>
      <c r="G7" s="52">
        <f>+'SIEGE 2020'!F7+'KDU 2020'!F7+'SKDU 2020'!F7+'AZDU 2020'!F7</f>
        <v>96220446.400000006</v>
      </c>
      <c r="H7" s="52">
        <f>+'SIEGE 2020'!G7+'KDU 2020'!G7+'SKDU 2020'!G7+'AZDU 2020'!G7</f>
        <v>152159875.80000001</v>
      </c>
      <c r="I7" s="52">
        <f>+'SIEGE 2020'!H7+'KDU 2020'!H7+'SKDU 2020'!H7+'AZDU 2020'!H7</f>
        <v>169560781.19999999</v>
      </c>
      <c r="J7" s="134">
        <f>SUM(Tableau132024[[#This Row],[avril-20]:[juin-20]])</f>
        <v>417941103.39999998</v>
      </c>
      <c r="K7" s="52">
        <f>+'SIEGE 2020'!I7+'KDU 2020'!I7+'SKDU 2020'!I7+'AZDU 2020'!I7</f>
        <v>126701650.40000001</v>
      </c>
      <c r="L7" s="52">
        <f>+'SIEGE 2020'!J7+'KDU 2020'!J7+'SKDU 2020'!J7+'AZDU 2020'!J7</f>
        <v>156058689.19999999</v>
      </c>
      <c r="M7" s="52">
        <f>+'SIEGE 2020'!K7+'KDU 2020'!K7+'SKDU 2020'!K7+'AZDU 2020'!K7</f>
        <v>207671804.28999999</v>
      </c>
      <c r="N7" s="134">
        <f>SUM(Tableau132024[[#This Row],[juillet-20]:[septembre-20]])</f>
        <v>490432143.88999999</v>
      </c>
      <c r="O7" s="52">
        <f>+'SIEGE 2020'!L7+'KDU 2020'!L7+'SKDU 2020'!L7+'AZDU 2020'!L7</f>
        <v>217808960.14000002</v>
      </c>
      <c r="P7" s="52">
        <f>+'SIEGE 2020'!M7+'KDU 2020'!M7+'SKDU 2020'!M7+'AZDU 2020'!M7</f>
        <v>235145870.37</v>
      </c>
      <c r="Q7" s="52">
        <f>+'SIEGE 2020'!N7+'KDU 2020'!N7+'SKDU 2020'!N7+'AZDU 2020'!N7</f>
        <v>486573597.30000007</v>
      </c>
      <c r="R7" s="134">
        <f>+Tableau132024[[#This Row],[octobre-20]]+Tableau132024[[#This Row],[novembre-20]]+Tableau132024[[#This Row],[décembre-20]]</f>
        <v>939528427.81000006</v>
      </c>
      <c r="S7" s="134">
        <f>SUM(Tableau18[[#This Row],[SIEGE]:[AZDU]])</f>
        <v>2108567842.4800003</v>
      </c>
    </row>
    <row r="8" spans="1:39" s="29" customFormat="1" ht="30.75" customHeight="1" x14ac:dyDescent="0.35">
      <c r="A8" s="102"/>
      <c r="B8" s="80" t="s">
        <v>42</v>
      </c>
      <c r="C8" s="55">
        <f>+'SIEGE 2020'!C8+'KDU 2020'!C8+'SKDU 2020'!C8+'AZDU 2020'!C8</f>
        <v>6400</v>
      </c>
      <c r="D8" s="55">
        <f>+'SIEGE 2020'!D8+'KDU 2020'!D8+'SKDU 2020'!D8+'AZDU 2020'!D8</f>
        <v>0</v>
      </c>
      <c r="E8" s="55">
        <f>+'SIEGE 2020'!E8+'KDU 2020'!E8+'SKDU 2020'!E8+'AZDU 2020'!E8</f>
        <v>0</v>
      </c>
      <c r="F8" s="135">
        <f>SUM(Tableau132024[[#This Row],[janvier-20]:[mars-20]])</f>
        <v>6400</v>
      </c>
      <c r="G8" s="55">
        <f>+'SIEGE 2020'!F8+'KDU 2020'!F8+'SKDU 2020'!F8+'AZDU 2020'!F8</f>
        <v>0</v>
      </c>
      <c r="H8" s="55">
        <f>+'SIEGE 2020'!G8+'KDU 2020'!G8+'SKDU 2020'!G8+'AZDU 2020'!G8</f>
        <v>0</v>
      </c>
      <c r="I8" s="55">
        <f>+'SIEGE 2020'!H8+'KDU 2020'!H8+'SKDU 2020'!H8+'AZDU 2020'!H8</f>
        <v>4000</v>
      </c>
      <c r="J8" s="135">
        <f>SUM(Tableau132024[[#This Row],[avril-20]:[juin-20]])</f>
        <v>4000</v>
      </c>
      <c r="K8" s="55">
        <f>+'SIEGE 2020'!I8+'KDU 2020'!I8+'SKDU 2020'!I8+'AZDU 2020'!I8</f>
        <v>0</v>
      </c>
      <c r="L8" s="55">
        <f>+'SIEGE 2020'!J8+'KDU 2020'!J8+'SKDU 2020'!J8+'AZDU 2020'!J8</f>
        <v>0</v>
      </c>
      <c r="M8" s="55">
        <f>+'SIEGE 2020'!K8+'KDU 2020'!K8+'SKDU 2020'!K8+'AZDU 2020'!K8</f>
        <v>0</v>
      </c>
      <c r="N8" s="135">
        <f>SUM(Tableau132024[[#This Row],[juillet-20]:[septembre-20]])</f>
        <v>0</v>
      </c>
      <c r="O8" s="55">
        <f>+'SIEGE 2020'!L8+'KDU 2020'!L8+'SKDU 2020'!L8+'AZDU 2020'!L8</f>
        <v>0</v>
      </c>
      <c r="P8" s="55">
        <f>+'SIEGE 2020'!M8+'KDU 2020'!M8+'SKDU 2020'!M8+'AZDU 2020'!M8</f>
        <v>0</v>
      </c>
      <c r="Q8" s="55">
        <f>+'SIEGE 2020'!N8+'KDU 2020'!N8+'SKDU 2020'!N8+'AZDU 2020'!N8</f>
        <v>1328118.3700000001</v>
      </c>
      <c r="R8" s="135">
        <f>+Tableau132024[[#This Row],[octobre-20]]+Tableau132024[[#This Row],[novembre-20]]+Tableau132024[[#This Row],[décembre-20]]</f>
        <v>1328118.3700000001</v>
      </c>
      <c r="S8" s="135">
        <f>SUM(Tableau18[[#This Row],[SIEGE]:[AZDU]])</f>
        <v>1338518.3700000001</v>
      </c>
      <c r="V8" s="30"/>
    </row>
    <row r="9" spans="1:39" s="27" customFormat="1" ht="30.75" customHeight="1" x14ac:dyDescent="0.35">
      <c r="A9" s="102"/>
      <c r="B9" s="81" t="s">
        <v>3</v>
      </c>
      <c r="C9" s="55">
        <f>+'SIEGE 2020'!C9+'KDU 2020'!C9+'SKDU 2020'!C9+'AZDU 2020'!C9</f>
        <v>48331791.68</v>
      </c>
      <c r="D9" s="55">
        <f>+'SIEGE 2020'!D9+'KDU 2020'!D9+'SKDU 2020'!D9+'AZDU 2020'!D9</f>
        <v>37922463.859999999</v>
      </c>
      <c r="E9" s="55">
        <f>+'SIEGE 2020'!E9+'KDU 2020'!E9+'SKDU 2020'!E9+'AZDU 2020'!E9</f>
        <v>37661360.969999999</v>
      </c>
      <c r="F9" s="135">
        <f>SUM(Tableau132024[[#This Row],[janvier-20]:[mars-20]])</f>
        <v>123915616.50999999</v>
      </c>
      <c r="G9" s="55">
        <f>+'SIEGE 2020'!F9+'KDU 2020'!F9+'SKDU 2020'!F9+'AZDU 2020'!F9</f>
        <v>-24163407.440000001</v>
      </c>
      <c r="H9" s="55">
        <f>+'SIEGE 2020'!G9+'KDU 2020'!G9+'SKDU 2020'!G9+'AZDU 2020'!G9</f>
        <v>-46148110.229999997</v>
      </c>
      <c r="I9" s="55">
        <f>+'SIEGE 2020'!H9+'KDU 2020'!H9+'SKDU 2020'!H9+'AZDU 2020'!H9</f>
        <v>34459482.390000001</v>
      </c>
      <c r="J9" s="135">
        <f>SUM(Tableau132024[[#This Row],[avril-20]:[juin-20]])</f>
        <v>-35852035.280000001</v>
      </c>
      <c r="K9" s="55">
        <f>+'SIEGE 2020'!I9+'KDU 2020'!I9+'SKDU 2020'!I9+'AZDU 2020'!I9</f>
        <v>-17544762.579999998</v>
      </c>
      <c r="L9" s="55">
        <f>+'SIEGE 2020'!J9+'KDU 2020'!J9+'SKDU 2020'!J9+'AZDU 2020'!J9</f>
        <v>-4888597.9800000004</v>
      </c>
      <c r="M9" s="55">
        <f>+'SIEGE 2020'!K9+'KDU 2020'!K9+'SKDU 2020'!K9+'AZDU 2020'!K9</f>
        <v>-22286216.579999998</v>
      </c>
      <c r="N9" s="135">
        <f>SUM(Tableau132024[[#This Row],[juillet-20]:[septembre-20]])</f>
        <v>-44719577.140000001</v>
      </c>
      <c r="O9" s="55">
        <f>+'SIEGE 2020'!L9+'KDU 2020'!L9+'SKDU 2020'!L9+'AZDU 2020'!L9</f>
        <v>-1657462.8000000007</v>
      </c>
      <c r="P9" s="55">
        <f>+'SIEGE 2020'!M9+'KDU 2020'!M9+'SKDU 2020'!M9+'AZDU 2020'!M9</f>
        <v>-41591182.460000001</v>
      </c>
      <c r="Q9" s="55">
        <f>+'SIEGE 2020'!N9+'KDU 2020'!N9+'SKDU 2020'!N9+'AZDU 2020'!N9</f>
        <v>-103252364.06999999</v>
      </c>
      <c r="R9" s="135">
        <f>+Tableau132024[[#This Row],[octobre-20]]+Tableau132024[[#This Row],[novembre-20]]+Tableau132024[[#This Row],[décembre-20]]</f>
        <v>-146501009.32999998</v>
      </c>
      <c r="S9" s="135">
        <f>SUM(Tableau18[[#This Row],[SIEGE]:[AZDU]])</f>
        <v>-103157005.24000001</v>
      </c>
    </row>
    <row r="10" spans="1:39" s="27" customFormat="1" ht="30.75" customHeight="1" x14ac:dyDescent="0.35">
      <c r="A10" s="102"/>
      <c r="B10" s="81" t="s">
        <v>4</v>
      </c>
      <c r="C10" s="55">
        <f>+'SIEGE 2020'!C10+'KDU 2020'!C10+'SKDU 2020'!C10+'AZDU 2020'!C10</f>
        <v>48635.77</v>
      </c>
      <c r="D10" s="55">
        <f>+'SIEGE 2020'!D10+'KDU 2020'!D10+'SKDU 2020'!D10+'AZDU 2020'!D10</f>
        <v>0</v>
      </c>
      <c r="E10" s="55">
        <f>+'SIEGE 2020'!E10+'KDU 2020'!E10+'SKDU 2020'!E10+'AZDU 2020'!E10</f>
        <v>0</v>
      </c>
      <c r="F10" s="135">
        <f>SUM(Tableau132024[[#This Row],[janvier-20]:[mars-20]])</f>
        <v>48635.77</v>
      </c>
      <c r="G10" s="55">
        <f>+'SIEGE 2020'!F10+'KDU 2020'!F10+'SKDU 2020'!F10+'AZDU 2020'!F10</f>
        <v>0</v>
      </c>
      <c r="H10" s="55">
        <f>+'SIEGE 2020'!G10+'KDU 2020'!G10+'SKDU 2020'!G10+'AZDU 2020'!G10</f>
        <v>0</v>
      </c>
      <c r="I10" s="55">
        <f>+'SIEGE 2020'!H10+'KDU 2020'!H10+'SKDU 2020'!H10+'AZDU 2020'!H10</f>
        <v>86565.51</v>
      </c>
      <c r="J10" s="135">
        <f>SUM(Tableau132024[[#This Row],[avril-20]:[juin-20]])</f>
        <v>86565.51</v>
      </c>
      <c r="K10" s="55">
        <f>+'SIEGE 2020'!I10+'KDU 2020'!I10+'SKDU 2020'!I10+'AZDU 2020'!I10</f>
        <v>162272</v>
      </c>
      <c r="L10" s="55">
        <f>+'SIEGE 2020'!J10+'KDU 2020'!J10+'SKDU 2020'!J10+'AZDU 2020'!J10</f>
        <v>0</v>
      </c>
      <c r="M10" s="55">
        <f>+'SIEGE 2020'!K10+'KDU 2020'!K10+'SKDU 2020'!K10+'AZDU 2020'!K10</f>
        <v>0</v>
      </c>
      <c r="N10" s="135">
        <f>SUM(Tableau132024[[#This Row],[juillet-20]:[septembre-20]])</f>
        <v>162272</v>
      </c>
      <c r="O10" s="55">
        <f>+'SIEGE 2020'!L10+'KDU 2020'!L10+'SKDU 2020'!L10+'AZDU 2020'!L10</f>
        <v>96621.17</v>
      </c>
      <c r="P10" s="55">
        <f>+'SIEGE 2020'!M10+'KDU 2020'!M10+'SKDU 2020'!M10+'AZDU 2020'!M10</f>
        <v>25172.82</v>
      </c>
      <c r="Q10" s="55">
        <f>+'SIEGE 2020'!N10+'KDU 2020'!N10+'SKDU 2020'!N10+'AZDU 2020'!N10</f>
        <v>0</v>
      </c>
      <c r="R10" s="135">
        <f>+Tableau132024[[#This Row],[octobre-20]]+Tableau132024[[#This Row],[novembre-20]]+Tableau132024[[#This Row],[décembre-20]]</f>
        <v>121793.98999999999</v>
      </c>
      <c r="S10" s="135">
        <f>SUM(Tableau18[[#This Row],[SIEGE]:[AZDU]])</f>
        <v>419267.27</v>
      </c>
    </row>
    <row r="11" spans="1:39" s="27" customFormat="1" ht="30.75" customHeight="1" thickBot="1" x14ac:dyDescent="0.4">
      <c r="A11" s="103"/>
      <c r="B11" s="82" t="s">
        <v>5</v>
      </c>
      <c r="C11" s="59">
        <f>+'SIEGE 2020'!C11+'KDU 2020'!C11+'SKDU 2020'!C11+'AZDU 2020'!C11</f>
        <v>0</v>
      </c>
      <c r="D11" s="59">
        <f>+'SIEGE 2020'!D11+'KDU 2020'!D11+'SKDU 2020'!D11+'AZDU 2020'!D11</f>
        <v>0</v>
      </c>
      <c r="E11" s="59">
        <f>+'SIEGE 2020'!E11+'KDU 2020'!E11+'SKDU 2020'!E11+'AZDU 2020'!E11</f>
        <v>0</v>
      </c>
      <c r="F11" s="136">
        <f>SUM(Tableau132024[[#This Row],[janvier-20]:[mars-20]])</f>
        <v>0</v>
      </c>
      <c r="G11" s="59">
        <f>+'SIEGE 2020'!F11+'KDU 2020'!F11+'SKDU 2020'!F11+'AZDU 2020'!F11</f>
        <v>0</v>
      </c>
      <c r="H11" s="59">
        <f>+'SIEGE 2020'!G11+'KDU 2020'!G11+'SKDU 2020'!G11+'AZDU 2020'!G11</f>
        <v>0</v>
      </c>
      <c r="I11" s="59">
        <f>+'SIEGE 2020'!H11+'KDU 2020'!H11+'SKDU 2020'!H11+'AZDU 2020'!H11</f>
        <v>0</v>
      </c>
      <c r="J11" s="136">
        <f>SUM(Tableau132024[[#This Row],[avril-20]:[juin-20]])</f>
        <v>0</v>
      </c>
      <c r="K11" s="59">
        <f>+'SIEGE 2020'!I11+'KDU 2020'!I11+'SKDU 2020'!I11+'AZDU 2020'!I11</f>
        <v>0</v>
      </c>
      <c r="L11" s="59">
        <f>+'SIEGE 2020'!J11+'KDU 2020'!J11+'SKDU 2020'!J11+'AZDU 2020'!J11</f>
        <v>0</v>
      </c>
      <c r="M11" s="59">
        <f>+'SIEGE 2020'!K11+'KDU 2020'!K11+'SKDU 2020'!K11+'AZDU 2020'!K11</f>
        <v>0</v>
      </c>
      <c r="N11" s="136">
        <f>SUM(Tableau132024[[#This Row],[juillet-20]:[septembre-20]])</f>
        <v>0</v>
      </c>
      <c r="O11" s="59">
        <f>+'SIEGE 2020'!L11+'KDU 2020'!L11+'SKDU 2020'!L11+'AZDU 2020'!L11</f>
        <v>0</v>
      </c>
      <c r="P11" s="59">
        <f>+'SIEGE 2020'!M11+'KDU 2020'!M11+'SKDU 2020'!M11+'AZDU 2020'!M11</f>
        <v>0</v>
      </c>
      <c r="Q11" s="59">
        <f>+'SIEGE 2020'!N11+'KDU 2020'!N11+'SKDU 2020'!N11+'AZDU 2020'!N11</f>
        <v>0</v>
      </c>
      <c r="R11" s="136">
        <f>+Tableau132024[[#This Row],[octobre-20]]+Tableau132024[[#This Row],[novembre-20]]+Tableau132024[[#This Row],[décembre-20]]</f>
        <v>0</v>
      </c>
      <c r="S11" s="136">
        <f>SUM(Tableau18[[#This Row],[SIEGE]:[AZDU]])</f>
        <v>0</v>
      </c>
    </row>
    <row r="12" spans="1:39" s="27" customFormat="1" ht="30.75" customHeight="1" thickBot="1" x14ac:dyDescent="0.4">
      <c r="A12" s="104"/>
      <c r="B12" s="83" t="s">
        <v>6</v>
      </c>
      <c r="C12" s="62">
        <f>+'SIEGE 2020'!C12+'KDU 2020'!C12+'SKDU 2020'!C12+'AZDU 2020'!C12</f>
        <v>120981444.34999999</v>
      </c>
      <c r="D12" s="62">
        <f>+'SIEGE 2020'!D12+'KDU 2020'!D12+'SKDU 2020'!D12+'AZDU 2020'!D12</f>
        <v>132782181</v>
      </c>
      <c r="E12" s="62">
        <f>+'SIEGE 2020'!E12+'KDU 2020'!E12+'SKDU 2020'!E12+'AZDU 2020'!E12</f>
        <v>130873194.30999999</v>
      </c>
      <c r="F12" s="62">
        <f>SUM(Tableau132024[[#This Row],[janvier-20]:[mars-20]])</f>
        <v>384636819.65999997</v>
      </c>
      <c r="G12" s="62">
        <f>+'SIEGE 2020'!F12+'KDU 2020'!F12+'SKDU 2020'!F12+'AZDU 2020'!F12</f>
        <v>72057038.959999993</v>
      </c>
      <c r="H12" s="62">
        <f>+'SIEGE 2020'!G12+'KDU 2020'!G12+'SKDU 2020'!G12+'AZDU 2020'!G12</f>
        <v>106011765.56999999</v>
      </c>
      <c r="I12" s="62">
        <f>+'SIEGE 2020'!H12+'KDU 2020'!H12+'SKDU 2020'!H12+'AZDU 2020'!H12</f>
        <v>204110829.10000002</v>
      </c>
      <c r="J12" s="62">
        <f>SUM(Tableau132024[[#This Row],[avril-20]:[juin-20]])</f>
        <v>382179633.63</v>
      </c>
      <c r="K12" s="62">
        <f>+'SIEGE 2020'!I12+'KDU 2020'!I12+'SKDU 2020'!I12+'AZDU 2020'!I12</f>
        <v>109319159.81999999</v>
      </c>
      <c r="L12" s="62">
        <f>+'SIEGE 2020'!J12+'KDU 2020'!J12+'SKDU 2020'!J12+'AZDU 2020'!J12</f>
        <v>151170091.22</v>
      </c>
      <c r="M12" s="62">
        <f>+'SIEGE 2020'!K12+'KDU 2020'!K12+'SKDU 2020'!K12+'AZDU 2020'!K12</f>
        <v>185385587.71000001</v>
      </c>
      <c r="N12" s="62">
        <f>SUM(Tableau132024[[#This Row],[juillet-20]:[septembre-20]])</f>
        <v>445874838.75</v>
      </c>
      <c r="O12" s="62">
        <f>+'SIEGE 2020'!L12+'KDU 2020'!L12+'SKDU 2020'!L12+'AZDU 2020'!L12</f>
        <v>216248118.50999999</v>
      </c>
      <c r="P12" s="62">
        <f>+'SIEGE 2020'!M12+'KDU 2020'!M12+'SKDU 2020'!M12+'AZDU 2020'!M12</f>
        <v>193579860.72999999</v>
      </c>
      <c r="Q12" s="62">
        <f>+'SIEGE 2020'!N12+'KDU 2020'!N12+'SKDU 2020'!N12+'AZDU 2020'!N12</f>
        <v>384649351.60000002</v>
      </c>
      <c r="R12" s="62">
        <f>+Tableau132024[[#This Row],[octobre-20]]+Tableau132024[[#This Row],[novembre-20]]+Tableau132024[[#This Row],[décembre-20]]</f>
        <v>794477330.84000003</v>
      </c>
      <c r="S12" s="62">
        <f>SUM(Tableau18[[#This Row],[SIEGE]:[AZDU]])</f>
        <v>2007168622.8800001</v>
      </c>
    </row>
    <row r="13" spans="1:39" s="32" customFormat="1" ht="30.75" customHeight="1" x14ac:dyDescent="0.35">
      <c r="A13" s="105">
        <v>60</v>
      </c>
      <c r="B13" s="84" t="s">
        <v>7</v>
      </c>
      <c r="C13" s="65">
        <f>+'SIEGE 2020'!C13+'KDU 2020'!C13+'SKDU 2020'!C13+'AZDU 2020'!C13</f>
        <v>104069329.08000001</v>
      </c>
      <c r="D13" s="65">
        <f>+'SIEGE 2020'!D13+'KDU 2020'!D13+'SKDU 2020'!D13+'AZDU 2020'!D13</f>
        <v>101100864.97</v>
      </c>
      <c r="E13" s="65">
        <f>+'SIEGE 2020'!E13+'KDU 2020'!E13+'SKDU 2020'!E13+'AZDU 2020'!E13</f>
        <v>99773181.24000001</v>
      </c>
      <c r="F13" s="137">
        <f>SUM(Tableau132024[[#This Row],[janvier-20]:[mars-20]])</f>
        <v>304943375.29000002</v>
      </c>
      <c r="G13" s="65">
        <f>+'SIEGE 2020'!F13+'KDU 2020'!F13+'SKDU 2020'!F13+'AZDU 2020'!F13</f>
        <v>60573071.119999997</v>
      </c>
      <c r="H13" s="65">
        <f>+'SIEGE 2020'!G13+'KDU 2020'!G13+'SKDU 2020'!G13+'AZDU 2020'!G13</f>
        <v>66085679.040000007</v>
      </c>
      <c r="I13" s="65">
        <f>+'SIEGE 2020'!H13+'KDU 2020'!H13+'SKDU 2020'!H13+'AZDU 2020'!H13</f>
        <v>140410668.16</v>
      </c>
      <c r="J13" s="137">
        <f>SUM(Tableau132024[[#This Row],[avril-20]:[juin-20]])</f>
        <v>267069418.31999999</v>
      </c>
      <c r="K13" s="65">
        <f>+'SIEGE 2020'!I13+'KDU 2020'!I13+'SKDU 2020'!I13+'AZDU 2020'!I13</f>
        <v>83361222.75999999</v>
      </c>
      <c r="L13" s="65">
        <f>+'SIEGE 2020'!J13+'KDU 2020'!J13+'SKDU 2020'!J13+'AZDU 2020'!J13</f>
        <v>122167850.22</v>
      </c>
      <c r="M13" s="65">
        <f>+'SIEGE 2020'!K13+'KDU 2020'!K13+'SKDU 2020'!K13+'AZDU 2020'!K13</f>
        <v>131829406.02000001</v>
      </c>
      <c r="N13" s="137">
        <f>SUM(Tableau132024[[#This Row],[juillet-20]:[septembre-20]])</f>
        <v>337358479</v>
      </c>
      <c r="O13" s="65">
        <f>+'SIEGE 2020'!L13+'KDU 2020'!L13+'SKDU 2020'!L13+'AZDU 2020'!L13</f>
        <v>173184292.83000001</v>
      </c>
      <c r="P13" s="65">
        <f>+'SIEGE 2020'!M13+'KDU 2020'!M13+'SKDU 2020'!M13+'AZDU 2020'!M13</f>
        <v>128468377.49999999</v>
      </c>
      <c r="Q13" s="65">
        <f>+'SIEGE 2020'!N13+'KDU 2020'!N13+'SKDU 2020'!N13+'AZDU 2020'!N13</f>
        <v>222118817.13</v>
      </c>
      <c r="R13" s="137">
        <f>+Tableau132024[[#This Row],[octobre-20]]+Tableau132024[[#This Row],[novembre-20]]+Tableau132024[[#This Row],[décembre-20]]</f>
        <v>523771487.45999998</v>
      </c>
      <c r="S13" s="137">
        <f>SUM(Tableau18[[#This Row],[SIEGE]:[AZDU]])</f>
        <v>1433142760.0699999</v>
      </c>
    </row>
    <row r="14" spans="1:39" s="32" customFormat="1" ht="30.75" customHeight="1" thickBot="1" x14ac:dyDescent="0.4">
      <c r="A14" s="106" t="s">
        <v>8</v>
      </c>
      <c r="B14" s="82" t="s">
        <v>43</v>
      </c>
      <c r="C14" s="59">
        <f>+'SIEGE 2020'!C14+'KDU 2020'!C14+'SKDU 2020'!C14+'AZDU 2020'!C14</f>
        <v>9812337.0800000001</v>
      </c>
      <c r="D14" s="59">
        <f>+'SIEGE 2020'!D14+'KDU 2020'!D14+'SKDU 2020'!D14+'AZDU 2020'!D14</f>
        <v>8270062.6099999994</v>
      </c>
      <c r="E14" s="59">
        <f>+'SIEGE 2020'!E14+'KDU 2020'!E14+'SKDU 2020'!E14+'AZDU 2020'!E14</f>
        <v>7618833.3999999985</v>
      </c>
      <c r="F14" s="136">
        <f>SUM(Tableau132024[[#This Row],[janvier-20]:[mars-20]])</f>
        <v>25701233.089999996</v>
      </c>
      <c r="G14" s="59">
        <f>+'SIEGE 2020'!F14+'KDU 2020'!F14+'SKDU 2020'!F14+'AZDU 2020'!F14</f>
        <v>5860339.3200000003</v>
      </c>
      <c r="H14" s="59">
        <f>+'SIEGE 2020'!G14+'KDU 2020'!G14+'SKDU 2020'!G14+'AZDU 2020'!G14</f>
        <v>8267400.1799999997</v>
      </c>
      <c r="I14" s="59">
        <f>+'SIEGE 2020'!H14+'KDU 2020'!H14+'SKDU 2020'!H14+'AZDU 2020'!H14</f>
        <v>16957824.289999999</v>
      </c>
      <c r="J14" s="136">
        <f>SUM(Tableau132024[[#This Row],[avril-20]:[juin-20]])</f>
        <v>31085563.789999999</v>
      </c>
      <c r="K14" s="59">
        <f>+'SIEGE 2020'!I14+'KDU 2020'!I14+'SKDU 2020'!I14+'AZDU 2020'!I14</f>
        <v>15159269.800000001</v>
      </c>
      <c r="L14" s="59">
        <f>+'SIEGE 2020'!J14+'KDU 2020'!J14+'SKDU 2020'!J14+'AZDU 2020'!J14</f>
        <v>11658408.08</v>
      </c>
      <c r="M14" s="59">
        <f>+'SIEGE 2020'!K14+'KDU 2020'!K14+'SKDU 2020'!K14+'AZDU 2020'!K14</f>
        <v>13801448.450000001</v>
      </c>
      <c r="N14" s="136">
        <f>SUM(Tableau132024[[#This Row],[juillet-20]:[septembre-20]])</f>
        <v>40619126.330000006</v>
      </c>
      <c r="O14" s="59">
        <f>+'SIEGE 2020'!L14+'KDU 2020'!L14+'SKDU 2020'!L14+'AZDU 2020'!L14</f>
        <v>14598419.130000003</v>
      </c>
      <c r="P14" s="59">
        <f>+'SIEGE 2020'!M14+'KDU 2020'!M14+'SKDU 2020'!M14+'AZDU 2020'!M14</f>
        <v>19011923.379999999</v>
      </c>
      <c r="Q14" s="59">
        <f>+'SIEGE 2020'!N14+'KDU 2020'!N14+'SKDU 2020'!N14+'AZDU 2020'!N14</f>
        <v>32036879.379999999</v>
      </c>
      <c r="R14" s="136">
        <f>+Tableau132024[[#This Row],[octobre-20]]+Tableau132024[[#This Row],[novembre-20]]+Tableau132024[[#This Row],[décembre-20]]</f>
        <v>65647221.890000001</v>
      </c>
      <c r="S14" s="136">
        <f>SUM(Tableau18[[#This Row],[SIEGE]:[AZDU]])</f>
        <v>163053145.09999999</v>
      </c>
    </row>
    <row r="15" spans="1:39" s="27" customFormat="1" ht="30.75" customHeight="1" thickBot="1" x14ac:dyDescent="0.4">
      <c r="A15" s="107" t="s">
        <v>9</v>
      </c>
      <c r="B15" s="85" t="s">
        <v>10</v>
      </c>
      <c r="C15" s="62">
        <f>+'SIEGE 2020'!C15+'KDU 2020'!C15+'SKDU 2020'!C15+'AZDU 2020'!C15</f>
        <v>113881666.16000001</v>
      </c>
      <c r="D15" s="62">
        <f>+'SIEGE 2020'!D15+'KDU 2020'!D15+'SKDU 2020'!D15+'AZDU 2020'!D15</f>
        <v>109370927.58</v>
      </c>
      <c r="E15" s="62">
        <f>+'SIEGE 2020'!E15+'KDU 2020'!E15+'SKDU 2020'!E15+'AZDU 2020'!E15</f>
        <v>107392014.63999999</v>
      </c>
      <c r="F15" s="62">
        <f>SUM(Tableau132024[[#This Row],[janvier-20]:[mars-20]])</f>
        <v>330644608.38</v>
      </c>
      <c r="G15" s="62">
        <f>+'SIEGE 2020'!F15+'KDU 2020'!F15+'SKDU 2020'!F15+'AZDU 2020'!F15</f>
        <v>66433410.439999998</v>
      </c>
      <c r="H15" s="62">
        <f>+'SIEGE 2020'!G15+'KDU 2020'!G15+'SKDU 2020'!G15+'AZDU 2020'!G15</f>
        <v>74353079.219999999</v>
      </c>
      <c r="I15" s="62">
        <f>+'SIEGE 2020'!H15+'KDU 2020'!H15+'SKDU 2020'!H15+'AZDU 2020'!H15</f>
        <v>157368492.44999999</v>
      </c>
      <c r="J15" s="62">
        <f>SUM(Tableau132024[[#This Row],[avril-20]:[juin-20]])</f>
        <v>298154982.11000001</v>
      </c>
      <c r="K15" s="62">
        <f>+'SIEGE 2020'!I15+'KDU 2020'!I15+'SKDU 2020'!I15+'AZDU 2020'!I15</f>
        <v>98520492.559999987</v>
      </c>
      <c r="L15" s="62">
        <f>+'SIEGE 2020'!J15+'KDU 2020'!J15+'SKDU 2020'!J15+'AZDU 2020'!J15</f>
        <v>133826258.3</v>
      </c>
      <c r="M15" s="62">
        <f>+'SIEGE 2020'!K15+'KDU 2020'!K15+'SKDU 2020'!K15+'AZDU 2020'!K15</f>
        <v>145630854.47</v>
      </c>
      <c r="N15" s="62">
        <f>SUM(Tableau132024[[#This Row],[juillet-20]:[septembre-20]])</f>
        <v>377977605.32999998</v>
      </c>
      <c r="O15" s="62">
        <f>+'SIEGE 2020'!L15+'KDU 2020'!L15+'SKDU 2020'!L15+'AZDU 2020'!L15</f>
        <v>187782711.95999998</v>
      </c>
      <c r="P15" s="62">
        <f>+'SIEGE 2020'!M15+'KDU 2020'!M15+'SKDU 2020'!M15+'AZDU 2020'!M15</f>
        <v>147480300.88</v>
      </c>
      <c r="Q15" s="62">
        <f>+'SIEGE 2020'!N15+'KDU 2020'!N15+'SKDU 2020'!N15+'AZDU 2020'!N15</f>
        <v>254155696.51000002</v>
      </c>
      <c r="R15" s="62">
        <f>+Tableau132024[[#This Row],[octobre-20]]+Tableau132024[[#This Row],[novembre-20]]+Tableau132024[[#This Row],[décembre-20]]</f>
        <v>589418709.35000002</v>
      </c>
      <c r="S15" s="62">
        <f>SUM(Tableau18[[#This Row],[SIEGE]:[AZDU]])</f>
        <v>1596195905.1700001</v>
      </c>
    </row>
    <row r="16" spans="1:39" s="27" customFormat="1" ht="30.75" customHeight="1" thickBot="1" x14ac:dyDescent="0.4">
      <c r="A16" s="108" t="s">
        <v>11</v>
      </c>
      <c r="B16" s="86" t="s">
        <v>12</v>
      </c>
      <c r="C16" s="68">
        <f>+'SIEGE 2020'!C16+'KDU 2020'!C16+'SKDU 2020'!C16+'AZDU 2020'!C16</f>
        <v>7099778.1899999939</v>
      </c>
      <c r="D16" s="68">
        <f>+'SIEGE 2020'!D16+'KDU 2020'!D16+'SKDU 2020'!D16+'AZDU 2020'!D16</f>
        <v>23411253.420000002</v>
      </c>
      <c r="E16" s="68">
        <f>+'SIEGE 2020'!E16+'KDU 2020'!E16+'SKDU 2020'!E16+'AZDU 2020'!E16</f>
        <v>23481179.669999987</v>
      </c>
      <c r="F16" s="68">
        <f>SUM(Tableau132024[[#This Row],[janvier-20]:[mars-20]])</f>
        <v>53992211.279999986</v>
      </c>
      <c r="G16" s="68">
        <f>+'SIEGE 2020'!F16+'KDU 2020'!F16+'SKDU 2020'!F16+'AZDU 2020'!F16</f>
        <v>5623628.5199999977</v>
      </c>
      <c r="H16" s="68">
        <f>+'SIEGE 2020'!G16+'KDU 2020'!G16+'SKDU 2020'!G16+'AZDU 2020'!G16</f>
        <v>31658686.349999987</v>
      </c>
      <c r="I16" s="68">
        <f>+'SIEGE 2020'!H16+'KDU 2020'!H16+'SKDU 2020'!H16+'AZDU 2020'!H16</f>
        <v>46742336.650000006</v>
      </c>
      <c r="J16" s="68">
        <f>SUM(Tableau132024[[#This Row],[avril-20]:[juin-20]])</f>
        <v>84024651.519999981</v>
      </c>
      <c r="K16" s="68">
        <f>+'SIEGE 2020'!I16+'KDU 2020'!I16+'SKDU 2020'!I16+'AZDU 2020'!I16</f>
        <v>10798667.260000011</v>
      </c>
      <c r="L16" s="68">
        <f>+'SIEGE 2020'!J16+'KDU 2020'!J16+'SKDU 2020'!J16+'AZDU 2020'!J16</f>
        <v>17343832.919999994</v>
      </c>
      <c r="M16" s="68">
        <f>+'SIEGE 2020'!K16+'KDU 2020'!K16+'SKDU 2020'!K16+'AZDU 2020'!K16</f>
        <v>39754733.240000002</v>
      </c>
      <c r="N16" s="68">
        <f>SUM(Tableau132024[[#This Row],[juillet-20]:[septembre-20]])</f>
        <v>67897233.420000017</v>
      </c>
      <c r="O16" s="68">
        <f>+'SIEGE 2020'!L16+'KDU 2020'!L16+'SKDU 2020'!L16+'AZDU 2020'!L16</f>
        <v>28465406.550000031</v>
      </c>
      <c r="P16" s="68">
        <f>+'SIEGE 2020'!M16+'KDU 2020'!M16+'SKDU 2020'!M16+'AZDU 2020'!M16</f>
        <v>46099559.849999994</v>
      </c>
      <c r="Q16" s="68">
        <f>+'SIEGE 2020'!N16+'KDU 2020'!N16+'SKDU 2020'!N16+'AZDU 2020'!N16</f>
        <v>130493655.09000003</v>
      </c>
      <c r="R16" s="68">
        <f>+Tableau132024[[#This Row],[octobre-20]]+Tableau132024[[#This Row],[novembre-20]]+Tableau132024[[#This Row],[décembre-20]]</f>
        <v>205058621.49000007</v>
      </c>
      <c r="S16" s="68">
        <f>SUM(Tableau18[[#This Row],[SIEGE]:[AZDU]])</f>
        <v>410972717.70999998</v>
      </c>
    </row>
    <row r="17" spans="1:20" s="32" customFormat="1" ht="30.75" customHeight="1" x14ac:dyDescent="0.35">
      <c r="A17" s="105">
        <v>63</v>
      </c>
      <c r="B17" s="84" t="s">
        <v>44</v>
      </c>
      <c r="C17" s="65">
        <f>+'SIEGE 2020'!C17+'KDU 2020'!C17+'SKDU 2020'!C17+'AZDU 2020'!C17</f>
        <v>49642073.339999996</v>
      </c>
      <c r="D17" s="65">
        <f>+'SIEGE 2020'!D17+'KDU 2020'!D17+'SKDU 2020'!D17+'AZDU 2020'!D17</f>
        <v>50243161.450000003</v>
      </c>
      <c r="E17" s="65">
        <f>+'SIEGE 2020'!E17+'KDU 2020'!E17+'SKDU 2020'!E17+'AZDU 2020'!E17</f>
        <v>52732671.489999995</v>
      </c>
      <c r="F17" s="137">
        <f>SUM(Tableau132024[[#This Row],[janvier-20]:[mars-20]])</f>
        <v>152617906.27999997</v>
      </c>
      <c r="G17" s="65">
        <f>+'SIEGE 2020'!F17+'KDU 2020'!F17+'SKDU 2020'!F17+'AZDU 2020'!F17</f>
        <v>52246820.140000001</v>
      </c>
      <c r="H17" s="65">
        <f>+'SIEGE 2020'!G17+'KDU 2020'!G17+'SKDU 2020'!G17+'AZDU 2020'!G17</f>
        <v>50447913.079999998</v>
      </c>
      <c r="I17" s="65">
        <f>+'SIEGE 2020'!H17+'KDU 2020'!H17+'SKDU 2020'!H17+'AZDU 2020'!H17</f>
        <v>50249244.260000005</v>
      </c>
      <c r="J17" s="137">
        <f>SUM(Tableau132024[[#This Row],[avril-20]:[juin-20]])</f>
        <v>152943977.48000002</v>
      </c>
      <c r="K17" s="65">
        <f>+'SIEGE 2020'!I17+'KDU 2020'!I17+'SKDU 2020'!I17+'AZDU 2020'!I17</f>
        <v>64916824.960000001</v>
      </c>
      <c r="L17" s="65">
        <f>+'SIEGE 2020'!J17+'KDU 2020'!J17+'SKDU 2020'!J17+'AZDU 2020'!J17</f>
        <v>60684875.790000007</v>
      </c>
      <c r="M17" s="65">
        <f>+'SIEGE 2020'!K17+'KDU 2020'!K17+'SKDU 2020'!K17+'AZDU 2020'!K17</f>
        <v>62232289.309999995</v>
      </c>
      <c r="N17" s="137">
        <f>SUM(Tableau132024[[#This Row],[juillet-20]:[septembre-20]])</f>
        <v>187833990.06</v>
      </c>
      <c r="O17" s="65">
        <f>+'SIEGE 2020'!L17+'KDU 2020'!L17+'SKDU 2020'!L17+'AZDU 2020'!L17</f>
        <v>61798060.170000002</v>
      </c>
      <c r="P17" s="65">
        <f>+'SIEGE 2020'!M17+'KDU 2020'!M17+'SKDU 2020'!M17+'AZDU 2020'!M17</f>
        <v>63627109.459999993</v>
      </c>
      <c r="Q17" s="65">
        <f>+'SIEGE 2020'!N17+'KDU 2020'!N17+'SKDU 2020'!N17+'AZDU 2020'!N17</f>
        <v>67616969.469999999</v>
      </c>
      <c r="R17" s="137">
        <f>+Tableau132024[[#This Row],[octobre-20]]+Tableau132024[[#This Row],[novembre-20]]+Tableau132024[[#This Row],[décembre-20]]</f>
        <v>193042139.09999999</v>
      </c>
      <c r="S17" s="137">
        <f>SUM(Tableau18[[#This Row],[SIEGE]:[AZDU]])</f>
        <v>686438012.92000008</v>
      </c>
    </row>
    <row r="18" spans="1:20" s="32" customFormat="1" ht="30.75" customHeight="1" thickBot="1" x14ac:dyDescent="0.4">
      <c r="A18" s="106">
        <v>64</v>
      </c>
      <c r="B18" s="82" t="s">
        <v>13</v>
      </c>
      <c r="C18" s="59">
        <f>+'SIEGE 2020'!C18+'KDU 2020'!C18+'SKDU 2020'!C18+'AZDU 2020'!C18</f>
        <v>969180</v>
      </c>
      <c r="D18" s="59">
        <f>+'SIEGE 2020'!D18+'KDU 2020'!D18+'SKDU 2020'!D18+'AZDU 2020'!D18</f>
        <v>975028.56</v>
      </c>
      <c r="E18" s="59">
        <f>+'SIEGE 2020'!E18+'KDU 2020'!E18+'SKDU 2020'!E18+'AZDU 2020'!E18</f>
        <v>1028798.37</v>
      </c>
      <c r="F18" s="136">
        <f>SUM(Tableau132024[[#This Row],[janvier-20]:[mars-20]])</f>
        <v>2973006.93</v>
      </c>
      <c r="G18" s="59">
        <f>+'SIEGE 2020'!F18+'KDU 2020'!F18+'SKDU 2020'!F18+'AZDU 2020'!F18</f>
        <v>1007691.18</v>
      </c>
      <c r="H18" s="59">
        <f>+'SIEGE 2020'!G18+'KDU 2020'!G18+'SKDU 2020'!G18+'AZDU 2020'!G18</f>
        <v>1977733.56</v>
      </c>
      <c r="I18" s="59">
        <f>+'SIEGE 2020'!H18+'KDU 2020'!H18+'SKDU 2020'!H18+'AZDU 2020'!H18</f>
        <v>1792790.23</v>
      </c>
      <c r="J18" s="136">
        <f>SUM(Tableau132024[[#This Row],[avril-20]:[juin-20]])</f>
        <v>4778214.9700000007</v>
      </c>
      <c r="K18" s="59">
        <f>+'SIEGE 2020'!I18+'KDU 2020'!I18+'SKDU 2020'!I18+'AZDU 2020'!I18</f>
        <v>2367922.04</v>
      </c>
      <c r="L18" s="59">
        <f>+'SIEGE 2020'!J18+'KDU 2020'!J18+'SKDU 2020'!J18+'AZDU 2020'!J18</f>
        <v>1618102.83</v>
      </c>
      <c r="M18" s="59">
        <f>+'SIEGE 2020'!K18+'KDU 2020'!K18+'SKDU 2020'!K18+'AZDU 2020'!K18</f>
        <v>2147185.9899999998</v>
      </c>
      <c r="N18" s="136">
        <f>SUM(Tableau132024[[#This Row],[juillet-20]:[septembre-20]])</f>
        <v>6133210.8599999994</v>
      </c>
      <c r="O18" s="59">
        <f>+'SIEGE 2020'!L18+'KDU 2020'!L18+'SKDU 2020'!L18+'AZDU 2020'!L18</f>
        <v>2229209.6</v>
      </c>
      <c r="P18" s="59">
        <f>+'SIEGE 2020'!M18+'KDU 2020'!M18+'SKDU 2020'!M18+'AZDU 2020'!M18</f>
        <v>4185282.17</v>
      </c>
      <c r="Q18" s="59">
        <f>+'SIEGE 2020'!N18+'KDU 2020'!N18+'SKDU 2020'!N18+'AZDU 2020'!N18</f>
        <v>7824270.6799999997</v>
      </c>
      <c r="R18" s="136">
        <f>+Tableau132024[[#This Row],[octobre-20]]+Tableau132024[[#This Row],[novembre-20]]+Tableau132024[[#This Row],[décembre-20]]</f>
        <v>14238762.449999999</v>
      </c>
      <c r="S18" s="136">
        <f>SUM(Tableau18[[#This Row],[SIEGE]:[AZDU]])</f>
        <v>28123195.210000001</v>
      </c>
    </row>
    <row r="19" spans="1:20" s="27" customFormat="1" ht="30.75" customHeight="1" thickBot="1" x14ac:dyDescent="0.4">
      <c r="A19" s="107" t="s">
        <v>14</v>
      </c>
      <c r="B19" s="85" t="s">
        <v>15</v>
      </c>
      <c r="C19" s="62">
        <f>+'SIEGE 2020'!C19+'KDU 2020'!C19+'SKDU 2020'!C19+'AZDU 2020'!C19</f>
        <v>-43511475.150000006</v>
      </c>
      <c r="D19" s="62">
        <f>+'SIEGE 2020'!D19+'KDU 2020'!D19+'SKDU 2020'!D19+'AZDU 2020'!D19</f>
        <v>-27806936.590000004</v>
      </c>
      <c r="E19" s="62">
        <f>+'SIEGE 2020'!E19+'KDU 2020'!E19+'SKDU 2020'!E19+'AZDU 2020'!E19</f>
        <v>-30280290.190000009</v>
      </c>
      <c r="F19" s="62">
        <f>SUM(Tableau132024[[#This Row],[janvier-20]:[mars-20]])</f>
        <v>-101598701.93000002</v>
      </c>
      <c r="G19" s="62">
        <f>+'SIEGE 2020'!F19+'KDU 2020'!F19+'SKDU 2020'!F19+'AZDU 2020'!F19</f>
        <v>-47630882.800000004</v>
      </c>
      <c r="H19" s="62">
        <f>+'SIEGE 2020'!G19+'KDU 2020'!G19+'SKDU 2020'!G19+'AZDU 2020'!G19</f>
        <v>-20766960.290000014</v>
      </c>
      <c r="I19" s="62">
        <f>+'SIEGE 2020'!H19+'KDU 2020'!H19+'SKDU 2020'!H19+'AZDU 2020'!H19</f>
        <v>-5299697.8399999905</v>
      </c>
      <c r="J19" s="62">
        <f>SUM(Tableau132024[[#This Row],[avril-20]:[juin-20]])</f>
        <v>-73697540.930000007</v>
      </c>
      <c r="K19" s="62">
        <f>+'SIEGE 2020'!I19+'KDU 2020'!I19+'SKDU 2020'!I19+'AZDU 2020'!I19</f>
        <v>-56486079.73999998</v>
      </c>
      <c r="L19" s="62">
        <f>+'SIEGE 2020'!J19+'KDU 2020'!J19+'SKDU 2020'!J19+'AZDU 2020'!J19</f>
        <v>-44959145.700000003</v>
      </c>
      <c r="M19" s="62">
        <f>+'SIEGE 2020'!K19+'KDU 2020'!K19+'SKDU 2020'!K19+'AZDU 2020'!K19</f>
        <v>-24624742.059999995</v>
      </c>
      <c r="N19" s="62">
        <f>SUM(Tableau132024[[#This Row],[juillet-20]:[septembre-20]])</f>
        <v>-126069967.49999997</v>
      </c>
      <c r="O19" s="62">
        <f>+'SIEGE 2020'!L19+'KDU 2020'!L19+'SKDU 2020'!L19+'AZDU 2020'!L19</f>
        <v>-35561863.219999969</v>
      </c>
      <c r="P19" s="62">
        <f>+'SIEGE 2020'!M19+'KDU 2020'!M19+'SKDU 2020'!M19+'AZDU 2020'!M19</f>
        <v>-21712831.780000001</v>
      </c>
      <c r="Q19" s="62">
        <f>+'SIEGE 2020'!N19+'KDU 2020'!N19+'SKDU 2020'!N19+'AZDU 2020'!N19</f>
        <v>55052414.940000027</v>
      </c>
      <c r="R19" s="62">
        <f>+Tableau132024[[#This Row],[octobre-20]]+Tableau132024[[#This Row],[novembre-20]]+Tableau132024[[#This Row],[décembre-20]]</f>
        <v>-2222280.0599999428</v>
      </c>
      <c r="S19" s="62">
        <f>SUM(Tableau18[[#This Row],[SIEGE]:[AZDU]])</f>
        <v>-303588490.42000002</v>
      </c>
    </row>
    <row r="20" spans="1:20" s="32" customFormat="1" ht="30.75" customHeight="1" x14ac:dyDescent="0.35">
      <c r="A20" s="105">
        <v>75</v>
      </c>
      <c r="B20" s="84" t="s">
        <v>16</v>
      </c>
      <c r="C20" s="52">
        <f>+'SIEGE 2020'!C20+'KDU 2020'!C20+'SKDU 2020'!C20+'AZDU 2020'!C20</f>
        <v>45200.039999999994</v>
      </c>
      <c r="D20" s="52">
        <f>+'SIEGE 2020'!D20+'KDU 2020'!D20+'SKDU 2020'!D20+'AZDU 2020'!D20</f>
        <v>126781.19</v>
      </c>
      <c r="E20" s="52">
        <f>+'SIEGE 2020'!E20+'KDU 2020'!E20+'SKDU 2020'!E20+'AZDU 2020'!E20</f>
        <v>40000</v>
      </c>
      <c r="F20" s="134">
        <f>SUM(Tableau132024[[#This Row],[janvier-20]:[mars-20]])</f>
        <v>211981.22999999998</v>
      </c>
      <c r="G20" s="52">
        <f>+'SIEGE 2020'!F20+'KDU 2020'!F20+'SKDU 2020'!F20+'AZDU 2020'!F20</f>
        <v>0.01</v>
      </c>
      <c r="H20" s="52">
        <f>+'SIEGE 2020'!G20+'KDU 2020'!G20+'SKDU 2020'!G20+'AZDU 2020'!G20</f>
        <v>26143251.709999997</v>
      </c>
      <c r="I20" s="52">
        <f>+'SIEGE 2020'!H20+'KDU 2020'!H20+'SKDU 2020'!H20+'AZDU 2020'!H20</f>
        <v>108168.97</v>
      </c>
      <c r="J20" s="134">
        <f>SUM(Tableau132024[[#This Row],[avril-20]:[juin-20]])</f>
        <v>26251420.689999998</v>
      </c>
      <c r="K20" s="52">
        <f>+'SIEGE 2020'!I20+'KDU 2020'!I20+'SKDU 2020'!I20+'AZDU 2020'!I20</f>
        <v>873338.83</v>
      </c>
      <c r="L20" s="52">
        <f>+'SIEGE 2020'!J20+'KDU 2020'!J20+'SKDU 2020'!J20+'AZDU 2020'!J20</f>
        <v>37905.46</v>
      </c>
      <c r="M20" s="52">
        <f>+'SIEGE 2020'!K20+'KDU 2020'!K20+'SKDU 2020'!K20+'AZDU 2020'!K20</f>
        <v>6315219.8899999997</v>
      </c>
      <c r="N20" s="134">
        <f>SUM(Tableau132024[[#This Row],[juillet-20]:[septembre-20]])</f>
        <v>7226464.1799999997</v>
      </c>
      <c r="O20" s="52">
        <f>+'SIEGE 2020'!L20+'KDU 2020'!L20+'SKDU 2020'!L20+'AZDU 2020'!L20</f>
        <v>3.56</v>
      </c>
      <c r="P20" s="52">
        <f>+'SIEGE 2020'!M20+'KDU 2020'!M20+'SKDU 2020'!M20+'AZDU 2020'!M20</f>
        <v>2749990.4899999998</v>
      </c>
      <c r="Q20" s="52">
        <f>+'SIEGE 2020'!N20+'KDU 2020'!N20+'SKDU 2020'!N20+'AZDU 2020'!N20</f>
        <v>71538726.480000004</v>
      </c>
      <c r="R20" s="134">
        <f>+Tableau132024[[#This Row],[octobre-20]]+Tableau132024[[#This Row],[novembre-20]]+Tableau132024[[#This Row],[décembre-20]]</f>
        <v>74288720.530000001</v>
      </c>
      <c r="S20" s="134">
        <f>SUM(Tableau18[[#This Row],[SIEGE]:[AZDU]])</f>
        <v>107978586.62999998</v>
      </c>
      <c r="T20" s="35"/>
    </row>
    <row r="21" spans="1:20" s="32" customFormat="1" ht="30.75" customHeight="1" x14ac:dyDescent="0.35">
      <c r="A21" s="109">
        <v>65</v>
      </c>
      <c r="B21" s="81" t="s">
        <v>17</v>
      </c>
      <c r="C21" s="55">
        <f>+'SIEGE 2020'!C21+'KDU 2020'!C21+'SKDU 2020'!C21+'AZDU 2020'!C21</f>
        <v>560267.48</v>
      </c>
      <c r="D21" s="55">
        <f>+'SIEGE 2020'!D21+'KDU 2020'!D21+'SKDU 2020'!D21+'AZDU 2020'!D21</f>
        <v>135320</v>
      </c>
      <c r="E21" s="55">
        <f>+'SIEGE 2020'!E21+'KDU 2020'!E21+'SKDU 2020'!E21+'AZDU 2020'!E21</f>
        <v>234450.71</v>
      </c>
      <c r="F21" s="135">
        <f>SUM(Tableau132024[[#This Row],[janvier-20]:[mars-20]])</f>
        <v>930038.19</v>
      </c>
      <c r="G21" s="55">
        <f>+'SIEGE 2020'!F21+'KDU 2020'!F21+'SKDU 2020'!F21+'AZDU 2020'!F21</f>
        <v>136065.91</v>
      </c>
      <c r="H21" s="55">
        <f>+'SIEGE 2020'!G21+'KDU 2020'!G21+'SKDU 2020'!G21+'AZDU 2020'!G21</f>
        <v>362100.53</v>
      </c>
      <c r="I21" s="55">
        <f>+'SIEGE 2020'!H21+'KDU 2020'!H21+'SKDU 2020'!H21+'AZDU 2020'!H21</f>
        <v>570095.81000000006</v>
      </c>
      <c r="J21" s="135">
        <f>SUM(Tableau132024[[#This Row],[avril-20]:[juin-20]])</f>
        <v>1068262.25</v>
      </c>
      <c r="K21" s="55">
        <f>+'SIEGE 2020'!I21+'KDU 2020'!I21+'SKDU 2020'!I21+'AZDU 2020'!I21</f>
        <v>1294787.28</v>
      </c>
      <c r="L21" s="55">
        <f>+'SIEGE 2020'!J21+'KDU 2020'!J21+'SKDU 2020'!J21+'AZDU 2020'!J21</f>
        <v>5333507.4000000004</v>
      </c>
      <c r="M21" s="55">
        <f>+'SIEGE 2020'!K21+'KDU 2020'!K21+'SKDU 2020'!K21+'AZDU 2020'!K21</f>
        <v>8203.49</v>
      </c>
      <c r="N21" s="135">
        <f>SUM(Tableau132024[[#This Row],[juillet-20]:[septembre-20]])</f>
        <v>6636498.1700000009</v>
      </c>
      <c r="O21" s="55">
        <f>+'SIEGE 2020'!L21+'KDU 2020'!L21+'SKDU 2020'!L21+'AZDU 2020'!L21</f>
        <v>4451.18</v>
      </c>
      <c r="P21" s="55">
        <f>+'SIEGE 2020'!M21+'KDU 2020'!M21+'SKDU 2020'!M21+'AZDU 2020'!M21</f>
        <v>35035</v>
      </c>
      <c r="Q21" s="55">
        <f>+'SIEGE 2020'!N21+'KDU 2020'!N21+'SKDU 2020'!N21+'AZDU 2020'!N21</f>
        <v>4284454.6900000004</v>
      </c>
      <c r="R21" s="135">
        <f>+Tableau132024[[#This Row],[octobre-20]]+Tableau132024[[#This Row],[novembre-20]]+Tableau132024[[#This Row],[décembre-20]]</f>
        <v>4323940.87</v>
      </c>
      <c r="S21" s="135">
        <f>SUM(Tableau18[[#This Row],[SIEGE]:[AZDU]])</f>
        <v>12958739.48</v>
      </c>
    </row>
    <row r="22" spans="1:20" s="27" customFormat="1" ht="30.75" customHeight="1" x14ac:dyDescent="0.35">
      <c r="A22" s="109"/>
      <c r="B22" s="87" t="s">
        <v>18</v>
      </c>
      <c r="C22" s="71">
        <f>+'SIEGE 2020'!C22+'KDU 2020'!C22+'SKDU 2020'!C22+'AZDU 2020'!C22</f>
        <v>0</v>
      </c>
      <c r="D22" s="71">
        <f>+'SIEGE 2020'!D22+'KDU 2020'!D22+'SKDU 2020'!D22+'AZDU 2020'!D22</f>
        <v>0</v>
      </c>
      <c r="E22" s="71">
        <f>+'SIEGE 2020'!E22+'KDU 2020'!E22+'SKDU 2020'!E22+'AZDU 2020'!E22</f>
        <v>0</v>
      </c>
      <c r="F22" s="138">
        <f>SUM(Tableau132024[[#This Row],[janvier-20]:[mars-20]])</f>
        <v>0</v>
      </c>
      <c r="G22" s="71">
        <f>+'SIEGE 2020'!F22+'KDU 2020'!F22+'SKDU 2020'!F22+'AZDU 2020'!F22</f>
        <v>0</v>
      </c>
      <c r="H22" s="71">
        <f>+'SIEGE 2020'!G22+'KDU 2020'!G22+'SKDU 2020'!G22+'AZDU 2020'!G22</f>
        <v>0</v>
      </c>
      <c r="I22" s="71">
        <f>+'SIEGE 2020'!H22+'KDU 2020'!H22+'SKDU 2020'!H22+'AZDU 2020'!H22</f>
        <v>0</v>
      </c>
      <c r="J22" s="138">
        <f>SUM(Tableau132024[[#This Row],[avril-20]:[juin-20]])</f>
        <v>0</v>
      </c>
      <c r="K22" s="71">
        <f>+'SIEGE 2020'!I22+'KDU 2020'!I22+'SKDU 2020'!I22+'AZDU 2020'!I22</f>
        <v>0</v>
      </c>
      <c r="L22" s="71">
        <f>+'SIEGE 2020'!J22+'KDU 2020'!J22+'SKDU 2020'!J22+'AZDU 2020'!J22</f>
        <v>0</v>
      </c>
      <c r="M22" s="71">
        <f>+'SIEGE 2020'!K22+'KDU 2020'!K22+'SKDU 2020'!K22+'AZDU 2020'!K22</f>
        <v>0</v>
      </c>
      <c r="N22" s="138">
        <f>SUM(Tableau132024[[#This Row],[juillet-20]:[septembre-20]])</f>
        <v>0</v>
      </c>
      <c r="O22" s="71">
        <f>+'SIEGE 2020'!L22+'KDU 2020'!L22+'SKDU 2020'!L22+'AZDU 2020'!L22</f>
        <v>0</v>
      </c>
      <c r="P22" s="71">
        <f>+'SIEGE 2020'!M22+'KDU 2020'!M22+'SKDU 2020'!M22+'AZDU 2020'!M22</f>
        <v>0</v>
      </c>
      <c r="Q22" s="71">
        <f>+'SIEGE 2020'!N22+'KDU 2020'!N22+'SKDU 2020'!N22+'AZDU 2020'!N22</f>
        <v>0</v>
      </c>
      <c r="R22" s="138">
        <f>+Tableau132024[[#This Row],[octobre-20]]+Tableau132024[[#This Row],[novembre-20]]+Tableau132024[[#This Row],[décembre-20]]</f>
        <v>0</v>
      </c>
      <c r="S22" s="138">
        <f>SUM(Tableau18[[#This Row],[SIEGE]:[AZDU]])</f>
        <v>0</v>
      </c>
    </row>
    <row r="23" spans="1:20" s="27" customFormat="1" ht="30.75" customHeight="1" x14ac:dyDescent="0.35">
      <c r="A23" s="109"/>
      <c r="B23" s="87" t="s">
        <v>19</v>
      </c>
      <c r="C23" s="71">
        <f>+'SIEGE 2020'!C23+'KDU 2020'!C23+'SKDU 2020'!C23+'AZDU 2020'!C23</f>
        <v>0</v>
      </c>
      <c r="D23" s="71">
        <f>+'SIEGE 2020'!D23+'KDU 2020'!D23+'SKDU 2020'!D23+'AZDU 2020'!D23</f>
        <v>0</v>
      </c>
      <c r="E23" s="71">
        <f>+'SIEGE 2020'!E23+'KDU 2020'!E23+'SKDU 2020'!E23+'AZDU 2020'!E23</f>
        <v>0</v>
      </c>
      <c r="F23" s="138">
        <f>SUM(Tableau132024[[#This Row],[janvier-20]:[mars-20]])</f>
        <v>0</v>
      </c>
      <c r="G23" s="71">
        <f>+'SIEGE 2020'!F23+'KDU 2020'!F23+'SKDU 2020'!F23+'AZDU 2020'!F23</f>
        <v>0</v>
      </c>
      <c r="H23" s="71">
        <f>+'SIEGE 2020'!G23+'KDU 2020'!G23+'SKDU 2020'!G23+'AZDU 2020'!G23</f>
        <v>0</v>
      </c>
      <c r="I23" s="71">
        <f>+'SIEGE 2020'!H23+'KDU 2020'!H23+'SKDU 2020'!H23+'AZDU 2020'!H23</f>
        <v>0</v>
      </c>
      <c r="J23" s="138">
        <f>SUM(Tableau132024[[#This Row],[avril-20]:[juin-20]])</f>
        <v>0</v>
      </c>
      <c r="K23" s="71">
        <f>+'SIEGE 2020'!I23+'KDU 2020'!I23+'SKDU 2020'!I23+'AZDU 2020'!I23</f>
        <v>0</v>
      </c>
      <c r="L23" s="71">
        <f>+'SIEGE 2020'!J23+'KDU 2020'!J23+'SKDU 2020'!J23+'AZDU 2020'!J23</f>
        <v>0</v>
      </c>
      <c r="M23" s="71">
        <f>+'SIEGE 2020'!K23+'KDU 2020'!K23+'SKDU 2020'!K23+'AZDU 2020'!K23</f>
        <v>0</v>
      </c>
      <c r="N23" s="138">
        <f>SUM(Tableau132024[[#This Row],[juillet-20]:[septembre-20]])</f>
        <v>0</v>
      </c>
      <c r="O23" s="71">
        <f>+'SIEGE 2020'!L23+'KDU 2020'!L23+'SKDU 2020'!L23+'AZDU 2020'!L23</f>
        <v>0</v>
      </c>
      <c r="P23" s="71">
        <f>+'SIEGE 2020'!M23+'KDU 2020'!M23+'SKDU 2020'!M23+'AZDU 2020'!M23</f>
        <v>0</v>
      </c>
      <c r="Q23" s="71">
        <f>+'SIEGE 2020'!N23+'KDU 2020'!N23+'SKDU 2020'!N23+'AZDU 2020'!N23</f>
        <v>0</v>
      </c>
      <c r="R23" s="138">
        <f>+Tableau132024[[#This Row],[octobre-20]]+Tableau132024[[#This Row],[novembre-20]]+Tableau132024[[#This Row],[décembre-20]]</f>
        <v>0</v>
      </c>
      <c r="S23" s="138">
        <f>SUM(Tableau18[[#This Row],[SIEGE]:[AZDU]])</f>
        <v>0</v>
      </c>
    </row>
    <row r="24" spans="1:20" s="32" customFormat="1" ht="30.75" customHeight="1" x14ac:dyDescent="0.35">
      <c r="A24" s="109">
        <v>68</v>
      </c>
      <c r="B24" s="81" t="s">
        <v>20</v>
      </c>
      <c r="C24" s="55">
        <f>+'SIEGE 2020'!C24+'KDU 2020'!C24+'SKDU 2020'!C24+'AZDU 2020'!C24</f>
        <v>7548276.8600000003</v>
      </c>
      <c r="D24" s="55">
        <f>+'SIEGE 2020'!D24+'KDU 2020'!D24+'SKDU 2020'!D24+'AZDU 2020'!D24</f>
        <v>7621104.040000001</v>
      </c>
      <c r="E24" s="55">
        <f>+'SIEGE 2020'!E24+'KDU 2020'!E24+'SKDU 2020'!E24+'AZDU 2020'!E24</f>
        <v>7920123.5700000003</v>
      </c>
      <c r="F24" s="135">
        <f>SUM(Tableau132024[[#This Row],[janvier-20]:[mars-20]])</f>
        <v>23089504.470000003</v>
      </c>
      <c r="G24" s="55">
        <f>+'SIEGE 2020'!F24+'KDU 2020'!F24+'SKDU 2020'!F24+'AZDU 2020'!F24</f>
        <v>7958704.75</v>
      </c>
      <c r="H24" s="55">
        <f>+'SIEGE 2020'!G24+'KDU 2020'!G24+'SKDU 2020'!G24+'AZDU 2020'!G24</f>
        <v>8170645.1100000003</v>
      </c>
      <c r="I24" s="55">
        <f>+'SIEGE 2020'!H24+'KDU 2020'!H24+'SKDU 2020'!H24+'AZDU 2020'!H24</f>
        <v>8166580.1699999999</v>
      </c>
      <c r="J24" s="135">
        <f>SUM(Tableau132024[[#This Row],[avril-20]:[juin-20]])</f>
        <v>24295930.030000001</v>
      </c>
      <c r="K24" s="55">
        <f>+'SIEGE 2020'!I24+'KDU 2020'!I24+'SKDU 2020'!I24+'AZDU 2020'!I24</f>
        <v>8155462.6399999997</v>
      </c>
      <c r="L24" s="55">
        <f>+'SIEGE 2020'!J24+'KDU 2020'!J24+'SKDU 2020'!J24+'AZDU 2020'!J24</f>
        <v>8171665.0699999994</v>
      </c>
      <c r="M24" s="55">
        <f>+'SIEGE 2020'!K24+'KDU 2020'!K24+'SKDU 2020'!K24+'AZDU 2020'!K24</f>
        <v>8172649.0599999996</v>
      </c>
      <c r="N24" s="135">
        <f>SUM(Tableau132024[[#This Row],[juillet-20]:[septembre-20]])</f>
        <v>24499776.77</v>
      </c>
      <c r="O24" s="55">
        <f>+'SIEGE 2020'!L24+'KDU 2020'!L24+'SKDU 2020'!L24+'AZDU 2020'!L24</f>
        <v>8250817.4800000004</v>
      </c>
      <c r="P24" s="55">
        <f>+'SIEGE 2020'!M24+'KDU 2020'!M24+'SKDU 2020'!M24+'AZDU 2020'!M24</f>
        <v>8257813.5600000005</v>
      </c>
      <c r="Q24" s="55">
        <f>+'SIEGE 2020'!N24+'KDU 2020'!N24+'SKDU 2020'!N24+'AZDU 2020'!N24</f>
        <v>13641290.320000002</v>
      </c>
      <c r="R24" s="135">
        <f>+Tableau132024[[#This Row],[octobre-20]]+Tableau132024[[#This Row],[novembre-20]]+Tableau132024[[#This Row],[décembre-20]]</f>
        <v>30149921.360000003</v>
      </c>
      <c r="S24" s="135">
        <f>SUM(Tableau18[[#This Row],[SIEGE]:[AZDU]])</f>
        <v>102035132.63000001</v>
      </c>
    </row>
    <row r="25" spans="1:20" s="32" customFormat="1" ht="30.75" customHeight="1" thickBot="1" x14ac:dyDescent="0.4">
      <c r="A25" s="106">
        <v>78</v>
      </c>
      <c r="B25" s="82" t="s">
        <v>21</v>
      </c>
      <c r="C25" s="59">
        <f>+'SIEGE 2020'!C25+'KDU 2020'!C25+'SKDU 2020'!C25+'AZDU 2020'!C25</f>
        <v>0</v>
      </c>
      <c r="D25" s="59">
        <f>+'SIEGE 2020'!D25+'KDU 2020'!D25+'SKDU 2020'!D25+'AZDU 2020'!D25</f>
        <v>0</v>
      </c>
      <c r="E25" s="59">
        <f>+'SIEGE 2020'!E25+'KDU 2020'!E25+'SKDU 2020'!E25+'AZDU 2020'!E25</f>
        <v>0</v>
      </c>
      <c r="F25" s="136">
        <f>SUM(Tableau132024[[#This Row],[janvier-20]:[mars-20]])</f>
        <v>0</v>
      </c>
      <c r="G25" s="59">
        <f>+'SIEGE 2020'!F25+'KDU 2020'!F25+'SKDU 2020'!F25+'AZDU 2020'!F25</f>
        <v>0</v>
      </c>
      <c r="H25" s="59">
        <f>+'SIEGE 2020'!G25+'KDU 2020'!G25+'SKDU 2020'!G25+'AZDU 2020'!G25</f>
        <v>0</v>
      </c>
      <c r="I25" s="59">
        <f>+'SIEGE 2020'!H25+'KDU 2020'!H25+'SKDU 2020'!H25+'AZDU 2020'!H25</f>
        <v>0</v>
      </c>
      <c r="J25" s="136">
        <f>SUM(Tableau132024[[#This Row],[avril-20]:[juin-20]])</f>
        <v>0</v>
      </c>
      <c r="K25" s="59">
        <f>+'SIEGE 2020'!I25+'KDU 2020'!I25+'SKDU 2020'!I25+'AZDU 2020'!I25</f>
        <v>0</v>
      </c>
      <c r="L25" s="59">
        <f>+'SIEGE 2020'!J25+'KDU 2020'!J25+'SKDU 2020'!J25+'AZDU 2020'!J25</f>
        <v>854700.85</v>
      </c>
      <c r="M25" s="59">
        <f>+'SIEGE 2020'!K25+'KDU 2020'!K25+'SKDU 2020'!K25+'AZDU 2020'!K25</f>
        <v>0</v>
      </c>
      <c r="N25" s="136">
        <f>SUM(Tableau132024[[#This Row],[juillet-20]:[septembre-20]])</f>
        <v>854700.85</v>
      </c>
      <c r="O25" s="59">
        <f>+'SIEGE 2020'!L25+'KDU 2020'!L25+'SKDU 2020'!L25+'AZDU 2020'!L25</f>
        <v>0</v>
      </c>
      <c r="P25" s="59">
        <f>+'SIEGE 2020'!M25+'KDU 2020'!M25+'SKDU 2020'!M25+'AZDU 2020'!M25</f>
        <v>0</v>
      </c>
      <c r="Q25" s="59">
        <f>+'SIEGE 2020'!N25+'KDU 2020'!N25+'SKDU 2020'!N25+'AZDU 2020'!N25</f>
        <v>198958543.19</v>
      </c>
      <c r="R25" s="136">
        <f>+Tableau132024[[#This Row],[octobre-20]]+Tableau132024[[#This Row],[novembre-20]]+Tableau132024[[#This Row],[décembre-20]]</f>
        <v>198958543.19</v>
      </c>
      <c r="S25" s="136">
        <f>SUM(Tableau18[[#This Row],[SIEGE]:[AZDU]])</f>
        <v>199813244.03999999</v>
      </c>
    </row>
    <row r="26" spans="1:20" s="27" customFormat="1" ht="30.75" customHeight="1" thickBot="1" x14ac:dyDescent="0.4">
      <c r="A26" s="107" t="s">
        <v>22</v>
      </c>
      <c r="B26" s="85" t="s">
        <v>23</v>
      </c>
      <c r="C26" s="62">
        <f>+'SIEGE 2020'!C26+'KDU 2020'!C26+'SKDU 2020'!C26+'AZDU 2020'!C26</f>
        <v>-51574819.450000018</v>
      </c>
      <c r="D26" s="62">
        <f>+'SIEGE 2020'!D26+'KDU 2020'!D26+'SKDU 2020'!D26+'AZDU 2020'!D26</f>
        <v>-35436579.439999998</v>
      </c>
      <c r="E26" s="62">
        <f>+'SIEGE 2020'!E26+'KDU 2020'!E26+'SKDU 2020'!E26+'AZDU 2020'!E26</f>
        <v>-38394864.470000014</v>
      </c>
      <c r="F26" s="62">
        <f>SUM(Tableau132024[[#This Row],[janvier-20]:[mars-20]])</f>
        <v>-125406263.36000003</v>
      </c>
      <c r="G26" s="62">
        <f>+'SIEGE 2020'!F26+'KDU 2020'!F26+'SKDU 2020'!F26+'AZDU 2020'!F26</f>
        <v>-55725653.450000003</v>
      </c>
      <c r="H26" s="62">
        <f>+'SIEGE 2020'!G26+'KDU 2020'!G26+'SKDU 2020'!G26+'AZDU 2020'!G26</f>
        <v>-3156454.2200000137</v>
      </c>
      <c r="I26" s="62">
        <f>+'SIEGE 2020'!H26+'KDU 2020'!H26+'SKDU 2020'!H26+'AZDU 2020'!H26</f>
        <v>-13928204.84999999</v>
      </c>
      <c r="J26" s="62">
        <f>SUM(Tableau132024[[#This Row],[avril-20]:[juin-20]])</f>
        <v>-72810312.520000011</v>
      </c>
      <c r="K26" s="62">
        <f>+'SIEGE 2020'!I26+'KDU 2020'!I26+'SKDU 2020'!I26+'AZDU 2020'!I26</f>
        <v>-65062990.829999983</v>
      </c>
      <c r="L26" s="62">
        <f>+'SIEGE 2020'!J26+'KDU 2020'!J26+'SKDU 2020'!J26+'AZDU 2020'!J26</f>
        <v>-57571711.859999992</v>
      </c>
      <c r="M26" s="62">
        <f>+'SIEGE 2020'!K26+'KDU 2020'!K26+'SKDU 2020'!K26+'AZDU 2020'!K26</f>
        <v>-26490374.719999995</v>
      </c>
      <c r="N26" s="62">
        <f>SUM(Tableau132024[[#This Row],[juillet-20]:[septembre-20]])</f>
        <v>-149125077.40999997</v>
      </c>
      <c r="O26" s="62">
        <f>+'SIEGE 2020'!L26+'KDU 2020'!L26+'SKDU 2020'!L26+'AZDU 2020'!L26</f>
        <v>-43817128.319999963</v>
      </c>
      <c r="P26" s="62">
        <f>+'SIEGE 2020'!M26+'KDU 2020'!M26+'SKDU 2020'!M26+'AZDU 2020'!M26</f>
        <v>-27255689.850000001</v>
      </c>
      <c r="Q26" s="62">
        <f>+'SIEGE 2020'!N26+'KDU 2020'!N26+'SKDU 2020'!N26+'AZDU 2020'!N26</f>
        <v>307623939.60000002</v>
      </c>
      <c r="R26" s="62">
        <f>+Tableau132024[[#This Row],[octobre-20]]+Tableau132024[[#This Row],[novembre-20]]+Tableau132024[[#This Row],[décembre-20]]</f>
        <v>236551121.43000007</v>
      </c>
      <c r="S26" s="62">
        <f>SUM(Tableau18[[#This Row],[SIEGE]:[AZDU]])</f>
        <v>-110790531.86000007</v>
      </c>
    </row>
    <row r="27" spans="1:20" s="32" customFormat="1" ht="30.75" customHeight="1" x14ac:dyDescent="0.35">
      <c r="A27" s="105">
        <v>76</v>
      </c>
      <c r="B27" s="84" t="s">
        <v>24</v>
      </c>
      <c r="C27" s="52">
        <f>+'SIEGE 2020'!C27+'KDU 2020'!C27+'SKDU 2020'!C27+'AZDU 2020'!C27</f>
        <v>105137.29</v>
      </c>
      <c r="D27" s="52">
        <f>+'SIEGE 2020'!D27+'KDU 2020'!D27+'SKDU 2020'!D27+'AZDU 2020'!D27</f>
        <v>12624.66</v>
      </c>
      <c r="E27" s="52">
        <f>+'SIEGE 2020'!E27+'KDU 2020'!E27+'SKDU 2020'!E27+'AZDU 2020'!E27</f>
        <v>33333.01</v>
      </c>
      <c r="F27" s="134">
        <f>SUM(Tableau132024[[#This Row],[janvier-20]:[mars-20]])</f>
        <v>151094.96</v>
      </c>
      <c r="G27" s="52">
        <f>+'SIEGE 2020'!F27+'KDU 2020'!F27+'SKDU 2020'!F27+'AZDU 2020'!F27</f>
        <v>161789942.91</v>
      </c>
      <c r="H27" s="52">
        <f>+'SIEGE 2020'!G27+'KDU 2020'!G27+'SKDU 2020'!G27+'AZDU 2020'!G27</f>
        <v>112866.48</v>
      </c>
      <c r="I27" s="52">
        <f>+'SIEGE 2020'!H27+'KDU 2020'!H27+'SKDU 2020'!H27+'AZDU 2020'!H27</f>
        <v>12572288.75</v>
      </c>
      <c r="J27" s="134">
        <f>SUM(Tableau132024[[#This Row],[avril-20]:[juin-20]])</f>
        <v>174475098.13999999</v>
      </c>
      <c r="K27" s="52">
        <f>+'SIEGE 2020'!I27+'KDU 2020'!I27+'SKDU 2020'!I27+'AZDU 2020'!I27</f>
        <v>279551.73</v>
      </c>
      <c r="L27" s="52">
        <f>+'SIEGE 2020'!J27+'KDU 2020'!J27+'SKDU 2020'!J27+'AZDU 2020'!J27</f>
        <v>209852.56</v>
      </c>
      <c r="M27" s="52">
        <f>+'SIEGE 2020'!K27+'KDU 2020'!K27+'SKDU 2020'!K27+'AZDU 2020'!K27</f>
        <v>-10622672.49</v>
      </c>
      <c r="N27" s="134">
        <f>SUM(Tableau132024[[#This Row],[juillet-20]:[septembre-20]])</f>
        <v>-10133268.200000001</v>
      </c>
      <c r="O27" s="52">
        <f>+'SIEGE 2020'!L27+'KDU 2020'!L27+'SKDU 2020'!L27+'AZDU 2020'!L27</f>
        <v>42632.75</v>
      </c>
      <c r="P27" s="52">
        <f>+'SIEGE 2020'!M27+'KDU 2020'!M27+'SKDU 2020'!M27+'AZDU 2020'!M27</f>
        <v>277278.74</v>
      </c>
      <c r="Q27" s="52">
        <f>+'SIEGE 2020'!N27+'KDU 2020'!N27+'SKDU 2020'!N27+'AZDU 2020'!N27</f>
        <v>13072115.75</v>
      </c>
      <c r="R27" s="134">
        <f>+Tableau132024[[#This Row],[octobre-20]]+Tableau132024[[#This Row],[novembre-20]]+Tableau132024[[#This Row],[décembre-20]]</f>
        <v>13392027.24</v>
      </c>
      <c r="S27" s="134">
        <f>SUM(Tableau18[[#This Row],[SIEGE]:[AZDU]])</f>
        <v>177884952.14000002</v>
      </c>
    </row>
    <row r="28" spans="1:20" s="32" customFormat="1" ht="30.75" customHeight="1" thickBot="1" x14ac:dyDescent="0.4">
      <c r="A28" s="106">
        <v>66</v>
      </c>
      <c r="B28" s="82" t="s">
        <v>25</v>
      </c>
      <c r="C28" s="59">
        <f>+'SIEGE 2020'!C28+'KDU 2020'!C28+'SKDU 2020'!C28+'AZDU 2020'!C28</f>
        <v>162173.32999999999</v>
      </c>
      <c r="D28" s="59">
        <f>+'SIEGE 2020'!D28+'KDU 2020'!D28+'SKDU 2020'!D28+'AZDU 2020'!D28</f>
        <v>0</v>
      </c>
      <c r="E28" s="59">
        <f>+'SIEGE 2020'!E28+'KDU 2020'!E28+'SKDU 2020'!E28+'AZDU 2020'!E28</f>
        <v>0</v>
      </c>
      <c r="F28" s="136">
        <f>SUM(Tableau132024[[#This Row],[janvier-20]:[mars-20]])</f>
        <v>162173.32999999999</v>
      </c>
      <c r="G28" s="59">
        <f>+'SIEGE 2020'!F28+'KDU 2020'!F28+'SKDU 2020'!F28+'AZDU 2020'!F28</f>
        <v>37119.15</v>
      </c>
      <c r="H28" s="59">
        <f>+'SIEGE 2020'!G28+'KDU 2020'!G28+'SKDU 2020'!G28+'AZDU 2020'!G28</f>
        <v>310127.67</v>
      </c>
      <c r="I28" s="59">
        <f>+'SIEGE 2020'!H28+'KDU 2020'!H28+'SKDU 2020'!H28+'AZDU 2020'!H28</f>
        <v>58106368.350000001</v>
      </c>
      <c r="J28" s="136">
        <f>SUM(Tableau132024[[#This Row],[avril-20]:[juin-20]])</f>
        <v>58453615.170000002</v>
      </c>
      <c r="K28" s="59">
        <f>+'SIEGE 2020'!I28+'KDU 2020'!I28+'SKDU 2020'!I28+'AZDU 2020'!I28</f>
        <v>218401.17</v>
      </c>
      <c r="L28" s="59">
        <f>+'SIEGE 2020'!J28+'KDU 2020'!J28+'SKDU 2020'!J28+'AZDU 2020'!J28</f>
        <v>309596.71000000002</v>
      </c>
      <c r="M28" s="59">
        <f>+'SIEGE 2020'!K28+'KDU 2020'!K28+'SKDU 2020'!K28+'AZDU 2020'!K28</f>
        <v>104340.67</v>
      </c>
      <c r="N28" s="136">
        <f>SUM(Tableau132024[[#This Row],[juillet-20]:[septembre-20]])</f>
        <v>632338.55000000005</v>
      </c>
      <c r="O28" s="59">
        <f>+'SIEGE 2020'!L28+'KDU 2020'!L28+'SKDU 2020'!L28+'AZDU 2020'!L28</f>
        <v>20690.27</v>
      </c>
      <c r="P28" s="59">
        <f>+'SIEGE 2020'!M28+'KDU 2020'!M28+'SKDU 2020'!M28+'AZDU 2020'!M28</f>
        <v>266444.57</v>
      </c>
      <c r="Q28" s="59">
        <f>+'SIEGE 2020'!N28+'KDU 2020'!N28+'SKDU 2020'!N28+'AZDU 2020'!N28</f>
        <v>-54034152.710000001</v>
      </c>
      <c r="R28" s="136">
        <f>+Tableau132024[[#This Row],[octobre-20]]+Tableau132024[[#This Row],[novembre-20]]+Tableau132024[[#This Row],[décembre-20]]</f>
        <v>-53747017.869999997</v>
      </c>
      <c r="S28" s="136">
        <f>SUM(Tableau18[[#This Row],[SIEGE]:[AZDU]])</f>
        <v>5501109.1799999997</v>
      </c>
    </row>
    <row r="29" spans="1:20" s="27" customFormat="1" ht="30.75" customHeight="1" thickBot="1" x14ac:dyDescent="0.4">
      <c r="A29" s="107" t="s">
        <v>26</v>
      </c>
      <c r="B29" s="85" t="s">
        <v>27</v>
      </c>
      <c r="C29" s="62">
        <f>+'SIEGE 2020'!C29+'KDU 2020'!C29+'SKDU 2020'!C29+'AZDU 2020'!C29</f>
        <v>-57036.039999999994</v>
      </c>
      <c r="D29" s="62">
        <f>+'SIEGE 2020'!D29+'KDU 2020'!D29+'SKDU 2020'!D29+'AZDU 2020'!D29</f>
        <v>12624.66</v>
      </c>
      <c r="E29" s="62">
        <f>+'SIEGE 2020'!E29+'KDU 2020'!E29+'SKDU 2020'!E29+'AZDU 2020'!E29</f>
        <v>33333.01</v>
      </c>
      <c r="F29" s="62">
        <f>SUM(Tableau132024[[#This Row],[janvier-20]:[mars-20]])</f>
        <v>-11078.369999999988</v>
      </c>
      <c r="G29" s="62">
        <f>+'SIEGE 2020'!F29+'KDU 2020'!F29+'SKDU 2020'!F29+'AZDU 2020'!F29</f>
        <v>161752823.75999999</v>
      </c>
      <c r="H29" s="62">
        <f>+'SIEGE 2020'!G29+'KDU 2020'!G29+'SKDU 2020'!G29+'AZDU 2020'!G29</f>
        <v>-197261.19</v>
      </c>
      <c r="I29" s="62">
        <f>+'SIEGE 2020'!H29+'KDU 2020'!H29+'SKDU 2020'!H29+'AZDU 2020'!H29</f>
        <v>-45534079.600000001</v>
      </c>
      <c r="J29" s="62">
        <f>SUM(Tableau132024[[#This Row],[avril-20]:[juin-20]])</f>
        <v>116021482.97</v>
      </c>
      <c r="K29" s="62">
        <f>+'SIEGE 2020'!I29+'KDU 2020'!I29+'SKDU 2020'!I29+'AZDU 2020'!I29</f>
        <v>61150.559999999969</v>
      </c>
      <c r="L29" s="62">
        <f>+'SIEGE 2020'!J29+'KDU 2020'!J29+'SKDU 2020'!J29+'AZDU 2020'!J29</f>
        <v>-99744.150000000023</v>
      </c>
      <c r="M29" s="62">
        <f>+'SIEGE 2020'!K29+'KDU 2020'!K29+'SKDU 2020'!K29+'AZDU 2020'!K29</f>
        <v>-10727013.16</v>
      </c>
      <c r="N29" s="62">
        <f>SUM(Tableau132024[[#This Row],[juillet-20]:[septembre-20]])</f>
        <v>-10765606.75</v>
      </c>
      <c r="O29" s="62">
        <f>+'SIEGE 2020'!L29+'KDU 2020'!L29+'SKDU 2020'!L29+'AZDU 2020'!L29</f>
        <v>21942.48</v>
      </c>
      <c r="P29" s="62">
        <f>+'SIEGE 2020'!M29+'KDU 2020'!M29+'SKDU 2020'!M29+'AZDU 2020'!M29</f>
        <v>10834.169999999984</v>
      </c>
      <c r="Q29" s="62">
        <f>+'SIEGE 2020'!N29+'KDU 2020'!N29+'SKDU 2020'!N29+'AZDU 2020'!N29</f>
        <v>67106268.460000001</v>
      </c>
      <c r="R29" s="62">
        <f>+Tableau132024[[#This Row],[octobre-20]]+Tableau132024[[#This Row],[novembre-20]]+Tableau132024[[#This Row],[décembre-20]]</f>
        <v>67139045.109999999</v>
      </c>
      <c r="S29" s="62">
        <f>SUM(Tableau18[[#This Row],[SIEGE]:[AZDU]])</f>
        <v>172383842.96000001</v>
      </c>
    </row>
    <row r="30" spans="1:20" s="27" customFormat="1" ht="30.75" customHeight="1" thickBot="1" x14ac:dyDescent="0.4">
      <c r="A30" s="107" t="s">
        <v>28</v>
      </c>
      <c r="B30" s="85" t="s">
        <v>29</v>
      </c>
      <c r="C30" s="62">
        <f>+'SIEGE 2020'!C30+'KDU 2020'!C30+'SKDU 2020'!C30+'AZDU 2020'!C30</f>
        <v>-51631855.49000001</v>
      </c>
      <c r="D30" s="62">
        <f>+'SIEGE 2020'!D30+'KDU 2020'!D30+'SKDU 2020'!D30+'AZDU 2020'!D30</f>
        <v>-35423954.780000001</v>
      </c>
      <c r="E30" s="62">
        <f>+'SIEGE 2020'!E30+'KDU 2020'!E30+'SKDU 2020'!E30+'AZDU 2020'!E30</f>
        <v>-38361531.460000008</v>
      </c>
      <c r="F30" s="62">
        <f>SUM(Tableau132024[[#This Row],[janvier-20]:[mars-20]])</f>
        <v>-125417341.73000002</v>
      </c>
      <c r="G30" s="62">
        <f>+'SIEGE 2020'!F30+'KDU 2020'!F30+'SKDU 2020'!F30+'AZDU 2020'!F30</f>
        <v>106027170.30999999</v>
      </c>
      <c r="H30" s="62">
        <f>+'SIEGE 2020'!G30+'KDU 2020'!G30+'SKDU 2020'!G30+'AZDU 2020'!G30</f>
        <v>-3353715.4100000132</v>
      </c>
      <c r="I30" s="62">
        <f>+'SIEGE 2020'!H30+'KDU 2020'!H30+'SKDU 2020'!H30+'AZDU 2020'!H30</f>
        <v>-59462284.449999981</v>
      </c>
      <c r="J30" s="62">
        <f>SUM(Tableau132024[[#This Row],[avril-20]:[juin-20]])</f>
        <v>43211170.449999996</v>
      </c>
      <c r="K30" s="62">
        <f>+'SIEGE 2020'!I30+'KDU 2020'!I30+'SKDU 2020'!I30+'AZDU 2020'!I30</f>
        <v>-65001840.269999996</v>
      </c>
      <c r="L30" s="62">
        <f>+'SIEGE 2020'!J30+'KDU 2020'!J30+'SKDU 2020'!J30+'AZDU 2020'!J30</f>
        <v>-57671456.009999998</v>
      </c>
      <c r="M30" s="62">
        <f>+'SIEGE 2020'!K30+'KDU 2020'!K30+'SKDU 2020'!K30+'AZDU 2020'!K30</f>
        <v>-37217387.879999995</v>
      </c>
      <c r="N30" s="62">
        <f>SUM(Tableau132024[[#This Row],[juillet-20]:[septembre-20]])</f>
        <v>-159890684.16</v>
      </c>
      <c r="O30" s="62">
        <f>+'SIEGE 2020'!L30+'KDU 2020'!L30+'SKDU 2020'!L30+'AZDU 2020'!L30</f>
        <v>-43795185.839999959</v>
      </c>
      <c r="P30" s="62">
        <f>+'SIEGE 2020'!M30+'KDU 2020'!M30+'SKDU 2020'!M30+'AZDU 2020'!M30</f>
        <v>-27244855.68</v>
      </c>
      <c r="Q30" s="62">
        <f>+'SIEGE 2020'!N30+'KDU 2020'!N30+'SKDU 2020'!N30+'AZDU 2020'!N30</f>
        <v>374730208.06000006</v>
      </c>
      <c r="R30" s="62">
        <f>+Tableau132024[[#This Row],[octobre-20]]+Tableau132024[[#This Row],[novembre-20]]+Tableau132024[[#This Row],[décembre-20]]</f>
        <v>303690166.54000008</v>
      </c>
      <c r="S30" s="62">
        <f>SUM(Tableau18[[#This Row],[SIEGE]:[AZDU]])</f>
        <v>61593311.099999949</v>
      </c>
    </row>
    <row r="31" spans="1:20" s="32" customFormat="1" ht="30.75" customHeight="1" x14ac:dyDescent="0.35">
      <c r="A31" s="105" t="s">
        <v>30</v>
      </c>
      <c r="B31" s="84" t="s">
        <v>31</v>
      </c>
      <c r="C31" s="52">
        <f>+'SIEGE 2020'!C31+'KDU 2020'!C31+'SKDU 2020'!C31+'AZDU 2020'!C31</f>
        <v>0</v>
      </c>
      <c r="D31" s="52">
        <f>+'SIEGE 2020'!D31+'KDU 2020'!D31+'SKDU 2020'!D31+'AZDU 2020'!D31</f>
        <v>0</v>
      </c>
      <c r="E31" s="52">
        <f>+'SIEGE 2020'!E31+'KDU 2020'!E31+'SKDU 2020'!E31+'AZDU 2020'!E31</f>
        <v>0</v>
      </c>
      <c r="F31" s="134">
        <f>SUM(Tableau132024[[#This Row],[janvier-20]:[mars-20]])</f>
        <v>0</v>
      </c>
      <c r="G31" s="52">
        <f>+'SIEGE 2020'!F31+'KDU 2020'!F31+'SKDU 2020'!F31+'AZDU 2020'!F31</f>
        <v>0</v>
      </c>
      <c r="H31" s="52">
        <f>+'SIEGE 2020'!G31+'KDU 2020'!G31+'SKDU 2020'!G31+'AZDU 2020'!G31</f>
        <v>0</v>
      </c>
      <c r="I31" s="52">
        <f>+'SIEGE 2020'!H31+'KDU 2020'!H31+'SKDU 2020'!H31+'AZDU 2020'!H31</f>
        <v>10000</v>
      </c>
      <c r="J31" s="134">
        <f>SUM(Tableau132024[[#This Row],[avril-20]:[juin-20]])</f>
        <v>10000</v>
      </c>
      <c r="K31" s="52">
        <f>+'SIEGE 2020'!I31+'KDU 2020'!I31+'SKDU 2020'!I31+'AZDU 2020'!I31</f>
        <v>0</v>
      </c>
      <c r="L31" s="52">
        <f>+'SIEGE 2020'!J31+'KDU 2020'!J31+'SKDU 2020'!J31+'AZDU 2020'!J31</f>
        <v>0</v>
      </c>
      <c r="M31" s="52">
        <f>+'SIEGE 2020'!K31+'KDU 2020'!K31+'SKDU 2020'!K31+'AZDU 2020'!K31</f>
        <v>0</v>
      </c>
      <c r="N31" s="134">
        <f>SUM(Tableau132024[[#This Row],[juillet-20]:[septembre-20]])</f>
        <v>0</v>
      </c>
      <c r="O31" s="52">
        <f>+'SIEGE 2020'!L31+'KDU 2020'!L31+'SKDU 2020'!L31+'AZDU 2020'!L31</f>
        <v>0</v>
      </c>
      <c r="P31" s="52">
        <f>+'SIEGE 2020'!M31+'KDU 2020'!M31+'SKDU 2020'!M31+'AZDU 2020'!M31</f>
        <v>0</v>
      </c>
      <c r="Q31" s="52">
        <f>+'SIEGE 2020'!N31+'KDU 2020'!N31+'SKDU 2020'!N31+'AZDU 2020'!N31</f>
        <v>0</v>
      </c>
      <c r="R31" s="134">
        <f>+Tableau132024[[#This Row],[octobre-20]]+Tableau132024[[#This Row],[novembre-20]]+Tableau132024[[#This Row],[décembre-20]]</f>
        <v>0</v>
      </c>
      <c r="S31" s="134">
        <f>SUM(Tableau18[[#This Row],[SIEGE]:[AZDU]])</f>
        <v>10000</v>
      </c>
    </row>
    <row r="32" spans="1:20" s="32" customFormat="1" ht="30.75" customHeight="1" x14ac:dyDescent="0.35">
      <c r="A32" s="109" t="s">
        <v>32</v>
      </c>
      <c r="B32" s="81" t="s">
        <v>33</v>
      </c>
      <c r="C32" s="55">
        <f>+'SIEGE 2020'!C32+'KDU 2020'!C32+'SKDU 2020'!C32+'AZDU 2020'!C32</f>
        <v>0</v>
      </c>
      <c r="D32" s="55">
        <f>+'SIEGE 2020'!D32+'KDU 2020'!D32+'SKDU 2020'!D32+'AZDU 2020'!D32</f>
        <v>0</v>
      </c>
      <c r="E32" s="55">
        <f>+'SIEGE 2020'!E32+'KDU 2020'!E32+'SKDU 2020'!E32+'AZDU 2020'!E32</f>
        <v>0</v>
      </c>
      <c r="F32" s="135">
        <f>SUM(Tableau132024[[#This Row],[janvier-20]:[mars-20]])</f>
        <v>0</v>
      </c>
      <c r="G32" s="55">
        <f>+'SIEGE 2020'!F32+'KDU 2020'!F32+'SKDU 2020'!F32+'AZDU 2020'!F32</f>
        <v>0</v>
      </c>
      <c r="H32" s="55">
        <f>+'SIEGE 2020'!G32+'KDU 2020'!G32+'SKDU 2020'!G32+'AZDU 2020'!G32</f>
        <v>0</v>
      </c>
      <c r="I32" s="55">
        <f>+'SIEGE 2020'!H32+'KDU 2020'!H32+'SKDU 2020'!H32+'AZDU 2020'!H32</f>
        <v>0</v>
      </c>
      <c r="J32" s="135">
        <f>SUM(Tableau132024[[#This Row],[avril-20]:[juin-20]])</f>
        <v>0</v>
      </c>
      <c r="K32" s="55">
        <f>+'SIEGE 2020'!I32+'KDU 2020'!I32+'SKDU 2020'!I32+'AZDU 2020'!I32</f>
        <v>0</v>
      </c>
      <c r="L32" s="55">
        <f>+'SIEGE 2020'!J32+'KDU 2020'!J32+'SKDU 2020'!J32+'AZDU 2020'!J32</f>
        <v>0</v>
      </c>
      <c r="M32" s="55">
        <f>+'SIEGE 2020'!K32+'KDU 2020'!K32+'SKDU 2020'!K32+'AZDU 2020'!K32</f>
        <v>0</v>
      </c>
      <c r="N32" s="135">
        <f>SUM(Tableau132024[[#This Row],[juillet-20]:[septembre-20]])</f>
        <v>0</v>
      </c>
      <c r="O32" s="55">
        <f>+'SIEGE 2020'!L32+'KDU 2020'!L32+'SKDU 2020'!L32+'AZDU 2020'!L32</f>
        <v>0</v>
      </c>
      <c r="P32" s="55">
        <f>+'SIEGE 2020'!M32+'KDU 2020'!M32+'SKDU 2020'!M32+'AZDU 2020'!M32</f>
        <v>0</v>
      </c>
      <c r="Q32" s="55">
        <f>+'SIEGE 2020'!N32+'KDU 2020'!N32+'SKDU 2020'!N32+'AZDU 2020'!N32</f>
        <v>-42074848.149999999</v>
      </c>
      <c r="R32" s="135">
        <f>+Tableau132024[[#This Row],[octobre-20]]+Tableau132024[[#This Row],[novembre-20]]+Tableau132024[[#This Row],[décembre-20]]</f>
        <v>-42074848.149999999</v>
      </c>
      <c r="S32" s="135">
        <f>SUM(Tableau18[[#This Row],[SIEGE]:[AZDU]])</f>
        <v>-42074848.149999999</v>
      </c>
    </row>
    <row r="33" spans="1:19" s="37" customFormat="1" ht="30.75" customHeight="1" x14ac:dyDescent="0.35">
      <c r="A33" s="110"/>
      <c r="B33" s="88" t="s">
        <v>45</v>
      </c>
      <c r="C33" s="75">
        <f>+'SIEGE 2020'!C33+'KDU 2020'!C33+'SKDU 2020'!C33+'AZDU 2020'!C33</f>
        <v>121131781.67999999</v>
      </c>
      <c r="D33" s="75">
        <f>+'SIEGE 2020'!D33+'KDU 2020'!D33+'SKDU 2020'!D33+'AZDU 2020'!D33</f>
        <v>132921586.84999999</v>
      </c>
      <c r="E33" s="75">
        <f>+'SIEGE 2020'!E33+'KDU 2020'!E33+'SKDU 2020'!E33+'AZDU 2020'!E33</f>
        <v>130946527.31999999</v>
      </c>
      <c r="F33" s="139">
        <f>SUM(Tableau132024[[#This Row],[janvier-20]:[mars-20]])</f>
        <v>384999895.84999996</v>
      </c>
      <c r="G33" s="75">
        <f>+'SIEGE 2020'!F33+'KDU 2020'!F33+'SKDU 2020'!F33+'AZDU 2020'!F33</f>
        <v>233846981.88</v>
      </c>
      <c r="H33" s="75">
        <f>+'SIEGE 2020'!G33+'KDU 2020'!G33+'SKDU 2020'!G33+'AZDU 2020'!G33</f>
        <v>132267883.75999999</v>
      </c>
      <c r="I33" s="75">
        <f>+'SIEGE 2020'!H33+'KDU 2020'!H33+'SKDU 2020'!H33+'AZDU 2020'!H33</f>
        <v>216791286.81999999</v>
      </c>
      <c r="J33" s="139">
        <f>SUM(Tableau132024[[#This Row],[avril-20]:[juin-20]])</f>
        <v>582906152.46000004</v>
      </c>
      <c r="K33" s="75">
        <f>+'SIEGE 2020'!I33+'KDU 2020'!I33+'SKDU 2020'!I33+'AZDU 2020'!I33</f>
        <v>110472050.38000001</v>
      </c>
      <c r="L33" s="75">
        <f>+'SIEGE 2020'!J33+'KDU 2020'!J33+'SKDU 2020'!J33+'AZDU 2020'!J33</f>
        <v>152272550.09</v>
      </c>
      <c r="M33" s="75">
        <f>+'SIEGE 2020'!K33+'KDU 2020'!K33+'SKDU 2020'!K33+'AZDU 2020'!K33</f>
        <v>181078135.11000001</v>
      </c>
      <c r="N33" s="139">
        <f>SUM(Tableau132024[[#This Row],[juillet-20]:[septembre-20]])</f>
        <v>443822735.58000004</v>
      </c>
      <c r="O33" s="75">
        <f>+'SIEGE 2020'!L33+'KDU 2020'!L33+'SKDU 2020'!L33+'AZDU 2020'!L33</f>
        <v>216290754.81999999</v>
      </c>
      <c r="P33" s="75">
        <f>+'SIEGE 2020'!M33+'KDU 2020'!M33+'SKDU 2020'!M33+'AZDU 2020'!M33</f>
        <v>196607129.95999998</v>
      </c>
      <c r="Q33" s="75">
        <f>+'SIEGE 2020'!N33+'KDU 2020'!N33+'SKDU 2020'!N33+'AZDU 2020'!N33</f>
        <v>668218737.0200001</v>
      </c>
      <c r="R33" s="139">
        <f>+Tableau132024[[#This Row],[octobre-20]]+Tableau132024[[#This Row],[novembre-20]]+Tableau132024[[#This Row],[décembre-20]]</f>
        <v>1081116621.8000002</v>
      </c>
      <c r="S33" s="139">
        <f>SUM(Tableau18[[#This Row],[SIEGE]:[AZDU]])</f>
        <v>2492845405.6900001</v>
      </c>
    </row>
    <row r="34" spans="1:19" s="37" customFormat="1" ht="30.75" customHeight="1" thickBot="1" x14ac:dyDescent="0.4">
      <c r="A34" s="111"/>
      <c r="B34" s="89" t="s">
        <v>46</v>
      </c>
      <c r="C34" s="77">
        <f>+'SIEGE 2020'!C34+'KDU 2020'!C34+'SKDU 2020'!C34+'AZDU 2020'!C34</f>
        <v>172763637.16999999</v>
      </c>
      <c r="D34" s="77">
        <f>+'SIEGE 2020'!D34+'KDU 2020'!D34+'SKDU 2020'!D34+'AZDU 2020'!D34</f>
        <v>168345541.63000003</v>
      </c>
      <c r="E34" s="77">
        <f>+'SIEGE 2020'!E34+'KDU 2020'!E34+'SKDU 2020'!E34+'AZDU 2020'!E34</f>
        <v>169308058.77999997</v>
      </c>
      <c r="F34" s="140">
        <f>SUM(Tableau132024[[#This Row],[janvier-20]:[mars-20]])</f>
        <v>510417237.57999998</v>
      </c>
      <c r="G34" s="77">
        <f>+'SIEGE 2020'!F34+'KDU 2020'!F34+'SKDU 2020'!F34+'AZDU 2020'!F34</f>
        <v>127819811.56999999</v>
      </c>
      <c r="H34" s="77">
        <f>+'SIEGE 2020'!G34+'KDU 2020'!G34+'SKDU 2020'!G34+'AZDU 2020'!G34</f>
        <v>135621599.16999999</v>
      </c>
      <c r="I34" s="77">
        <f>+'SIEGE 2020'!H34+'KDU 2020'!H34+'SKDU 2020'!H34+'AZDU 2020'!H34</f>
        <v>276263571.26999998</v>
      </c>
      <c r="J34" s="140">
        <f>SUM(Tableau132024[[#This Row],[avril-20]:[juin-20]])</f>
        <v>539704982.00999999</v>
      </c>
      <c r="K34" s="77">
        <f>+'SIEGE 2020'!I34+'KDU 2020'!I34+'SKDU 2020'!I34+'AZDU 2020'!I34</f>
        <v>175473890.64999998</v>
      </c>
      <c r="L34" s="77">
        <f>+'SIEGE 2020'!J34+'KDU 2020'!J34+'SKDU 2020'!J34+'AZDU 2020'!J34</f>
        <v>209944006.09999999</v>
      </c>
      <c r="M34" s="77">
        <f>+'SIEGE 2020'!K34+'KDU 2020'!K34+'SKDU 2020'!K34+'AZDU 2020'!K34</f>
        <v>218295522.99000001</v>
      </c>
      <c r="N34" s="140">
        <f>SUM(Tableau132024[[#This Row],[juillet-20]:[septembre-20]])</f>
        <v>603713419.74000001</v>
      </c>
      <c r="O34" s="77">
        <f>+'SIEGE 2020'!L34+'KDU 2020'!L34+'SKDU 2020'!L34+'AZDU 2020'!L34</f>
        <v>260085940.66000003</v>
      </c>
      <c r="P34" s="77">
        <f>+'SIEGE 2020'!M34+'KDU 2020'!M34+'SKDU 2020'!M34+'AZDU 2020'!M34</f>
        <v>223851985.63999999</v>
      </c>
      <c r="Q34" s="77">
        <f>+'SIEGE 2020'!N34+'KDU 2020'!N34+'SKDU 2020'!N34+'AZDU 2020'!N34</f>
        <v>335563377.11000001</v>
      </c>
      <c r="R34" s="140">
        <f>+Tableau132024[[#This Row],[octobre-20]]+Tableau132024[[#This Row],[novembre-20]]+Tableau132024[[#This Row],[décembre-20]]</f>
        <v>819501303.41000009</v>
      </c>
      <c r="S34" s="140">
        <f>SUM(Tableau18[[#This Row],[SIEGE]:[AZDU]])</f>
        <v>2473336942.7400002</v>
      </c>
    </row>
    <row r="35" spans="1:19" s="27" customFormat="1" ht="30.75" customHeight="1" thickBot="1" x14ac:dyDescent="0.4">
      <c r="A35" s="107" t="s">
        <v>34</v>
      </c>
      <c r="B35" s="85" t="s">
        <v>35</v>
      </c>
      <c r="C35" s="62">
        <f>+'SIEGE 2020'!C35+'KDU 2020'!C35+'SKDU 2020'!C35+'AZDU 2020'!C35</f>
        <v>-51631855.49000001</v>
      </c>
      <c r="D35" s="62">
        <f>+'SIEGE 2020'!D35+'KDU 2020'!D35+'SKDU 2020'!D35+'AZDU 2020'!D35</f>
        <v>-35423954.780000001</v>
      </c>
      <c r="E35" s="62">
        <f>+'SIEGE 2020'!E35+'KDU 2020'!E35+'SKDU 2020'!E35+'AZDU 2020'!E35</f>
        <v>-38361531.460000008</v>
      </c>
      <c r="F35" s="62">
        <f>SUM(Tableau132024[[#This Row],[janvier-20]:[mars-20]])</f>
        <v>-125417341.73000002</v>
      </c>
      <c r="G35" s="62">
        <f>+'SIEGE 2020'!F35+'KDU 2020'!F35+'SKDU 2020'!F35+'AZDU 2020'!F35</f>
        <v>106027170.30999999</v>
      </c>
      <c r="H35" s="62">
        <f>+'SIEGE 2020'!G35+'KDU 2020'!G35+'SKDU 2020'!G35+'AZDU 2020'!G35</f>
        <v>-3353715.4100000132</v>
      </c>
      <c r="I35" s="62">
        <f>+'SIEGE 2020'!H35+'KDU 2020'!H35+'SKDU 2020'!H35+'AZDU 2020'!H35</f>
        <v>-59472284.449999981</v>
      </c>
      <c r="J35" s="62">
        <f>SUM(Tableau132024[[#This Row],[avril-20]:[juin-20]])</f>
        <v>43201170.449999996</v>
      </c>
      <c r="K35" s="62">
        <f>+'SIEGE 2020'!I35+'KDU 2020'!I35+'SKDU 2020'!I35+'AZDU 2020'!I35</f>
        <v>-65001840.269999996</v>
      </c>
      <c r="L35" s="62">
        <f>+'SIEGE 2020'!J35+'KDU 2020'!J35+'SKDU 2020'!J35+'AZDU 2020'!J35</f>
        <v>-57671456.009999998</v>
      </c>
      <c r="M35" s="62">
        <f>+'SIEGE 2020'!K35+'KDU 2020'!K35+'SKDU 2020'!K35+'AZDU 2020'!K35</f>
        <v>-37217387.879999995</v>
      </c>
      <c r="N35" s="62">
        <f>SUM(Tableau132024[[#This Row],[juillet-20]:[septembre-20]])</f>
        <v>-159890684.16</v>
      </c>
      <c r="O35" s="62">
        <f>+'SIEGE 2020'!L35+'KDU 2020'!L35+'SKDU 2020'!L35+'AZDU 2020'!L35</f>
        <v>-43795185.839999959</v>
      </c>
      <c r="P35" s="62">
        <f>+'SIEGE 2020'!M35+'KDU 2020'!M35+'SKDU 2020'!M35+'AZDU 2020'!M35</f>
        <v>-27244855.68</v>
      </c>
      <c r="Q35" s="62">
        <f>+'SIEGE 2020'!N35+'KDU 2020'!N35+'SKDU 2020'!N35+'AZDU 2020'!N35</f>
        <v>332655359.91000003</v>
      </c>
      <c r="R35" s="62">
        <f>+Tableau132024[[#This Row],[octobre-20]]+Tableau132024[[#This Row],[novembre-20]]+Tableau132024[[#This Row],[décembre-20]]</f>
        <v>261615318.39000008</v>
      </c>
      <c r="S35" s="62">
        <f>SUM(Tableau18[[#This Row],[SIEGE]:[AZDU]])</f>
        <v>19508462.949999988</v>
      </c>
    </row>
    <row r="36" spans="1:19" s="32" customFormat="1" ht="30.75" customHeight="1" x14ac:dyDescent="0.35">
      <c r="A36" s="105">
        <v>77</v>
      </c>
      <c r="B36" s="84" t="s">
        <v>36</v>
      </c>
      <c r="C36" s="52">
        <f>+'SIEGE 2020'!C36+'KDU 2020'!C36+'SKDU 2020'!C36+'AZDU 2020'!C36</f>
        <v>0</v>
      </c>
      <c r="D36" s="52">
        <f>+'SIEGE 2020'!D36+'KDU 2020'!D36+'SKDU 2020'!D36+'AZDU 2020'!D36</f>
        <v>0</v>
      </c>
      <c r="E36" s="52">
        <f>+'SIEGE 2020'!E36+'KDU 2020'!E36+'SKDU 2020'!E36+'AZDU 2020'!E36</f>
        <v>0</v>
      </c>
      <c r="F36" s="134">
        <f>SUM(Tableau132024[[#This Row],[janvier-20]:[mars-20]])</f>
        <v>0</v>
      </c>
      <c r="G36" s="52">
        <f>+'SIEGE 2020'!F36+'KDU 2020'!F36+'SKDU 2020'!F36+'AZDU 2020'!F36</f>
        <v>0</v>
      </c>
      <c r="H36" s="52">
        <f>+'SIEGE 2020'!G36+'KDU 2020'!G36+'SKDU 2020'!G36+'AZDU 2020'!G36</f>
        <v>0</v>
      </c>
      <c r="I36" s="52">
        <f>+'SIEGE 2020'!H36+'KDU 2020'!H36+'SKDU 2020'!H36+'AZDU 2020'!H36</f>
        <v>0</v>
      </c>
      <c r="J36" s="134">
        <f>SUM(Tableau132024[[#This Row],[avril-20]:[juin-20]])</f>
        <v>0</v>
      </c>
      <c r="K36" s="52">
        <f>+'SIEGE 2020'!I36+'KDU 2020'!I36+'SKDU 2020'!I36+'AZDU 2020'!I36</f>
        <v>0</v>
      </c>
      <c r="L36" s="52">
        <f>+'SIEGE 2020'!J36+'KDU 2020'!J36+'SKDU 2020'!J36+'AZDU 2020'!J36</f>
        <v>0</v>
      </c>
      <c r="M36" s="52">
        <f>+'SIEGE 2020'!K36+'KDU 2020'!K36+'SKDU 2020'!K36+'AZDU 2020'!K36</f>
        <v>0</v>
      </c>
      <c r="N36" s="134">
        <f>SUM(Tableau132024[[#This Row],[juillet-20]:[septembre-20]])</f>
        <v>0</v>
      </c>
      <c r="O36" s="52">
        <f>+'SIEGE 2020'!L36+'KDU 2020'!L36+'SKDU 2020'!L36+'AZDU 2020'!L36</f>
        <v>0</v>
      </c>
      <c r="P36" s="52">
        <f>+'SIEGE 2020'!M36+'KDU 2020'!M36+'SKDU 2020'!M36+'AZDU 2020'!M36</f>
        <v>0</v>
      </c>
      <c r="Q36" s="52">
        <f>+'SIEGE 2020'!N36+'KDU 2020'!N36+'SKDU 2020'!N36+'AZDU 2020'!N36</f>
        <v>0</v>
      </c>
      <c r="R36" s="134">
        <f>+Tableau132024[[#This Row],[octobre-20]]+Tableau132024[[#This Row],[novembre-20]]+Tableau132024[[#This Row],[décembre-20]]</f>
        <v>0</v>
      </c>
      <c r="S36" s="134">
        <f>SUM(Tableau18[[#This Row],[SIEGE]:[AZDU]])</f>
        <v>0</v>
      </c>
    </row>
    <row r="37" spans="1:19" s="32" customFormat="1" ht="30.75" customHeight="1" thickBot="1" x14ac:dyDescent="0.4">
      <c r="A37" s="106">
        <v>67</v>
      </c>
      <c r="B37" s="82" t="s">
        <v>37</v>
      </c>
      <c r="C37" s="59">
        <f>+'SIEGE 2020'!C37+'KDU 2020'!C37+'SKDU 2020'!C37+'AZDU 2020'!C37</f>
        <v>0</v>
      </c>
      <c r="D37" s="59">
        <f>+'SIEGE 2020'!D37+'KDU 2020'!D37+'SKDU 2020'!D37+'AZDU 2020'!D37</f>
        <v>0</v>
      </c>
      <c r="E37" s="59">
        <f>+'SIEGE 2020'!E37+'KDU 2020'!E37+'SKDU 2020'!E37+'AZDU 2020'!E37</f>
        <v>0</v>
      </c>
      <c r="F37" s="136">
        <f>SUM(Tableau132024[[#This Row],[janvier-20]:[mars-20]])</f>
        <v>0</v>
      </c>
      <c r="G37" s="59">
        <f>+'SIEGE 2020'!F37+'KDU 2020'!F37+'SKDU 2020'!F37+'AZDU 2020'!F37</f>
        <v>0</v>
      </c>
      <c r="H37" s="59">
        <f>+'SIEGE 2020'!G37+'KDU 2020'!G37+'SKDU 2020'!G37+'AZDU 2020'!G37</f>
        <v>0</v>
      </c>
      <c r="I37" s="59">
        <f>+'SIEGE 2020'!H37+'KDU 2020'!H37+'SKDU 2020'!H37+'AZDU 2020'!H37</f>
        <v>0</v>
      </c>
      <c r="J37" s="136">
        <f>SUM(Tableau132024[[#This Row],[avril-20]:[juin-20]])</f>
        <v>0</v>
      </c>
      <c r="K37" s="59">
        <f>+'SIEGE 2020'!I37+'KDU 2020'!I37+'SKDU 2020'!I37+'AZDU 2020'!I37</f>
        <v>0</v>
      </c>
      <c r="L37" s="59">
        <f>+'SIEGE 2020'!J37+'KDU 2020'!J37+'SKDU 2020'!J37+'AZDU 2020'!J37</f>
        <v>0</v>
      </c>
      <c r="M37" s="59">
        <f>+'SIEGE 2020'!K37+'KDU 2020'!K37+'SKDU 2020'!K37+'AZDU 2020'!K37</f>
        <v>0</v>
      </c>
      <c r="N37" s="136">
        <f>SUM(Tableau132024[[#This Row],[juillet-20]:[septembre-20]])</f>
        <v>0</v>
      </c>
      <c r="O37" s="59">
        <f>+'SIEGE 2020'!L37+'KDU 2020'!L37+'SKDU 2020'!L37+'AZDU 2020'!L37</f>
        <v>0</v>
      </c>
      <c r="P37" s="59">
        <f>+'SIEGE 2020'!M37+'KDU 2020'!M37+'SKDU 2020'!M37+'AZDU 2020'!M37</f>
        <v>0</v>
      </c>
      <c r="Q37" s="59">
        <f>+'SIEGE 2020'!N37+'KDU 2020'!N37+'SKDU 2020'!N37+'AZDU 2020'!N37</f>
        <v>0</v>
      </c>
      <c r="R37" s="136">
        <f>+Tableau132024[[#This Row],[octobre-20]]+Tableau132024[[#This Row],[novembre-20]]+Tableau132024[[#This Row],[décembre-20]]</f>
        <v>0</v>
      </c>
      <c r="S37" s="136">
        <f>SUM(Tableau18[[#This Row],[SIEGE]:[AZDU]])</f>
        <v>0</v>
      </c>
    </row>
    <row r="38" spans="1:19" s="27" customFormat="1" ht="30.75" customHeight="1" thickBot="1" x14ac:dyDescent="0.4">
      <c r="A38" s="107" t="s">
        <v>38</v>
      </c>
      <c r="B38" s="85" t="s">
        <v>39</v>
      </c>
      <c r="C38" s="62">
        <f>+'SIEGE 2020'!C38+'KDU 2020'!C38+'SKDU 2020'!C38+'AZDU 2020'!C38</f>
        <v>0</v>
      </c>
      <c r="D38" s="62">
        <f>+'SIEGE 2020'!D38+'KDU 2020'!D38+'SKDU 2020'!D38+'AZDU 2020'!D38</f>
        <v>0</v>
      </c>
      <c r="E38" s="62">
        <f>+'SIEGE 2020'!E38+'KDU 2020'!E38+'SKDU 2020'!E38+'AZDU 2020'!E38</f>
        <v>0</v>
      </c>
      <c r="F38" s="62">
        <f>SUM(Tableau132024[[#This Row],[janvier-20]:[mars-20]])</f>
        <v>0</v>
      </c>
      <c r="G38" s="62">
        <f>+'SIEGE 2020'!F38+'KDU 2020'!F38+'SKDU 2020'!F38+'AZDU 2020'!F38</f>
        <v>0</v>
      </c>
      <c r="H38" s="62">
        <f>+'SIEGE 2020'!G38+'KDU 2020'!G38+'SKDU 2020'!G38+'AZDU 2020'!G38</f>
        <v>0</v>
      </c>
      <c r="I38" s="62">
        <f>+'SIEGE 2020'!H38+'KDU 2020'!H38+'SKDU 2020'!H38+'AZDU 2020'!H38</f>
        <v>0</v>
      </c>
      <c r="J38" s="62">
        <f>SUM(Tableau132024[[#This Row],[avril-20]:[juin-20]])</f>
        <v>0</v>
      </c>
      <c r="K38" s="62">
        <f>+'SIEGE 2020'!I38+'KDU 2020'!I38+'SKDU 2020'!I38+'AZDU 2020'!I38</f>
        <v>0</v>
      </c>
      <c r="L38" s="62">
        <f>+'SIEGE 2020'!J38+'KDU 2020'!J38+'SKDU 2020'!J38+'AZDU 2020'!J38</f>
        <v>0</v>
      </c>
      <c r="M38" s="62">
        <f>+'SIEGE 2020'!K38+'KDU 2020'!K38+'SKDU 2020'!K38+'AZDU 2020'!K38</f>
        <v>0</v>
      </c>
      <c r="N38" s="62">
        <f>SUM(Tableau132024[[#This Row],[juillet-20]:[septembre-20]])</f>
        <v>0</v>
      </c>
      <c r="O38" s="62">
        <f>+'SIEGE 2020'!L38+'KDU 2020'!L38+'SKDU 2020'!L38+'AZDU 2020'!L38</f>
        <v>0</v>
      </c>
      <c r="P38" s="62">
        <f>+'SIEGE 2020'!M38+'KDU 2020'!M38+'SKDU 2020'!M38+'AZDU 2020'!M38</f>
        <v>0</v>
      </c>
      <c r="Q38" s="62">
        <f>+'SIEGE 2020'!N38+'KDU 2020'!N38+'SKDU 2020'!N38+'AZDU 2020'!N38</f>
        <v>0</v>
      </c>
      <c r="R38" s="62">
        <f>+Tableau132024[[#This Row],[octobre-20]]+Tableau132024[[#This Row],[novembre-20]]+Tableau132024[[#This Row],[décembre-20]]</f>
        <v>0</v>
      </c>
      <c r="S38" s="62">
        <f>SUM(Tableau18[[#This Row],[SIEGE]:[AZDU]])</f>
        <v>0</v>
      </c>
    </row>
    <row r="39" spans="1:19" s="27" customFormat="1" ht="30.6" customHeight="1" x14ac:dyDescent="0.35">
      <c r="A39" s="120" t="s">
        <v>40</v>
      </c>
      <c r="B39" s="121" t="s">
        <v>41</v>
      </c>
      <c r="C39" s="123">
        <f>+'SIEGE 2020'!C39+'KDU 2020'!C39+'SKDU 2020'!C39+'AZDU 2020'!C39</f>
        <v>-51631855.49000001</v>
      </c>
      <c r="D39" s="123">
        <f>+'SIEGE 2020'!D39+'KDU 2020'!D39+'SKDU 2020'!D39+'AZDU 2020'!D39</f>
        <v>-35423954.780000001</v>
      </c>
      <c r="E39" s="123">
        <f>+'SIEGE 2020'!E39+'KDU 2020'!E39+'SKDU 2020'!E39+'AZDU 2020'!E39</f>
        <v>-38361531.460000008</v>
      </c>
      <c r="F39" s="123">
        <f>SUM(Tableau132024[[#This Row],[janvier-20]:[mars-20]])</f>
        <v>-125417341.73000002</v>
      </c>
      <c r="G39" s="123">
        <f>+'SIEGE 2020'!F39+'KDU 2020'!F39+'SKDU 2020'!F39+'AZDU 2020'!F39</f>
        <v>106027170.30999999</v>
      </c>
      <c r="H39" s="123">
        <f>+'SIEGE 2020'!G39+'KDU 2020'!G39+'SKDU 2020'!G39+'AZDU 2020'!G39</f>
        <v>-3353715.4100000132</v>
      </c>
      <c r="I39" s="123">
        <f>+'SIEGE 2020'!H39+'KDU 2020'!H39+'SKDU 2020'!H39+'AZDU 2020'!H39</f>
        <v>-59472284.449999981</v>
      </c>
      <c r="J39" s="123">
        <f>SUM(Tableau132024[[#This Row],[avril-20]:[juin-20]])</f>
        <v>43201170.449999996</v>
      </c>
      <c r="K39" s="123">
        <f>+'SIEGE 2020'!I39+'KDU 2020'!I39+'SKDU 2020'!I39+'AZDU 2020'!I39</f>
        <v>-65001840.269999996</v>
      </c>
      <c r="L39" s="123">
        <f>+'SIEGE 2020'!J39+'KDU 2020'!J39+'SKDU 2020'!J39+'AZDU 2020'!J39</f>
        <v>-57671456.009999998</v>
      </c>
      <c r="M39" s="123">
        <f>+'SIEGE 2020'!K39+'KDU 2020'!K39+'SKDU 2020'!K39+'AZDU 2020'!K39</f>
        <v>-37217387.879999995</v>
      </c>
      <c r="N39" s="123">
        <f>SUM(Tableau132024[[#This Row],[juillet-20]:[septembre-20]])</f>
        <v>-159890684.16</v>
      </c>
      <c r="O39" s="123">
        <f>+'SIEGE 2020'!L39+'KDU 2020'!L39+'SKDU 2020'!L39+'AZDU 2020'!L39</f>
        <v>-43795185.839999959</v>
      </c>
      <c r="P39" s="123">
        <f>+'SIEGE 2020'!M39+'KDU 2020'!M39+'SKDU 2020'!M39+'AZDU 2020'!M39</f>
        <v>-27244855.68</v>
      </c>
      <c r="Q39" s="123">
        <f>+'SIEGE 2020'!N39+'KDU 2020'!N39+'SKDU 2020'!N39+'AZDU 2020'!N39</f>
        <v>332655359.91000003</v>
      </c>
      <c r="R39" s="123">
        <f>+Tableau132024[[#This Row],[octobre-20]]+Tableau132024[[#This Row],[novembre-20]]+Tableau132024[[#This Row],[décembre-20]]</f>
        <v>261615318.39000008</v>
      </c>
      <c r="S39" s="123">
        <f>SUM(Tableau18[[#This Row],[SIEGE]:[AZDU]])</f>
        <v>19508462.949999988</v>
      </c>
    </row>
    <row r="40" spans="1:19" s="27" customFormat="1" ht="11.4" customHeight="1" x14ac:dyDescent="0.35">
      <c r="A40" s="90"/>
      <c r="B40" s="90"/>
      <c r="C40" s="91"/>
      <c r="D40" s="91"/>
      <c r="E40" s="91"/>
      <c r="F40" s="238"/>
      <c r="G40" s="91"/>
      <c r="H40" s="91"/>
      <c r="I40" s="91"/>
      <c r="J40" s="238"/>
      <c r="K40" s="91"/>
      <c r="L40" s="91"/>
      <c r="M40" s="91"/>
      <c r="N40" s="238"/>
      <c r="O40" s="91"/>
      <c r="P40" s="91"/>
      <c r="Q40" s="91"/>
      <c r="R40" s="238"/>
      <c r="S40" s="238"/>
    </row>
    <row r="41" spans="1:19" s="27" customFormat="1" ht="18" x14ac:dyDescent="0.35">
      <c r="A41" s="275" t="s">
        <v>51</v>
      </c>
      <c r="B41" s="276"/>
      <c r="C41" s="276"/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7"/>
    </row>
    <row r="42" spans="1:19" s="37" customFormat="1" ht="18" x14ac:dyDescent="0.35">
      <c r="A42" s="92">
        <v>1</v>
      </c>
      <c r="B42" s="93" t="s">
        <v>52</v>
      </c>
      <c r="C42" s="95"/>
      <c r="D42" s="95"/>
      <c r="E42" s="95"/>
      <c r="F42" s="141">
        <f t="shared" ref="F42:O42" si="0">+F12/F7</f>
        <v>1.475591648605763</v>
      </c>
      <c r="G42" s="95">
        <f t="shared" si="0"/>
        <v>0.74887450283124013</v>
      </c>
      <c r="H42" s="95">
        <f t="shared" si="0"/>
        <v>0.69671301328704149</v>
      </c>
      <c r="I42" s="95">
        <f t="shared" si="0"/>
        <v>1.2037620235969992</v>
      </c>
      <c r="J42" s="141">
        <f t="shared" si="0"/>
        <v>0.9144341882646233</v>
      </c>
      <c r="K42" s="95">
        <f t="shared" si="0"/>
        <v>0.86280770199028112</v>
      </c>
      <c r="L42" s="95">
        <f t="shared" si="0"/>
        <v>0.96867461847167691</v>
      </c>
      <c r="M42" s="95">
        <f t="shared" si="0"/>
        <v>0.89268540013800457</v>
      </c>
      <c r="N42" s="141">
        <f t="shared" si="0"/>
        <v>0.90914684998707218</v>
      </c>
      <c r="O42" s="95">
        <f t="shared" si="0"/>
        <v>0.99283389614000839</v>
      </c>
      <c r="P42" s="95">
        <f>+P12/P7</f>
        <v>0.82323308687243257</v>
      </c>
      <c r="Q42" s="95">
        <f t="shared" ref="Q42:S42" si="1">+Q12/Q7</f>
        <v>0.79052655905380331</v>
      </c>
      <c r="R42" s="141">
        <f t="shared" si="1"/>
        <v>0.84561287058859114</v>
      </c>
      <c r="S42" s="141">
        <f t="shared" si="1"/>
        <v>0.95191085742788384</v>
      </c>
    </row>
    <row r="43" spans="1:19" s="37" customFormat="1" ht="18" x14ac:dyDescent="0.35">
      <c r="A43" s="92">
        <v>2</v>
      </c>
      <c r="B43" s="93" t="s">
        <v>53</v>
      </c>
      <c r="C43" s="95"/>
      <c r="D43" s="95"/>
      <c r="E43" s="95"/>
      <c r="F43" s="141">
        <f t="shared" ref="F43:O43" si="2">+F13/F7</f>
        <v>1.169861736776344</v>
      </c>
      <c r="G43" s="95">
        <f t="shared" si="2"/>
        <v>0.62952390459913721</v>
      </c>
      <c r="H43" s="95">
        <f t="shared" si="2"/>
        <v>0.4343173829010184</v>
      </c>
      <c r="I43" s="95">
        <f t="shared" si="2"/>
        <v>0.82808457926590406</v>
      </c>
      <c r="J43" s="141">
        <f t="shared" si="2"/>
        <v>0.63901209081221944</v>
      </c>
      <c r="K43" s="95">
        <f t="shared" si="2"/>
        <v>0.65793320368619279</v>
      </c>
      <c r="L43" s="95">
        <f t="shared" si="2"/>
        <v>0.78283273328941949</v>
      </c>
      <c r="M43" s="95">
        <f t="shared" si="2"/>
        <v>0.6347968443318811</v>
      </c>
      <c r="N43" s="141">
        <f t="shared" si="2"/>
        <v>0.68788003234075701</v>
      </c>
      <c r="O43" s="95">
        <f t="shared" si="2"/>
        <v>0.79512014895385008</v>
      </c>
      <c r="P43" s="95">
        <f>+P13/P7</f>
        <v>0.54633482313704296</v>
      </c>
      <c r="Q43" s="95">
        <f t="shared" ref="Q43:S43" si="3">+Q13/Q7</f>
        <v>0.45649582789230386</v>
      </c>
      <c r="R43" s="141">
        <f t="shared" si="3"/>
        <v>0.55748338417059773</v>
      </c>
      <c r="S43" s="141">
        <f t="shared" si="3"/>
        <v>0.6796759066497019</v>
      </c>
    </row>
    <row r="44" spans="1:19" s="36" customFormat="1" ht="18" x14ac:dyDescent="0.35">
      <c r="A44" s="250">
        <v>3</v>
      </c>
      <c r="B44" s="251" t="s">
        <v>56</v>
      </c>
      <c r="C44" s="141"/>
      <c r="D44" s="141"/>
      <c r="E44" s="141"/>
      <c r="F44" s="141">
        <f t="shared" ref="F44:O44" si="4">+F13/F12</f>
        <v>0.79280859164641326</v>
      </c>
      <c r="G44" s="141">
        <f t="shared" si="4"/>
        <v>0.84062670343177814</v>
      </c>
      <c r="H44" s="141">
        <f t="shared" si="4"/>
        <v>0.62338060954529961</v>
      </c>
      <c r="I44" s="141">
        <f t="shared" si="4"/>
        <v>0.68791385924559934</v>
      </c>
      <c r="J44" s="141">
        <f t="shared" si="4"/>
        <v>0.69880599283466327</v>
      </c>
      <c r="K44" s="141">
        <f t="shared" si="4"/>
        <v>0.76254906182282067</v>
      </c>
      <c r="L44" s="141">
        <f t="shared" si="4"/>
        <v>0.80814828670181438</v>
      </c>
      <c r="M44" s="141">
        <f t="shared" si="4"/>
        <v>0.71110924882802484</v>
      </c>
      <c r="N44" s="141">
        <f t="shared" si="4"/>
        <v>0.7566214768830124</v>
      </c>
      <c r="O44" s="141">
        <f t="shared" si="4"/>
        <v>0.80085918908002629</v>
      </c>
      <c r="P44" s="141">
        <f>+P13/P12</f>
        <v>0.66364536587400613</v>
      </c>
      <c r="Q44" s="141">
        <f t="shared" ref="Q44:S44" si="5">+Q13/Q12</f>
        <v>0.57745792682625696</v>
      </c>
      <c r="R44" s="141">
        <f t="shared" si="5"/>
        <v>0.65926549081799091</v>
      </c>
      <c r="S44" s="141">
        <f t="shared" si="5"/>
        <v>0.7140121381598945</v>
      </c>
    </row>
    <row r="45" spans="1:19" s="37" customFormat="1" ht="18" x14ac:dyDescent="0.35">
      <c r="A45" s="92">
        <v>4</v>
      </c>
      <c r="B45" s="93" t="s">
        <v>57</v>
      </c>
      <c r="C45" s="95"/>
      <c r="D45" s="95"/>
      <c r="E45" s="95"/>
      <c r="F45" s="141">
        <f t="shared" ref="F45:O45" si="6">+F15/F12</f>
        <v>0.85962807375610473</v>
      </c>
      <c r="G45" s="95">
        <f t="shared" si="6"/>
        <v>0.92195587549577551</v>
      </c>
      <c r="H45" s="95">
        <f t="shared" si="6"/>
        <v>0.70136629477135126</v>
      </c>
      <c r="I45" s="95">
        <f t="shared" si="6"/>
        <v>0.77099531241872732</v>
      </c>
      <c r="J45" s="141">
        <f t="shared" si="6"/>
        <v>0.78014356567899468</v>
      </c>
      <c r="K45" s="95">
        <f t="shared" si="6"/>
        <v>0.90121889632356666</v>
      </c>
      <c r="L45" s="95">
        <f t="shared" si="6"/>
        <v>0.88526941553035599</v>
      </c>
      <c r="M45" s="95">
        <f t="shared" si="6"/>
        <v>0.78555650559962287</v>
      </c>
      <c r="N45" s="141">
        <f t="shared" si="6"/>
        <v>0.84772131656868466</v>
      </c>
      <c r="O45" s="95">
        <f t="shared" si="6"/>
        <v>0.86836691691870749</v>
      </c>
      <c r="P45" s="95">
        <f>+P15/P12</f>
        <v>0.76185766599812554</v>
      </c>
      <c r="Q45" s="95">
        <f t="shared" ref="Q45:S45" si="7">+Q15/Q12</f>
        <v>0.66074645765761897</v>
      </c>
      <c r="R45" s="141">
        <f t="shared" si="7"/>
        <v>0.74189493704849729</v>
      </c>
      <c r="S45" s="141">
        <f t="shared" si="7"/>
        <v>0.79524753773785439</v>
      </c>
    </row>
    <row r="46" spans="1:19" s="37" customFormat="1" ht="18" x14ac:dyDescent="0.35">
      <c r="A46" s="92">
        <v>5</v>
      </c>
      <c r="B46" s="93" t="s">
        <v>58</v>
      </c>
      <c r="C46" s="95"/>
      <c r="D46" s="95"/>
      <c r="E46" s="95"/>
      <c r="F46" s="141">
        <f t="shared" ref="F46:O46" si="8">+F17/F12</f>
        <v>0.39678444308817523</v>
      </c>
      <c r="G46" s="95">
        <f t="shared" si="8"/>
        <v>0.72507586897933785</v>
      </c>
      <c r="H46" s="95">
        <f t="shared" si="8"/>
        <v>0.47587088856367588</v>
      </c>
      <c r="I46" s="95">
        <f t="shared" si="8"/>
        <v>0.24618607685622301</v>
      </c>
      <c r="J46" s="141">
        <f t="shared" si="8"/>
        <v>0.40018871761248753</v>
      </c>
      <c r="K46" s="95">
        <f t="shared" si="8"/>
        <v>0.59382842922401824</v>
      </c>
      <c r="L46" s="95">
        <f t="shared" si="8"/>
        <v>0.4014344061067241</v>
      </c>
      <c r="M46" s="95">
        <f t="shared" si="8"/>
        <v>0.33569108623131161</v>
      </c>
      <c r="N46" s="141">
        <f t="shared" si="8"/>
        <v>0.42127066552261244</v>
      </c>
      <c r="O46" s="95">
        <f t="shared" si="8"/>
        <v>0.28577386289324996</v>
      </c>
      <c r="P46" s="95">
        <f>+P17/P12</f>
        <v>0.32868661657291603</v>
      </c>
      <c r="Q46" s="95">
        <f t="shared" ref="Q46:S46" si="9">+Q17/Q12</f>
        <v>0.17578859599980667</v>
      </c>
      <c r="R46" s="141">
        <f t="shared" si="9"/>
        <v>0.24298004688931368</v>
      </c>
      <c r="S46" s="141">
        <f t="shared" si="9"/>
        <v>0.34199319633397796</v>
      </c>
    </row>
    <row r="47" spans="1:19" s="37" customFormat="1" ht="18" x14ac:dyDescent="0.35">
      <c r="A47" s="92">
        <v>6</v>
      </c>
      <c r="B47" s="93" t="s">
        <v>54</v>
      </c>
      <c r="C47" s="95"/>
      <c r="D47" s="95"/>
      <c r="E47" s="95"/>
      <c r="F47" s="141">
        <f t="shared" ref="F47:O47" si="10">+F16/F17</f>
        <v>0.35377376479627065</v>
      </c>
      <c r="G47" s="95">
        <f t="shared" si="10"/>
        <v>0.10763580453185448</v>
      </c>
      <c r="H47" s="95">
        <f t="shared" si="10"/>
        <v>0.62755195244242967</v>
      </c>
      <c r="I47" s="95">
        <f t="shared" si="10"/>
        <v>0.93020974421317593</v>
      </c>
      <c r="J47" s="141">
        <f t="shared" si="10"/>
        <v>0.54938189070561871</v>
      </c>
      <c r="K47" s="95">
        <f t="shared" si="10"/>
        <v>0.16634620172280234</v>
      </c>
      <c r="L47" s="95">
        <f t="shared" si="10"/>
        <v>0.28580157237230447</v>
      </c>
      <c r="M47" s="95">
        <f t="shared" si="10"/>
        <v>0.63881200066364718</v>
      </c>
      <c r="N47" s="141">
        <f t="shared" si="10"/>
        <v>0.36147469048765635</v>
      </c>
      <c r="O47" s="95">
        <f t="shared" si="10"/>
        <v>0.46061974229764935</v>
      </c>
      <c r="P47" s="95">
        <f>+P16/P17</f>
        <v>0.72452701751257587</v>
      </c>
      <c r="Q47" s="95">
        <f t="shared" ref="Q47:S47" si="11">+Q16/Q17</f>
        <v>1.9298950561204447</v>
      </c>
      <c r="R47" s="141">
        <f t="shared" si="11"/>
        <v>1.0622479757322585</v>
      </c>
      <c r="S47" s="141">
        <f t="shared" si="11"/>
        <v>0.59870332058358222</v>
      </c>
    </row>
    <row r="48" spans="1:19" s="37" customFormat="1" ht="18" x14ac:dyDescent="0.35">
      <c r="A48" s="92">
        <v>7</v>
      </c>
      <c r="B48" s="93" t="s">
        <v>55</v>
      </c>
      <c r="C48" s="95"/>
      <c r="D48" s="95"/>
      <c r="E48" s="95"/>
      <c r="F48" s="141">
        <f t="shared" ref="F48:O48" si="12">+F19/F12</f>
        <v>-0.26414190409490251</v>
      </c>
      <c r="G48" s="95">
        <f t="shared" si="12"/>
        <v>-0.66101637657412848</v>
      </c>
      <c r="H48" s="95">
        <f t="shared" si="12"/>
        <v>-0.19589297639126205</v>
      </c>
      <c r="I48" s="95">
        <f t="shared" si="12"/>
        <v>-2.5964804823773016E-2</v>
      </c>
      <c r="J48" s="141">
        <f t="shared" si="12"/>
        <v>-0.19283482018654319</v>
      </c>
      <c r="K48" s="95">
        <f t="shared" si="12"/>
        <v>-0.51670795707730843</v>
      </c>
      <c r="L48" s="95">
        <f t="shared" si="12"/>
        <v>-0.2974076772538975</v>
      </c>
      <c r="M48" s="95">
        <f t="shared" si="12"/>
        <v>-0.13282986214937406</v>
      </c>
      <c r="N48" s="141">
        <f t="shared" si="12"/>
        <v>-0.28274743614919889</v>
      </c>
      <c r="O48" s="95">
        <f t="shared" si="12"/>
        <v>-0.16444935320144982</v>
      </c>
      <c r="P48" s="95">
        <f>+P19/P12</f>
        <v>-0.11216472466774051</v>
      </c>
      <c r="Q48" s="95">
        <f t="shared" ref="Q48:S48" si="13">+Q19/Q12</f>
        <v>0.14312363900004563</v>
      </c>
      <c r="R48" s="141">
        <f t="shared" si="13"/>
        <v>-2.7971598102746725E-3</v>
      </c>
      <c r="S48" s="141">
        <f t="shared" si="13"/>
        <v>-0.15125211053986781</v>
      </c>
    </row>
    <row r="49" spans="1:18" ht="15.6" x14ac:dyDescent="0.3">
      <c r="A49" s="90"/>
      <c r="B49" s="90"/>
      <c r="C49" s="96"/>
      <c r="D49" s="96"/>
      <c r="E49" s="96"/>
      <c r="F49" s="142"/>
      <c r="G49" s="96"/>
      <c r="H49" s="96"/>
      <c r="I49" s="96"/>
      <c r="J49" s="142"/>
      <c r="K49" s="96"/>
      <c r="L49" s="96"/>
      <c r="M49" s="96"/>
      <c r="N49" s="142"/>
      <c r="O49" s="96"/>
      <c r="P49" s="96"/>
      <c r="Q49" s="96"/>
      <c r="R49" s="142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AB1:AC1"/>
    <mergeCell ref="AB2:AC2"/>
    <mergeCell ref="AB3:AC3"/>
    <mergeCell ref="A5:S5"/>
    <mergeCell ref="A41:S41"/>
  </mergeCells>
  <conditionalFormatting sqref="C1:S4 C40:S40 C6:P6 C42:S1048576">
    <cfRule type="cellIs" dxfId="93" priority="6" operator="lessThan">
      <formula>-0.01</formula>
    </cfRule>
  </conditionalFormatting>
  <conditionalFormatting sqref="C7:C39">
    <cfRule type="cellIs" dxfId="92" priority="5" operator="lessThan">
      <formula>-0.01</formula>
    </cfRule>
  </conditionalFormatting>
  <conditionalFormatting sqref="D7:S39">
    <cfRule type="cellIs" dxfId="91" priority="4" operator="lessThan">
      <formula>-0.01</formula>
    </cfRule>
  </conditionalFormatting>
  <conditionalFormatting sqref="S6">
    <cfRule type="cellIs" dxfId="90" priority="2" operator="lessThan">
      <formula>-0.01</formula>
    </cfRule>
  </conditionalFormatting>
  <conditionalFormatting sqref="Q6">
    <cfRule type="cellIs" dxfId="89" priority="3" operator="lessThan">
      <formula>-0.01</formula>
    </cfRule>
  </conditionalFormatting>
  <conditionalFormatting sqref="R6">
    <cfRule type="cellIs" dxfId="88" priority="1" operator="lessThan">
      <formula>-0.01</formula>
    </cfRule>
  </conditionalFormatting>
  <pageMargins left="0.15748031496062992" right="0.11811023622047245" top="0.15748031496062992" bottom="0.15748031496062992" header="0.15748031496062992" footer="0"/>
  <pageSetup paperSize="9" scale="42" orientation="landscape" r:id="rId1"/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53"/>
  <sheetViews>
    <sheetView view="pageBreakPreview" zoomScale="50" zoomScaleNormal="50" zoomScaleSheetLayoutView="50" workbookViewId="0">
      <pane xSplit="2" ySplit="6" topLeftCell="C22" activePane="bottomRight" state="frozen"/>
      <selection activeCell="C5" sqref="C5:D5"/>
      <selection pane="topRight" activeCell="C5" sqref="C5:D5"/>
      <selection pane="bottomLeft" activeCell="C5" sqref="C5:D5"/>
      <selection pane="bottomRight" activeCell="P7" sqref="P7:Q39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14" width="19.77734375" style="3" customWidth="1"/>
    <col min="15" max="15" width="21.21875" style="96" bestFit="1" customWidth="1"/>
    <col min="16" max="16" width="16.77734375" style="1" bestFit="1" customWidth="1"/>
    <col min="17" max="17" width="15.44140625" style="1" bestFit="1" customWidth="1"/>
    <col min="18" max="16384" width="11.44140625" style="1"/>
  </cols>
  <sheetData>
    <row r="1" spans="1:26" s="42" customFormat="1" ht="13.8" customHeight="1" x14ac:dyDescent="0.45">
      <c r="A1" s="252"/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78"/>
      <c r="P1" s="278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s="42" customFormat="1" ht="13.8" customHeight="1" x14ac:dyDescent="0.45">
      <c r="A2" s="25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79"/>
      <c r="P2" s="27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s="42" customFormat="1" ht="13.8" customHeight="1" x14ac:dyDescent="0.4">
      <c r="A3" s="46"/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280"/>
      <c r="P3" s="280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s="42" customFormat="1" ht="13.8" customHeight="1" x14ac:dyDescent="0.4">
      <c r="A4" s="46"/>
      <c r="B4" s="46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100"/>
    </row>
    <row r="5" spans="1:26" ht="29.4" customHeight="1" thickBot="1" x14ac:dyDescent="0.55000000000000004">
      <c r="A5" s="281" t="s">
        <v>115</v>
      </c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</row>
    <row r="6" spans="1:26" s="27" customFormat="1" ht="52.2" customHeight="1" thickBot="1" x14ac:dyDescent="0.4">
      <c r="A6" s="203" t="s">
        <v>0</v>
      </c>
      <c r="B6" s="203" t="s">
        <v>1</v>
      </c>
      <c r="C6" s="204" t="s">
        <v>102</v>
      </c>
      <c r="D6" s="205" t="s">
        <v>103</v>
      </c>
      <c r="E6" s="206" t="s">
        <v>104</v>
      </c>
      <c r="F6" s="206" t="s">
        <v>105</v>
      </c>
      <c r="G6" s="206" t="s">
        <v>106</v>
      </c>
      <c r="H6" s="206" t="s">
        <v>107</v>
      </c>
      <c r="I6" s="206" t="s">
        <v>108</v>
      </c>
      <c r="J6" s="206" t="s">
        <v>109</v>
      </c>
      <c r="K6" s="206" t="s">
        <v>110</v>
      </c>
      <c r="L6" s="206" t="s">
        <v>111</v>
      </c>
      <c r="M6" s="206" t="s">
        <v>112</v>
      </c>
      <c r="N6" s="204" t="s">
        <v>113</v>
      </c>
      <c r="O6" s="207" t="s">
        <v>114</v>
      </c>
    </row>
    <row r="7" spans="1:26" s="29" customFormat="1" ht="30.75" customHeight="1" x14ac:dyDescent="0.35">
      <c r="A7" s="208"/>
      <c r="B7" s="79" t="s">
        <v>2</v>
      </c>
      <c r="C7" s="52">
        <f>+Tableau2[[#This Row],[SIEGE]]</f>
        <v>2500000</v>
      </c>
      <c r="D7" s="52">
        <f>+Tableau3[[#This Row],[SIEGE]]</f>
        <v>2500000</v>
      </c>
      <c r="E7" s="52">
        <f>+Tableau4[[#This Row],[SIEGE]]</f>
        <v>8200000</v>
      </c>
      <c r="F7" s="52">
        <f>+Tableau5[[#This Row],[SIEGE]]</f>
        <v>2500000</v>
      </c>
      <c r="G7" s="52">
        <f>+Tableau6[[#This Row],[SIEGE]]</f>
        <v>2500000</v>
      </c>
      <c r="H7" s="52">
        <f>+Tableau7[[#This Row],[SIEGE]]</f>
        <v>8200000</v>
      </c>
      <c r="I7" s="52">
        <f>+Tableau8[[#This Row],[SIEGE]]</f>
        <v>2800000</v>
      </c>
      <c r="J7" s="52">
        <f>+Tableau9[[#This Row],[SIEGE]]</f>
        <v>2500000</v>
      </c>
      <c r="K7" s="52">
        <f>+Tableau10[[#This Row],[SIEGE]]</f>
        <v>4300000</v>
      </c>
      <c r="L7" s="52">
        <f>+Tableau11[[#This Row],[SIEGE]]</f>
        <v>2500000</v>
      </c>
      <c r="M7" s="52">
        <f>+Tableau12[[#This Row],[SIEGE]]</f>
        <v>2500000</v>
      </c>
      <c r="N7" s="52">
        <f>+Tableau13[[#This Row],[SIEGE]]</f>
        <v>98593823.540000007</v>
      </c>
      <c r="O7" s="52">
        <f>SUM(C7:N7)</f>
        <v>139593823.54000002</v>
      </c>
      <c r="P7" s="267">
        <f>SUM(C7:H7)</f>
        <v>26400000</v>
      </c>
      <c r="Q7" s="267">
        <f>SUM(I7:K7)</f>
        <v>9600000</v>
      </c>
    </row>
    <row r="8" spans="1:26" s="29" customFormat="1" ht="30.75" customHeight="1" x14ac:dyDescent="0.35">
      <c r="A8" s="209"/>
      <c r="B8" s="80" t="s">
        <v>42</v>
      </c>
      <c r="C8" s="55">
        <f>+Tableau2[[#This Row],[SIEGE]]</f>
        <v>0</v>
      </c>
      <c r="D8" s="55">
        <f>+Tableau3[[#This Row],[SIEGE]]</f>
        <v>0</v>
      </c>
      <c r="E8" s="55">
        <f>+Tableau4[[#This Row],[SIEGE]]</f>
        <v>0</v>
      </c>
      <c r="F8" s="55">
        <f>+Tableau5[[#This Row],[SIEGE]]</f>
        <v>0</v>
      </c>
      <c r="G8" s="55">
        <f>+Tableau6[[#This Row],[SIEGE]]</f>
        <v>0</v>
      </c>
      <c r="H8" s="55">
        <f>+Tableau7[[#This Row],[SIEGE]]</f>
        <v>0</v>
      </c>
      <c r="I8" s="55">
        <f>+Tableau8[[#This Row],[SIEGE]]</f>
        <v>0</v>
      </c>
      <c r="J8" s="55">
        <f>+Tableau9[[#This Row],[SIEGE]]</f>
        <v>0</v>
      </c>
      <c r="K8" s="55">
        <f>+Tableau10[[#This Row],[SIEGE]]</f>
        <v>0</v>
      </c>
      <c r="L8" s="55">
        <f>+Tableau11[[#This Row],[SIEGE]]</f>
        <v>0</v>
      </c>
      <c r="M8" s="55">
        <f>+Tableau12[[#This Row],[SIEGE]]</f>
        <v>0</v>
      </c>
      <c r="N8" s="55">
        <f>+Tableau13[[#This Row],[SIEGE]]</f>
        <v>0</v>
      </c>
      <c r="O8" s="55">
        <f t="shared" ref="O8:O39" si="0">SUM(C8:N8)</f>
        <v>0</v>
      </c>
      <c r="P8" s="267">
        <f t="shared" ref="P8:P39" si="1">SUM(C8:H8)</f>
        <v>0</v>
      </c>
      <c r="Q8" s="267">
        <f t="shared" ref="Q8:Q39" si="2">SUM(I8:K8)</f>
        <v>0</v>
      </c>
    </row>
    <row r="9" spans="1:26" s="27" customFormat="1" ht="30.75" customHeight="1" x14ac:dyDescent="0.35">
      <c r="A9" s="209"/>
      <c r="B9" s="81" t="s">
        <v>3</v>
      </c>
      <c r="C9" s="55">
        <f>+Tableau2[[#This Row],[SIEGE]]</f>
        <v>0</v>
      </c>
      <c r="D9" s="55">
        <f>+Tableau3[[#This Row],[SIEGE]]</f>
        <v>0</v>
      </c>
      <c r="E9" s="55">
        <f>+Tableau4[[#This Row],[SIEGE]]</f>
        <v>0</v>
      </c>
      <c r="F9" s="55">
        <f>+Tableau5[[#This Row],[SIEGE]]</f>
        <v>0</v>
      </c>
      <c r="G9" s="55">
        <f>+Tableau6[[#This Row],[SIEGE]]</f>
        <v>0</v>
      </c>
      <c r="H9" s="55">
        <f>+Tableau7[[#This Row],[SIEGE]]</f>
        <v>0</v>
      </c>
      <c r="I9" s="55">
        <f>+Tableau8[[#This Row],[SIEGE]]</f>
        <v>0</v>
      </c>
      <c r="J9" s="55">
        <f>+Tableau9[[#This Row],[SIEGE]]</f>
        <v>0</v>
      </c>
      <c r="K9" s="55">
        <f>+Tableau10[[#This Row],[SIEGE]]</f>
        <v>0</v>
      </c>
      <c r="L9" s="55">
        <f>+Tableau11[[#This Row],[SIEGE]]</f>
        <v>0</v>
      </c>
      <c r="M9" s="55">
        <f>+Tableau12[[#This Row],[SIEGE]]</f>
        <v>0</v>
      </c>
      <c r="N9" s="55">
        <f>+Tableau13[[#This Row],[SIEGE]]</f>
        <v>0</v>
      </c>
      <c r="O9" s="55">
        <f t="shared" si="0"/>
        <v>0</v>
      </c>
      <c r="P9" s="267">
        <f t="shared" si="1"/>
        <v>0</v>
      </c>
      <c r="Q9" s="267">
        <f t="shared" si="2"/>
        <v>0</v>
      </c>
    </row>
    <row r="10" spans="1:26" s="27" customFormat="1" ht="30.75" customHeight="1" x14ac:dyDescent="0.35">
      <c r="A10" s="209"/>
      <c r="B10" s="81" t="s">
        <v>4</v>
      </c>
      <c r="C10" s="55">
        <f>+Tableau2[[#This Row],[SIEGE]]</f>
        <v>0</v>
      </c>
      <c r="D10" s="55">
        <f>+Tableau3[[#This Row],[SIEGE]]</f>
        <v>0</v>
      </c>
      <c r="E10" s="55">
        <f>+Tableau4[[#This Row],[SIEGE]]</f>
        <v>0</v>
      </c>
      <c r="F10" s="55">
        <f>+Tableau5[[#This Row],[SIEGE]]</f>
        <v>0</v>
      </c>
      <c r="G10" s="55">
        <f>+Tableau6[[#This Row],[SIEGE]]</f>
        <v>0</v>
      </c>
      <c r="H10" s="55">
        <f>+Tableau7[[#This Row],[SIEGE]]</f>
        <v>0</v>
      </c>
      <c r="I10" s="55">
        <f>+Tableau8[[#This Row],[SIEGE]]</f>
        <v>0</v>
      </c>
      <c r="J10" s="55">
        <f>+Tableau9[[#This Row],[SIEGE]]</f>
        <v>0</v>
      </c>
      <c r="K10" s="55">
        <f>+Tableau10[[#This Row],[SIEGE]]</f>
        <v>0</v>
      </c>
      <c r="L10" s="55">
        <f>+Tableau11[[#This Row],[SIEGE]]</f>
        <v>0</v>
      </c>
      <c r="M10" s="55">
        <f>+Tableau12[[#This Row],[SIEGE]]</f>
        <v>0</v>
      </c>
      <c r="N10" s="55">
        <f>+Tableau13[[#This Row],[SIEGE]]</f>
        <v>0</v>
      </c>
      <c r="O10" s="55">
        <f t="shared" si="0"/>
        <v>0</v>
      </c>
      <c r="P10" s="267">
        <f t="shared" si="1"/>
        <v>0</v>
      </c>
      <c r="Q10" s="267">
        <f t="shared" si="2"/>
        <v>0</v>
      </c>
    </row>
    <row r="11" spans="1:26" s="27" customFormat="1" ht="30.75" customHeight="1" thickBot="1" x14ac:dyDescent="0.4">
      <c r="A11" s="210"/>
      <c r="B11" s="82" t="s">
        <v>5</v>
      </c>
      <c r="C11" s="59">
        <f>+Tableau2[[#This Row],[SIEGE]]</f>
        <v>0</v>
      </c>
      <c r="D11" s="59">
        <f>+Tableau3[[#This Row],[SIEGE]]</f>
        <v>0</v>
      </c>
      <c r="E11" s="59">
        <f>+Tableau4[[#This Row],[SIEGE]]</f>
        <v>0</v>
      </c>
      <c r="F11" s="59">
        <f>+Tableau5[[#This Row],[SIEGE]]</f>
        <v>0</v>
      </c>
      <c r="G11" s="59">
        <f>+Tableau6[[#This Row],[SIEGE]]</f>
        <v>0</v>
      </c>
      <c r="H11" s="59">
        <f>+Tableau7[[#This Row],[SIEGE]]</f>
        <v>0</v>
      </c>
      <c r="I11" s="59">
        <f>+Tableau8[[#This Row],[SIEGE]]</f>
        <v>0</v>
      </c>
      <c r="J11" s="59">
        <f>+Tableau9[[#This Row],[SIEGE]]</f>
        <v>0</v>
      </c>
      <c r="K11" s="59">
        <f>+Tableau10[[#This Row],[SIEGE]]</f>
        <v>0</v>
      </c>
      <c r="L11" s="59">
        <f>+Tableau11[[#This Row],[SIEGE]]</f>
        <v>0</v>
      </c>
      <c r="M11" s="59">
        <f>+Tableau12[[#This Row],[SIEGE]]</f>
        <v>0</v>
      </c>
      <c r="N11" s="59">
        <f>+Tableau13[[#This Row],[SIEGE]]</f>
        <v>0</v>
      </c>
      <c r="O11" s="59">
        <f t="shared" si="0"/>
        <v>0</v>
      </c>
      <c r="P11" s="267">
        <f t="shared" si="1"/>
        <v>0</v>
      </c>
      <c r="Q11" s="267">
        <f t="shared" si="2"/>
        <v>0</v>
      </c>
    </row>
    <row r="12" spans="1:26" s="27" customFormat="1" ht="30.75" customHeight="1" thickBot="1" x14ac:dyDescent="0.4">
      <c r="A12" s="211"/>
      <c r="B12" s="83" t="s">
        <v>6</v>
      </c>
      <c r="C12" s="62">
        <f>+Tableau2[[#This Row],[SIEGE]]</f>
        <v>2500000</v>
      </c>
      <c r="D12" s="62">
        <f>+Tableau3[[#This Row],[SIEGE]]</f>
        <v>2500000</v>
      </c>
      <c r="E12" s="62">
        <f>+Tableau4[[#This Row],[SIEGE]]</f>
        <v>8200000</v>
      </c>
      <c r="F12" s="62">
        <f>+Tableau5[[#This Row],[SIEGE]]</f>
        <v>2500000</v>
      </c>
      <c r="G12" s="62">
        <f>+Tableau6[[#This Row],[SIEGE]]</f>
        <v>2500000</v>
      </c>
      <c r="H12" s="62">
        <f>+Tableau7[[#This Row],[SIEGE]]</f>
        <v>8200000</v>
      </c>
      <c r="I12" s="62">
        <f>+Tableau8[[#This Row],[SIEGE]]</f>
        <v>2800000</v>
      </c>
      <c r="J12" s="62">
        <f>+Tableau9[[#This Row],[SIEGE]]</f>
        <v>2500000</v>
      </c>
      <c r="K12" s="62">
        <f>+Tableau10[[#This Row],[SIEGE]]</f>
        <v>4300000</v>
      </c>
      <c r="L12" s="62">
        <f>+Tableau11[[#This Row],[SIEGE]]</f>
        <v>2500000</v>
      </c>
      <c r="M12" s="62">
        <f>+Tableau12[[#This Row],[SIEGE]]</f>
        <v>2500000</v>
      </c>
      <c r="N12" s="62">
        <f>+Tableau13[[#This Row],[SIEGE]]</f>
        <v>98593823.540000007</v>
      </c>
      <c r="O12" s="62">
        <f t="shared" si="0"/>
        <v>139593823.54000002</v>
      </c>
      <c r="P12" s="267">
        <f t="shared" si="1"/>
        <v>26400000</v>
      </c>
      <c r="Q12" s="267">
        <f t="shared" si="2"/>
        <v>9600000</v>
      </c>
    </row>
    <row r="13" spans="1:26" s="32" customFormat="1" ht="30.75" customHeight="1" x14ac:dyDescent="0.35">
      <c r="A13" s="212">
        <v>60</v>
      </c>
      <c r="B13" s="84" t="s">
        <v>7</v>
      </c>
      <c r="C13" s="65">
        <f>+Tableau2[[#This Row],[SIEGE]]</f>
        <v>-64640.55</v>
      </c>
      <c r="D13" s="65">
        <f>+Tableau3[[#This Row],[SIEGE]]</f>
        <v>110384.27</v>
      </c>
      <c r="E13" s="65">
        <f>+Tableau4[[#This Row],[SIEGE]]</f>
        <v>208323.59</v>
      </c>
      <c r="F13" s="65">
        <f>+Tableau5[[#This Row],[SIEGE]]</f>
        <v>309505.48</v>
      </c>
      <c r="G13" s="65">
        <f>+Tableau6[[#This Row],[SIEGE]]</f>
        <v>226476.06</v>
      </c>
      <c r="H13" s="65">
        <f>+Tableau7[[#This Row],[SIEGE]]</f>
        <v>272030.82</v>
      </c>
      <c r="I13" s="65">
        <f>+Tableau8[[#This Row],[SIEGE]]</f>
        <v>470418.64</v>
      </c>
      <c r="J13" s="65">
        <f>+Tableau9[[#This Row],[SIEGE]]</f>
        <v>373353.4</v>
      </c>
      <c r="K13" s="65">
        <f>+Tableau10[[#This Row],[SIEGE]]</f>
        <v>344147.48</v>
      </c>
      <c r="L13" s="65">
        <f>+Tableau11[[#This Row],[SIEGE]]</f>
        <v>680712.24</v>
      </c>
      <c r="M13" s="65">
        <f>+Tableau12[[#This Row],[SIEGE]]</f>
        <v>1731112.52</v>
      </c>
      <c r="N13" s="65">
        <f>+Tableau13[[#This Row],[SIEGE]]</f>
        <v>38791888.240000002</v>
      </c>
      <c r="O13" s="65">
        <f t="shared" si="0"/>
        <v>43453712.189999998</v>
      </c>
      <c r="P13" s="267">
        <f t="shared" si="1"/>
        <v>1062079.6700000002</v>
      </c>
      <c r="Q13" s="267">
        <f t="shared" si="2"/>
        <v>1187919.52</v>
      </c>
    </row>
    <row r="14" spans="1:26" s="32" customFormat="1" ht="30.75" customHeight="1" thickBot="1" x14ac:dyDescent="0.4">
      <c r="A14" s="213" t="s">
        <v>8</v>
      </c>
      <c r="B14" s="82" t="s">
        <v>43</v>
      </c>
      <c r="C14" s="59">
        <f>+Tableau2[[#This Row],[SIEGE]]</f>
        <v>1200688.5</v>
      </c>
      <c r="D14" s="59">
        <f>+Tableau3[[#This Row],[SIEGE]]</f>
        <v>1716154.63</v>
      </c>
      <c r="E14" s="59">
        <f>+Tableau4[[#This Row],[SIEGE]]</f>
        <v>927458.73</v>
      </c>
      <c r="F14" s="59">
        <f>+Tableau5[[#This Row],[SIEGE]]</f>
        <v>557858.25</v>
      </c>
      <c r="G14" s="59">
        <f>+Tableau6[[#This Row],[SIEGE]]</f>
        <v>1307375.6499999999</v>
      </c>
      <c r="H14" s="59">
        <f>+Tableau7[[#This Row],[SIEGE]]</f>
        <v>5339284.16</v>
      </c>
      <c r="I14" s="59">
        <f>+Tableau8[[#This Row],[SIEGE]]</f>
        <v>4294504.68</v>
      </c>
      <c r="J14" s="59">
        <f>+Tableau9[[#This Row],[SIEGE]]</f>
        <v>1920597.16</v>
      </c>
      <c r="K14" s="59">
        <f>+Tableau10[[#This Row],[SIEGE]]</f>
        <v>1636167.19</v>
      </c>
      <c r="L14" s="59">
        <f>+Tableau11[[#This Row],[SIEGE]]</f>
        <v>2168311.9500000002</v>
      </c>
      <c r="M14" s="59">
        <f>+Tableau12[[#This Row],[SIEGE]]</f>
        <v>3651887.44</v>
      </c>
      <c r="N14" s="59">
        <f>+Tableau13[[#This Row],[SIEGE]]</f>
        <v>8028580.4299999997</v>
      </c>
      <c r="O14" s="59">
        <f t="shared" si="0"/>
        <v>32748868.77</v>
      </c>
      <c r="P14" s="267">
        <f t="shared" si="1"/>
        <v>11048819.92</v>
      </c>
      <c r="Q14" s="267">
        <f t="shared" si="2"/>
        <v>7851269.0299999993</v>
      </c>
    </row>
    <row r="15" spans="1:26" s="27" customFormat="1" ht="30.75" customHeight="1" thickBot="1" x14ac:dyDescent="0.4">
      <c r="A15" s="214" t="s">
        <v>9</v>
      </c>
      <c r="B15" s="85" t="s">
        <v>10</v>
      </c>
      <c r="C15" s="62">
        <f>+Tableau2[[#This Row],[SIEGE]]</f>
        <v>1136047.95</v>
      </c>
      <c r="D15" s="62">
        <f>+Tableau3[[#This Row],[SIEGE]]</f>
        <v>1826538.9</v>
      </c>
      <c r="E15" s="62">
        <f>+Tableau4[[#This Row],[SIEGE]]</f>
        <v>1135782.32</v>
      </c>
      <c r="F15" s="62">
        <f>+Tableau5[[#This Row],[SIEGE]]</f>
        <v>867363.73</v>
      </c>
      <c r="G15" s="62">
        <f>+Tableau6[[#This Row],[SIEGE]]</f>
        <v>1533851.71</v>
      </c>
      <c r="H15" s="62">
        <f>+Tableau7[[#This Row],[SIEGE]]</f>
        <v>5611314.9800000004</v>
      </c>
      <c r="I15" s="62">
        <f>+Tableau8[[#This Row],[SIEGE]]</f>
        <v>4764923.3199999994</v>
      </c>
      <c r="J15" s="62">
        <f>+Tableau9[[#This Row],[SIEGE]]</f>
        <v>2293950.56</v>
      </c>
      <c r="K15" s="62">
        <f>+Tableau10[[#This Row],[SIEGE]]</f>
        <v>1980314.67</v>
      </c>
      <c r="L15" s="62">
        <f>+Tableau11[[#This Row],[SIEGE]]</f>
        <v>2849024.1900000004</v>
      </c>
      <c r="M15" s="62">
        <f>+Tableau12[[#This Row],[SIEGE]]</f>
        <v>5382999.96</v>
      </c>
      <c r="N15" s="62">
        <f>+Tableau13[[#This Row],[SIEGE]]</f>
        <v>46820468.670000002</v>
      </c>
      <c r="O15" s="62">
        <f t="shared" si="0"/>
        <v>76202580.960000008</v>
      </c>
      <c r="P15" s="267">
        <f t="shared" si="1"/>
        <v>12110899.59</v>
      </c>
      <c r="Q15" s="267">
        <f t="shared" si="2"/>
        <v>9039188.5499999989</v>
      </c>
    </row>
    <row r="16" spans="1:26" s="27" customFormat="1" ht="30.75" customHeight="1" thickBot="1" x14ac:dyDescent="0.4">
      <c r="A16" s="215" t="s">
        <v>11</v>
      </c>
      <c r="B16" s="86" t="s">
        <v>12</v>
      </c>
      <c r="C16" s="68">
        <f>+Tableau2[[#This Row],[SIEGE]]</f>
        <v>1363952.05</v>
      </c>
      <c r="D16" s="68">
        <f>+Tableau3[[#This Row],[SIEGE]]</f>
        <v>673461.10000000009</v>
      </c>
      <c r="E16" s="68">
        <f>+Tableau4[[#This Row],[SIEGE]]</f>
        <v>7064217.6799999997</v>
      </c>
      <c r="F16" s="68">
        <f>+Tableau5[[#This Row],[SIEGE]]</f>
        <v>1632636.27</v>
      </c>
      <c r="G16" s="68">
        <f>+Tableau6[[#This Row],[SIEGE]]</f>
        <v>966148.29</v>
      </c>
      <c r="H16" s="68">
        <f>+Tableau7[[#This Row],[SIEGE]]</f>
        <v>2588685.0199999996</v>
      </c>
      <c r="I16" s="68">
        <f>+Tableau8[[#This Row],[SIEGE]]</f>
        <v>-1964923.3199999994</v>
      </c>
      <c r="J16" s="68">
        <f>+Tableau9[[#This Row],[SIEGE]]</f>
        <v>206049.43999999994</v>
      </c>
      <c r="K16" s="68">
        <f>+Tableau10[[#This Row],[SIEGE]]</f>
        <v>2319685.33</v>
      </c>
      <c r="L16" s="68">
        <f>+Tableau11[[#This Row],[SIEGE]]</f>
        <v>-349024.19000000041</v>
      </c>
      <c r="M16" s="68">
        <f>+Tableau12[[#This Row],[SIEGE]]</f>
        <v>-2882999.96</v>
      </c>
      <c r="N16" s="68">
        <f>+Tableau13[[#This Row],[SIEGE]]</f>
        <v>51773354.870000005</v>
      </c>
      <c r="O16" s="68">
        <f t="shared" si="0"/>
        <v>63391242.579999998</v>
      </c>
      <c r="P16" s="267">
        <f t="shared" si="1"/>
        <v>14289100.41</v>
      </c>
      <c r="Q16" s="267">
        <f t="shared" si="2"/>
        <v>560811.45000000065</v>
      </c>
    </row>
    <row r="17" spans="1:17" s="32" customFormat="1" ht="30.75" customHeight="1" x14ac:dyDescent="0.35">
      <c r="A17" s="212">
        <v>63</v>
      </c>
      <c r="B17" s="84" t="s">
        <v>44</v>
      </c>
      <c r="C17" s="65">
        <f>+Tableau2[[#This Row],[SIEGE]]</f>
        <v>7690857.3300000001</v>
      </c>
      <c r="D17" s="65">
        <f>+Tableau3[[#This Row],[SIEGE]]</f>
        <v>8162495.2999999998</v>
      </c>
      <c r="E17" s="65">
        <f>+Tableau4[[#This Row],[SIEGE]]</f>
        <v>8184925.8099999996</v>
      </c>
      <c r="F17" s="65">
        <f>+Tableau5[[#This Row],[SIEGE]]</f>
        <v>8612388.2799999993</v>
      </c>
      <c r="G17" s="65">
        <f>+Tableau6[[#This Row],[SIEGE]]</f>
        <v>8613262.5099999998</v>
      </c>
      <c r="H17" s="65">
        <f>+Tableau7[[#This Row],[SIEGE]]</f>
        <v>8455390.7899999991</v>
      </c>
      <c r="I17" s="65">
        <f>+Tableau8[[#This Row],[SIEGE]]</f>
        <v>8786277.4900000002</v>
      </c>
      <c r="J17" s="65">
        <f>+Tableau9[[#This Row],[SIEGE]]</f>
        <v>9985161.0399999991</v>
      </c>
      <c r="K17" s="65">
        <f>+Tableau10[[#This Row],[SIEGE]]</f>
        <v>13451512.279999999</v>
      </c>
      <c r="L17" s="65">
        <f>+Tableau11[[#This Row],[SIEGE]]</f>
        <v>10257791.529999999</v>
      </c>
      <c r="M17" s="65">
        <f>+Tableau12[[#This Row],[SIEGE]]</f>
        <v>10000583.970000001</v>
      </c>
      <c r="N17" s="65">
        <f>+Tableau13[[#This Row],[SIEGE]]</f>
        <v>36880329.840000004</v>
      </c>
      <c r="O17" s="65">
        <f t="shared" si="0"/>
        <v>139080976.17000002</v>
      </c>
      <c r="P17" s="267">
        <f t="shared" si="1"/>
        <v>49719320.019999996</v>
      </c>
      <c r="Q17" s="267">
        <f t="shared" si="2"/>
        <v>32222950.810000002</v>
      </c>
    </row>
    <row r="18" spans="1:17" s="32" customFormat="1" ht="30.75" customHeight="1" thickBot="1" x14ac:dyDescent="0.4">
      <c r="A18" s="213">
        <v>64</v>
      </c>
      <c r="B18" s="82" t="s">
        <v>13</v>
      </c>
      <c r="C18" s="59">
        <f>+Tableau2[[#This Row],[SIEGE]]</f>
        <v>57300</v>
      </c>
      <c r="D18" s="59">
        <f>+Tableau3[[#This Row],[SIEGE]]</f>
        <v>50040</v>
      </c>
      <c r="E18" s="59">
        <f>+Tableau4[[#This Row],[SIEGE]]</f>
        <v>164000</v>
      </c>
      <c r="F18" s="59">
        <f>+Tableau5[[#This Row],[SIEGE]]</f>
        <v>50234.87</v>
      </c>
      <c r="G18" s="59">
        <f>+Tableau6[[#This Row],[SIEGE]]</f>
        <v>475185</v>
      </c>
      <c r="H18" s="59">
        <f>+Tableau7[[#This Row],[SIEGE]]</f>
        <v>164000</v>
      </c>
      <c r="I18" s="59">
        <f>+Tableau8[[#This Row],[SIEGE]]</f>
        <v>70400</v>
      </c>
      <c r="J18" s="59">
        <f>+Tableau9[[#This Row],[SIEGE]]</f>
        <v>72000</v>
      </c>
      <c r="K18" s="59">
        <f>+Tableau10[[#This Row],[SIEGE]]</f>
        <v>102044.38</v>
      </c>
      <c r="L18" s="59">
        <f>+Tableau11[[#This Row],[SIEGE]]</f>
        <v>50000</v>
      </c>
      <c r="M18" s="59">
        <f>+Tableau12[[#This Row],[SIEGE]]</f>
        <v>50100</v>
      </c>
      <c r="N18" s="59">
        <f>+Tableau13[[#This Row],[SIEGE]]</f>
        <v>3565835.95</v>
      </c>
      <c r="O18" s="59">
        <f t="shared" si="0"/>
        <v>4871140.2</v>
      </c>
      <c r="P18" s="267">
        <f t="shared" si="1"/>
        <v>960759.87</v>
      </c>
      <c r="Q18" s="267">
        <f t="shared" si="2"/>
        <v>244444.38</v>
      </c>
    </row>
    <row r="19" spans="1:17" s="27" customFormat="1" ht="30.75" customHeight="1" thickBot="1" x14ac:dyDescent="0.4">
      <c r="A19" s="214" t="s">
        <v>14</v>
      </c>
      <c r="B19" s="85" t="s">
        <v>15</v>
      </c>
      <c r="C19" s="62">
        <f>+Tableau2[[#This Row],[SIEGE]]</f>
        <v>-6384205.2800000003</v>
      </c>
      <c r="D19" s="62">
        <f>+Tableau3[[#This Row],[SIEGE]]</f>
        <v>-7539074.1999999993</v>
      </c>
      <c r="E19" s="62">
        <f>+Tableau4[[#This Row],[SIEGE]]</f>
        <v>-1284708.1299999999</v>
      </c>
      <c r="F19" s="62">
        <f>+Tableau5[[#This Row],[SIEGE]]</f>
        <v>-7029986.8799999999</v>
      </c>
      <c r="G19" s="62">
        <f>+Tableau6[[#This Row],[SIEGE]]</f>
        <v>-8122299.2199999997</v>
      </c>
      <c r="H19" s="62">
        <f>+Tableau7[[#This Row],[SIEGE]]</f>
        <v>-6030705.7699999996</v>
      </c>
      <c r="I19" s="62">
        <f>+Tableau8[[#This Row],[SIEGE]]</f>
        <v>-10821600.809999999</v>
      </c>
      <c r="J19" s="62">
        <f>+Tableau9[[#This Row],[SIEGE]]</f>
        <v>-9851111.5999999996</v>
      </c>
      <c r="K19" s="62">
        <f>+Tableau10[[#This Row],[SIEGE]]</f>
        <v>-11233871.33</v>
      </c>
      <c r="L19" s="62">
        <f>+Tableau11[[#This Row],[SIEGE]]</f>
        <v>-10656815.719999999</v>
      </c>
      <c r="M19" s="62">
        <f>+Tableau12[[#This Row],[SIEGE]]</f>
        <v>-12933683.93</v>
      </c>
      <c r="N19" s="62">
        <f>+Tableau13[[#This Row],[SIEGE]]</f>
        <v>11327189.080000002</v>
      </c>
      <c r="O19" s="62">
        <f t="shared" si="0"/>
        <v>-80560873.790000007</v>
      </c>
      <c r="P19" s="267">
        <f t="shared" si="1"/>
        <v>-36390979.479999997</v>
      </c>
      <c r="Q19" s="267">
        <f t="shared" si="2"/>
        <v>-31906583.739999995</v>
      </c>
    </row>
    <row r="20" spans="1:17" s="32" customFormat="1" ht="30.75" customHeight="1" x14ac:dyDescent="0.35">
      <c r="A20" s="212">
        <v>75</v>
      </c>
      <c r="B20" s="84" t="s">
        <v>16</v>
      </c>
      <c r="C20" s="52">
        <f>+Tableau2[[#This Row],[SIEGE]]</f>
        <v>200.02</v>
      </c>
      <c r="D20" s="52">
        <f>+Tableau3[[#This Row],[SIEGE]]</f>
        <v>0</v>
      </c>
      <c r="E20" s="52">
        <f>+Tableau4[[#This Row],[SIEGE]]</f>
        <v>0</v>
      </c>
      <c r="F20" s="52">
        <f>+Tableau5[[#This Row],[SIEGE]]</f>
        <v>0</v>
      </c>
      <c r="G20" s="52">
        <f>+Tableau6[[#This Row],[SIEGE]]</f>
        <v>26028349.149999999</v>
      </c>
      <c r="H20" s="52">
        <f>+Tableau7[[#This Row],[SIEGE]]</f>
        <v>0</v>
      </c>
      <c r="I20" s="52">
        <f>+Tableau8[[#This Row],[SIEGE]]</f>
        <v>1296.01</v>
      </c>
      <c r="J20" s="52">
        <f>+Tableau9[[#This Row],[SIEGE]]</f>
        <v>0.5</v>
      </c>
      <c r="K20" s="52">
        <f>+Tableau10[[#This Row],[SIEGE]]</f>
        <v>6085238.5499999998</v>
      </c>
      <c r="L20" s="52">
        <f>+Tableau11[[#This Row],[SIEGE]]</f>
        <v>0</v>
      </c>
      <c r="M20" s="52">
        <f>+Tableau12[[#This Row],[SIEGE]]</f>
        <v>0.42</v>
      </c>
      <c r="N20" s="52">
        <f>+Tableau13[[#This Row],[SIEGE]]</f>
        <v>71292193.859999999</v>
      </c>
      <c r="O20" s="52">
        <f t="shared" si="0"/>
        <v>103407278.51000001</v>
      </c>
      <c r="P20" s="267">
        <f t="shared" si="1"/>
        <v>26028549.169999998</v>
      </c>
      <c r="Q20" s="267">
        <f t="shared" si="2"/>
        <v>6086535.0599999996</v>
      </c>
    </row>
    <row r="21" spans="1:17" s="32" customFormat="1" ht="30.75" customHeight="1" x14ac:dyDescent="0.35">
      <c r="A21" s="216">
        <v>65</v>
      </c>
      <c r="B21" s="81" t="s">
        <v>17</v>
      </c>
      <c r="C21" s="55">
        <f>+Tableau2[[#This Row],[SIEGE]]</f>
        <v>559000</v>
      </c>
      <c r="D21" s="55">
        <f>+Tableau3[[#This Row],[SIEGE]]</f>
        <v>135320</v>
      </c>
      <c r="E21" s="55">
        <f>+Tableau4[[#This Row],[SIEGE]]</f>
        <v>234450</v>
      </c>
      <c r="F21" s="55">
        <f>+Tableau5[[#This Row],[SIEGE]]</f>
        <v>136065.91</v>
      </c>
      <c r="G21" s="55">
        <f>+Tableau6[[#This Row],[SIEGE]]</f>
        <v>362100.52</v>
      </c>
      <c r="H21" s="55">
        <f>+Tableau7[[#This Row],[SIEGE]]</f>
        <v>456531.62</v>
      </c>
      <c r="I21" s="55">
        <f>+Tableau8[[#This Row],[SIEGE]]</f>
        <v>208091.86</v>
      </c>
      <c r="J21" s="55">
        <f>+Tableau9[[#This Row],[SIEGE]]</f>
        <v>5231064.41</v>
      </c>
      <c r="K21" s="55">
        <f>+Tableau10[[#This Row],[SIEGE]]</f>
        <v>8202.02</v>
      </c>
      <c r="L21" s="55">
        <f>+Tableau11[[#This Row],[SIEGE]]</f>
        <v>3211.55</v>
      </c>
      <c r="M21" s="55">
        <f>+Tableau12[[#This Row],[SIEGE]]</f>
        <v>35034.980000000003</v>
      </c>
      <c r="N21" s="55">
        <f>+Tableau13[[#This Row],[SIEGE]]</f>
        <v>545309.02</v>
      </c>
      <c r="O21" s="55">
        <f t="shared" si="0"/>
        <v>7914381.8900000006</v>
      </c>
      <c r="P21" s="267">
        <f t="shared" si="1"/>
        <v>1883468.0499999998</v>
      </c>
      <c r="Q21" s="267">
        <f t="shared" si="2"/>
        <v>5447358.29</v>
      </c>
    </row>
    <row r="22" spans="1:17" s="27" customFormat="1" ht="30.75" customHeight="1" x14ac:dyDescent="0.35">
      <c r="A22" s="216"/>
      <c r="B22" s="87" t="s">
        <v>18</v>
      </c>
      <c r="C22" s="71">
        <f>+Tableau2[[#This Row],[SIEGE]]</f>
        <v>0</v>
      </c>
      <c r="D22" s="71">
        <f>+Tableau3[[#This Row],[SIEGE]]</f>
        <v>0</v>
      </c>
      <c r="E22" s="71">
        <f>+Tableau4[[#This Row],[SIEGE]]</f>
        <v>0</v>
      </c>
      <c r="F22" s="71">
        <f>+Tableau5[[#This Row],[SIEGE]]</f>
        <v>0</v>
      </c>
      <c r="G22" s="71">
        <f>+Tableau6[[#This Row],[SIEGE]]</f>
        <v>0</v>
      </c>
      <c r="H22" s="71">
        <f>+Tableau7[[#This Row],[SIEGE]]</f>
        <v>0</v>
      </c>
      <c r="I22" s="71">
        <f>+Tableau8[[#This Row],[SIEGE]]</f>
        <v>0</v>
      </c>
      <c r="J22" s="71">
        <f>+Tableau9[[#This Row],[SIEGE]]</f>
        <v>0</v>
      </c>
      <c r="K22" s="71">
        <f>+Tableau10[[#This Row],[SIEGE]]</f>
        <v>0</v>
      </c>
      <c r="L22" s="71">
        <f>+Tableau11[[#This Row],[SIEGE]]</f>
        <v>0</v>
      </c>
      <c r="M22" s="71">
        <f>+Tableau12[[#This Row],[SIEGE]]</f>
        <v>0</v>
      </c>
      <c r="N22" s="71">
        <f>+Tableau13[[#This Row],[SIEGE]]</f>
        <v>0</v>
      </c>
      <c r="O22" s="71">
        <f t="shared" si="0"/>
        <v>0</v>
      </c>
      <c r="P22" s="267">
        <f t="shared" si="1"/>
        <v>0</v>
      </c>
      <c r="Q22" s="267">
        <f t="shared" si="2"/>
        <v>0</v>
      </c>
    </row>
    <row r="23" spans="1:17" s="27" customFormat="1" ht="30.75" customHeight="1" x14ac:dyDescent="0.35">
      <c r="A23" s="216"/>
      <c r="B23" s="87" t="s">
        <v>19</v>
      </c>
      <c r="C23" s="71">
        <f>+Tableau2[[#This Row],[SIEGE]]</f>
        <v>0</v>
      </c>
      <c r="D23" s="71">
        <f>+Tableau3[[#This Row],[SIEGE]]</f>
        <v>0</v>
      </c>
      <c r="E23" s="71">
        <f>+Tableau4[[#This Row],[SIEGE]]</f>
        <v>0</v>
      </c>
      <c r="F23" s="71">
        <f>+Tableau5[[#This Row],[SIEGE]]</f>
        <v>0</v>
      </c>
      <c r="G23" s="71">
        <f>+Tableau6[[#This Row],[SIEGE]]</f>
        <v>0</v>
      </c>
      <c r="H23" s="71">
        <f>+Tableau7[[#This Row],[SIEGE]]</f>
        <v>0</v>
      </c>
      <c r="I23" s="71">
        <f>+Tableau8[[#This Row],[SIEGE]]</f>
        <v>0</v>
      </c>
      <c r="J23" s="71">
        <f>+Tableau9[[#This Row],[SIEGE]]</f>
        <v>0</v>
      </c>
      <c r="K23" s="71">
        <f>+Tableau10[[#This Row],[SIEGE]]</f>
        <v>0</v>
      </c>
      <c r="L23" s="71">
        <f>+Tableau11[[#This Row],[SIEGE]]</f>
        <v>0</v>
      </c>
      <c r="M23" s="71">
        <f>+Tableau12[[#This Row],[SIEGE]]</f>
        <v>0</v>
      </c>
      <c r="N23" s="71">
        <f>+Tableau13[[#This Row],[SIEGE]]</f>
        <v>0</v>
      </c>
      <c r="O23" s="71">
        <f t="shared" si="0"/>
        <v>0</v>
      </c>
      <c r="P23" s="267">
        <f t="shared" si="1"/>
        <v>0</v>
      </c>
      <c r="Q23" s="267">
        <f t="shared" si="2"/>
        <v>0</v>
      </c>
    </row>
    <row r="24" spans="1:17" s="32" customFormat="1" ht="30.75" customHeight="1" x14ac:dyDescent="0.35">
      <c r="A24" s="216">
        <v>68</v>
      </c>
      <c r="B24" s="81" t="s">
        <v>20</v>
      </c>
      <c r="C24" s="55">
        <f>+Tableau2[[#This Row],[SIEGE]]</f>
        <v>931304.74</v>
      </c>
      <c r="D24" s="55">
        <f>+Tableau3[[#This Row],[SIEGE]]</f>
        <v>928868.58</v>
      </c>
      <c r="E24" s="55">
        <f>+Tableau4[[#This Row],[SIEGE]]</f>
        <v>1224441.27</v>
      </c>
      <c r="F24" s="55">
        <f>+Tableau5[[#This Row],[SIEGE]]</f>
        <v>1222157.08</v>
      </c>
      <c r="G24" s="55">
        <f>+Tableau6[[#This Row],[SIEGE]]</f>
        <v>1220487.23</v>
      </c>
      <c r="H24" s="55">
        <f>+Tableau7[[#This Row],[SIEGE]]</f>
        <v>1216030.6499999999</v>
      </c>
      <c r="I24" s="55">
        <f>+Tableau8[[#This Row],[SIEGE]]</f>
        <v>1214291.01</v>
      </c>
      <c r="J24" s="55">
        <f>+Tableau9[[#This Row],[SIEGE]]</f>
        <v>1214219.58</v>
      </c>
      <c r="K24" s="55">
        <f>+Tableau10[[#This Row],[SIEGE]]</f>
        <v>1216304.67</v>
      </c>
      <c r="L24" s="55">
        <f>+Tableau11[[#This Row],[SIEGE]]</f>
        <v>1232461.47</v>
      </c>
      <c r="M24" s="55">
        <f>+Tableau12[[#This Row],[SIEGE]]</f>
        <v>1235939.52</v>
      </c>
      <c r="N24" s="55">
        <f>+Tableau13[[#This Row],[SIEGE]]</f>
        <v>29596211.210000001</v>
      </c>
      <c r="O24" s="55">
        <f t="shared" si="0"/>
        <v>42452717.010000005</v>
      </c>
      <c r="P24" s="267">
        <f t="shared" si="1"/>
        <v>6743289.5500000007</v>
      </c>
      <c r="Q24" s="267">
        <f t="shared" si="2"/>
        <v>3644815.26</v>
      </c>
    </row>
    <row r="25" spans="1:17" s="32" customFormat="1" ht="30.75" customHeight="1" thickBot="1" x14ac:dyDescent="0.4">
      <c r="A25" s="213">
        <v>78</v>
      </c>
      <c r="B25" s="82" t="s">
        <v>21</v>
      </c>
      <c r="C25" s="59">
        <f>+Tableau2[[#This Row],[SIEGE]]</f>
        <v>0</v>
      </c>
      <c r="D25" s="59">
        <f>+Tableau3[[#This Row],[SIEGE]]</f>
        <v>0</v>
      </c>
      <c r="E25" s="59">
        <f>+Tableau4[[#This Row],[SIEGE]]</f>
        <v>0</v>
      </c>
      <c r="F25" s="59">
        <f>+Tableau5[[#This Row],[SIEGE]]</f>
        <v>0</v>
      </c>
      <c r="G25" s="59">
        <f>+Tableau6[[#This Row],[SIEGE]]</f>
        <v>0</v>
      </c>
      <c r="H25" s="59">
        <f>+Tableau7[[#This Row],[SIEGE]]</f>
        <v>0</v>
      </c>
      <c r="I25" s="59">
        <f>+Tableau8[[#This Row],[SIEGE]]</f>
        <v>0</v>
      </c>
      <c r="J25" s="59">
        <f>+Tableau9[[#This Row],[SIEGE]]</f>
        <v>0</v>
      </c>
      <c r="K25" s="59">
        <f>+Tableau10[[#This Row],[SIEGE]]</f>
        <v>0</v>
      </c>
      <c r="L25" s="59">
        <f>+Tableau11[[#This Row],[SIEGE]]</f>
        <v>0</v>
      </c>
      <c r="M25" s="59">
        <f>+Tableau12[[#This Row],[SIEGE]]</f>
        <v>0</v>
      </c>
      <c r="N25" s="59">
        <f>+Tableau13[[#This Row],[SIEGE]]</f>
        <v>48854248.280000001</v>
      </c>
      <c r="O25" s="59">
        <f t="shared" si="0"/>
        <v>48854248.280000001</v>
      </c>
      <c r="P25" s="267">
        <f t="shared" si="1"/>
        <v>0</v>
      </c>
      <c r="Q25" s="267">
        <f t="shared" si="2"/>
        <v>0</v>
      </c>
    </row>
    <row r="26" spans="1:17" s="27" customFormat="1" ht="30.75" customHeight="1" thickBot="1" x14ac:dyDescent="0.4">
      <c r="A26" s="214" t="s">
        <v>22</v>
      </c>
      <c r="B26" s="85" t="s">
        <v>23</v>
      </c>
      <c r="C26" s="62">
        <f>+Tableau2[[#This Row],[SIEGE]]</f>
        <v>-7874310.0000000009</v>
      </c>
      <c r="D26" s="62">
        <f>+Tableau3[[#This Row],[SIEGE]]</f>
        <v>-8603262.7799999993</v>
      </c>
      <c r="E26" s="62">
        <f>+Tableau4[[#This Row],[SIEGE]]</f>
        <v>-2743599.4</v>
      </c>
      <c r="F26" s="62">
        <f>+Tableau5[[#This Row],[SIEGE]]</f>
        <v>-8388209.8700000001</v>
      </c>
      <c r="G26" s="62">
        <f>+Tableau6[[#This Row],[SIEGE]]</f>
        <v>16323462.18</v>
      </c>
      <c r="H26" s="62">
        <f>+Tableau7[[#This Row],[SIEGE]]</f>
        <v>-7703268.0399999991</v>
      </c>
      <c r="I26" s="62">
        <f>+Tableau8[[#This Row],[SIEGE]]</f>
        <v>-12242687.669999998</v>
      </c>
      <c r="J26" s="62">
        <f>+Tableau9[[#This Row],[SIEGE]]</f>
        <v>-16296395.09</v>
      </c>
      <c r="K26" s="62">
        <f>+Tableau10[[#This Row],[SIEGE]]</f>
        <v>-6373139.4700000007</v>
      </c>
      <c r="L26" s="62">
        <f>+Tableau11[[#This Row],[SIEGE]]</f>
        <v>-11892488.739999998</v>
      </c>
      <c r="M26" s="62">
        <f>+Tableau12[[#This Row],[SIEGE]]</f>
        <v>-14204658.01</v>
      </c>
      <c r="N26" s="62">
        <f>+Tableau13[[#This Row],[SIEGE]]</f>
        <v>101332110.98999999</v>
      </c>
      <c r="O26" s="62">
        <f t="shared" si="0"/>
        <v>21333554.099999994</v>
      </c>
      <c r="P26" s="267">
        <f t="shared" si="1"/>
        <v>-18989187.91</v>
      </c>
      <c r="Q26" s="267">
        <f t="shared" si="2"/>
        <v>-34912222.229999997</v>
      </c>
    </row>
    <row r="27" spans="1:17" s="32" customFormat="1" ht="30.75" customHeight="1" x14ac:dyDescent="0.35">
      <c r="A27" s="212">
        <v>76</v>
      </c>
      <c r="B27" s="84" t="s">
        <v>24</v>
      </c>
      <c r="C27" s="52">
        <f>+Tableau2[[#This Row],[SIEGE]]</f>
        <v>0</v>
      </c>
      <c r="D27" s="52">
        <f>+Tableau3[[#This Row],[SIEGE]]</f>
        <v>0</v>
      </c>
      <c r="E27" s="52">
        <f>+Tableau4[[#This Row],[SIEGE]]</f>
        <v>0</v>
      </c>
      <c r="F27" s="52">
        <f>+Tableau5[[#This Row],[SIEGE]]</f>
        <v>161789942.91</v>
      </c>
      <c r="G27" s="52">
        <f>+Tableau6[[#This Row],[SIEGE]]</f>
        <v>0</v>
      </c>
      <c r="H27" s="52">
        <f>+Tableau7[[#This Row],[SIEGE]]</f>
        <v>12500000</v>
      </c>
      <c r="I27" s="52">
        <f>+Tableau8[[#This Row],[SIEGE]]</f>
        <v>0</v>
      </c>
      <c r="J27" s="52">
        <f>+Tableau9[[#This Row],[SIEGE]]</f>
        <v>0</v>
      </c>
      <c r="K27" s="52">
        <f>+Tableau10[[#This Row],[SIEGE]]</f>
        <v>-10875000</v>
      </c>
      <c r="L27" s="52">
        <f>+Tableau11[[#This Row],[SIEGE]]</f>
        <v>0</v>
      </c>
      <c r="M27" s="52">
        <f>+Tableau12[[#This Row],[SIEGE]]</f>
        <v>0</v>
      </c>
      <c r="N27" s="52">
        <f>+Tableau13[[#This Row],[SIEGE]]</f>
        <v>12801261.27</v>
      </c>
      <c r="O27" s="52">
        <f t="shared" si="0"/>
        <v>176216204.18000001</v>
      </c>
      <c r="P27" s="267">
        <f t="shared" si="1"/>
        <v>174289942.91</v>
      </c>
      <c r="Q27" s="267">
        <f t="shared" si="2"/>
        <v>-10875000</v>
      </c>
    </row>
    <row r="28" spans="1:17" s="32" customFormat="1" ht="30.75" customHeight="1" thickBot="1" x14ac:dyDescent="0.4">
      <c r="A28" s="213">
        <v>66</v>
      </c>
      <c r="B28" s="82" t="s">
        <v>25</v>
      </c>
      <c r="C28" s="59">
        <f>+Tableau2[[#This Row],[SIEGE]]</f>
        <v>0</v>
      </c>
      <c r="D28" s="59">
        <f>+Tableau3[[#This Row],[SIEGE]]</f>
        <v>0</v>
      </c>
      <c r="E28" s="59">
        <f>+Tableau4[[#This Row],[SIEGE]]</f>
        <v>0</v>
      </c>
      <c r="F28" s="59">
        <f>+Tableau5[[#This Row],[SIEGE]]</f>
        <v>0</v>
      </c>
      <c r="G28" s="59">
        <f>+Tableau6[[#This Row],[SIEGE]]</f>
        <v>0</v>
      </c>
      <c r="H28" s="59">
        <f>+Tableau7[[#This Row],[SIEGE]]</f>
        <v>58117500.009999998</v>
      </c>
      <c r="I28" s="59">
        <f>+Tableau8[[#This Row],[SIEGE]]</f>
        <v>0</v>
      </c>
      <c r="J28" s="59">
        <f>+Tableau9[[#This Row],[SIEGE]]</f>
        <v>0</v>
      </c>
      <c r="K28" s="59">
        <f>+Tableau10[[#This Row],[SIEGE]]</f>
        <v>0</v>
      </c>
      <c r="L28" s="59">
        <f>+Tableau11[[#This Row],[SIEGE]]</f>
        <v>0</v>
      </c>
      <c r="M28" s="59">
        <f>+Tableau12[[#This Row],[SIEGE]]</f>
        <v>0</v>
      </c>
      <c r="N28" s="59">
        <f>+Tableau13[[#This Row],[SIEGE]]</f>
        <v>-58117500.009999998</v>
      </c>
      <c r="O28" s="59">
        <f t="shared" si="0"/>
        <v>0</v>
      </c>
      <c r="P28" s="267">
        <f t="shared" si="1"/>
        <v>58117500.009999998</v>
      </c>
      <c r="Q28" s="267">
        <f t="shared" si="2"/>
        <v>0</v>
      </c>
    </row>
    <row r="29" spans="1:17" s="27" customFormat="1" ht="30.75" customHeight="1" thickBot="1" x14ac:dyDescent="0.4">
      <c r="A29" s="214" t="s">
        <v>26</v>
      </c>
      <c r="B29" s="85" t="s">
        <v>27</v>
      </c>
      <c r="C29" s="62">
        <f>+Tableau2[[#This Row],[SIEGE]]</f>
        <v>0</v>
      </c>
      <c r="D29" s="62">
        <f>+Tableau3[[#This Row],[SIEGE]]</f>
        <v>0</v>
      </c>
      <c r="E29" s="62">
        <f>+Tableau4[[#This Row],[SIEGE]]</f>
        <v>0</v>
      </c>
      <c r="F29" s="62">
        <f>+Tableau5[[#This Row],[SIEGE]]</f>
        <v>161789942.91</v>
      </c>
      <c r="G29" s="62">
        <f>+Tableau6[[#This Row],[SIEGE]]</f>
        <v>0</v>
      </c>
      <c r="H29" s="62">
        <f>+Tableau7[[#This Row],[SIEGE]]</f>
        <v>-45617500.009999998</v>
      </c>
      <c r="I29" s="62">
        <f>+Tableau8[[#This Row],[SIEGE]]</f>
        <v>0</v>
      </c>
      <c r="J29" s="62">
        <f>+Tableau9[[#This Row],[SIEGE]]</f>
        <v>0</v>
      </c>
      <c r="K29" s="62">
        <f>+Tableau10[[#This Row],[SIEGE]]</f>
        <v>-10875000</v>
      </c>
      <c r="L29" s="62">
        <f>+Tableau11[[#This Row],[SIEGE]]</f>
        <v>0</v>
      </c>
      <c r="M29" s="62">
        <f>+Tableau12[[#This Row],[SIEGE]]</f>
        <v>0</v>
      </c>
      <c r="N29" s="62">
        <f>+Tableau13[[#This Row],[SIEGE]]</f>
        <v>70918761.280000001</v>
      </c>
      <c r="O29" s="62">
        <f t="shared" si="0"/>
        <v>176216204.18000001</v>
      </c>
      <c r="P29" s="267">
        <f t="shared" si="1"/>
        <v>116172442.90000001</v>
      </c>
      <c r="Q29" s="267">
        <f t="shared" si="2"/>
        <v>-10875000</v>
      </c>
    </row>
    <row r="30" spans="1:17" s="27" customFormat="1" ht="30.75" customHeight="1" thickBot="1" x14ac:dyDescent="0.4">
      <c r="A30" s="214" t="s">
        <v>28</v>
      </c>
      <c r="B30" s="85" t="s">
        <v>29</v>
      </c>
      <c r="C30" s="62">
        <f>+Tableau2[[#This Row],[SIEGE]]</f>
        <v>-7874310.0000000009</v>
      </c>
      <c r="D30" s="62">
        <f>+Tableau3[[#This Row],[SIEGE]]</f>
        <v>-8603262.7799999993</v>
      </c>
      <c r="E30" s="62">
        <f>+Tableau4[[#This Row],[SIEGE]]</f>
        <v>-2743599.4</v>
      </c>
      <c r="F30" s="62">
        <f>+Tableau5[[#This Row],[SIEGE]]</f>
        <v>153401733.03999999</v>
      </c>
      <c r="G30" s="62">
        <f>+Tableau6[[#This Row],[SIEGE]]</f>
        <v>16323462.18</v>
      </c>
      <c r="H30" s="62">
        <f>+Tableau7[[#This Row],[SIEGE]]</f>
        <v>-53320768.049999997</v>
      </c>
      <c r="I30" s="62">
        <f>+Tableau8[[#This Row],[SIEGE]]</f>
        <v>-12242687.669999998</v>
      </c>
      <c r="J30" s="62">
        <f>+Tableau9[[#This Row],[SIEGE]]</f>
        <v>-16296395.09</v>
      </c>
      <c r="K30" s="62">
        <f>+Tableau10[[#This Row],[SIEGE]]</f>
        <v>-17248139.469999999</v>
      </c>
      <c r="L30" s="62">
        <f>+Tableau11[[#This Row],[SIEGE]]</f>
        <v>-11892488.739999998</v>
      </c>
      <c r="M30" s="62">
        <f>+Tableau12[[#This Row],[SIEGE]]</f>
        <v>-14204658.01</v>
      </c>
      <c r="N30" s="62">
        <f>+Tableau13[[#This Row],[SIEGE]]</f>
        <v>172250872.26999998</v>
      </c>
      <c r="O30" s="62">
        <f t="shared" si="0"/>
        <v>197549758.27999997</v>
      </c>
      <c r="P30" s="267">
        <f t="shared" si="1"/>
        <v>97183254.989999995</v>
      </c>
      <c r="Q30" s="267">
        <f t="shared" si="2"/>
        <v>-45787222.229999997</v>
      </c>
    </row>
    <row r="31" spans="1:17" s="32" customFormat="1" ht="30.75" customHeight="1" x14ac:dyDescent="0.35">
      <c r="A31" s="212" t="s">
        <v>30</v>
      </c>
      <c r="B31" s="84" t="s">
        <v>31</v>
      </c>
      <c r="C31" s="52">
        <f>+Tableau2[[#This Row],[SIEGE]]</f>
        <v>0</v>
      </c>
      <c r="D31" s="52">
        <f>+Tableau3[[#This Row],[SIEGE]]</f>
        <v>0</v>
      </c>
      <c r="E31" s="52">
        <f>+Tableau4[[#This Row],[SIEGE]]</f>
        <v>0</v>
      </c>
      <c r="F31" s="52">
        <f>+Tableau5[[#This Row],[SIEGE]]</f>
        <v>0</v>
      </c>
      <c r="G31" s="52">
        <f>+Tableau6[[#This Row],[SIEGE]]</f>
        <v>0</v>
      </c>
      <c r="H31" s="52">
        <f>+Tableau7[[#This Row],[SIEGE]]</f>
        <v>10000</v>
      </c>
      <c r="I31" s="52">
        <f>+Tableau8[[#This Row],[SIEGE]]</f>
        <v>0</v>
      </c>
      <c r="J31" s="52">
        <f>+Tableau9[[#This Row],[SIEGE]]</f>
        <v>0</v>
      </c>
      <c r="K31" s="52">
        <f>+Tableau10[[#This Row],[SIEGE]]</f>
        <v>0</v>
      </c>
      <c r="L31" s="52">
        <f>+Tableau11[[#This Row],[SIEGE]]</f>
        <v>0</v>
      </c>
      <c r="M31" s="52">
        <f>+Tableau12[[#This Row],[SIEGE]]</f>
        <v>0</v>
      </c>
      <c r="N31" s="52">
        <f>+Tableau13[[#This Row],[SIEGE]]</f>
        <v>0</v>
      </c>
      <c r="O31" s="52">
        <f t="shared" si="0"/>
        <v>10000</v>
      </c>
      <c r="P31" s="267">
        <f t="shared" si="1"/>
        <v>10000</v>
      </c>
      <c r="Q31" s="267">
        <f t="shared" si="2"/>
        <v>0</v>
      </c>
    </row>
    <row r="32" spans="1:17" s="32" customFormat="1" ht="30.75" customHeight="1" x14ac:dyDescent="0.35">
      <c r="A32" s="216" t="s">
        <v>32</v>
      </c>
      <c r="B32" s="81" t="s">
        <v>33</v>
      </c>
      <c r="C32" s="55">
        <f>+Tableau2[[#This Row],[SIEGE]]</f>
        <v>0</v>
      </c>
      <c r="D32" s="55">
        <f>+Tableau3[[#This Row],[SIEGE]]</f>
        <v>0</v>
      </c>
      <c r="E32" s="55">
        <f>+Tableau4[[#This Row],[SIEGE]]</f>
        <v>0</v>
      </c>
      <c r="F32" s="55">
        <f>+Tableau5[[#This Row],[SIEGE]]</f>
        <v>0</v>
      </c>
      <c r="G32" s="55">
        <f>+Tableau6[[#This Row],[SIEGE]]</f>
        <v>0</v>
      </c>
      <c r="H32" s="55">
        <f>+Tableau7[[#This Row],[SIEGE]]</f>
        <v>0</v>
      </c>
      <c r="I32" s="55">
        <f>+Tableau8[[#This Row],[SIEGE]]</f>
        <v>0</v>
      </c>
      <c r="J32" s="55">
        <f>+Tableau9[[#This Row],[SIEGE]]</f>
        <v>0</v>
      </c>
      <c r="K32" s="55">
        <f>+Tableau10[[#This Row],[SIEGE]]</f>
        <v>0</v>
      </c>
      <c r="L32" s="55">
        <f>+Tableau11[[#This Row],[SIEGE]]</f>
        <v>0</v>
      </c>
      <c r="M32" s="55">
        <f>+Tableau12[[#This Row],[SIEGE]]</f>
        <v>0</v>
      </c>
      <c r="N32" s="55">
        <f>+Tableau13[[#This Row],[SIEGE]]</f>
        <v>-6235117.2300000004</v>
      </c>
      <c r="O32" s="55">
        <f t="shared" si="0"/>
        <v>-6235117.2300000004</v>
      </c>
      <c r="P32" s="267">
        <f t="shared" si="1"/>
        <v>0</v>
      </c>
      <c r="Q32" s="267">
        <f t="shared" si="2"/>
        <v>0</v>
      </c>
    </row>
    <row r="33" spans="1:17" s="37" customFormat="1" ht="30.75" customHeight="1" x14ac:dyDescent="0.35">
      <c r="A33" s="217"/>
      <c r="B33" s="88" t="s">
        <v>45</v>
      </c>
      <c r="C33" s="75">
        <f>+Tableau2[[#This Row],[SIEGE]]</f>
        <v>2500200.02</v>
      </c>
      <c r="D33" s="75">
        <f>+Tableau3[[#This Row],[SIEGE]]</f>
        <v>2500000</v>
      </c>
      <c r="E33" s="75">
        <f>+Tableau4[[#This Row],[SIEGE]]</f>
        <v>8200000</v>
      </c>
      <c r="F33" s="75">
        <f>+Tableau5[[#This Row],[SIEGE]]</f>
        <v>164289942.91</v>
      </c>
      <c r="G33" s="75">
        <f>+Tableau6[[#This Row],[SIEGE]]</f>
        <v>28528349.149999999</v>
      </c>
      <c r="H33" s="75">
        <f>+Tableau7[[#This Row],[SIEGE]]</f>
        <v>20700000</v>
      </c>
      <c r="I33" s="75">
        <f>+Tableau8[[#This Row],[SIEGE]]</f>
        <v>2801296.01</v>
      </c>
      <c r="J33" s="75">
        <f>+Tableau9[[#This Row],[SIEGE]]</f>
        <v>2500000.5</v>
      </c>
      <c r="K33" s="75">
        <f>+Tableau10[[#This Row],[SIEGE]]</f>
        <v>-489761.44999999925</v>
      </c>
      <c r="L33" s="75">
        <f>+Tableau11[[#This Row],[SIEGE]]</f>
        <v>2500000</v>
      </c>
      <c r="M33" s="75">
        <f>+Tableau12[[#This Row],[SIEGE]]</f>
        <v>2500000.42</v>
      </c>
      <c r="N33" s="75">
        <f>+Tableau13[[#This Row],[SIEGE]]</f>
        <v>231541526.95000002</v>
      </c>
      <c r="O33" s="75">
        <f t="shared" si="0"/>
        <v>468071554.50999999</v>
      </c>
      <c r="P33" s="267">
        <f t="shared" si="1"/>
        <v>226718492.08000001</v>
      </c>
      <c r="Q33" s="267">
        <f t="shared" si="2"/>
        <v>4811535.0600000005</v>
      </c>
    </row>
    <row r="34" spans="1:17" s="37" customFormat="1" ht="30.75" customHeight="1" thickBot="1" x14ac:dyDescent="0.4">
      <c r="A34" s="218"/>
      <c r="B34" s="89" t="s">
        <v>46</v>
      </c>
      <c r="C34" s="77">
        <f>+Tableau2[[#This Row],[SIEGE]]</f>
        <v>10374510.02</v>
      </c>
      <c r="D34" s="77">
        <f>+Tableau3[[#This Row],[SIEGE]]</f>
        <v>11103262.779999999</v>
      </c>
      <c r="E34" s="77">
        <f>+Tableau4[[#This Row],[SIEGE]]</f>
        <v>10943599.399999999</v>
      </c>
      <c r="F34" s="77">
        <f>+Tableau5[[#This Row],[SIEGE]]</f>
        <v>10888209.869999999</v>
      </c>
      <c r="G34" s="77">
        <f>+Tableau6[[#This Row],[SIEGE]]</f>
        <v>12204886.969999999</v>
      </c>
      <c r="H34" s="77">
        <f>+Tableau7[[#This Row],[SIEGE]]</f>
        <v>74030768.049999997</v>
      </c>
      <c r="I34" s="77">
        <f>+Tableau8[[#This Row],[SIEGE]]</f>
        <v>15043983.679999998</v>
      </c>
      <c r="J34" s="77">
        <f>+Tableau9[[#This Row],[SIEGE]]</f>
        <v>18796395.59</v>
      </c>
      <c r="K34" s="77">
        <f>+Tableau10[[#This Row],[SIEGE]]</f>
        <v>16758378.02</v>
      </c>
      <c r="L34" s="77">
        <f>+Tableau11[[#This Row],[SIEGE]]</f>
        <v>14392488.74</v>
      </c>
      <c r="M34" s="77">
        <f>+Tableau12[[#This Row],[SIEGE]]</f>
        <v>16704658.43</v>
      </c>
      <c r="N34" s="77">
        <f>+Tableau13[[#This Row],[SIEGE]]</f>
        <v>65525771.910000011</v>
      </c>
      <c r="O34" s="77">
        <f t="shared" si="0"/>
        <v>276766913.46000004</v>
      </c>
      <c r="P34" s="267">
        <f t="shared" si="1"/>
        <v>129545237.08999999</v>
      </c>
      <c r="Q34" s="267">
        <f t="shared" si="2"/>
        <v>50598757.289999992</v>
      </c>
    </row>
    <row r="35" spans="1:17" s="27" customFormat="1" ht="30.75" customHeight="1" thickBot="1" x14ac:dyDescent="0.4">
      <c r="A35" s="214" t="s">
        <v>34</v>
      </c>
      <c r="B35" s="85" t="s">
        <v>35</v>
      </c>
      <c r="C35" s="62">
        <f>+Tableau2[[#This Row],[SIEGE]]</f>
        <v>-7874310.0000000009</v>
      </c>
      <c r="D35" s="62">
        <f>+Tableau3[[#This Row],[SIEGE]]</f>
        <v>-8603262.7799999993</v>
      </c>
      <c r="E35" s="62">
        <f>+Tableau4[[#This Row],[SIEGE]]</f>
        <v>-2743599.4</v>
      </c>
      <c r="F35" s="62">
        <f>+Tableau5[[#This Row],[SIEGE]]</f>
        <v>153401733.03999999</v>
      </c>
      <c r="G35" s="62">
        <f>+Tableau6[[#This Row],[SIEGE]]</f>
        <v>16323462.18</v>
      </c>
      <c r="H35" s="62">
        <f>+Tableau7[[#This Row],[SIEGE]]</f>
        <v>-53330768.049999997</v>
      </c>
      <c r="I35" s="62">
        <f>+Tableau8[[#This Row],[SIEGE]]</f>
        <v>-12242687.669999998</v>
      </c>
      <c r="J35" s="62">
        <f>+Tableau9[[#This Row],[SIEGE]]</f>
        <v>-16296395.09</v>
      </c>
      <c r="K35" s="62">
        <f>+Tableau10[[#This Row],[SIEGE]]</f>
        <v>-17248139.469999999</v>
      </c>
      <c r="L35" s="62">
        <f>+Tableau11[[#This Row],[SIEGE]]</f>
        <v>-11892488.739999998</v>
      </c>
      <c r="M35" s="62">
        <f>+Tableau12[[#This Row],[SIEGE]]</f>
        <v>-14204658.01</v>
      </c>
      <c r="N35" s="62">
        <f>+Tableau13[[#This Row],[SIEGE]]</f>
        <v>166015755.04000002</v>
      </c>
      <c r="O35" s="62">
        <f t="shared" si="0"/>
        <v>191304641.05000001</v>
      </c>
      <c r="P35" s="267">
        <f t="shared" si="1"/>
        <v>97173254.989999995</v>
      </c>
      <c r="Q35" s="267">
        <f t="shared" si="2"/>
        <v>-45787222.229999997</v>
      </c>
    </row>
    <row r="36" spans="1:17" s="32" customFormat="1" ht="30.75" customHeight="1" x14ac:dyDescent="0.35">
      <c r="A36" s="212">
        <v>77</v>
      </c>
      <c r="B36" s="84" t="s">
        <v>36</v>
      </c>
      <c r="C36" s="52">
        <f>+Tableau2[[#This Row],[SIEGE]]</f>
        <v>0</v>
      </c>
      <c r="D36" s="52">
        <f>+Tableau3[[#This Row],[SIEGE]]</f>
        <v>0</v>
      </c>
      <c r="E36" s="52">
        <f>+Tableau4[[#This Row],[SIEGE]]</f>
        <v>0</v>
      </c>
      <c r="F36" s="52">
        <f>+Tableau5[[#This Row],[SIEGE]]</f>
        <v>0</v>
      </c>
      <c r="G36" s="52">
        <f>+Tableau6[[#This Row],[SIEGE]]</f>
        <v>0</v>
      </c>
      <c r="H36" s="52">
        <f>+Tableau7[[#This Row],[SIEGE]]</f>
        <v>0</v>
      </c>
      <c r="I36" s="52">
        <f>+Tableau8[[#This Row],[SIEGE]]</f>
        <v>0</v>
      </c>
      <c r="J36" s="52">
        <f>+Tableau9[[#This Row],[SIEGE]]</f>
        <v>0</v>
      </c>
      <c r="K36" s="52">
        <f>+Tableau10[[#This Row],[SIEGE]]</f>
        <v>0</v>
      </c>
      <c r="L36" s="52">
        <f>+Tableau11[[#This Row],[SIEGE]]</f>
        <v>0</v>
      </c>
      <c r="M36" s="52">
        <f>+Tableau12[[#This Row],[SIEGE]]</f>
        <v>0</v>
      </c>
      <c r="N36" s="52">
        <f>+Tableau13[[#This Row],[SIEGE]]</f>
        <v>0</v>
      </c>
      <c r="O36" s="52">
        <f t="shared" si="0"/>
        <v>0</v>
      </c>
      <c r="P36" s="267">
        <f t="shared" si="1"/>
        <v>0</v>
      </c>
      <c r="Q36" s="267">
        <f t="shared" si="2"/>
        <v>0</v>
      </c>
    </row>
    <row r="37" spans="1:17" s="32" customFormat="1" ht="30.75" customHeight="1" thickBot="1" x14ac:dyDescent="0.4">
      <c r="A37" s="213">
        <v>67</v>
      </c>
      <c r="B37" s="82" t="s">
        <v>37</v>
      </c>
      <c r="C37" s="59">
        <f>+Tableau2[[#This Row],[SIEGE]]</f>
        <v>0</v>
      </c>
      <c r="D37" s="59">
        <f>+Tableau3[[#This Row],[SIEGE]]</f>
        <v>0</v>
      </c>
      <c r="E37" s="59">
        <f>+Tableau4[[#This Row],[SIEGE]]</f>
        <v>0</v>
      </c>
      <c r="F37" s="59">
        <f>+Tableau5[[#This Row],[SIEGE]]</f>
        <v>0</v>
      </c>
      <c r="G37" s="59">
        <f>+Tableau6[[#This Row],[SIEGE]]</f>
        <v>0</v>
      </c>
      <c r="H37" s="59">
        <f>+Tableau7[[#This Row],[SIEGE]]</f>
        <v>0</v>
      </c>
      <c r="I37" s="59">
        <f>+Tableau8[[#This Row],[SIEGE]]</f>
        <v>0</v>
      </c>
      <c r="J37" s="59">
        <f>+Tableau9[[#This Row],[SIEGE]]</f>
        <v>0</v>
      </c>
      <c r="K37" s="59">
        <f>+Tableau10[[#This Row],[SIEGE]]</f>
        <v>0</v>
      </c>
      <c r="L37" s="59">
        <f>+Tableau11[[#This Row],[SIEGE]]</f>
        <v>0</v>
      </c>
      <c r="M37" s="59">
        <f>+Tableau12[[#This Row],[SIEGE]]</f>
        <v>0</v>
      </c>
      <c r="N37" s="59">
        <f>+Tableau13[[#This Row],[SIEGE]]</f>
        <v>0</v>
      </c>
      <c r="O37" s="59">
        <f t="shared" si="0"/>
        <v>0</v>
      </c>
      <c r="P37" s="267">
        <f t="shared" si="1"/>
        <v>0</v>
      </c>
      <c r="Q37" s="267">
        <f t="shared" si="2"/>
        <v>0</v>
      </c>
    </row>
    <row r="38" spans="1:17" s="27" customFormat="1" ht="30.75" customHeight="1" thickBot="1" x14ac:dyDescent="0.4">
      <c r="A38" s="214" t="s">
        <v>38</v>
      </c>
      <c r="B38" s="85" t="s">
        <v>39</v>
      </c>
      <c r="C38" s="62">
        <f>+Tableau2[[#This Row],[SIEGE]]</f>
        <v>0</v>
      </c>
      <c r="D38" s="62">
        <f>+Tableau3[[#This Row],[SIEGE]]</f>
        <v>0</v>
      </c>
      <c r="E38" s="62">
        <f>+Tableau4[[#This Row],[SIEGE]]</f>
        <v>0</v>
      </c>
      <c r="F38" s="62">
        <f>+Tableau5[[#This Row],[SIEGE]]</f>
        <v>0</v>
      </c>
      <c r="G38" s="62">
        <f>+Tableau6[[#This Row],[SIEGE]]</f>
        <v>0</v>
      </c>
      <c r="H38" s="62">
        <f>+Tableau7[[#This Row],[SIEGE]]</f>
        <v>0</v>
      </c>
      <c r="I38" s="62">
        <f>+Tableau8[[#This Row],[SIEGE]]</f>
        <v>0</v>
      </c>
      <c r="J38" s="62">
        <f>+Tableau9[[#This Row],[SIEGE]]</f>
        <v>0</v>
      </c>
      <c r="K38" s="62">
        <f>+Tableau10[[#This Row],[SIEGE]]</f>
        <v>0</v>
      </c>
      <c r="L38" s="62">
        <f>+Tableau11[[#This Row],[SIEGE]]</f>
        <v>0</v>
      </c>
      <c r="M38" s="62">
        <f>+Tableau12[[#This Row],[SIEGE]]</f>
        <v>0</v>
      </c>
      <c r="N38" s="62">
        <f>+Tableau13[[#This Row],[SIEGE]]</f>
        <v>0</v>
      </c>
      <c r="O38" s="62">
        <f t="shared" si="0"/>
        <v>0</v>
      </c>
      <c r="P38" s="267">
        <f t="shared" si="1"/>
        <v>0</v>
      </c>
      <c r="Q38" s="267">
        <f t="shared" si="2"/>
        <v>0</v>
      </c>
    </row>
    <row r="39" spans="1:17" s="27" customFormat="1" ht="30.6" customHeight="1" thickBot="1" x14ac:dyDescent="0.4">
      <c r="A39" s="214" t="s">
        <v>40</v>
      </c>
      <c r="B39" s="85" t="s">
        <v>41</v>
      </c>
      <c r="C39" s="62">
        <f>+Tableau2[[#This Row],[SIEGE]]</f>
        <v>-7874310.0000000009</v>
      </c>
      <c r="D39" s="62">
        <f>+Tableau3[[#This Row],[SIEGE]]</f>
        <v>-8603262.7799999993</v>
      </c>
      <c r="E39" s="62">
        <f>+Tableau4[[#This Row],[SIEGE]]</f>
        <v>-2743599.4</v>
      </c>
      <c r="F39" s="62">
        <f>+Tableau5[[#This Row],[SIEGE]]</f>
        <v>153401733.03999999</v>
      </c>
      <c r="G39" s="62">
        <f>+Tableau6[[#This Row],[SIEGE]]</f>
        <v>16323462.18</v>
      </c>
      <c r="H39" s="62">
        <f>+Tableau7[[#This Row],[SIEGE]]</f>
        <v>-53330768.049999997</v>
      </c>
      <c r="I39" s="62">
        <f>+Tableau8[[#This Row],[SIEGE]]</f>
        <v>-12242687.669999998</v>
      </c>
      <c r="J39" s="62">
        <f>+Tableau9[[#This Row],[SIEGE]]</f>
        <v>-16296395.09</v>
      </c>
      <c r="K39" s="62">
        <f>+Tableau10[[#This Row],[SIEGE]]</f>
        <v>-17248139.469999999</v>
      </c>
      <c r="L39" s="62">
        <f>+Tableau11[[#This Row],[SIEGE]]</f>
        <v>-11892488.739999998</v>
      </c>
      <c r="M39" s="62">
        <f>+Tableau12[[#This Row],[SIEGE]]</f>
        <v>-14204658.01</v>
      </c>
      <c r="N39" s="62">
        <f>+Tableau13[[#This Row],[SIEGE]]</f>
        <v>166015755.04000002</v>
      </c>
      <c r="O39" s="62">
        <f t="shared" si="0"/>
        <v>191304641.05000001</v>
      </c>
      <c r="P39" s="267">
        <f t="shared" si="1"/>
        <v>97173254.989999995</v>
      </c>
      <c r="Q39" s="267">
        <f t="shared" si="2"/>
        <v>-45787222.229999997</v>
      </c>
    </row>
    <row r="40" spans="1:17" s="27" customFormat="1" ht="11.4" customHeight="1" thickBot="1" x14ac:dyDescent="0.4">
      <c r="A40" s="90"/>
      <c r="B40" s="90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</row>
    <row r="41" spans="1:17" s="27" customFormat="1" ht="18.600000000000001" thickBot="1" x14ac:dyDescent="0.4">
      <c r="A41" s="282" t="s">
        <v>51</v>
      </c>
      <c r="B41" s="283"/>
      <c r="C41" s="283"/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283"/>
      <c r="O41" s="284"/>
    </row>
    <row r="42" spans="1:17" s="37" customFormat="1" ht="18" x14ac:dyDescent="0.35">
      <c r="A42" s="219">
        <v>1</v>
      </c>
      <c r="B42" s="220" t="s">
        <v>52</v>
      </c>
      <c r="C42" s="221">
        <f t="shared" ref="C42:O42" si="3">+C12/C7</f>
        <v>1</v>
      </c>
      <c r="D42" s="221">
        <f t="shared" si="3"/>
        <v>1</v>
      </c>
      <c r="E42" s="221">
        <f t="shared" si="3"/>
        <v>1</v>
      </c>
      <c r="F42" s="221">
        <f t="shared" si="3"/>
        <v>1</v>
      </c>
      <c r="G42" s="221">
        <f t="shared" si="3"/>
        <v>1</v>
      </c>
      <c r="H42" s="221">
        <f t="shared" si="3"/>
        <v>1</v>
      </c>
      <c r="I42" s="221">
        <f t="shared" si="3"/>
        <v>1</v>
      </c>
      <c r="J42" s="221">
        <f t="shared" si="3"/>
        <v>1</v>
      </c>
      <c r="K42" s="221">
        <f t="shared" si="3"/>
        <v>1</v>
      </c>
      <c r="L42" s="221">
        <f t="shared" si="3"/>
        <v>1</v>
      </c>
      <c r="M42" s="221">
        <f t="shared" si="3"/>
        <v>1</v>
      </c>
      <c r="N42" s="221">
        <f t="shared" si="3"/>
        <v>1</v>
      </c>
      <c r="O42" s="221">
        <f t="shared" si="3"/>
        <v>1</v>
      </c>
    </row>
    <row r="43" spans="1:17" s="37" customFormat="1" ht="18" x14ac:dyDescent="0.35">
      <c r="A43" s="92">
        <v>2</v>
      </c>
      <c r="B43" s="93" t="s">
        <v>53</v>
      </c>
      <c r="C43" s="95">
        <f t="shared" ref="C43:O43" si="4">+C13/C7</f>
        <v>-2.5856220000000003E-2</v>
      </c>
      <c r="D43" s="95">
        <f t="shared" si="4"/>
        <v>4.4153708E-2</v>
      </c>
      <c r="E43" s="95">
        <f t="shared" si="4"/>
        <v>2.5405315853658537E-2</v>
      </c>
      <c r="F43" s="95">
        <f t="shared" si="4"/>
        <v>0.12380219199999999</v>
      </c>
      <c r="G43" s="95">
        <f t="shared" si="4"/>
        <v>9.0590424000000003E-2</v>
      </c>
      <c r="H43" s="95">
        <f t="shared" si="4"/>
        <v>3.3174490243902441E-2</v>
      </c>
      <c r="I43" s="95">
        <f t="shared" si="4"/>
        <v>0.16800665714285715</v>
      </c>
      <c r="J43" s="95">
        <f t="shared" si="4"/>
        <v>0.14934136000000001</v>
      </c>
      <c r="K43" s="95">
        <f t="shared" si="4"/>
        <v>8.0034297674418595E-2</v>
      </c>
      <c r="L43" s="95">
        <f t="shared" si="4"/>
        <v>0.272284896</v>
      </c>
      <c r="M43" s="95">
        <f t="shared" si="4"/>
        <v>0.69244500799999997</v>
      </c>
      <c r="N43" s="95">
        <f t="shared" si="4"/>
        <v>0.3934515048426126</v>
      </c>
      <c r="O43" s="95">
        <f t="shared" si="4"/>
        <v>0.31128678252407438</v>
      </c>
    </row>
    <row r="44" spans="1:17" s="36" customFormat="1" ht="18" x14ac:dyDescent="0.35">
      <c r="A44" s="250">
        <v>3</v>
      </c>
      <c r="B44" s="251" t="s">
        <v>56</v>
      </c>
      <c r="C44" s="141">
        <f t="shared" ref="C44:O44" si="5">+C13/C12</f>
        <v>-2.5856220000000003E-2</v>
      </c>
      <c r="D44" s="141">
        <f t="shared" si="5"/>
        <v>4.4153708E-2</v>
      </c>
      <c r="E44" s="141">
        <f t="shared" si="5"/>
        <v>2.5405315853658537E-2</v>
      </c>
      <c r="F44" s="141">
        <f t="shared" si="5"/>
        <v>0.12380219199999999</v>
      </c>
      <c r="G44" s="141">
        <f t="shared" si="5"/>
        <v>9.0590424000000003E-2</v>
      </c>
      <c r="H44" s="141">
        <f t="shared" si="5"/>
        <v>3.3174490243902441E-2</v>
      </c>
      <c r="I44" s="141">
        <f t="shared" si="5"/>
        <v>0.16800665714285715</v>
      </c>
      <c r="J44" s="141">
        <f t="shared" si="5"/>
        <v>0.14934136000000001</v>
      </c>
      <c r="K44" s="141">
        <f t="shared" si="5"/>
        <v>8.0034297674418595E-2</v>
      </c>
      <c r="L44" s="141">
        <f t="shared" si="5"/>
        <v>0.272284896</v>
      </c>
      <c r="M44" s="141">
        <f t="shared" si="5"/>
        <v>0.69244500799999997</v>
      </c>
      <c r="N44" s="141">
        <f t="shared" si="5"/>
        <v>0.3934515048426126</v>
      </c>
      <c r="O44" s="141">
        <f t="shared" si="5"/>
        <v>0.31128678252407438</v>
      </c>
    </row>
    <row r="45" spans="1:17" s="37" customFormat="1" ht="18" x14ac:dyDescent="0.35">
      <c r="A45" s="92">
        <v>4</v>
      </c>
      <c r="B45" s="93" t="s">
        <v>57</v>
      </c>
      <c r="C45" s="95">
        <f t="shared" ref="C45:O45" si="6">+C15/C12</f>
        <v>0.45441917999999998</v>
      </c>
      <c r="D45" s="95">
        <f t="shared" si="6"/>
        <v>0.73061555999999994</v>
      </c>
      <c r="E45" s="95">
        <f t="shared" si="6"/>
        <v>0.13851003902439024</v>
      </c>
      <c r="F45" s="95">
        <f t="shared" si="6"/>
        <v>0.34694549199999997</v>
      </c>
      <c r="G45" s="95">
        <f t="shared" si="6"/>
        <v>0.61354068399999995</v>
      </c>
      <c r="H45" s="95">
        <f t="shared" si="6"/>
        <v>0.68430670487804879</v>
      </c>
      <c r="I45" s="95">
        <f t="shared" si="6"/>
        <v>1.7017583285714284</v>
      </c>
      <c r="J45" s="95">
        <f t="shared" si="6"/>
        <v>0.91758022400000006</v>
      </c>
      <c r="K45" s="95">
        <f t="shared" si="6"/>
        <v>0.46053829534883717</v>
      </c>
      <c r="L45" s="95">
        <f t="shared" si="6"/>
        <v>1.1396096760000001</v>
      </c>
      <c r="M45" s="95">
        <f t="shared" si="6"/>
        <v>2.153199984</v>
      </c>
      <c r="N45" s="95">
        <f t="shared" si="6"/>
        <v>0.47488237081103468</v>
      </c>
      <c r="O45" s="95">
        <f t="shared" si="6"/>
        <v>0.54588791271387793</v>
      </c>
    </row>
    <row r="46" spans="1:17" s="37" customFormat="1" ht="18" x14ac:dyDescent="0.35">
      <c r="A46" s="92">
        <v>5</v>
      </c>
      <c r="B46" s="93" t="s">
        <v>58</v>
      </c>
      <c r="C46" s="95">
        <f t="shared" ref="C46:O46" si="7">+C17/C12</f>
        <v>3.0763429320000002</v>
      </c>
      <c r="D46" s="95">
        <f t="shared" si="7"/>
        <v>3.26499812</v>
      </c>
      <c r="E46" s="95">
        <f t="shared" si="7"/>
        <v>0.99816168414634143</v>
      </c>
      <c r="F46" s="95">
        <f t="shared" si="7"/>
        <v>3.4449553119999998</v>
      </c>
      <c r="G46" s="95">
        <f t="shared" si="7"/>
        <v>3.4453050039999997</v>
      </c>
      <c r="H46" s="95">
        <f t="shared" si="7"/>
        <v>1.0311452182926828</v>
      </c>
      <c r="I46" s="95">
        <f t="shared" si="7"/>
        <v>3.1379562464285713</v>
      </c>
      <c r="J46" s="95">
        <f t="shared" si="7"/>
        <v>3.9940644159999996</v>
      </c>
      <c r="K46" s="95">
        <f t="shared" si="7"/>
        <v>3.1282586697674417</v>
      </c>
      <c r="L46" s="95">
        <f t="shared" si="7"/>
        <v>4.103116612</v>
      </c>
      <c r="M46" s="95">
        <f t="shared" si="7"/>
        <v>4.0002335880000004</v>
      </c>
      <c r="N46" s="95">
        <f t="shared" si="7"/>
        <v>0.37406328830565611</v>
      </c>
      <c r="O46" s="95">
        <f t="shared" si="7"/>
        <v>0.9963261456918755</v>
      </c>
    </row>
    <row r="47" spans="1:17" s="37" customFormat="1" ht="18" x14ac:dyDescent="0.35">
      <c r="A47" s="92">
        <v>6</v>
      </c>
      <c r="B47" s="93" t="s">
        <v>54</v>
      </c>
      <c r="C47" s="95">
        <f t="shared" ref="C47:O47" si="8">+C16/C17</f>
        <v>0.17734720480115837</v>
      </c>
      <c r="D47" s="95">
        <f t="shared" si="8"/>
        <v>8.2506767262702146E-2</v>
      </c>
      <c r="E47" s="95">
        <f t="shared" si="8"/>
        <v>0.86307656831406276</v>
      </c>
      <c r="F47" s="95">
        <f t="shared" si="8"/>
        <v>0.18956835397114727</v>
      </c>
      <c r="G47" s="95">
        <f t="shared" si="8"/>
        <v>0.11216984143677285</v>
      </c>
      <c r="H47" s="95">
        <f t="shared" si="8"/>
        <v>0.30615793927130835</v>
      </c>
      <c r="I47" s="95">
        <f t="shared" si="8"/>
        <v>-0.22363547272850806</v>
      </c>
      <c r="J47" s="95">
        <f t="shared" si="8"/>
        <v>2.0635565032409327E-2</v>
      </c>
      <c r="K47" s="95">
        <f t="shared" si="8"/>
        <v>0.17244792122362024</v>
      </c>
      <c r="L47" s="95">
        <f t="shared" si="8"/>
        <v>-3.4025276198998797E-2</v>
      </c>
      <c r="M47" s="95">
        <f t="shared" si="8"/>
        <v>-0.2882831611282396</v>
      </c>
      <c r="N47" s="95">
        <f t="shared" si="8"/>
        <v>1.4038202774923989</v>
      </c>
      <c r="O47" s="95">
        <f t="shared" si="8"/>
        <v>0.45578658077950412</v>
      </c>
    </row>
    <row r="48" spans="1:17" s="37" customFormat="1" ht="18" x14ac:dyDescent="0.35">
      <c r="A48" s="92">
        <v>7</v>
      </c>
      <c r="B48" s="93" t="s">
        <v>55</v>
      </c>
      <c r="C48" s="95">
        <f t="shared" ref="C48:O48" si="9">+C19/C12</f>
        <v>-2.5536821120000002</v>
      </c>
      <c r="D48" s="95">
        <f t="shared" si="9"/>
        <v>-3.0156296799999995</v>
      </c>
      <c r="E48" s="95">
        <f t="shared" si="9"/>
        <v>-0.15667172317073169</v>
      </c>
      <c r="F48" s="95">
        <f t="shared" si="9"/>
        <v>-2.8119947519999999</v>
      </c>
      <c r="G48" s="95">
        <f t="shared" si="9"/>
        <v>-3.248919688</v>
      </c>
      <c r="H48" s="95">
        <f t="shared" si="9"/>
        <v>-0.7354519231707316</v>
      </c>
      <c r="I48" s="95">
        <f t="shared" si="9"/>
        <v>-3.8648574321428568</v>
      </c>
      <c r="J48" s="95">
        <f t="shared" si="9"/>
        <v>-3.9404446399999999</v>
      </c>
      <c r="K48" s="95">
        <f t="shared" si="9"/>
        <v>-2.6125282162790699</v>
      </c>
      <c r="L48" s="95">
        <f t="shared" si="9"/>
        <v>-4.2627262879999996</v>
      </c>
      <c r="M48" s="95">
        <f t="shared" si="9"/>
        <v>-5.1734735719999998</v>
      </c>
      <c r="N48" s="95">
        <f t="shared" si="9"/>
        <v>0.1148874105222677</v>
      </c>
      <c r="O48" s="95">
        <f t="shared" si="9"/>
        <v>-0.57710915674514518</v>
      </c>
    </row>
    <row r="49" spans="1:19" ht="15.6" x14ac:dyDescent="0.3">
      <c r="A49" s="90"/>
      <c r="B49" s="90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</row>
    <row r="53" spans="1:19" x14ac:dyDescent="0.45">
      <c r="S53" s="253"/>
    </row>
  </sheetData>
  <sheetProtection formatCells="0" formatColumns="0" formatRows="0" insertColumns="0" insertRows="0" insertHyperlinks="0" deleteColumns="0" deleteRows="0" selectLockedCells="1" sort="0" autoFilter="0" pivotTables="0"/>
  <mergeCells count="5">
    <mergeCell ref="O1:P1"/>
    <mergeCell ref="O2:P2"/>
    <mergeCell ref="O3:P3"/>
    <mergeCell ref="A41:O41"/>
    <mergeCell ref="A5:O5"/>
  </mergeCells>
  <conditionalFormatting sqref="C1:O4 C40:O40 C6:M6 C42:O1048576">
    <cfRule type="cellIs" dxfId="64" priority="5" operator="lessThan">
      <formula>-0.01</formula>
    </cfRule>
  </conditionalFormatting>
  <conditionalFormatting sqref="C7:C39">
    <cfRule type="cellIs" dxfId="63" priority="4" operator="lessThan">
      <formula>-0.01</formula>
    </cfRule>
  </conditionalFormatting>
  <conditionalFormatting sqref="D7:O39">
    <cfRule type="cellIs" dxfId="62" priority="3" operator="lessThan">
      <formula>-0.01</formula>
    </cfRule>
  </conditionalFormatting>
  <conditionalFormatting sqref="O6">
    <cfRule type="cellIs" dxfId="61" priority="1" operator="lessThan">
      <formula>-0.01</formula>
    </cfRule>
  </conditionalFormatting>
  <conditionalFormatting sqref="N6">
    <cfRule type="cellIs" dxfId="60" priority="2" operator="lessThan">
      <formula>-0.01</formula>
    </cfRule>
  </conditionalFormatting>
  <pageMargins left="0.15748031496062992" right="0.11811023622047245" top="0.15748031496062992" bottom="0.15748031496062992" header="0.15748031496062992" footer="0"/>
  <pageSetup paperSize="9" scale="41" orientation="landscape" r:id="rId1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Z50"/>
  <sheetViews>
    <sheetView view="pageBreakPreview" zoomScale="50" zoomScaleNormal="50" zoomScaleSheetLayoutView="50" workbookViewId="0">
      <pane xSplit="2" ySplit="6" topLeftCell="F25" activePane="bottomRight" state="frozen"/>
      <selection activeCell="C5" sqref="C5:D5"/>
      <selection pane="topRight" activeCell="C5" sqref="C5:D5"/>
      <selection pane="bottomLeft" activeCell="C5" sqref="C5:D5"/>
      <selection pane="bottomRight" activeCell="P7" sqref="P7:Q39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14" width="19.77734375" style="3" customWidth="1"/>
    <col min="15" max="15" width="19.77734375" style="96" customWidth="1"/>
    <col min="16" max="16" width="14.6640625" style="1" bestFit="1" customWidth="1"/>
    <col min="17" max="17" width="12.5546875" style="1" bestFit="1" customWidth="1"/>
    <col min="18" max="16384" width="11.44140625" style="1"/>
  </cols>
  <sheetData>
    <row r="1" spans="1:26" s="42" customFormat="1" ht="13.8" customHeight="1" x14ac:dyDescent="0.45">
      <c r="A1" s="25"/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78"/>
      <c r="P1" s="278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s="42" customFormat="1" ht="13.8" customHeight="1" x14ac:dyDescent="0.45">
      <c r="A2" s="25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85"/>
      <c r="P2" s="285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s="42" customFormat="1" ht="13.8" customHeight="1" x14ac:dyDescent="0.4">
      <c r="A3" s="46"/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259"/>
      <c r="P3" s="260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s="265" customFormat="1" ht="13.8" customHeight="1" x14ac:dyDescent="0.3">
      <c r="A4" s="263"/>
      <c r="B4" s="263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</row>
    <row r="5" spans="1:26" ht="29.4" customHeight="1" thickBot="1" x14ac:dyDescent="0.55000000000000004">
      <c r="A5" s="281" t="s">
        <v>116</v>
      </c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</row>
    <row r="6" spans="1:26" s="27" customFormat="1" ht="52.2" customHeight="1" thickBot="1" x14ac:dyDescent="0.4">
      <c r="A6" s="203" t="s">
        <v>0</v>
      </c>
      <c r="B6" s="203" t="s">
        <v>1</v>
      </c>
      <c r="C6" s="204" t="s">
        <v>102</v>
      </c>
      <c r="D6" s="205" t="s">
        <v>103</v>
      </c>
      <c r="E6" s="206" t="s">
        <v>104</v>
      </c>
      <c r="F6" s="206" t="s">
        <v>105</v>
      </c>
      <c r="G6" s="206" t="s">
        <v>106</v>
      </c>
      <c r="H6" s="206" t="s">
        <v>107</v>
      </c>
      <c r="I6" s="206" t="s">
        <v>108</v>
      </c>
      <c r="J6" s="206" t="s">
        <v>109</v>
      </c>
      <c r="K6" s="206" t="s">
        <v>110</v>
      </c>
      <c r="L6" s="206" t="s">
        <v>111</v>
      </c>
      <c r="M6" s="206" t="s">
        <v>112</v>
      </c>
      <c r="N6" s="204" t="s">
        <v>113</v>
      </c>
      <c r="O6" s="207" t="s">
        <v>114</v>
      </c>
    </row>
    <row r="7" spans="1:26" s="29" customFormat="1" ht="30.75" customHeight="1" x14ac:dyDescent="0.35">
      <c r="A7" s="208"/>
      <c r="B7" s="79" t="s">
        <v>2</v>
      </c>
      <c r="C7" s="52">
        <f>+Tableau2[[#This Row],[KDU]]</f>
        <v>28049688.699999999</v>
      </c>
      <c r="D7" s="52">
        <f>+Tableau3[[#This Row],[KDU]]</f>
        <v>58711413.439999998</v>
      </c>
      <c r="E7" s="52">
        <f>+Tableau4[[#This Row],[KDU]]</f>
        <v>51107887.299999997</v>
      </c>
      <c r="F7" s="52">
        <f>+Tableau5[[#This Row],[KDU]]</f>
        <v>43990155</v>
      </c>
      <c r="G7" s="52">
        <f>+Tableau6[[#This Row],[KDU]]</f>
        <v>71482070.299999997</v>
      </c>
      <c r="H7" s="52">
        <f>+Tableau7[[#This Row],[KDU]]</f>
        <v>100305128.8</v>
      </c>
      <c r="I7" s="52">
        <f>+Tableau8[[#This Row],[KDU]]</f>
        <v>72440592</v>
      </c>
      <c r="J7" s="52">
        <f>+Tableau9[[#This Row],[KDU]]</f>
        <v>80143167.599999994</v>
      </c>
      <c r="K7" s="52">
        <f>+Tableau10[[#This Row],[KDU]]</f>
        <v>121146022.3</v>
      </c>
      <c r="L7" s="52">
        <f>+Tableau11[[#This Row],[KDU]]</f>
        <v>97806413.980000004</v>
      </c>
      <c r="M7" s="52">
        <f>+Tableau12[[#This Row],[KDU]]</f>
        <v>122316909.01000001</v>
      </c>
      <c r="N7" s="52">
        <f>+Tableau13[[#This Row],[KDU]]</f>
        <v>136095103.42000008</v>
      </c>
      <c r="O7" s="52">
        <f>SUM(C7:N7)</f>
        <v>983594551.85000002</v>
      </c>
      <c r="P7" s="29">
        <f>SUM(C7:H7)</f>
        <v>353646343.54000002</v>
      </c>
      <c r="Q7" s="29">
        <f>SUM(I7:K7)</f>
        <v>273729781.89999998</v>
      </c>
    </row>
    <row r="8" spans="1:26" s="29" customFormat="1" ht="30.6" customHeight="1" x14ac:dyDescent="0.35">
      <c r="A8" s="209"/>
      <c r="B8" s="80" t="s">
        <v>42</v>
      </c>
      <c r="C8" s="55">
        <f>+Tableau2[[#This Row],[KDU]]</f>
        <v>0</v>
      </c>
      <c r="D8" s="55">
        <f>+Tableau3[[#This Row],[KDU]]</f>
        <v>0</v>
      </c>
      <c r="E8" s="55">
        <f>+Tableau4[[#This Row],[KDU]]</f>
        <v>0</v>
      </c>
      <c r="F8" s="55">
        <f>+Tableau5[[#This Row],[KDU]]</f>
        <v>0</v>
      </c>
      <c r="G8" s="55">
        <f>+Tableau6[[#This Row],[KDU]]</f>
        <v>0</v>
      </c>
      <c r="H8" s="55">
        <f>+Tableau7[[#This Row],[KDU]]</f>
        <v>0</v>
      </c>
      <c r="I8" s="55">
        <f>+Tableau8[[#This Row],[KDU]]</f>
        <v>0</v>
      </c>
      <c r="J8" s="55">
        <f>+Tableau9[[#This Row],[KDU]]</f>
        <v>0</v>
      </c>
      <c r="K8" s="55">
        <f>+Tableau10[[#This Row],[KDU]]</f>
        <v>0</v>
      </c>
      <c r="L8" s="55">
        <f>+Tableau11[[#This Row],[KDU]]</f>
        <v>0</v>
      </c>
      <c r="M8" s="55">
        <f>+Tableau12[[#This Row],[KDU]]</f>
        <v>0</v>
      </c>
      <c r="N8" s="55">
        <f>+Tableau13[[#This Row],[KDU]]</f>
        <v>1328118.3700000001</v>
      </c>
      <c r="O8" s="55">
        <f t="shared" ref="O8:O39" si="0">SUM(C8:N8)</f>
        <v>1328118.3700000001</v>
      </c>
      <c r="P8" s="29">
        <f t="shared" ref="P8:P39" si="1">SUM(C8:H8)</f>
        <v>0</v>
      </c>
      <c r="Q8" s="29">
        <f t="shared" ref="Q8:Q39" si="2">SUM(I8:K8)</f>
        <v>0</v>
      </c>
    </row>
    <row r="9" spans="1:26" s="27" customFormat="1" ht="30.75" customHeight="1" x14ac:dyDescent="0.35">
      <c r="A9" s="209"/>
      <c r="B9" s="81" t="s">
        <v>3</v>
      </c>
      <c r="C9" s="55">
        <f>+Tableau2[[#This Row],[KDU]]</f>
        <v>61144589.140000001</v>
      </c>
      <c r="D9" s="55">
        <f>+Tableau3[[#This Row],[KDU]]</f>
        <v>41316069.170000002</v>
      </c>
      <c r="E9" s="55">
        <f>+Tableau4[[#This Row],[KDU]]</f>
        <v>47246023.43</v>
      </c>
      <c r="F9" s="55">
        <f>+Tableau5[[#This Row],[KDU]]</f>
        <v>6787723.7199999997</v>
      </c>
      <c r="G9" s="55">
        <f>+Tableau6[[#This Row],[KDU]]</f>
        <v>4869015.96</v>
      </c>
      <c r="H9" s="55">
        <f>+Tableau7[[#This Row],[KDU]]</f>
        <v>55304350.310000002</v>
      </c>
      <c r="I9" s="55">
        <f>+Tableau8[[#This Row],[KDU]]</f>
        <v>5986402.5300000003</v>
      </c>
      <c r="J9" s="55">
        <f>+Tableau9[[#This Row],[KDU]]</f>
        <v>28536656.010000002</v>
      </c>
      <c r="K9" s="55">
        <f>+Tableau10[[#This Row],[KDU]]</f>
        <v>3499245.18</v>
      </c>
      <c r="L9" s="55">
        <f>+Tableau11[[#This Row],[KDU]]</f>
        <v>58509080.939999998</v>
      </c>
      <c r="M9" s="55">
        <f>+Tableau12[[#This Row],[KDU]]</f>
        <v>15303313.800000001</v>
      </c>
      <c r="N9" s="55">
        <f>+Tableau13[[#This Row],[KDU]]</f>
        <v>13221747.91</v>
      </c>
      <c r="O9" s="55">
        <f t="shared" si="0"/>
        <v>341724218.10000002</v>
      </c>
      <c r="P9" s="27">
        <f t="shared" si="1"/>
        <v>216667771.73000002</v>
      </c>
      <c r="Q9" s="27">
        <f t="shared" si="2"/>
        <v>38022303.719999999</v>
      </c>
    </row>
    <row r="10" spans="1:26" s="27" customFormat="1" ht="30.75" customHeight="1" x14ac:dyDescent="0.35">
      <c r="A10" s="209"/>
      <c r="B10" s="81" t="s">
        <v>4</v>
      </c>
      <c r="C10" s="55">
        <f>+Tableau2[[#This Row],[KDU]]</f>
        <v>48635.77</v>
      </c>
      <c r="D10" s="55">
        <f>+Tableau3[[#This Row],[KDU]]</f>
        <v>0</v>
      </c>
      <c r="E10" s="55">
        <f>+Tableau4[[#This Row],[KDU]]</f>
        <v>0</v>
      </c>
      <c r="F10" s="55">
        <f>+Tableau5[[#This Row],[KDU]]</f>
        <v>0</v>
      </c>
      <c r="G10" s="55">
        <f>+Tableau6[[#This Row],[KDU]]</f>
        <v>0</v>
      </c>
      <c r="H10" s="55">
        <f>+Tableau7[[#This Row],[KDU]]</f>
        <v>86565.51</v>
      </c>
      <c r="I10" s="55">
        <f>+Tableau8[[#This Row],[KDU]]</f>
        <v>162272</v>
      </c>
      <c r="J10" s="55">
        <f>+Tableau9[[#This Row],[KDU]]</f>
        <v>0</v>
      </c>
      <c r="K10" s="55">
        <f>+Tableau10[[#This Row],[KDU]]</f>
        <v>0</v>
      </c>
      <c r="L10" s="55">
        <f>+Tableau11[[#This Row],[KDU]]</f>
        <v>96621.17</v>
      </c>
      <c r="M10" s="55">
        <f>+Tableau12[[#This Row],[KDU]]</f>
        <v>25172.82</v>
      </c>
      <c r="N10" s="55">
        <f>+Tableau13[[#This Row],[KDU]]</f>
        <v>0</v>
      </c>
      <c r="O10" s="55">
        <f t="shared" si="0"/>
        <v>419267.27</v>
      </c>
      <c r="P10" s="27">
        <f t="shared" si="1"/>
        <v>135201.28</v>
      </c>
      <c r="Q10" s="27">
        <f t="shared" si="2"/>
        <v>162272</v>
      </c>
    </row>
    <row r="11" spans="1:26" s="27" customFormat="1" ht="30.75" customHeight="1" thickBot="1" x14ac:dyDescent="0.4">
      <c r="A11" s="210"/>
      <c r="B11" s="82" t="s">
        <v>5</v>
      </c>
      <c r="C11" s="59">
        <f>+Tableau2[[#This Row],[KDU]]</f>
        <v>0</v>
      </c>
      <c r="D11" s="59">
        <f>+Tableau3[[#This Row],[KDU]]</f>
        <v>0</v>
      </c>
      <c r="E11" s="59">
        <f>+Tableau4[[#This Row],[KDU]]</f>
        <v>0</v>
      </c>
      <c r="F11" s="59">
        <f>+Tableau5[[#This Row],[KDU]]</f>
        <v>0</v>
      </c>
      <c r="G11" s="59">
        <f>+Tableau6[[#This Row],[KDU]]</f>
        <v>0</v>
      </c>
      <c r="H11" s="59">
        <f>+Tableau7[[#This Row],[KDU]]</f>
        <v>0</v>
      </c>
      <c r="I11" s="59">
        <f>+Tableau8[[#This Row],[KDU]]</f>
        <v>0</v>
      </c>
      <c r="J11" s="59">
        <f>+Tableau9[[#This Row],[KDU]]</f>
        <v>0</v>
      </c>
      <c r="K11" s="59">
        <f>+Tableau10[[#This Row],[KDU]]</f>
        <v>0</v>
      </c>
      <c r="L11" s="59">
        <f>+Tableau11[[#This Row],[KDU]]</f>
        <v>0</v>
      </c>
      <c r="M11" s="59">
        <f>+Tableau12[[#This Row],[KDU]]</f>
        <v>0</v>
      </c>
      <c r="N11" s="59">
        <f>+Tableau13[[#This Row],[KDU]]</f>
        <v>0</v>
      </c>
      <c r="O11" s="59">
        <f t="shared" si="0"/>
        <v>0</v>
      </c>
      <c r="P11" s="27">
        <f t="shared" si="1"/>
        <v>0</v>
      </c>
      <c r="Q11" s="27">
        <f t="shared" si="2"/>
        <v>0</v>
      </c>
    </row>
    <row r="12" spans="1:26" s="27" customFormat="1" ht="30.75" customHeight="1" thickBot="1" x14ac:dyDescent="0.4">
      <c r="A12" s="211"/>
      <c r="B12" s="83" t="s">
        <v>6</v>
      </c>
      <c r="C12" s="62">
        <f>+Tableau2[[#This Row],[KDU]]</f>
        <v>89242913.609999999</v>
      </c>
      <c r="D12" s="62">
        <f>+Tableau3[[#This Row],[KDU]]</f>
        <v>100027482.61</v>
      </c>
      <c r="E12" s="62">
        <f>+Tableau4[[#This Row],[KDU]]</f>
        <v>98353910.729999989</v>
      </c>
      <c r="F12" s="62">
        <f>+Tableau5[[#This Row],[KDU]]</f>
        <v>50777878.719999999</v>
      </c>
      <c r="G12" s="62">
        <f>+Tableau6[[#This Row],[KDU]]</f>
        <v>76351086.25999999</v>
      </c>
      <c r="H12" s="62">
        <f>+Tableau7[[#This Row],[KDU]]</f>
        <v>155696044.62</v>
      </c>
      <c r="I12" s="62">
        <f>+Tableau8[[#This Row],[KDU]]</f>
        <v>78589266.530000001</v>
      </c>
      <c r="J12" s="62">
        <f>+Tableau9[[#This Row],[KDU]]</f>
        <v>108679823.61</v>
      </c>
      <c r="K12" s="62">
        <f>+Tableau10[[#This Row],[KDU]]</f>
        <v>124645267.48</v>
      </c>
      <c r="L12" s="62">
        <f>+Tableau11[[#This Row],[KDU]]</f>
        <v>156412116.09</v>
      </c>
      <c r="M12" s="62">
        <f>+Tableau12[[#This Row],[KDU]]</f>
        <v>137645395.63</v>
      </c>
      <c r="N12" s="62">
        <f>+Tableau13[[#This Row],[KDU]]</f>
        <v>150644969.70000008</v>
      </c>
      <c r="O12" s="62">
        <f t="shared" si="0"/>
        <v>1327066155.5899999</v>
      </c>
      <c r="P12" s="27">
        <f t="shared" si="1"/>
        <v>570449316.54999995</v>
      </c>
      <c r="Q12" s="27">
        <f t="shared" si="2"/>
        <v>311914357.62</v>
      </c>
    </row>
    <row r="13" spans="1:26" s="32" customFormat="1" ht="30.75" customHeight="1" x14ac:dyDescent="0.35">
      <c r="A13" s="212">
        <v>60</v>
      </c>
      <c r="B13" s="84" t="s">
        <v>7</v>
      </c>
      <c r="C13" s="65">
        <f>+Tableau2[[#This Row],[KDU]]</f>
        <v>83324416.900000006</v>
      </c>
      <c r="D13" s="65">
        <f>+Tableau3[[#This Row],[KDU]]</f>
        <v>79303120.420000002</v>
      </c>
      <c r="E13" s="65">
        <f>+Tableau4[[#This Row],[KDU]]</f>
        <v>79825070.290000007</v>
      </c>
      <c r="F13" s="65">
        <f>+Tableau5[[#This Row],[KDU]]</f>
        <v>43933429.219999999</v>
      </c>
      <c r="G13" s="65">
        <f>+Tableau6[[#This Row],[KDU]]</f>
        <v>52125817.060000002</v>
      </c>
      <c r="H13" s="65">
        <f>+Tableau7[[#This Row],[KDU]]</f>
        <v>116097130.69</v>
      </c>
      <c r="I13" s="65">
        <f>+Tableau8[[#This Row],[KDU]]</f>
        <v>58733137.509999998</v>
      </c>
      <c r="J13" s="65">
        <f>+Tableau9[[#This Row],[KDU]]</f>
        <v>88947892.609999999</v>
      </c>
      <c r="K13" s="65">
        <f>+Tableau10[[#This Row],[KDU]]</f>
        <v>92051105.540000007</v>
      </c>
      <c r="L13" s="65">
        <f>+Tableau11[[#This Row],[KDU]]</f>
        <v>133844093.31999999</v>
      </c>
      <c r="M13" s="65">
        <f>+Tableau12[[#This Row],[KDU]]</f>
        <v>92003714.959999993</v>
      </c>
      <c r="N13" s="65">
        <f>+Tableau13[[#This Row],[KDU]]</f>
        <v>114330015.73</v>
      </c>
      <c r="O13" s="65">
        <f t="shared" si="0"/>
        <v>1034518944.25</v>
      </c>
      <c r="P13" s="32">
        <f t="shared" si="1"/>
        <v>454608984.58000004</v>
      </c>
      <c r="Q13" s="32">
        <f t="shared" si="2"/>
        <v>239732135.66000003</v>
      </c>
    </row>
    <row r="14" spans="1:26" s="32" customFormat="1" ht="30.75" customHeight="1" thickBot="1" x14ac:dyDescent="0.4">
      <c r="A14" s="213" t="s">
        <v>8</v>
      </c>
      <c r="B14" s="82" t="s">
        <v>43</v>
      </c>
      <c r="C14" s="59">
        <f>+Tableau2[[#This Row],[KDU]]</f>
        <v>5753147.1399999997</v>
      </c>
      <c r="D14" s="59">
        <f>+Tableau3[[#This Row],[KDU]]</f>
        <v>4060890.25</v>
      </c>
      <c r="E14" s="59">
        <f>+Tableau4[[#This Row],[KDU]]</f>
        <v>3712313.88</v>
      </c>
      <c r="F14" s="59">
        <f>+Tableau5[[#This Row],[KDU]]</f>
        <v>2861996.96</v>
      </c>
      <c r="G14" s="59">
        <f>+Tableau6[[#This Row],[KDU]]</f>
        <v>3996873.31</v>
      </c>
      <c r="H14" s="59">
        <f>+Tableau7[[#This Row],[KDU]]</f>
        <v>5391578.8200000003</v>
      </c>
      <c r="I14" s="59">
        <f>+Tableau8[[#This Row],[KDU]]</f>
        <v>6560439.0499999998</v>
      </c>
      <c r="J14" s="59">
        <f>+Tableau9[[#This Row],[KDU]]</f>
        <v>7194213.7599999998</v>
      </c>
      <c r="K14" s="59">
        <f>+Tableau10[[#This Row],[KDU]]</f>
        <v>7076534.7999999998</v>
      </c>
      <c r="L14" s="59">
        <f>+Tableau11[[#This Row],[KDU]]</f>
        <v>7965855.4199999999</v>
      </c>
      <c r="M14" s="59">
        <f>+Tableau12[[#This Row],[KDU]]</f>
        <v>5561229.5099999998</v>
      </c>
      <c r="N14" s="59">
        <f>+Tableau13[[#This Row],[KDU]]</f>
        <v>8509485.4499999993</v>
      </c>
      <c r="O14" s="77">
        <f t="shared" si="0"/>
        <v>68644558.349999994</v>
      </c>
      <c r="P14" s="32">
        <f t="shared" si="1"/>
        <v>25776800.359999999</v>
      </c>
      <c r="Q14" s="240">
        <f t="shared" si="2"/>
        <v>20831187.609999999</v>
      </c>
    </row>
    <row r="15" spans="1:26" s="27" customFormat="1" ht="30.75" customHeight="1" thickBot="1" x14ac:dyDescent="0.4">
      <c r="A15" s="214" t="s">
        <v>9</v>
      </c>
      <c r="B15" s="85" t="s">
        <v>10</v>
      </c>
      <c r="C15" s="62">
        <f>+Tableau2[[#This Row],[KDU]]</f>
        <v>89077564.040000007</v>
      </c>
      <c r="D15" s="62">
        <f>+Tableau3[[#This Row],[KDU]]</f>
        <v>83364010.670000002</v>
      </c>
      <c r="E15" s="62">
        <f>+Tableau4[[#This Row],[KDU]]</f>
        <v>83537384.170000002</v>
      </c>
      <c r="F15" s="62">
        <f>+Tableau5[[#This Row],[KDU]]</f>
        <v>46795426.18</v>
      </c>
      <c r="G15" s="62">
        <f>+Tableau6[[#This Row],[KDU]]</f>
        <v>56122690.370000005</v>
      </c>
      <c r="H15" s="62">
        <f>+Tableau7[[#This Row],[KDU]]</f>
        <v>121488709.50999999</v>
      </c>
      <c r="I15" s="62">
        <f>+Tableau8[[#This Row],[KDU]]</f>
        <v>65293576.559999995</v>
      </c>
      <c r="J15" s="62">
        <f>+Tableau9[[#This Row],[KDU]]</f>
        <v>96142106.370000005</v>
      </c>
      <c r="K15" s="62">
        <f>+Tableau10[[#This Row],[KDU]]</f>
        <v>99127640.340000004</v>
      </c>
      <c r="L15" s="62">
        <f>+Tableau11[[#This Row],[KDU]]</f>
        <v>141809948.73999998</v>
      </c>
      <c r="M15" s="62">
        <f>+Tableau12[[#This Row],[KDU]]</f>
        <v>97564944.469999999</v>
      </c>
      <c r="N15" s="62">
        <f>+Tableau13[[#This Row],[KDU]]</f>
        <v>122839501.18000001</v>
      </c>
      <c r="O15" s="62">
        <f t="shared" si="0"/>
        <v>1103163502.6000001</v>
      </c>
      <c r="P15" s="27">
        <f t="shared" si="1"/>
        <v>480385784.94</v>
      </c>
      <c r="Q15" s="27">
        <f t="shared" si="2"/>
        <v>260563323.27000001</v>
      </c>
    </row>
    <row r="16" spans="1:26" s="27" customFormat="1" ht="30.75" customHeight="1" thickBot="1" x14ac:dyDescent="0.4">
      <c r="A16" s="215" t="s">
        <v>11</v>
      </c>
      <c r="B16" s="86" t="s">
        <v>12</v>
      </c>
      <c r="C16" s="68">
        <f>+Tableau2[[#This Row],[KDU]]</f>
        <v>165349.56999999285</v>
      </c>
      <c r="D16" s="68">
        <f>+Tableau3[[#This Row],[KDU]]</f>
        <v>16663471.939999998</v>
      </c>
      <c r="E16" s="68">
        <f>+Tableau4[[#This Row],[KDU]]</f>
        <v>14816526.559999987</v>
      </c>
      <c r="F16" s="68">
        <f>+Tableau5[[#This Row],[KDU]]</f>
        <v>3982452.5399999991</v>
      </c>
      <c r="G16" s="68">
        <f>+Tableau6[[#This Row],[KDU]]</f>
        <v>20228395.889999986</v>
      </c>
      <c r="H16" s="68">
        <f>+Tableau7[[#This Row],[KDU]]</f>
        <v>34207335.110000014</v>
      </c>
      <c r="I16" s="68">
        <f>+Tableau8[[#This Row],[KDU]]</f>
        <v>13295689.970000006</v>
      </c>
      <c r="J16" s="68">
        <f>+Tableau9[[#This Row],[KDU]]</f>
        <v>12537717.239999995</v>
      </c>
      <c r="K16" s="68">
        <f>+Tableau10[[#This Row],[KDU]]</f>
        <v>25517627.140000001</v>
      </c>
      <c r="L16" s="68">
        <f>+Tableau11[[#This Row],[KDU]]</f>
        <v>14602167.350000024</v>
      </c>
      <c r="M16" s="68">
        <f>+Tableau12[[#This Row],[KDU]]</f>
        <v>40080451.159999996</v>
      </c>
      <c r="N16" s="68">
        <f>+Tableau13[[#This Row],[KDU]]</f>
        <v>27805468.52000007</v>
      </c>
      <c r="O16" s="68">
        <f t="shared" si="0"/>
        <v>223902652.99000007</v>
      </c>
      <c r="P16" s="27">
        <f t="shared" si="1"/>
        <v>90063531.609999985</v>
      </c>
      <c r="Q16" s="27">
        <f t="shared" si="2"/>
        <v>51351034.350000001</v>
      </c>
    </row>
    <row r="17" spans="1:17" s="32" customFormat="1" ht="30.75" customHeight="1" x14ac:dyDescent="0.35">
      <c r="A17" s="212">
        <v>63</v>
      </c>
      <c r="B17" s="84" t="s">
        <v>44</v>
      </c>
      <c r="C17" s="65">
        <f>+Tableau2[[#This Row],[KDU]]</f>
        <v>24530168.539999999</v>
      </c>
      <c r="D17" s="65">
        <f>+Tableau3[[#This Row],[KDU]]</f>
        <v>24716853.559999999</v>
      </c>
      <c r="E17" s="65">
        <f>+Tableau4[[#This Row],[KDU]]</f>
        <v>25351356.780000001</v>
      </c>
      <c r="F17" s="65">
        <f>+Tableau5[[#This Row],[KDU]]</f>
        <v>26275869.91</v>
      </c>
      <c r="G17" s="65">
        <f>+Tableau6[[#This Row],[KDU]]</f>
        <v>25033281.07</v>
      </c>
      <c r="H17" s="65">
        <f>+Tableau7[[#This Row],[KDU]]</f>
        <v>25304594.280000001</v>
      </c>
      <c r="I17" s="65">
        <f>+Tableau8[[#This Row],[KDU]]</f>
        <v>34327042.759999998</v>
      </c>
      <c r="J17" s="65">
        <f>+Tableau9[[#This Row],[KDU]]</f>
        <v>30498273.41</v>
      </c>
      <c r="K17" s="65">
        <f>+Tableau10[[#This Row],[KDU]]</f>
        <v>29603671.73</v>
      </c>
      <c r="L17" s="65">
        <f>+Tableau11[[#This Row],[KDU]]</f>
        <v>30555508.739999998</v>
      </c>
      <c r="M17" s="65">
        <f>+Tableau12[[#This Row],[KDU]]</f>
        <v>30827675.829999998</v>
      </c>
      <c r="N17" s="65">
        <f>+Tableau13[[#This Row],[KDU]]</f>
        <v>13651820.65</v>
      </c>
      <c r="O17" s="65">
        <f t="shared" si="0"/>
        <v>320676117.25999993</v>
      </c>
      <c r="P17" s="32">
        <f t="shared" si="1"/>
        <v>151212124.13999999</v>
      </c>
      <c r="Q17" s="32">
        <f t="shared" si="2"/>
        <v>94428987.900000006</v>
      </c>
    </row>
    <row r="18" spans="1:17" s="32" customFormat="1" ht="30.75" customHeight="1" thickBot="1" x14ac:dyDescent="0.4">
      <c r="A18" s="213">
        <v>64</v>
      </c>
      <c r="B18" s="82" t="s">
        <v>13</v>
      </c>
      <c r="C18" s="59">
        <f>+Tableau2[[#This Row],[KDU]]</f>
        <v>280496</v>
      </c>
      <c r="D18" s="59">
        <f>+Tableau3[[#This Row],[KDU]]</f>
        <v>587126.56000000006</v>
      </c>
      <c r="E18" s="59">
        <f>+Tableau4[[#This Row],[KDU]]</f>
        <v>514724</v>
      </c>
      <c r="F18" s="59">
        <f>+Tableau5[[#This Row],[KDU]]</f>
        <v>448863.96</v>
      </c>
      <c r="G18" s="59">
        <f>+Tableau6[[#This Row],[KDU]]</f>
        <v>715012.56</v>
      </c>
      <c r="H18" s="59">
        <f>+Tableau7[[#This Row],[KDU]]</f>
        <v>1004141.23</v>
      </c>
      <c r="I18" s="59">
        <f>+Tableau8[[#This Row],[KDU]]</f>
        <v>725497</v>
      </c>
      <c r="J18" s="59">
        <f>+Tableau9[[#This Row],[KDU]]</f>
        <v>802948</v>
      </c>
      <c r="K18" s="59">
        <f>+Tableau10[[#This Row],[KDU]]</f>
        <v>1211860</v>
      </c>
      <c r="L18" s="59">
        <f>+Tableau11[[#This Row],[KDU]]</f>
        <v>990138.6</v>
      </c>
      <c r="M18" s="59">
        <f>+Tableau12[[#This Row],[KDU]]</f>
        <v>1223509</v>
      </c>
      <c r="N18" s="59">
        <f>+Tableau13[[#This Row],[KDU]]</f>
        <v>1373872.88</v>
      </c>
      <c r="O18" s="59">
        <f t="shared" si="0"/>
        <v>9878189.7899999991</v>
      </c>
      <c r="P18" s="32">
        <f t="shared" si="1"/>
        <v>3550364.31</v>
      </c>
      <c r="Q18" s="32">
        <f t="shared" si="2"/>
        <v>2740305</v>
      </c>
    </row>
    <row r="19" spans="1:17" s="27" customFormat="1" ht="30.75" customHeight="1" thickBot="1" x14ac:dyDescent="0.4">
      <c r="A19" s="214" t="s">
        <v>14</v>
      </c>
      <c r="B19" s="85" t="s">
        <v>15</v>
      </c>
      <c r="C19" s="62">
        <f>+Tableau2[[#This Row],[KDU]]</f>
        <v>-24645314.970000006</v>
      </c>
      <c r="D19" s="62">
        <f>+Tableau3[[#This Row],[KDU]]</f>
        <v>-8640508.1800000016</v>
      </c>
      <c r="E19" s="62">
        <f>+Tableau4[[#This Row],[KDU]]</f>
        <v>-11049554.220000014</v>
      </c>
      <c r="F19" s="62">
        <f>+Tableau5[[#This Row],[KDU]]</f>
        <v>-22742281.330000002</v>
      </c>
      <c r="G19" s="62">
        <f>+Tableau6[[#This Row],[KDU]]</f>
        <v>-5519897.7400000151</v>
      </c>
      <c r="H19" s="62">
        <f>+Tableau7[[#This Row],[KDU]]</f>
        <v>7898599.6000000127</v>
      </c>
      <c r="I19" s="62">
        <f>+Tableau8[[#This Row],[KDU]]</f>
        <v>-21756849.789999992</v>
      </c>
      <c r="J19" s="62">
        <f>+Tableau9[[#This Row],[KDU]]</f>
        <v>-18763504.170000006</v>
      </c>
      <c r="K19" s="62">
        <f>+Tableau10[[#This Row],[KDU]]</f>
        <v>-5297904.59</v>
      </c>
      <c r="L19" s="62">
        <f>+Tableau11[[#This Row],[KDU]]</f>
        <v>-16943479.989999976</v>
      </c>
      <c r="M19" s="62">
        <f>+Tableau12[[#This Row],[KDU]]</f>
        <v>8029266.3299999982</v>
      </c>
      <c r="N19" s="62">
        <f>+Tableau13[[#This Row],[KDU]]</f>
        <v>12779774.990000069</v>
      </c>
      <c r="O19" s="62">
        <f t="shared" si="0"/>
        <v>-106651654.05999993</v>
      </c>
      <c r="P19" s="27">
        <f t="shared" si="1"/>
        <v>-64698956.840000018</v>
      </c>
      <c r="Q19" s="27">
        <f t="shared" si="2"/>
        <v>-45818258.549999997</v>
      </c>
    </row>
    <row r="20" spans="1:17" s="32" customFormat="1" ht="30.75" customHeight="1" x14ac:dyDescent="0.35">
      <c r="A20" s="212">
        <v>75</v>
      </c>
      <c r="B20" s="84" t="s">
        <v>16</v>
      </c>
      <c r="C20" s="52">
        <f>+Tableau2[[#This Row],[KDU]]</f>
        <v>45000.02</v>
      </c>
      <c r="D20" s="52">
        <f>+Tableau3[[#This Row],[KDU]]</f>
        <v>72881.19</v>
      </c>
      <c r="E20" s="52">
        <f>+Tableau4[[#This Row],[KDU]]</f>
        <v>0</v>
      </c>
      <c r="F20" s="52">
        <f>+Tableau5[[#This Row],[KDU]]</f>
        <v>0.01</v>
      </c>
      <c r="G20" s="52">
        <f>+Tableau6[[#This Row],[KDU]]</f>
        <v>114902.56</v>
      </c>
      <c r="H20" s="52">
        <f>+Tableau7[[#This Row],[KDU]]</f>
        <v>108168.97</v>
      </c>
      <c r="I20" s="52">
        <f>+Tableau8[[#This Row],[KDU]]</f>
        <v>10395.09</v>
      </c>
      <c r="J20" s="52">
        <f>+Tableau9[[#This Row],[KDU]]</f>
        <v>37903.760000000002</v>
      </c>
      <c r="K20" s="52">
        <f>+Tableau10[[#This Row],[KDU]]</f>
        <v>150891.06</v>
      </c>
      <c r="L20" s="52">
        <f>+Tableau11[[#This Row],[KDU]]</f>
        <v>3.56</v>
      </c>
      <c r="M20" s="52">
        <f>+Tableau12[[#This Row],[KDU]]</f>
        <v>73266.94</v>
      </c>
      <c r="N20" s="52">
        <f>+Tableau13[[#This Row],[KDU]]</f>
        <v>212226.62</v>
      </c>
      <c r="O20" s="52">
        <f t="shared" si="0"/>
        <v>825639.78000000014</v>
      </c>
      <c r="P20" s="32">
        <f t="shared" si="1"/>
        <v>340952.75</v>
      </c>
      <c r="Q20" s="32">
        <f t="shared" si="2"/>
        <v>199189.91</v>
      </c>
    </row>
    <row r="21" spans="1:17" s="32" customFormat="1" ht="30.75" customHeight="1" x14ac:dyDescent="0.35">
      <c r="A21" s="216">
        <v>65</v>
      </c>
      <c r="B21" s="81" t="s">
        <v>17</v>
      </c>
      <c r="C21" s="55">
        <f>+Tableau2[[#This Row],[KDU]]</f>
        <v>1267.48</v>
      </c>
      <c r="D21" s="55">
        <f>+Tableau3[[#This Row],[KDU]]</f>
        <v>0</v>
      </c>
      <c r="E21" s="55">
        <f>+Tableau4[[#This Row],[KDU]]</f>
        <v>0.71</v>
      </c>
      <c r="F21" s="55">
        <f>+Tableau5[[#This Row],[KDU]]</f>
        <v>0</v>
      </c>
      <c r="G21" s="55">
        <f>+Tableau6[[#This Row],[KDU]]</f>
        <v>0.01</v>
      </c>
      <c r="H21" s="55">
        <f>+Tableau7[[#This Row],[KDU]]</f>
        <v>2042.07</v>
      </c>
      <c r="I21" s="55">
        <f>+Tableau8[[#This Row],[KDU]]</f>
        <v>161040.74</v>
      </c>
      <c r="J21" s="55">
        <f>+Tableau9[[#This Row],[KDU]]</f>
        <v>102438.28</v>
      </c>
      <c r="K21" s="55">
        <f>+Tableau10[[#This Row],[KDU]]</f>
        <v>1.47</v>
      </c>
      <c r="L21" s="55">
        <f>+Tableau11[[#This Row],[KDU]]</f>
        <v>39.630000000000003</v>
      </c>
      <c r="M21" s="55">
        <f>+Tableau12[[#This Row],[KDU]]</f>
        <v>0.02</v>
      </c>
      <c r="N21" s="55">
        <f>+Tableau13[[#This Row],[KDU]]</f>
        <v>2065345.55</v>
      </c>
      <c r="O21" s="55">
        <f t="shared" si="0"/>
        <v>2332175.96</v>
      </c>
      <c r="P21" s="32">
        <f t="shared" si="1"/>
        <v>3310.27</v>
      </c>
      <c r="Q21" s="32">
        <f t="shared" si="2"/>
        <v>263480.49</v>
      </c>
    </row>
    <row r="22" spans="1:17" s="27" customFormat="1" ht="30.75" customHeight="1" x14ac:dyDescent="0.35">
      <c r="A22" s="216"/>
      <c r="B22" s="87" t="s">
        <v>18</v>
      </c>
      <c r="C22" s="71">
        <f>+Tableau2[[#This Row],[KDU]]</f>
        <v>0</v>
      </c>
      <c r="D22" s="71">
        <f>+Tableau3[[#This Row],[KDU]]</f>
        <v>0</v>
      </c>
      <c r="E22" s="71">
        <f>+Tableau4[[#This Row],[KDU]]</f>
        <v>0</v>
      </c>
      <c r="F22" s="71">
        <f>+Tableau5[[#This Row],[KDU]]</f>
        <v>0</v>
      </c>
      <c r="G22" s="71">
        <f>+Tableau6[[#This Row],[KDU]]</f>
        <v>0</v>
      </c>
      <c r="H22" s="71">
        <f>+Tableau7[[#This Row],[KDU]]</f>
        <v>0</v>
      </c>
      <c r="I22" s="71">
        <f>+Tableau8[[#This Row],[KDU]]</f>
        <v>0</v>
      </c>
      <c r="J22" s="71">
        <f>+Tableau9[[#This Row],[KDU]]</f>
        <v>0</v>
      </c>
      <c r="K22" s="71">
        <f>+Tableau10[[#This Row],[KDU]]</f>
        <v>0</v>
      </c>
      <c r="L22" s="71">
        <f>+Tableau11[[#This Row],[KDU]]</f>
        <v>0</v>
      </c>
      <c r="M22" s="71">
        <f>+Tableau12[[#This Row],[KDU]]</f>
        <v>0</v>
      </c>
      <c r="N22" s="71">
        <f>+Tableau13[[#This Row],[KDU]]</f>
        <v>0</v>
      </c>
      <c r="O22" s="71">
        <f t="shared" si="0"/>
        <v>0</v>
      </c>
      <c r="P22" s="27">
        <f t="shared" si="1"/>
        <v>0</v>
      </c>
      <c r="Q22" s="27">
        <f t="shared" si="2"/>
        <v>0</v>
      </c>
    </row>
    <row r="23" spans="1:17" s="27" customFormat="1" ht="30.75" customHeight="1" x14ac:dyDescent="0.35">
      <c r="A23" s="216"/>
      <c r="B23" s="87" t="s">
        <v>19</v>
      </c>
      <c r="C23" s="71">
        <f>+Tableau2[[#This Row],[KDU]]</f>
        <v>0</v>
      </c>
      <c r="D23" s="71">
        <f>+Tableau3[[#This Row],[KDU]]</f>
        <v>0</v>
      </c>
      <c r="E23" s="71">
        <f>+Tableau4[[#This Row],[KDU]]</f>
        <v>0</v>
      </c>
      <c r="F23" s="71">
        <f>+Tableau5[[#This Row],[KDU]]</f>
        <v>0</v>
      </c>
      <c r="G23" s="71">
        <f>+Tableau6[[#This Row],[KDU]]</f>
        <v>0</v>
      </c>
      <c r="H23" s="71">
        <f>+Tableau7[[#This Row],[KDU]]</f>
        <v>0</v>
      </c>
      <c r="I23" s="71">
        <f>+Tableau8[[#This Row],[KDU]]</f>
        <v>0</v>
      </c>
      <c r="J23" s="71">
        <f>+Tableau9[[#This Row],[KDU]]</f>
        <v>0</v>
      </c>
      <c r="K23" s="71">
        <f>+Tableau10[[#This Row],[KDU]]</f>
        <v>0</v>
      </c>
      <c r="L23" s="71">
        <f>+Tableau11[[#This Row],[KDU]]</f>
        <v>0</v>
      </c>
      <c r="M23" s="71">
        <f>+Tableau12[[#This Row],[KDU]]</f>
        <v>0</v>
      </c>
      <c r="N23" s="71">
        <f>+Tableau13[[#This Row],[KDU]]</f>
        <v>0</v>
      </c>
      <c r="O23" s="71">
        <f t="shared" si="0"/>
        <v>0</v>
      </c>
      <c r="P23" s="27">
        <f t="shared" si="1"/>
        <v>0</v>
      </c>
      <c r="Q23" s="27">
        <f t="shared" si="2"/>
        <v>0</v>
      </c>
    </row>
    <row r="24" spans="1:17" s="32" customFormat="1" ht="30.75" customHeight="1" x14ac:dyDescent="0.35">
      <c r="A24" s="216">
        <v>68</v>
      </c>
      <c r="B24" s="81" t="s">
        <v>20</v>
      </c>
      <c r="C24" s="55">
        <f>+Tableau2[[#This Row],[KDU]]</f>
        <v>5681285.1900000004</v>
      </c>
      <c r="D24" s="55">
        <f>+Tableau3[[#This Row],[KDU]]</f>
        <v>5756548.6100000003</v>
      </c>
      <c r="E24" s="55">
        <f>+Tableau4[[#This Row],[KDU]]</f>
        <v>5758810.4500000002</v>
      </c>
      <c r="F24" s="55">
        <f>+Tableau5[[#This Row],[KDU]]</f>
        <v>5801461.9100000001</v>
      </c>
      <c r="G24" s="55">
        <f>+Tableau6[[#This Row],[KDU]]</f>
        <v>5801461.9100000001</v>
      </c>
      <c r="H24" s="55">
        <f>+Tableau7[[#This Row],[KDU]]</f>
        <v>5801861.9100000001</v>
      </c>
      <c r="I24" s="55">
        <f>+Tableau8[[#This Row],[KDU]]</f>
        <v>5801861.2999999998</v>
      </c>
      <c r="J24" s="55">
        <f>+Tableau9[[#This Row],[KDU]]</f>
        <v>5815304.4699999997</v>
      </c>
      <c r="K24" s="55">
        <f>+Tableau10[[#This Row],[KDU]]</f>
        <v>5815216.2599999998</v>
      </c>
      <c r="L24" s="55">
        <f>+Tableau11[[#This Row],[KDU]]</f>
        <v>5872978.7400000002</v>
      </c>
      <c r="M24" s="55">
        <f>+Tableau12[[#This Row],[KDU]]</f>
        <v>5894971.8700000001</v>
      </c>
      <c r="N24" s="55">
        <f>+Tableau13[[#This Row],[KDU]]</f>
        <v>-21967799.649999999</v>
      </c>
      <c r="O24" s="55">
        <f t="shared" si="0"/>
        <v>41833962.969999999</v>
      </c>
      <c r="P24" s="32">
        <f t="shared" si="1"/>
        <v>34601429.980000004</v>
      </c>
      <c r="Q24" s="32">
        <f t="shared" si="2"/>
        <v>17432382.030000001</v>
      </c>
    </row>
    <row r="25" spans="1:17" s="32" customFormat="1" ht="30.75" customHeight="1" thickBot="1" x14ac:dyDescent="0.4">
      <c r="A25" s="213">
        <v>78</v>
      </c>
      <c r="B25" s="82" t="s">
        <v>21</v>
      </c>
      <c r="C25" s="59">
        <f>+Tableau2[[#This Row],[KDU]]</f>
        <v>0</v>
      </c>
      <c r="D25" s="59">
        <f>+Tableau3[[#This Row],[KDU]]</f>
        <v>0</v>
      </c>
      <c r="E25" s="59">
        <f>+Tableau4[[#This Row],[KDU]]</f>
        <v>0</v>
      </c>
      <c r="F25" s="59">
        <f>+Tableau5[[#This Row],[KDU]]</f>
        <v>0</v>
      </c>
      <c r="G25" s="59">
        <f>+Tableau6[[#This Row],[KDU]]</f>
        <v>0</v>
      </c>
      <c r="H25" s="59">
        <f>+Tableau7[[#This Row],[KDU]]</f>
        <v>0</v>
      </c>
      <c r="I25" s="59">
        <f>+Tableau8[[#This Row],[KDU]]</f>
        <v>0</v>
      </c>
      <c r="J25" s="59">
        <f>+Tableau9[[#This Row],[KDU]]</f>
        <v>0</v>
      </c>
      <c r="K25" s="59">
        <f>+Tableau10[[#This Row],[KDU]]</f>
        <v>0</v>
      </c>
      <c r="L25" s="59">
        <f>+Tableau11[[#This Row],[KDU]]</f>
        <v>0</v>
      </c>
      <c r="M25" s="59">
        <f>+Tableau12[[#This Row],[KDU]]</f>
        <v>0</v>
      </c>
      <c r="N25" s="59">
        <f>+Tableau13[[#This Row],[KDU]]</f>
        <v>85657724.030000001</v>
      </c>
      <c r="O25" s="59">
        <f t="shared" si="0"/>
        <v>85657724.030000001</v>
      </c>
      <c r="P25" s="32">
        <f t="shared" si="1"/>
        <v>0</v>
      </c>
      <c r="Q25" s="32">
        <f t="shared" si="2"/>
        <v>0</v>
      </c>
    </row>
    <row r="26" spans="1:17" s="27" customFormat="1" ht="30.75" customHeight="1" thickBot="1" x14ac:dyDescent="0.4">
      <c r="A26" s="214" t="s">
        <v>22</v>
      </c>
      <c r="B26" s="85" t="s">
        <v>23</v>
      </c>
      <c r="C26" s="62">
        <f>+Tableau2[[#This Row],[KDU]]</f>
        <v>-30282867.620000008</v>
      </c>
      <c r="D26" s="62">
        <f>+Tableau3[[#This Row],[KDU]]</f>
        <v>-14324175.600000001</v>
      </c>
      <c r="E26" s="62">
        <f>+Tableau4[[#This Row],[KDU]]</f>
        <v>-16808365.380000014</v>
      </c>
      <c r="F26" s="62">
        <f>+Tableau5[[#This Row],[KDU]]</f>
        <v>-28543743.23</v>
      </c>
      <c r="G26" s="62">
        <f>+Tableau6[[#This Row],[KDU]]</f>
        <v>-11206457.100000016</v>
      </c>
      <c r="H26" s="62">
        <f>+Tableau7[[#This Row],[KDU]]</f>
        <v>2202864.590000012</v>
      </c>
      <c r="I26" s="62">
        <f>+Tableau8[[#This Row],[KDU]]</f>
        <v>-27709356.739999991</v>
      </c>
      <c r="J26" s="62">
        <f>+Tableau9[[#This Row],[KDU]]</f>
        <v>-24643343.160000004</v>
      </c>
      <c r="K26" s="62">
        <f>+Tableau10[[#This Row],[KDU]]</f>
        <v>-10962231.26</v>
      </c>
      <c r="L26" s="62">
        <f>+Tableau11[[#This Row],[KDU]]</f>
        <v>-22816494.799999978</v>
      </c>
      <c r="M26" s="62">
        <f>+Tableau12[[#This Row],[KDU]]</f>
        <v>2207561.379999999</v>
      </c>
      <c r="N26" s="62">
        <f>+Tableau13[[#This Row],[KDU]]</f>
        <v>118552179.74000007</v>
      </c>
      <c r="O26" s="62">
        <f t="shared" si="0"/>
        <v>-64334429.179999918</v>
      </c>
      <c r="P26" s="27">
        <f t="shared" si="1"/>
        <v>-98962744.340000018</v>
      </c>
      <c r="Q26" s="27">
        <f t="shared" si="2"/>
        <v>-63314931.159999989</v>
      </c>
    </row>
    <row r="27" spans="1:17" s="32" customFormat="1" ht="30.75" customHeight="1" x14ac:dyDescent="0.35">
      <c r="A27" s="212">
        <v>76</v>
      </c>
      <c r="B27" s="84" t="s">
        <v>24</v>
      </c>
      <c r="C27" s="52">
        <f>+Tableau2[[#This Row],[KDU]]</f>
        <v>105137.29</v>
      </c>
      <c r="D27" s="52">
        <f>+Tableau3[[#This Row],[KDU]]</f>
        <v>12624.66</v>
      </c>
      <c r="E27" s="52">
        <f>+Tableau4[[#This Row],[KDU]]</f>
        <v>33333.01</v>
      </c>
      <c r="F27" s="52">
        <f>+Tableau5[[#This Row],[KDU]]</f>
        <v>0</v>
      </c>
      <c r="G27" s="52">
        <f>+Tableau6[[#This Row],[KDU]]</f>
        <v>112866.48</v>
      </c>
      <c r="H27" s="52">
        <f>+Tableau7[[#This Row],[KDU]]</f>
        <v>72288.75</v>
      </c>
      <c r="I27" s="52">
        <f>+Tableau8[[#This Row],[KDU]]</f>
        <v>279551.73</v>
      </c>
      <c r="J27" s="52">
        <f>+Tableau9[[#This Row],[KDU]]</f>
        <v>209852.56</v>
      </c>
      <c r="K27" s="52">
        <f>+Tableau10[[#This Row],[KDU]]</f>
        <v>252327.51</v>
      </c>
      <c r="L27" s="52">
        <f>+Tableau11[[#This Row],[KDU]]</f>
        <v>42632.75</v>
      </c>
      <c r="M27" s="52">
        <f>+Tableau12[[#This Row],[KDU]]</f>
        <v>277278.74</v>
      </c>
      <c r="N27" s="52">
        <f>+Tableau13[[#This Row],[KDU]]</f>
        <v>270854.48</v>
      </c>
      <c r="O27" s="52">
        <f t="shared" si="0"/>
        <v>1668747.96</v>
      </c>
      <c r="P27" s="32">
        <f t="shared" si="1"/>
        <v>336250.19</v>
      </c>
      <c r="Q27" s="32">
        <f t="shared" si="2"/>
        <v>741731.8</v>
      </c>
    </row>
    <row r="28" spans="1:17" s="32" customFormat="1" ht="30.75" customHeight="1" thickBot="1" x14ac:dyDescent="0.4">
      <c r="A28" s="213">
        <v>66</v>
      </c>
      <c r="B28" s="82" t="s">
        <v>25</v>
      </c>
      <c r="C28" s="59">
        <f>+Tableau2[[#This Row],[KDU]]</f>
        <v>162173.32999999999</v>
      </c>
      <c r="D28" s="59">
        <f>+Tableau3[[#This Row],[KDU]]</f>
        <v>0</v>
      </c>
      <c r="E28" s="59">
        <f>+Tableau4[[#This Row],[KDU]]</f>
        <v>0</v>
      </c>
      <c r="F28" s="59">
        <f>+Tableau5[[#This Row],[KDU]]</f>
        <v>0</v>
      </c>
      <c r="G28" s="59">
        <f>+Tableau6[[#This Row],[KDU]]</f>
        <v>310127.67</v>
      </c>
      <c r="H28" s="59">
        <f>+Tableau7[[#This Row],[KDU]]</f>
        <v>-11131.66</v>
      </c>
      <c r="I28" s="59">
        <f>+Tableau8[[#This Row],[KDU]]</f>
        <v>218401.17</v>
      </c>
      <c r="J28" s="59">
        <f>+Tableau9[[#This Row],[KDU]]</f>
        <v>309596.71000000002</v>
      </c>
      <c r="K28" s="59">
        <f>+Tableau10[[#This Row],[KDU]]</f>
        <v>104340.67</v>
      </c>
      <c r="L28" s="59">
        <f>+Tableau11[[#This Row],[KDU]]</f>
        <v>20690.27</v>
      </c>
      <c r="M28" s="59">
        <f>+Tableau12[[#This Row],[KDU]]</f>
        <v>266444.57</v>
      </c>
      <c r="N28" s="59">
        <f>+Tableau13[[#This Row],[KDU]]</f>
        <v>4083347.3</v>
      </c>
      <c r="O28" s="59">
        <f t="shared" si="0"/>
        <v>5463990.0299999993</v>
      </c>
      <c r="P28" s="32">
        <f t="shared" si="1"/>
        <v>461169.34</v>
      </c>
      <c r="Q28" s="32">
        <f t="shared" si="2"/>
        <v>632338.55000000005</v>
      </c>
    </row>
    <row r="29" spans="1:17" s="27" customFormat="1" ht="30.75" customHeight="1" thickBot="1" x14ac:dyDescent="0.4">
      <c r="A29" s="214" t="s">
        <v>26</v>
      </c>
      <c r="B29" s="85" t="s">
        <v>27</v>
      </c>
      <c r="C29" s="62">
        <f>+Tableau2[[#This Row],[KDU]]</f>
        <v>-57036.039999999994</v>
      </c>
      <c r="D29" s="62">
        <f>+Tableau3[[#This Row],[KDU]]</f>
        <v>12624.66</v>
      </c>
      <c r="E29" s="62">
        <f>+Tableau4[[#This Row],[KDU]]</f>
        <v>33333.01</v>
      </c>
      <c r="F29" s="62">
        <f>+Tableau5[[#This Row],[KDU]]</f>
        <v>0</v>
      </c>
      <c r="G29" s="62">
        <f>+Tableau6[[#This Row],[KDU]]</f>
        <v>-197261.19</v>
      </c>
      <c r="H29" s="62">
        <f>+Tableau7[[#This Row],[KDU]]</f>
        <v>83420.41</v>
      </c>
      <c r="I29" s="62">
        <f>+Tableau8[[#This Row],[KDU]]</f>
        <v>61150.559999999969</v>
      </c>
      <c r="J29" s="62">
        <f>+Tableau9[[#This Row],[KDU]]</f>
        <v>-99744.150000000023</v>
      </c>
      <c r="K29" s="62">
        <f>+Tableau10[[#This Row],[KDU]]</f>
        <v>147986.84000000003</v>
      </c>
      <c r="L29" s="62">
        <f>+Tableau11[[#This Row],[KDU]]</f>
        <v>21942.48</v>
      </c>
      <c r="M29" s="62">
        <f>+Tableau12[[#This Row],[KDU]]</f>
        <v>10834.169999999984</v>
      </c>
      <c r="N29" s="62">
        <f>+Tableau13[[#This Row],[KDU]]</f>
        <v>-3812492.82</v>
      </c>
      <c r="O29" s="62">
        <f t="shared" si="0"/>
        <v>-3795242.07</v>
      </c>
      <c r="P29" s="27">
        <f t="shared" si="1"/>
        <v>-124919.15</v>
      </c>
      <c r="Q29" s="27">
        <f t="shared" si="2"/>
        <v>109393.24999999997</v>
      </c>
    </row>
    <row r="30" spans="1:17" s="27" customFormat="1" ht="30.75" customHeight="1" thickBot="1" x14ac:dyDescent="0.4">
      <c r="A30" s="214" t="s">
        <v>28</v>
      </c>
      <c r="B30" s="85" t="s">
        <v>29</v>
      </c>
      <c r="C30" s="62">
        <f>+Tableau2[[#This Row],[KDU]]</f>
        <v>-30339903.660000008</v>
      </c>
      <c r="D30" s="62">
        <f>+Tableau3[[#This Row],[KDU]]</f>
        <v>-14311550.940000001</v>
      </c>
      <c r="E30" s="62">
        <f>+Tableau4[[#This Row],[KDU]]</f>
        <v>-16775032.370000014</v>
      </c>
      <c r="F30" s="62">
        <f>+Tableau5[[#This Row],[KDU]]</f>
        <v>-28543743.23</v>
      </c>
      <c r="G30" s="62">
        <f>+Tableau6[[#This Row],[KDU]]</f>
        <v>-11403718.290000016</v>
      </c>
      <c r="H30" s="62">
        <f>+Tableau7[[#This Row],[KDU]]</f>
        <v>2286285.0000000121</v>
      </c>
      <c r="I30" s="62">
        <f>+Tableau8[[#This Row],[KDU]]</f>
        <v>-27648206.179999992</v>
      </c>
      <c r="J30" s="62">
        <f>+Tableau9[[#This Row],[KDU]]</f>
        <v>-24743087.310000002</v>
      </c>
      <c r="K30" s="62">
        <f>+Tableau10[[#This Row],[KDU]]</f>
        <v>-10814244.42</v>
      </c>
      <c r="L30" s="62">
        <f>+Tableau11[[#This Row],[KDU]]</f>
        <v>-22794552.319999978</v>
      </c>
      <c r="M30" s="62">
        <f>+Tableau12[[#This Row],[KDU]]</f>
        <v>2218395.5499999989</v>
      </c>
      <c r="N30" s="62">
        <f>+Tableau13[[#This Row],[KDU]]</f>
        <v>114739686.92000008</v>
      </c>
      <c r="O30" s="62">
        <f t="shared" si="0"/>
        <v>-68129671.249999881</v>
      </c>
      <c r="P30" s="27">
        <f t="shared" si="1"/>
        <v>-99087663.490000024</v>
      </c>
      <c r="Q30" s="27">
        <f t="shared" si="2"/>
        <v>-63205537.909999996</v>
      </c>
    </row>
    <row r="31" spans="1:17" s="32" customFormat="1" ht="30.75" customHeight="1" x14ac:dyDescent="0.35">
      <c r="A31" s="212" t="s">
        <v>30</v>
      </c>
      <c r="B31" s="84" t="s">
        <v>31</v>
      </c>
      <c r="C31" s="52">
        <f>+Tableau2[[#This Row],[KDU]]</f>
        <v>0</v>
      </c>
      <c r="D31" s="52">
        <f>+Tableau3[[#This Row],[KDU]]</f>
        <v>0</v>
      </c>
      <c r="E31" s="52">
        <f>+Tableau4[[#This Row],[KDU]]</f>
        <v>0</v>
      </c>
      <c r="F31" s="52">
        <f>+Tableau5[[#This Row],[KDU]]</f>
        <v>0</v>
      </c>
      <c r="G31" s="52">
        <f>+Tableau6[[#This Row],[KDU]]</f>
        <v>0</v>
      </c>
      <c r="H31" s="52">
        <f>+Tableau7[[#This Row],[KDU]]</f>
        <v>0</v>
      </c>
      <c r="I31" s="52">
        <f>+Tableau8[[#This Row],[KDU]]</f>
        <v>0</v>
      </c>
      <c r="J31" s="52">
        <f>+Tableau9[[#This Row],[KDU]]</f>
        <v>0</v>
      </c>
      <c r="K31" s="52">
        <f>+Tableau10[[#This Row],[KDU]]</f>
        <v>0</v>
      </c>
      <c r="L31" s="52">
        <f>+Tableau11[[#This Row],[KDU]]</f>
        <v>0</v>
      </c>
      <c r="M31" s="52">
        <f>+Tableau12[[#This Row],[KDU]]</f>
        <v>0</v>
      </c>
      <c r="N31" s="52">
        <f>+Tableau13[[#This Row],[KDU]]</f>
        <v>0</v>
      </c>
      <c r="O31" s="52">
        <f t="shared" si="0"/>
        <v>0</v>
      </c>
      <c r="P31" s="32">
        <f t="shared" si="1"/>
        <v>0</v>
      </c>
      <c r="Q31" s="32">
        <f t="shared" si="2"/>
        <v>0</v>
      </c>
    </row>
    <row r="32" spans="1:17" s="32" customFormat="1" ht="30.75" customHeight="1" x14ac:dyDescent="0.35">
      <c r="A32" s="216" t="s">
        <v>32</v>
      </c>
      <c r="B32" s="81" t="s">
        <v>33</v>
      </c>
      <c r="C32" s="55">
        <f>+Tableau2[[#This Row],[KDU]]</f>
        <v>0</v>
      </c>
      <c r="D32" s="55">
        <f>+Tableau3[[#This Row],[KDU]]</f>
        <v>0</v>
      </c>
      <c r="E32" s="55">
        <f>+Tableau4[[#This Row],[KDU]]</f>
        <v>0</v>
      </c>
      <c r="F32" s="55">
        <f>+Tableau5[[#This Row],[KDU]]</f>
        <v>0</v>
      </c>
      <c r="G32" s="55">
        <f>+Tableau6[[#This Row],[KDU]]</f>
        <v>0</v>
      </c>
      <c r="H32" s="55">
        <f>+Tableau7[[#This Row],[KDU]]</f>
        <v>0</v>
      </c>
      <c r="I32" s="55">
        <f>+Tableau8[[#This Row],[KDU]]</f>
        <v>0</v>
      </c>
      <c r="J32" s="55">
        <f>+Tableau9[[#This Row],[KDU]]</f>
        <v>0</v>
      </c>
      <c r="K32" s="55">
        <f>+Tableau10[[#This Row],[KDU]]</f>
        <v>0</v>
      </c>
      <c r="L32" s="55">
        <f>+Tableau11[[#This Row],[KDU]]</f>
        <v>0</v>
      </c>
      <c r="M32" s="55">
        <f>+Tableau12[[#This Row],[KDU]]</f>
        <v>0</v>
      </c>
      <c r="N32" s="55">
        <f>+Tableau13[[#This Row],[KDU]]</f>
        <v>-17280073.210000001</v>
      </c>
      <c r="O32" s="55">
        <f t="shared" si="0"/>
        <v>-17280073.210000001</v>
      </c>
      <c r="P32" s="32">
        <f t="shared" si="1"/>
        <v>0</v>
      </c>
      <c r="Q32" s="32">
        <f t="shared" si="2"/>
        <v>0</v>
      </c>
    </row>
    <row r="33" spans="1:17" s="37" customFormat="1" ht="30.75" customHeight="1" x14ac:dyDescent="0.35">
      <c r="A33" s="217"/>
      <c r="B33" s="88" t="s">
        <v>45</v>
      </c>
      <c r="C33" s="75">
        <f>+Tableau2[[#This Row],[KDU]]</f>
        <v>89393050.920000002</v>
      </c>
      <c r="D33" s="75">
        <f>+Tableau3[[#This Row],[KDU]]</f>
        <v>100112988.45999999</v>
      </c>
      <c r="E33" s="75">
        <f>+Tableau4[[#This Row],[KDU]]</f>
        <v>98387243.739999995</v>
      </c>
      <c r="F33" s="75">
        <f>+Tableau5[[#This Row],[KDU]]</f>
        <v>50777878.729999997</v>
      </c>
      <c r="G33" s="75">
        <f>+Tableau6[[#This Row],[KDU]]</f>
        <v>76578855.299999997</v>
      </c>
      <c r="H33" s="75">
        <f>+Tableau7[[#This Row],[KDU]]</f>
        <v>155876502.34</v>
      </c>
      <c r="I33" s="75">
        <f>+Tableau8[[#This Row],[KDU]]</f>
        <v>78879213.350000009</v>
      </c>
      <c r="J33" s="75">
        <f>+Tableau9[[#This Row],[KDU]]</f>
        <v>108927579.93000001</v>
      </c>
      <c r="K33" s="75">
        <f>+Tableau10[[#This Row],[KDU]]</f>
        <v>125048486.05000001</v>
      </c>
      <c r="L33" s="75">
        <f>+Tableau11[[#This Row],[KDU]]</f>
        <v>156454752.40000001</v>
      </c>
      <c r="M33" s="75">
        <f>+Tableau12[[#This Row],[KDU]]</f>
        <v>137995941.31</v>
      </c>
      <c r="N33" s="75">
        <f>+Tableau13[[#This Row],[KDU]]</f>
        <v>236785774.83000007</v>
      </c>
      <c r="O33" s="75">
        <f t="shared" si="0"/>
        <v>1415218267.3600001</v>
      </c>
      <c r="P33" s="37">
        <f t="shared" si="1"/>
        <v>571126519.49000001</v>
      </c>
      <c r="Q33" s="37">
        <f t="shared" si="2"/>
        <v>312855279.33000004</v>
      </c>
    </row>
    <row r="34" spans="1:17" s="37" customFormat="1" ht="30.75" customHeight="1" thickBot="1" x14ac:dyDescent="0.4">
      <c r="A34" s="218"/>
      <c r="B34" s="89" t="s">
        <v>46</v>
      </c>
      <c r="C34" s="77">
        <f>+Tableau2[[#This Row],[KDU]]</f>
        <v>119732954.58000001</v>
      </c>
      <c r="D34" s="77">
        <f>+Tableau3[[#This Row],[KDU]]</f>
        <v>114424539.40000001</v>
      </c>
      <c r="E34" s="77">
        <f>+Tableau4[[#This Row],[KDU]]</f>
        <v>115162276.11</v>
      </c>
      <c r="F34" s="77">
        <f>+Tableau5[[#This Row],[KDU]]</f>
        <v>79321621.959999993</v>
      </c>
      <c r="G34" s="77">
        <f>+Tableau6[[#This Row],[KDU]]</f>
        <v>87982573.590000004</v>
      </c>
      <c r="H34" s="77">
        <f>+Tableau7[[#This Row],[KDU]]</f>
        <v>153590217.33999997</v>
      </c>
      <c r="I34" s="77">
        <f>+Tableau8[[#This Row],[KDU]]</f>
        <v>106527419.52999999</v>
      </c>
      <c r="J34" s="77">
        <f>+Tableau9[[#This Row],[KDU]]</f>
        <v>133670667.23999999</v>
      </c>
      <c r="K34" s="77">
        <f>+Tableau10[[#This Row],[KDU]]</f>
        <v>135862730.47</v>
      </c>
      <c r="L34" s="77">
        <f>+Tableau11[[#This Row],[KDU]]</f>
        <v>179249304.72</v>
      </c>
      <c r="M34" s="77">
        <f>+Tableau12[[#This Row],[KDU]]</f>
        <v>135777545.75999999</v>
      </c>
      <c r="N34" s="77">
        <f>+Tableau13[[#This Row],[KDU]]</f>
        <v>139326161.12</v>
      </c>
      <c r="O34" s="77">
        <f t="shared" si="0"/>
        <v>1500628011.8200002</v>
      </c>
      <c r="P34" s="37">
        <f t="shared" si="1"/>
        <v>670214182.98000002</v>
      </c>
      <c r="Q34" s="37">
        <f t="shared" si="2"/>
        <v>376060817.24000001</v>
      </c>
    </row>
    <row r="35" spans="1:17" s="27" customFormat="1" ht="30.75" customHeight="1" thickBot="1" x14ac:dyDescent="0.4">
      <c r="A35" s="214" t="s">
        <v>34</v>
      </c>
      <c r="B35" s="85" t="s">
        <v>35</v>
      </c>
      <c r="C35" s="62">
        <f>+Tableau2[[#This Row],[KDU]]</f>
        <v>-30339903.660000008</v>
      </c>
      <c r="D35" s="62">
        <f>+Tableau3[[#This Row],[KDU]]</f>
        <v>-14311550.940000001</v>
      </c>
      <c r="E35" s="62">
        <f>+Tableau4[[#This Row],[KDU]]</f>
        <v>-16775032.370000014</v>
      </c>
      <c r="F35" s="62">
        <f>+Tableau5[[#This Row],[KDU]]</f>
        <v>-28543743.23</v>
      </c>
      <c r="G35" s="62">
        <f>+Tableau6[[#This Row],[KDU]]</f>
        <v>-11403718.290000016</v>
      </c>
      <c r="H35" s="62">
        <f>+Tableau7[[#This Row],[KDU]]</f>
        <v>2286285.0000000121</v>
      </c>
      <c r="I35" s="62">
        <f>+Tableau8[[#This Row],[KDU]]</f>
        <v>-27648206.179999992</v>
      </c>
      <c r="J35" s="62">
        <f>+Tableau9[[#This Row],[KDU]]</f>
        <v>-24743087.310000002</v>
      </c>
      <c r="K35" s="62">
        <f>+Tableau10[[#This Row],[KDU]]</f>
        <v>-10814244.42</v>
      </c>
      <c r="L35" s="62">
        <f>+Tableau11[[#This Row],[KDU]]</f>
        <v>-22794552.319999978</v>
      </c>
      <c r="M35" s="62">
        <f>+Tableau12[[#This Row],[KDU]]</f>
        <v>2218395.5499999989</v>
      </c>
      <c r="N35" s="62">
        <f>+Tableau13[[#This Row],[KDU]]</f>
        <v>97459613.710000068</v>
      </c>
      <c r="O35" s="62">
        <f t="shared" si="0"/>
        <v>-85409744.459999889</v>
      </c>
      <c r="P35" s="27">
        <f t="shared" si="1"/>
        <v>-99087663.490000024</v>
      </c>
      <c r="Q35" s="27">
        <f t="shared" si="2"/>
        <v>-63205537.909999996</v>
      </c>
    </row>
    <row r="36" spans="1:17" s="32" customFormat="1" ht="30.75" customHeight="1" x14ac:dyDescent="0.35">
      <c r="A36" s="212">
        <v>77</v>
      </c>
      <c r="B36" s="84" t="s">
        <v>36</v>
      </c>
      <c r="C36" s="52">
        <f>+Tableau2[[#This Row],[KDU]]</f>
        <v>0</v>
      </c>
      <c r="D36" s="52">
        <f>+Tableau3[[#This Row],[KDU]]</f>
        <v>0</v>
      </c>
      <c r="E36" s="52">
        <f>+Tableau4[[#This Row],[KDU]]</f>
        <v>0</v>
      </c>
      <c r="F36" s="52">
        <f>+Tableau5[[#This Row],[KDU]]</f>
        <v>0</v>
      </c>
      <c r="G36" s="52">
        <f>+Tableau6[[#This Row],[KDU]]</f>
        <v>0</v>
      </c>
      <c r="H36" s="52">
        <f>+Tableau7[[#This Row],[KDU]]</f>
        <v>0</v>
      </c>
      <c r="I36" s="52">
        <f>+Tableau8[[#This Row],[KDU]]</f>
        <v>0</v>
      </c>
      <c r="J36" s="52">
        <f>+Tableau9[[#This Row],[KDU]]</f>
        <v>0</v>
      </c>
      <c r="K36" s="52">
        <f>+Tableau10[[#This Row],[KDU]]</f>
        <v>0</v>
      </c>
      <c r="L36" s="52">
        <f>+Tableau11[[#This Row],[KDU]]</f>
        <v>0</v>
      </c>
      <c r="M36" s="52">
        <f>+Tableau12[[#This Row],[KDU]]</f>
        <v>0</v>
      </c>
      <c r="N36" s="52">
        <f>+Tableau13[[#This Row],[KDU]]</f>
        <v>0</v>
      </c>
      <c r="O36" s="52">
        <f t="shared" si="0"/>
        <v>0</v>
      </c>
      <c r="P36" s="32">
        <f t="shared" si="1"/>
        <v>0</v>
      </c>
      <c r="Q36" s="32">
        <f t="shared" si="2"/>
        <v>0</v>
      </c>
    </row>
    <row r="37" spans="1:17" s="32" customFormat="1" ht="30.75" customHeight="1" thickBot="1" x14ac:dyDescent="0.4">
      <c r="A37" s="213">
        <v>67</v>
      </c>
      <c r="B37" s="82" t="s">
        <v>37</v>
      </c>
      <c r="C37" s="59">
        <f>+Tableau2[[#This Row],[KDU]]</f>
        <v>0</v>
      </c>
      <c r="D37" s="59">
        <f>+Tableau3[[#This Row],[KDU]]</f>
        <v>0</v>
      </c>
      <c r="E37" s="59">
        <f>+Tableau4[[#This Row],[KDU]]</f>
        <v>0</v>
      </c>
      <c r="F37" s="59">
        <f>+Tableau5[[#This Row],[KDU]]</f>
        <v>0</v>
      </c>
      <c r="G37" s="59">
        <f>+Tableau6[[#This Row],[KDU]]</f>
        <v>0</v>
      </c>
      <c r="H37" s="59">
        <f>+Tableau7[[#This Row],[KDU]]</f>
        <v>0</v>
      </c>
      <c r="I37" s="59">
        <f>+Tableau8[[#This Row],[KDU]]</f>
        <v>0</v>
      </c>
      <c r="J37" s="59">
        <f>+Tableau9[[#This Row],[KDU]]</f>
        <v>0</v>
      </c>
      <c r="K37" s="59">
        <f>+Tableau10[[#This Row],[KDU]]</f>
        <v>0</v>
      </c>
      <c r="L37" s="59">
        <f>+Tableau11[[#This Row],[KDU]]</f>
        <v>0</v>
      </c>
      <c r="M37" s="59">
        <f>+Tableau12[[#This Row],[KDU]]</f>
        <v>0</v>
      </c>
      <c r="N37" s="59">
        <f>+Tableau13[[#This Row],[KDU]]</f>
        <v>0</v>
      </c>
      <c r="O37" s="59">
        <f t="shared" si="0"/>
        <v>0</v>
      </c>
      <c r="P37" s="32">
        <f t="shared" si="1"/>
        <v>0</v>
      </c>
      <c r="Q37" s="32">
        <f t="shared" si="2"/>
        <v>0</v>
      </c>
    </row>
    <row r="38" spans="1:17" s="27" customFormat="1" ht="30.75" customHeight="1" thickBot="1" x14ac:dyDescent="0.4">
      <c r="A38" s="214" t="s">
        <v>38</v>
      </c>
      <c r="B38" s="85" t="s">
        <v>39</v>
      </c>
      <c r="C38" s="62">
        <f>+Tableau2[[#This Row],[KDU]]</f>
        <v>0</v>
      </c>
      <c r="D38" s="62">
        <f>+Tableau3[[#This Row],[KDU]]</f>
        <v>0</v>
      </c>
      <c r="E38" s="62">
        <f>+Tableau4[[#This Row],[KDU]]</f>
        <v>0</v>
      </c>
      <c r="F38" s="62">
        <f>+Tableau5[[#This Row],[KDU]]</f>
        <v>0</v>
      </c>
      <c r="G38" s="62">
        <f>+Tableau6[[#This Row],[KDU]]</f>
        <v>0</v>
      </c>
      <c r="H38" s="62">
        <f>+Tableau7[[#This Row],[KDU]]</f>
        <v>0</v>
      </c>
      <c r="I38" s="62">
        <f>+Tableau8[[#This Row],[KDU]]</f>
        <v>0</v>
      </c>
      <c r="J38" s="62">
        <f>+Tableau9[[#This Row],[KDU]]</f>
        <v>0</v>
      </c>
      <c r="K38" s="62">
        <f>+Tableau10[[#This Row],[KDU]]</f>
        <v>0</v>
      </c>
      <c r="L38" s="62">
        <f>+Tableau11[[#This Row],[KDU]]</f>
        <v>0</v>
      </c>
      <c r="M38" s="62">
        <f>+Tableau12[[#This Row],[KDU]]</f>
        <v>0</v>
      </c>
      <c r="N38" s="62">
        <f>+Tableau13[[#This Row],[KDU]]</f>
        <v>0</v>
      </c>
      <c r="O38" s="62">
        <f t="shared" si="0"/>
        <v>0</v>
      </c>
      <c r="P38" s="27">
        <f t="shared" si="1"/>
        <v>0</v>
      </c>
      <c r="Q38" s="27">
        <f t="shared" si="2"/>
        <v>0</v>
      </c>
    </row>
    <row r="39" spans="1:17" s="27" customFormat="1" ht="30.6" customHeight="1" thickBot="1" x14ac:dyDescent="0.4">
      <c r="A39" s="214" t="s">
        <v>40</v>
      </c>
      <c r="B39" s="85" t="s">
        <v>41</v>
      </c>
      <c r="C39" s="62">
        <f>+Tableau2[[#This Row],[KDU]]</f>
        <v>-30339903.660000008</v>
      </c>
      <c r="D39" s="62">
        <f>+Tableau3[[#This Row],[KDU]]</f>
        <v>-14311550.940000001</v>
      </c>
      <c r="E39" s="62">
        <f>+Tableau4[[#This Row],[KDU]]</f>
        <v>-16775032.370000014</v>
      </c>
      <c r="F39" s="62">
        <f>+Tableau5[[#This Row],[KDU]]</f>
        <v>-28543743.23</v>
      </c>
      <c r="G39" s="62">
        <f>+Tableau6[[#This Row],[KDU]]</f>
        <v>-11403718.290000016</v>
      </c>
      <c r="H39" s="62">
        <f>+Tableau7[[#This Row],[KDU]]</f>
        <v>2286285.0000000121</v>
      </c>
      <c r="I39" s="62">
        <f>+Tableau8[[#This Row],[KDU]]</f>
        <v>-27648206.179999992</v>
      </c>
      <c r="J39" s="62">
        <f>+Tableau9[[#This Row],[KDU]]</f>
        <v>-24743087.310000002</v>
      </c>
      <c r="K39" s="62">
        <f>+Tableau10[[#This Row],[KDU]]</f>
        <v>-10814244.42</v>
      </c>
      <c r="L39" s="62">
        <f>+Tableau11[[#This Row],[KDU]]</f>
        <v>-22794552.319999978</v>
      </c>
      <c r="M39" s="62">
        <f>+Tableau12[[#This Row],[KDU]]</f>
        <v>2218395.5499999989</v>
      </c>
      <c r="N39" s="62">
        <f>+Tableau13[[#This Row],[KDU]]</f>
        <v>97459613.710000068</v>
      </c>
      <c r="O39" s="62">
        <f t="shared" si="0"/>
        <v>-85409744.459999889</v>
      </c>
      <c r="P39" s="27">
        <f t="shared" si="1"/>
        <v>-99087663.490000024</v>
      </c>
      <c r="Q39" s="27">
        <f t="shared" si="2"/>
        <v>-63205537.909999996</v>
      </c>
    </row>
    <row r="40" spans="1:17" s="27" customFormat="1" ht="11.4" customHeight="1" thickBot="1" x14ac:dyDescent="0.4">
      <c r="A40" s="90"/>
      <c r="B40" s="90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</row>
    <row r="41" spans="1:17" s="27" customFormat="1" ht="18.600000000000001" thickBot="1" x14ac:dyDescent="0.4">
      <c r="A41" s="282" t="s">
        <v>51</v>
      </c>
      <c r="B41" s="283"/>
      <c r="C41" s="283"/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283"/>
      <c r="O41" s="284"/>
    </row>
    <row r="42" spans="1:17" s="37" customFormat="1" ht="18" x14ac:dyDescent="0.35">
      <c r="A42" s="219">
        <v>1</v>
      </c>
      <c r="B42" s="220" t="s">
        <v>52</v>
      </c>
      <c r="C42" s="221">
        <f t="shared" ref="C42:O42" si="3">+C12/C7</f>
        <v>3.1816008571246641</v>
      </c>
      <c r="D42" s="221">
        <f t="shared" si="3"/>
        <v>1.7037144355623948</v>
      </c>
      <c r="E42" s="221">
        <f t="shared" si="3"/>
        <v>1.9244370277462046</v>
      </c>
      <c r="F42" s="221">
        <f t="shared" si="3"/>
        <v>1.1543009730245324</v>
      </c>
      <c r="G42" s="221">
        <f t="shared" si="3"/>
        <v>1.0681152062267563</v>
      </c>
      <c r="H42" s="221">
        <f t="shared" si="3"/>
        <v>1.5522241632374039</v>
      </c>
      <c r="I42" s="221">
        <f t="shared" si="3"/>
        <v>1.0848788553522588</v>
      </c>
      <c r="J42" s="221">
        <f t="shared" si="3"/>
        <v>1.3560709772844068</v>
      </c>
      <c r="K42" s="221">
        <f t="shared" si="3"/>
        <v>1.0288845239287729</v>
      </c>
      <c r="L42" s="221">
        <f t="shared" si="3"/>
        <v>1.5992010107024681</v>
      </c>
      <c r="M42" s="221">
        <f t="shared" si="3"/>
        <v>1.125317805559874</v>
      </c>
      <c r="N42" s="221">
        <f t="shared" si="3"/>
        <v>1.1069095501187722</v>
      </c>
      <c r="O42" s="221">
        <f t="shared" si="3"/>
        <v>1.3492003926760057</v>
      </c>
    </row>
    <row r="43" spans="1:17" s="37" customFormat="1" ht="18" x14ac:dyDescent="0.35">
      <c r="A43" s="92">
        <v>2</v>
      </c>
      <c r="B43" s="93" t="s">
        <v>53</v>
      </c>
      <c r="C43" s="95">
        <f t="shared" ref="C43:O43" si="4">+C13/C7</f>
        <v>2.9706004152552326</v>
      </c>
      <c r="D43" s="95">
        <f t="shared" si="4"/>
        <v>1.3507274952772794</v>
      </c>
      <c r="E43" s="95">
        <f t="shared" si="4"/>
        <v>1.5618933692451813</v>
      </c>
      <c r="F43" s="95">
        <f t="shared" si="4"/>
        <v>0.998710489199231</v>
      </c>
      <c r="G43" s="95">
        <f t="shared" si="4"/>
        <v>0.72921526812577508</v>
      </c>
      <c r="H43" s="95">
        <f t="shared" si="4"/>
        <v>1.1574396252607175</v>
      </c>
      <c r="I43" s="95">
        <f t="shared" si="4"/>
        <v>0.81077660864505352</v>
      </c>
      <c r="J43" s="95">
        <f t="shared" si="4"/>
        <v>1.109862453327837</v>
      </c>
      <c r="K43" s="95">
        <f t="shared" si="4"/>
        <v>0.75983597143659587</v>
      </c>
      <c r="L43" s="95">
        <f t="shared" si="4"/>
        <v>1.368459264311328</v>
      </c>
      <c r="M43" s="95">
        <f t="shared" si="4"/>
        <v>0.75217495033722803</v>
      </c>
      <c r="N43" s="95">
        <f t="shared" si="4"/>
        <v>0.84007442484663597</v>
      </c>
      <c r="O43" s="95">
        <f t="shared" si="4"/>
        <v>1.051773764204182</v>
      </c>
    </row>
    <row r="44" spans="1:17" s="36" customFormat="1" ht="18" x14ac:dyDescent="0.35">
      <c r="A44" s="250">
        <v>3</v>
      </c>
      <c r="B44" s="251" t="s">
        <v>56</v>
      </c>
      <c r="C44" s="141">
        <f t="shared" ref="C44:O44" si="5">+C13/C12</f>
        <v>0.93368104569216126</v>
      </c>
      <c r="D44" s="141">
        <f t="shared" si="5"/>
        <v>0.79281331840767399</v>
      </c>
      <c r="E44" s="141">
        <f t="shared" si="5"/>
        <v>0.81161053686146611</v>
      </c>
      <c r="F44" s="141">
        <f t="shared" si="5"/>
        <v>0.86520804585513023</v>
      </c>
      <c r="G44" s="141">
        <f t="shared" si="5"/>
        <v>0.68271218673294098</v>
      </c>
      <c r="H44" s="141">
        <f t="shared" si="5"/>
        <v>0.74566525420316743</v>
      </c>
      <c r="I44" s="141">
        <f t="shared" si="5"/>
        <v>0.74734299101238855</v>
      </c>
      <c r="J44" s="141">
        <f t="shared" si="5"/>
        <v>0.81843979549683044</v>
      </c>
      <c r="K44" s="141">
        <f t="shared" si="5"/>
        <v>0.73850461715098892</v>
      </c>
      <c r="L44" s="141">
        <f t="shared" si="5"/>
        <v>0.8557143568276111</v>
      </c>
      <c r="M44" s="141">
        <f t="shared" si="5"/>
        <v>0.66841113383343465</v>
      </c>
      <c r="N44" s="141">
        <f t="shared" si="5"/>
        <v>0.75893682980374977</v>
      </c>
      <c r="O44" s="141">
        <f t="shared" si="5"/>
        <v>0.77955340801383299</v>
      </c>
    </row>
    <row r="45" spans="1:17" s="37" customFormat="1" ht="18" x14ac:dyDescent="0.35">
      <c r="A45" s="92">
        <v>4</v>
      </c>
      <c r="B45" s="93" t="s">
        <v>57</v>
      </c>
      <c r="C45" s="95">
        <f t="shared" ref="C45:O45" si="6">+C15/C12</f>
        <v>0.99814719664216045</v>
      </c>
      <c r="D45" s="95">
        <f t="shared" si="6"/>
        <v>0.83341106358769734</v>
      </c>
      <c r="E45" s="95">
        <f t="shared" si="6"/>
        <v>0.84935498293835876</v>
      </c>
      <c r="F45" s="95">
        <f t="shared" si="6"/>
        <v>0.92157111245311985</v>
      </c>
      <c r="G45" s="95">
        <f t="shared" si="6"/>
        <v>0.73506079767986798</v>
      </c>
      <c r="H45" s="95">
        <f t="shared" si="6"/>
        <v>0.7802941289003954</v>
      </c>
      <c r="I45" s="95">
        <f t="shared" si="6"/>
        <v>0.83082053622520291</v>
      </c>
      <c r="J45" s="95">
        <f t="shared" si="6"/>
        <v>0.88463620179407099</v>
      </c>
      <c r="K45" s="95">
        <f t="shared" si="6"/>
        <v>0.7952780105021281</v>
      </c>
      <c r="L45" s="95">
        <f t="shared" si="6"/>
        <v>0.90664299086908395</v>
      </c>
      <c r="M45" s="95">
        <f t="shared" si="6"/>
        <v>0.70881371674982196</v>
      </c>
      <c r="N45" s="95">
        <f t="shared" si="6"/>
        <v>0.81542385002716722</v>
      </c>
      <c r="O45" s="95">
        <f t="shared" si="6"/>
        <v>0.83127996140444482</v>
      </c>
    </row>
    <row r="46" spans="1:17" s="37" customFormat="1" ht="18" x14ac:dyDescent="0.35">
      <c r="A46" s="92">
        <v>5</v>
      </c>
      <c r="B46" s="93" t="s">
        <v>58</v>
      </c>
      <c r="C46" s="95">
        <f t="shared" ref="C46:O46" si="7">+C17/C12</f>
        <v>0.27486965124423396</v>
      </c>
      <c r="D46" s="95">
        <f t="shared" si="7"/>
        <v>0.24710062589867671</v>
      </c>
      <c r="E46" s="95">
        <f t="shared" si="7"/>
        <v>0.25775646938528202</v>
      </c>
      <c r="F46" s="95">
        <f t="shared" si="7"/>
        <v>0.51746686888774385</v>
      </c>
      <c r="G46" s="95">
        <f t="shared" si="7"/>
        <v>0.32787066034337259</v>
      </c>
      <c r="H46" s="95">
        <f t="shared" si="7"/>
        <v>0.16252560777481362</v>
      </c>
      <c r="I46" s="95">
        <f t="shared" si="7"/>
        <v>0.43679047121398296</v>
      </c>
      <c r="J46" s="95">
        <f t="shared" si="7"/>
        <v>0.28062498076408132</v>
      </c>
      <c r="K46" s="95">
        <f t="shared" si="7"/>
        <v>0.23750337520636366</v>
      </c>
      <c r="L46" s="95">
        <f t="shared" si="7"/>
        <v>0.19535256924993116</v>
      </c>
      <c r="M46" s="95">
        <f t="shared" si="7"/>
        <v>0.22396445365209924</v>
      </c>
      <c r="N46" s="95">
        <f t="shared" si="7"/>
        <v>9.0622479311368562E-2</v>
      </c>
      <c r="O46" s="95">
        <f t="shared" si="7"/>
        <v>0.24164290220891863</v>
      </c>
    </row>
    <row r="47" spans="1:17" s="37" customFormat="1" ht="18" x14ac:dyDescent="0.35">
      <c r="A47" s="92">
        <v>6</v>
      </c>
      <c r="B47" s="93" t="s">
        <v>54</v>
      </c>
      <c r="C47" s="95">
        <f t="shared" ref="C47:O47" si="8">+C16/C17</f>
        <v>6.7406617989748579E-3</v>
      </c>
      <c r="D47" s="95">
        <f t="shared" si="8"/>
        <v>0.6741744817781733</v>
      </c>
      <c r="E47" s="95">
        <f t="shared" si="8"/>
        <v>0.58444708457138395</v>
      </c>
      <c r="F47" s="95">
        <f t="shared" si="8"/>
        <v>0.15156310918118712</v>
      </c>
      <c r="G47" s="95">
        <f t="shared" si="8"/>
        <v>0.80806011139473799</v>
      </c>
      <c r="H47" s="95">
        <f t="shared" si="8"/>
        <v>1.3518231010341262</v>
      </c>
      <c r="I47" s="95">
        <f t="shared" si="8"/>
        <v>0.38732407166436633</v>
      </c>
      <c r="J47" s="95">
        <f t="shared" si="8"/>
        <v>0.4110959683340315</v>
      </c>
      <c r="K47" s="95">
        <f t="shared" si="8"/>
        <v>0.86197507433311893</v>
      </c>
      <c r="L47" s="95">
        <f t="shared" si="8"/>
        <v>0.4778898454694826</v>
      </c>
      <c r="M47" s="95">
        <f t="shared" si="8"/>
        <v>1.3001450833019221</v>
      </c>
      <c r="N47" s="95">
        <f t="shared" si="8"/>
        <v>2.0367589959512156</v>
      </c>
      <c r="O47" s="95">
        <f t="shared" si="8"/>
        <v>0.69822054384069632</v>
      </c>
    </row>
    <row r="48" spans="1:17" s="37" customFormat="1" ht="18" x14ac:dyDescent="0.35">
      <c r="A48" s="92">
        <v>7</v>
      </c>
      <c r="B48" s="93" t="s">
        <v>55</v>
      </c>
      <c r="C48" s="95">
        <f t="shared" ref="C48:O48" si="9">+C19/C12</f>
        <v>-0.27615990976832483</v>
      </c>
      <c r="D48" s="95">
        <f t="shared" si="9"/>
        <v>-8.6381341952678395E-2</v>
      </c>
      <c r="E48" s="95">
        <f t="shared" si="9"/>
        <v>-0.11234483853248216</v>
      </c>
      <c r="F48" s="95">
        <f t="shared" si="9"/>
        <v>-0.44787773540926684</v>
      </c>
      <c r="G48" s="95">
        <f t="shared" si="9"/>
        <v>-7.2296256810322104E-2</v>
      </c>
      <c r="H48" s="95">
        <f t="shared" si="9"/>
        <v>5.073089441210759E-2</v>
      </c>
      <c r="I48" s="95">
        <f t="shared" si="9"/>
        <v>-0.27684250980628144</v>
      </c>
      <c r="J48" s="95">
        <f t="shared" si="9"/>
        <v>-0.17264938004806912</v>
      </c>
      <c r="K48" s="95">
        <f t="shared" si="9"/>
        <v>-4.2503856721636681E-2</v>
      </c>
      <c r="L48" s="95">
        <f t="shared" si="9"/>
        <v>-0.10832587918093664</v>
      </c>
      <c r="M48" s="95">
        <f t="shared" si="9"/>
        <v>5.8332981595571869E-2</v>
      </c>
      <c r="N48" s="95">
        <f t="shared" si="9"/>
        <v>8.4833732022052785E-2</v>
      </c>
      <c r="O48" s="95">
        <f t="shared" si="9"/>
        <v>-8.0366493871274786E-2</v>
      </c>
    </row>
    <row r="49" spans="1:15" ht="15.6" x14ac:dyDescent="0.3">
      <c r="A49" s="90"/>
      <c r="B49" s="90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</row>
    <row r="50" spans="1:15" s="249" customFormat="1" x14ac:dyDescent="0.45">
      <c r="A50" s="248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</row>
  </sheetData>
  <sheetProtection formatCells="0" formatColumns="0" formatRows="0" insertColumns="0" insertRows="0" insertHyperlinks="0" deleteColumns="0" deleteRows="0" selectLockedCells="1" sort="0" autoFilter="0" pivotTables="0"/>
  <mergeCells count="4">
    <mergeCell ref="O1:P1"/>
    <mergeCell ref="O2:P2"/>
    <mergeCell ref="A41:O41"/>
    <mergeCell ref="A5:O5"/>
  </mergeCells>
  <conditionalFormatting sqref="C40:O40 C6:M6 C42:O49 C51:O1048576 C1:O4">
    <cfRule type="cellIs" dxfId="53" priority="7" operator="lessThan">
      <formula>-0.01</formula>
    </cfRule>
  </conditionalFormatting>
  <conditionalFormatting sqref="C7:C39">
    <cfRule type="cellIs" dxfId="52" priority="6" operator="lessThan">
      <formula>-0.01</formula>
    </cfRule>
  </conditionalFormatting>
  <conditionalFormatting sqref="D7:N39">
    <cfRule type="cellIs" dxfId="51" priority="5" operator="lessThan">
      <formula>-0.01</formula>
    </cfRule>
  </conditionalFormatting>
  <conditionalFormatting sqref="O6">
    <cfRule type="cellIs" dxfId="50" priority="3" operator="lessThan">
      <formula>-0.01</formula>
    </cfRule>
  </conditionalFormatting>
  <conditionalFormatting sqref="N6">
    <cfRule type="cellIs" dxfId="49" priority="4" operator="lessThan">
      <formula>-0.01</formula>
    </cfRule>
  </conditionalFormatting>
  <conditionalFormatting sqref="O7:O39">
    <cfRule type="cellIs" dxfId="48" priority="2" operator="lessThan">
      <formula>-0.01</formula>
    </cfRule>
  </conditionalFormatting>
  <conditionalFormatting sqref="C50:O50">
    <cfRule type="cellIs" dxfId="47" priority="1" operator="lessThan">
      <formula>-0.01</formula>
    </cfRule>
  </conditionalFormatting>
  <pageMargins left="0.15748031496062992" right="0.11811023622047245" top="0.15748031496062992" bottom="0.15748031496062992" header="0.15748031496062992" footer="0"/>
  <pageSetup paperSize="9" scale="40" orientation="landscape" r:id="rId1"/>
  <drawing r:id="rId2"/>
  <legacyDrawing r:id="rId3"/>
  <tableParts count="1"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50"/>
  <sheetViews>
    <sheetView view="pageBreakPreview" zoomScale="50" zoomScaleNormal="50" zoomScaleSheetLayoutView="50" workbookViewId="0">
      <pane xSplit="2" ySplit="6" topLeftCell="C7" activePane="bottomRight" state="frozen"/>
      <selection activeCell="C5" sqref="C5:D5"/>
      <selection pane="topRight" activeCell="C5" sqref="C5:D5"/>
      <selection pane="bottomLeft" activeCell="C5" sqref="C5:D5"/>
      <selection pane="bottomRight" activeCell="P7" sqref="P7:Q39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14" width="19.77734375" style="3" customWidth="1"/>
    <col min="15" max="15" width="19.77734375" style="96" customWidth="1"/>
    <col min="16" max="16" width="18.109375" style="246" bestFit="1" customWidth="1"/>
    <col min="17" max="17" width="13.33203125" style="246" bestFit="1" customWidth="1"/>
    <col min="18" max="16384" width="11.44140625" style="1"/>
  </cols>
  <sheetData>
    <row r="1" spans="1:26" s="42" customFormat="1" ht="13.8" customHeight="1" x14ac:dyDescent="0.45">
      <c r="A1" s="25"/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78"/>
      <c r="P1" s="278"/>
      <c r="Q1" s="243"/>
      <c r="R1" s="39"/>
      <c r="S1" s="39"/>
      <c r="T1" s="39"/>
      <c r="U1" s="39"/>
      <c r="V1" s="39"/>
      <c r="W1" s="39"/>
      <c r="X1" s="39"/>
      <c r="Y1" s="39"/>
      <c r="Z1" s="39"/>
    </row>
    <row r="2" spans="1:26" s="42" customFormat="1" ht="13.8" customHeight="1" x14ac:dyDescent="0.45">
      <c r="A2" s="25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79"/>
      <c r="P2" s="279"/>
      <c r="Q2" s="243"/>
      <c r="R2" s="39"/>
      <c r="S2" s="39"/>
      <c r="T2" s="39"/>
      <c r="U2" s="39"/>
      <c r="V2" s="39"/>
      <c r="W2" s="39"/>
      <c r="X2" s="39"/>
      <c r="Y2" s="39"/>
      <c r="Z2" s="39"/>
    </row>
    <row r="3" spans="1:26" s="42" customFormat="1" ht="13.8" customHeight="1" x14ac:dyDescent="0.4">
      <c r="A3" s="46"/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259"/>
      <c r="P3" s="261"/>
      <c r="Q3" s="244"/>
      <c r="R3" s="46"/>
      <c r="S3" s="46"/>
      <c r="T3" s="46"/>
      <c r="U3" s="46"/>
      <c r="V3" s="46"/>
      <c r="W3" s="46"/>
      <c r="X3" s="46"/>
      <c r="Y3" s="46"/>
      <c r="Z3" s="46"/>
    </row>
    <row r="4" spans="1:26" s="42" customFormat="1" ht="13.8" customHeight="1" x14ac:dyDescent="0.4">
      <c r="A4" s="46"/>
      <c r="B4" s="46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259"/>
      <c r="P4" s="245"/>
      <c r="Q4" s="245"/>
    </row>
    <row r="5" spans="1:26" ht="29.4" customHeight="1" thickBot="1" x14ac:dyDescent="0.55000000000000004">
      <c r="A5" s="281" t="s">
        <v>118</v>
      </c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</row>
    <row r="6" spans="1:26" s="27" customFormat="1" ht="52.2" customHeight="1" thickBot="1" x14ac:dyDescent="0.4">
      <c r="A6" s="203" t="s">
        <v>0</v>
      </c>
      <c r="B6" s="203" t="s">
        <v>1</v>
      </c>
      <c r="C6" s="204" t="s">
        <v>102</v>
      </c>
      <c r="D6" s="205" t="s">
        <v>103</v>
      </c>
      <c r="E6" s="206" t="s">
        <v>104</v>
      </c>
      <c r="F6" s="206" t="s">
        <v>105</v>
      </c>
      <c r="G6" s="206" t="s">
        <v>106</v>
      </c>
      <c r="H6" s="206" t="s">
        <v>107</v>
      </c>
      <c r="I6" s="206" t="s">
        <v>108</v>
      </c>
      <c r="J6" s="206" t="s">
        <v>109</v>
      </c>
      <c r="K6" s="206" t="s">
        <v>110</v>
      </c>
      <c r="L6" s="206" t="s">
        <v>111</v>
      </c>
      <c r="M6" s="206" t="s">
        <v>112</v>
      </c>
      <c r="N6" s="204" t="s">
        <v>113</v>
      </c>
      <c r="O6" s="207" t="s">
        <v>114</v>
      </c>
      <c r="P6" s="130"/>
      <c r="Q6" s="130"/>
    </row>
    <row r="7" spans="1:26" s="29" customFormat="1" ht="30.75" customHeight="1" x14ac:dyDescent="0.35">
      <c r="A7" s="227"/>
      <c r="B7" s="228" t="s">
        <v>2</v>
      </c>
      <c r="C7" s="229">
        <f>+Tableau2[[#This Row],[SKDU]]</f>
        <v>33521247</v>
      </c>
      <c r="D7" s="229">
        <f>+Tableau3[[#This Row],[SKDU]]</f>
        <v>26321838</v>
      </c>
      <c r="E7" s="229">
        <f>+Tableau4[[#This Row],[SKDU]]</f>
        <v>31350538.039999999</v>
      </c>
      <c r="F7" s="229">
        <f>+Tableau5[[#This Row],[SKDU]]</f>
        <v>25000449.399999999</v>
      </c>
      <c r="G7" s="229">
        <f>+Tableau6[[#This Row],[SKDU]]</f>
        <v>43803422.600000001</v>
      </c>
      <c r="H7" s="229">
        <f>+Tableau7[[#This Row],[SKDU]]</f>
        <v>52470566.799999997</v>
      </c>
      <c r="I7" s="229">
        <f>+Tableau8[[#This Row],[SKDU]]</f>
        <v>34898000.200000003</v>
      </c>
      <c r="J7" s="229">
        <f>+Tableau9[[#This Row],[SKDU]]</f>
        <v>50619039</v>
      </c>
      <c r="K7" s="229">
        <f>+Tableau10[[#This Row],[SKDU]]</f>
        <v>53091481.840000004</v>
      </c>
      <c r="L7" s="229">
        <f>+Tableau11[[#This Row],[SKDU]]</f>
        <v>60938075.200000003</v>
      </c>
      <c r="M7" s="229">
        <f>+Tableau12[[#This Row],[SKDU]]</f>
        <v>63315339.159999996</v>
      </c>
      <c r="N7" s="229">
        <f>+Tableau13[[#This Row],[SKDU]]</f>
        <v>100780954.89999998</v>
      </c>
      <c r="O7" s="229">
        <f>SUM(C7:N7)</f>
        <v>576110952.13999999</v>
      </c>
      <c r="P7" s="131">
        <f>SUM(C7:H7)</f>
        <v>212468061.83999997</v>
      </c>
      <c r="Q7" s="131">
        <f>SUM(I7:K7)</f>
        <v>138608521.04000002</v>
      </c>
    </row>
    <row r="8" spans="1:26" s="29" customFormat="1" ht="30.75" customHeight="1" x14ac:dyDescent="0.35">
      <c r="A8" s="209"/>
      <c r="B8" s="80" t="s">
        <v>42</v>
      </c>
      <c r="C8" s="55">
        <f>+Tableau2[[#This Row],[SKDU]]</f>
        <v>0</v>
      </c>
      <c r="D8" s="55">
        <f>+Tableau3[[#This Row],[SKDU]]</f>
        <v>0</v>
      </c>
      <c r="E8" s="55">
        <f>+Tableau4[[#This Row],[SKDU]]</f>
        <v>0</v>
      </c>
      <c r="F8" s="55">
        <f>+Tableau5[[#This Row],[SKDU]]</f>
        <v>0</v>
      </c>
      <c r="G8" s="55">
        <f>+Tableau6[[#This Row],[SKDU]]</f>
        <v>0</v>
      </c>
      <c r="H8" s="55">
        <f>+Tableau7[[#This Row],[SKDU]]</f>
        <v>0</v>
      </c>
      <c r="I8" s="55">
        <f>+Tableau8[[#This Row],[SKDU]]</f>
        <v>0</v>
      </c>
      <c r="J8" s="55">
        <f>+Tableau9[[#This Row],[SKDU]]</f>
        <v>0</v>
      </c>
      <c r="K8" s="55">
        <f>+Tableau10[[#This Row],[SKDU]]</f>
        <v>0</v>
      </c>
      <c r="L8" s="55">
        <f>+Tableau11[[#This Row],[SKDU]]</f>
        <v>0</v>
      </c>
      <c r="M8" s="55">
        <f>+Tableau12[[#This Row],[SKDU]]</f>
        <v>0</v>
      </c>
      <c r="N8" s="55">
        <f>+Tableau13[[#This Row],[SKDU]]</f>
        <v>0</v>
      </c>
      <c r="O8" s="55">
        <f t="shared" ref="O8:O39" si="0">SUM(C8:N8)</f>
        <v>0</v>
      </c>
      <c r="P8" s="131">
        <f t="shared" ref="P8:P39" si="1">SUM(C8:H8)</f>
        <v>0</v>
      </c>
      <c r="Q8" s="131">
        <f t="shared" ref="Q8:Q39" si="2">SUM(I8:K8)</f>
        <v>0</v>
      </c>
    </row>
    <row r="9" spans="1:26" s="27" customFormat="1" ht="30.75" customHeight="1" x14ac:dyDescent="0.35">
      <c r="A9" s="209"/>
      <c r="B9" s="81" t="s">
        <v>3</v>
      </c>
      <c r="C9" s="55">
        <f>+Tableau2[[#This Row],[SKDU]]</f>
        <v>-13104102.609999999</v>
      </c>
      <c r="D9" s="55">
        <f>+Tableau3[[#This Row],[SKDU]]</f>
        <v>-6621092.6399999997</v>
      </c>
      <c r="E9" s="55">
        <f>+Tableau4[[#This Row],[SKDU]]</f>
        <v>-12642508.619999999</v>
      </c>
      <c r="F9" s="55">
        <f>+Tableau5[[#This Row],[SKDU]]</f>
        <v>-13150572.210000001</v>
      </c>
      <c r="G9" s="55">
        <f>+Tableau6[[#This Row],[SKDU]]</f>
        <v>-25336497.199999999</v>
      </c>
      <c r="H9" s="55">
        <f>+Tableau7[[#This Row],[SKDU]]</f>
        <v>-25120578.460000001</v>
      </c>
      <c r="I9" s="55">
        <f>+Tableau8[[#This Row],[SKDU]]</f>
        <v>-13218816.539999999</v>
      </c>
      <c r="J9" s="55">
        <f>+Tableau9[[#This Row],[SKDU]]</f>
        <v>-18856597.010000002</v>
      </c>
      <c r="K9" s="55">
        <f>+Tableau10[[#This Row],[SKDU]]</f>
        <v>-13688614.58</v>
      </c>
      <c r="L9" s="55">
        <f>+Tableau11[[#This Row],[SKDU]]</f>
        <v>-25034302.91</v>
      </c>
      <c r="M9" s="55">
        <f>+Tableau12[[#This Row],[SKDU]]</f>
        <v>-32225145.620000001</v>
      </c>
      <c r="N9" s="55">
        <f>+Tableau13[[#This Row],[SKDU]]</f>
        <v>-53640146.740000002</v>
      </c>
      <c r="O9" s="55">
        <f t="shared" si="0"/>
        <v>-252638975.14000002</v>
      </c>
      <c r="P9" s="130">
        <f t="shared" si="1"/>
        <v>-95975351.74000001</v>
      </c>
      <c r="Q9" s="130">
        <f t="shared" si="2"/>
        <v>-45764028.130000003</v>
      </c>
    </row>
    <row r="10" spans="1:26" s="27" customFormat="1" ht="30.75" customHeight="1" x14ac:dyDescent="0.35">
      <c r="A10" s="209"/>
      <c r="B10" s="81" t="s">
        <v>4</v>
      </c>
      <c r="C10" s="55">
        <f>+Tableau2[[#This Row],[SKDU]]</f>
        <v>0</v>
      </c>
      <c r="D10" s="55">
        <f>+Tableau3[[#This Row],[SKDU]]</f>
        <v>0</v>
      </c>
      <c r="E10" s="55">
        <f>+Tableau4[[#This Row],[SKDU]]</f>
        <v>0</v>
      </c>
      <c r="F10" s="55">
        <f>+Tableau5[[#This Row],[SKDU]]</f>
        <v>0</v>
      </c>
      <c r="G10" s="55">
        <f>+Tableau6[[#This Row],[SKDU]]</f>
        <v>0</v>
      </c>
      <c r="H10" s="55">
        <f>+Tableau7[[#This Row],[SKDU]]</f>
        <v>0</v>
      </c>
      <c r="I10" s="55">
        <f>+Tableau8[[#This Row],[SKDU]]</f>
        <v>0</v>
      </c>
      <c r="J10" s="55">
        <f>+Tableau9[[#This Row],[SKDU]]</f>
        <v>0</v>
      </c>
      <c r="K10" s="55">
        <f>+Tableau10[[#This Row],[SKDU]]</f>
        <v>0</v>
      </c>
      <c r="L10" s="55">
        <f>+Tableau11[[#This Row],[SKDU]]</f>
        <v>0</v>
      </c>
      <c r="M10" s="55">
        <f>+Tableau12[[#This Row],[SKDU]]</f>
        <v>0</v>
      </c>
      <c r="N10" s="55">
        <f>+Tableau13[[#This Row],[SKDU]]</f>
        <v>0</v>
      </c>
      <c r="O10" s="55">
        <f t="shared" si="0"/>
        <v>0</v>
      </c>
      <c r="P10" s="130">
        <f t="shared" si="1"/>
        <v>0</v>
      </c>
      <c r="Q10" s="130">
        <f t="shared" si="2"/>
        <v>0</v>
      </c>
    </row>
    <row r="11" spans="1:26" s="27" customFormat="1" ht="30.75" customHeight="1" thickBot="1" x14ac:dyDescent="0.4">
      <c r="A11" s="210"/>
      <c r="B11" s="82" t="s">
        <v>5</v>
      </c>
      <c r="C11" s="59">
        <f>+Tableau2[[#This Row],[SKDU]]</f>
        <v>0</v>
      </c>
      <c r="D11" s="59">
        <f>+Tableau3[[#This Row],[SKDU]]</f>
        <v>0</v>
      </c>
      <c r="E11" s="59">
        <f>+Tableau4[[#This Row],[SKDU]]</f>
        <v>0</v>
      </c>
      <c r="F11" s="59">
        <f>+Tableau5[[#This Row],[SKDU]]</f>
        <v>0</v>
      </c>
      <c r="G11" s="59">
        <f>+Tableau6[[#This Row],[SKDU]]</f>
        <v>0</v>
      </c>
      <c r="H11" s="59">
        <f>+Tableau7[[#This Row],[SKDU]]</f>
        <v>0</v>
      </c>
      <c r="I11" s="59">
        <f>+Tableau8[[#This Row],[SKDU]]</f>
        <v>0</v>
      </c>
      <c r="J11" s="59">
        <f>+Tableau9[[#This Row],[SKDU]]</f>
        <v>0</v>
      </c>
      <c r="K11" s="59">
        <f>+Tableau10[[#This Row],[SKDU]]</f>
        <v>0</v>
      </c>
      <c r="L11" s="59">
        <f>+Tableau11[[#This Row],[SKDU]]</f>
        <v>0</v>
      </c>
      <c r="M11" s="59">
        <f>+Tableau12[[#This Row],[SKDU]]</f>
        <v>0</v>
      </c>
      <c r="N11" s="59">
        <f>+Tableau13[[#This Row],[SKDU]]</f>
        <v>0</v>
      </c>
      <c r="O11" s="59">
        <f t="shared" si="0"/>
        <v>0</v>
      </c>
      <c r="P11" s="130">
        <f t="shared" si="1"/>
        <v>0</v>
      </c>
      <c r="Q11" s="130">
        <f t="shared" si="2"/>
        <v>0</v>
      </c>
    </row>
    <row r="12" spans="1:26" s="27" customFormat="1" ht="30.75" customHeight="1" thickBot="1" x14ac:dyDescent="0.4">
      <c r="A12" s="211"/>
      <c r="B12" s="83" t="s">
        <v>6</v>
      </c>
      <c r="C12" s="62">
        <f>+Tableau2[[#This Row],[SKDU]]</f>
        <v>20417144.390000001</v>
      </c>
      <c r="D12" s="62">
        <f>+Tableau3[[#This Row],[SKDU]]</f>
        <v>19700745.359999999</v>
      </c>
      <c r="E12" s="62">
        <f>+Tableau4[[#This Row],[SKDU]]</f>
        <v>18708029.420000002</v>
      </c>
      <c r="F12" s="62">
        <f>+Tableau5[[#This Row],[SKDU]]</f>
        <v>11849877.189999998</v>
      </c>
      <c r="G12" s="62">
        <f>+Tableau6[[#This Row],[SKDU]]</f>
        <v>18466925.400000002</v>
      </c>
      <c r="H12" s="62">
        <f>+Tableau7[[#This Row],[SKDU]]</f>
        <v>27349988.339999996</v>
      </c>
      <c r="I12" s="62">
        <f>+Tableau8[[#This Row],[SKDU]]</f>
        <v>21679183.660000004</v>
      </c>
      <c r="J12" s="62">
        <f>+Tableau9[[#This Row],[SKDU]]</f>
        <v>31762441.989999998</v>
      </c>
      <c r="K12" s="62">
        <f>+Tableau10[[#This Row],[SKDU]]</f>
        <v>39402867.260000005</v>
      </c>
      <c r="L12" s="62">
        <f>+Tableau11[[#This Row],[SKDU]]</f>
        <v>35903772.290000007</v>
      </c>
      <c r="M12" s="62">
        <f>+Tableau12[[#This Row],[SKDU]]</f>
        <v>31090193.539999995</v>
      </c>
      <c r="N12" s="62">
        <f>+Tableau13[[#This Row],[SKDU]]</f>
        <v>47140808.159999974</v>
      </c>
      <c r="O12" s="62">
        <f t="shared" si="0"/>
        <v>323471977</v>
      </c>
      <c r="P12" s="130">
        <f t="shared" si="1"/>
        <v>116492710.09999999</v>
      </c>
      <c r="Q12" s="130">
        <f t="shared" si="2"/>
        <v>92844492.910000011</v>
      </c>
    </row>
    <row r="13" spans="1:26" s="32" customFormat="1" ht="30.75" customHeight="1" x14ac:dyDescent="0.35">
      <c r="A13" s="212">
        <v>60</v>
      </c>
      <c r="B13" s="84" t="s">
        <v>7</v>
      </c>
      <c r="C13" s="65">
        <f>+Tableau2[[#This Row],[SKDU]]</f>
        <v>10092533.449999999</v>
      </c>
      <c r="D13" s="65">
        <f>+Tableau3[[#This Row],[SKDU]]</f>
        <v>12770912.85</v>
      </c>
      <c r="E13" s="65">
        <f>+Tableau4[[#This Row],[SKDU]]</f>
        <v>11812582.24</v>
      </c>
      <c r="F13" s="65">
        <f>+Tableau5[[#This Row],[SKDU]]</f>
        <v>7563580.5</v>
      </c>
      <c r="G13" s="65">
        <f>+Tableau6[[#This Row],[SKDU]]</f>
        <v>6580857.29</v>
      </c>
      <c r="H13" s="65">
        <f>+Tableau7[[#This Row],[SKDU]]</f>
        <v>14033583.01</v>
      </c>
      <c r="I13" s="65">
        <f>+Tableau8[[#This Row],[SKDU]]</f>
        <v>13544139.07</v>
      </c>
      <c r="J13" s="65">
        <f>+Tableau9[[#This Row],[SKDU]]</f>
        <v>18437855.670000002</v>
      </c>
      <c r="K13" s="65">
        <f>+Tableau10[[#This Row],[SKDU]]</f>
        <v>22280541.390000001</v>
      </c>
      <c r="L13" s="65">
        <f>+Tableau11[[#This Row],[SKDU]]</f>
        <v>18089272.68</v>
      </c>
      <c r="M13" s="65">
        <f>+Tableau12[[#This Row],[SKDU]]</f>
        <v>16517132.140000001</v>
      </c>
      <c r="N13" s="65">
        <f>+Tableau13[[#This Row],[SKDU]]</f>
        <v>23164809.280000001</v>
      </c>
      <c r="O13" s="65">
        <f t="shared" si="0"/>
        <v>174887799.57000002</v>
      </c>
      <c r="P13" s="132">
        <f t="shared" si="1"/>
        <v>62854049.339999996</v>
      </c>
      <c r="Q13" s="132">
        <f t="shared" si="2"/>
        <v>54262536.130000003</v>
      </c>
    </row>
    <row r="14" spans="1:26" s="32" customFormat="1" ht="30.75" customHeight="1" thickBot="1" x14ac:dyDescent="0.4">
      <c r="A14" s="213" t="s">
        <v>8</v>
      </c>
      <c r="B14" s="82" t="s">
        <v>43</v>
      </c>
      <c r="C14" s="59">
        <f>+Tableau2[[#This Row],[SKDU]]</f>
        <v>1547335.22</v>
      </c>
      <c r="D14" s="59">
        <f>+Tableau3[[#This Row],[SKDU]]</f>
        <v>1298162.06</v>
      </c>
      <c r="E14" s="59">
        <f>+Tableau4[[#This Row],[SKDU]]</f>
        <v>1548252.39</v>
      </c>
      <c r="F14" s="59">
        <f>+Tableau5[[#This Row],[SKDU]]</f>
        <v>1611250.33</v>
      </c>
      <c r="G14" s="59">
        <f>+Tableau6[[#This Row],[SKDU]]</f>
        <v>2129053.79</v>
      </c>
      <c r="H14" s="59">
        <f>+Tableau7[[#This Row],[SKDU]]</f>
        <v>1839371.82</v>
      </c>
      <c r="I14" s="59">
        <f>+Tableau8[[#This Row],[SKDU]]</f>
        <v>1224743.51</v>
      </c>
      <c r="J14" s="59">
        <f>+Tableau9[[#This Row],[SKDU]]</f>
        <v>1476265.65</v>
      </c>
      <c r="K14" s="59">
        <f>+Tableau10[[#This Row],[SKDU]]</f>
        <v>2067702.39</v>
      </c>
      <c r="L14" s="59">
        <f>+Tableau11[[#This Row],[SKDU]]</f>
        <v>2543404.7999999998</v>
      </c>
      <c r="M14" s="59">
        <f>+Tableau12[[#This Row],[SKDU]]</f>
        <v>5755529.6799999997</v>
      </c>
      <c r="N14" s="59">
        <f>+Tableau13[[#This Row],[SKDU]]</f>
        <v>5286417</v>
      </c>
      <c r="O14" s="77">
        <f t="shared" si="0"/>
        <v>28327488.640000001</v>
      </c>
      <c r="P14" s="132">
        <f t="shared" si="1"/>
        <v>9973425.6099999994</v>
      </c>
      <c r="Q14" s="132">
        <f t="shared" si="2"/>
        <v>4768711.55</v>
      </c>
    </row>
    <row r="15" spans="1:26" s="27" customFormat="1" ht="30.75" customHeight="1" thickBot="1" x14ac:dyDescent="0.4">
      <c r="A15" s="214" t="s">
        <v>9</v>
      </c>
      <c r="B15" s="85" t="s">
        <v>10</v>
      </c>
      <c r="C15" s="62">
        <f>+Tableau2[[#This Row],[SKDU]]</f>
        <v>11639868.67</v>
      </c>
      <c r="D15" s="62">
        <f>+Tableau3[[#This Row],[SKDU]]</f>
        <v>14069074.91</v>
      </c>
      <c r="E15" s="62">
        <f>+Tableau4[[#This Row],[SKDU]]</f>
        <v>13360834.630000001</v>
      </c>
      <c r="F15" s="62">
        <f>+Tableau5[[#This Row],[SKDU]]</f>
        <v>9174830.8300000001</v>
      </c>
      <c r="G15" s="62">
        <f>+Tableau6[[#This Row],[SKDU]]</f>
        <v>8709911.0800000001</v>
      </c>
      <c r="H15" s="62">
        <f>+Tableau7[[#This Row],[SKDU]]</f>
        <v>15872954.83</v>
      </c>
      <c r="I15" s="62">
        <f>+Tableau8[[#This Row],[SKDU]]</f>
        <v>14768882.58</v>
      </c>
      <c r="J15" s="62">
        <f>+Tableau9[[#This Row],[SKDU]]</f>
        <v>19914121.32</v>
      </c>
      <c r="K15" s="62">
        <f>+Tableau10[[#This Row],[SKDU]]</f>
        <v>24348243.780000001</v>
      </c>
      <c r="L15" s="62">
        <f>+Tableau11[[#This Row],[SKDU]]</f>
        <v>20632677.48</v>
      </c>
      <c r="M15" s="62">
        <f>+Tableau12[[#This Row],[SKDU]]</f>
        <v>22272661.82</v>
      </c>
      <c r="N15" s="62">
        <f>+Tableau13[[#This Row],[SKDU]]</f>
        <v>28451226.280000001</v>
      </c>
      <c r="O15" s="62">
        <f t="shared" si="0"/>
        <v>203215288.20999998</v>
      </c>
      <c r="P15" s="130">
        <f t="shared" si="1"/>
        <v>72827474.950000003</v>
      </c>
      <c r="Q15" s="130">
        <f t="shared" si="2"/>
        <v>59031247.68</v>
      </c>
    </row>
    <row r="16" spans="1:26" s="27" customFormat="1" ht="30.75" customHeight="1" thickBot="1" x14ac:dyDescent="0.4">
      <c r="A16" s="215" t="s">
        <v>11</v>
      </c>
      <c r="B16" s="86" t="s">
        <v>12</v>
      </c>
      <c r="C16" s="68">
        <f>+Tableau2[[#This Row],[SKDU]]</f>
        <v>8777275.7200000007</v>
      </c>
      <c r="D16" s="68">
        <f>+Tableau3[[#This Row],[SKDU]]</f>
        <v>5631670.4499999993</v>
      </c>
      <c r="E16" s="68">
        <f>+Tableau4[[#This Row],[SKDU]]</f>
        <v>5347194.790000001</v>
      </c>
      <c r="F16" s="68">
        <f>+Tableau5[[#This Row],[SKDU]]</f>
        <v>2675046.3599999975</v>
      </c>
      <c r="G16" s="68">
        <f>+Tableau6[[#This Row],[SKDU]]</f>
        <v>9757014.3200000022</v>
      </c>
      <c r="H16" s="68">
        <f>+Tableau7[[#This Row],[SKDU]]</f>
        <v>11477033.509999996</v>
      </c>
      <c r="I16" s="68">
        <f>+Tableau8[[#This Row],[SKDU]]</f>
        <v>6910301.0800000038</v>
      </c>
      <c r="J16" s="68">
        <f>+Tableau9[[#This Row],[SKDU]]</f>
        <v>11848320.669999998</v>
      </c>
      <c r="K16" s="68">
        <f>+Tableau10[[#This Row],[SKDU]]</f>
        <v>15054623.480000004</v>
      </c>
      <c r="L16" s="68">
        <f>+Tableau11[[#This Row],[SKDU]]</f>
        <v>15271094.810000006</v>
      </c>
      <c r="M16" s="68">
        <f>+Tableau12[[#This Row],[SKDU]]</f>
        <v>8817531.7199999951</v>
      </c>
      <c r="N16" s="68">
        <f>+Tableau13[[#This Row],[SKDU]]</f>
        <v>18689581.879999973</v>
      </c>
      <c r="O16" s="68">
        <f t="shared" si="0"/>
        <v>120256688.78999999</v>
      </c>
      <c r="P16" s="130">
        <f t="shared" si="1"/>
        <v>43665235.149999999</v>
      </c>
      <c r="Q16" s="130">
        <f t="shared" si="2"/>
        <v>33813245.230000004</v>
      </c>
    </row>
    <row r="17" spans="1:17" s="32" customFormat="1" ht="30.75" customHeight="1" x14ac:dyDescent="0.35">
      <c r="A17" s="212">
        <v>63</v>
      </c>
      <c r="B17" s="84" t="s">
        <v>44</v>
      </c>
      <c r="C17" s="65">
        <f>+Tableau2[[#This Row],[SKDU]]</f>
        <v>8367507.2599999998</v>
      </c>
      <c r="D17" s="65">
        <f>+Tableau3[[#This Row],[SKDU]]</f>
        <v>8731210.0899999999</v>
      </c>
      <c r="E17" s="65">
        <f>+Tableau4[[#This Row],[SKDU]]</f>
        <v>8740355.6999999993</v>
      </c>
      <c r="F17" s="65">
        <f>+Tableau5[[#This Row],[SKDU]]</f>
        <v>8255917.8399999999</v>
      </c>
      <c r="G17" s="65">
        <f>+Tableau6[[#This Row],[SKDU]]</f>
        <v>8063851.9000000004</v>
      </c>
      <c r="H17" s="65">
        <f>+Tableau7[[#This Row],[SKDU]]</f>
        <v>8012474.6699999999</v>
      </c>
      <c r="I17" s="65">
        <f>+Tableau8[[#This Row],[SKDU]]</f>
        <v>10825764.199999999</v>
      </c>
      <c r="J17" s="65">
        <f>+Tableau9[[#This Row],[SKDU]]</f>
        <v>9722694.8599999994</v>
      </c>
      <c r="K17" s="65">
        <f>+Tableau10[[#This Row],[SKDU]]</f>
        <v>9790981.7899999991</v>
      </c>
      <c r="L17" s="65">
        <f>+Tableau11[[#This Row],[SKDU]]</f>
        <v>10346519.199999999</v>
      </c>
      <c r="M17" s="65">
        <f>+Tableau12[[#This Row],[SKDU]]</f>
        <v>11827444.01</v>
      </c>
      <c r="N17" s="65">
        <f>+Tableau13[[#This Row],[SKDU]]</f>
        <v>9900268.1600000001</v>
      </c>
      <c r="O17" s="65">
        <f t="shared" si="0"/>
        <v>112584989.68000001</v>
      </c>
      <c r="P17" s="132">
        <f t="shared" si="1"/>
        <v>50171317.460000001</v>
      </c>
      <c r="Q17" s="132">
        <f t="shared" si="2"/>
        <v>30339440.849999998</v>
      </c>
    </row>
    <row r="18" spans="1:17" s="32" customFormat="1" ht="30.75" customHeight="1" thickBot="1" x14ac:dyDescent="0.4">
      <c r="A18" s="213">
        <v>64</v>
      </c>
      <c r="B18" s="82" t="s">
        <v>13</v>
      </c>
      <c r="C18" s="59">
        <f>+Tableau2[[#This Row],[SKDU]]</f>
        <v>339198</v>
      </c>
      <c r="D18" s="59">
        <f>+Tableau3[[#This Row],[SKDU]]</f>
        <v>263478</v>
      </c>
      <c r="E18" s="59">
        <f>+Tableau4[[#This Row],[SKDU]]</f>
        <v>316699</v>
      </c>
      <c r="F18" s="59">
        <f>+Tableau5[[#This Row],[SKDU]]</f>
        <v>260194.35</v>
      </c>
      <c r="G18" s="59">
        <f>+Tableau6[[#This Row],[SKDU]]</f>
        <v>443273</v>
      </c>
      <c r="H18" s="59">
        <f>+Tableau7[[#This Row],[SKDU]]</f>
        <v>530509</v>
      </c>
      <c r="I18" s="59">
        <f>+Tableau8[[#This Row],[SKDU]]</f>
        <v>1404354.46</v>
      </c>
      <c r="J18" s="59">
        <f>+Tableau9[[#This Row],[SKDU]]</f>
        <v>515190</v>
      </c>
      <c r="K18" s="59">
        <f>+Tableau10[[#This Row],[SKDU]]</f>
        <v>540696.05000000005</v>
      </c>
      <c r="L18" s="59">
        <f>+Tableau11[[#This Row],[SKDU]]</f>
        <v>618851</v>
      </c>
      <c r="M18" s="59">
        <f>+Tableau12[[#This Row],[SKDU]]</f>
        <v>645911.17000000004</v>
      </c>
      <c r="N18" s="59">
        <f>+Tableau13[[#This Row],[SKDU]]</f>
        <v>1424505</v>
      </c>
      <c r="O18" s="59">
        <f t="shared" si="0"/>
        <v>7302859.0300000003</v>
      </c>
      <c r="P18" s="132">
        <f t="shared" si="1"/>
        <v>2153351.35</v>
      </c>
      <c r="Q18" s="132">
        <f t="shared" si="2"/>
        <v>2460240.5099999998</v>
      </c>
    </row>
    <row r="19" spans="1:17" s="27" customFormat="1" ht="30.75" customHeight="1" thickBot="1" x14ac:dyDescent="0.4">
      <c r="A19" s="214" t="s">
        <v>14</v>
      </c>
      <c r="B19" s="85" t="s">
        <v>15</v>
      </c>
      <c r="C19" s="62">
        <f>+Tableau2[[#This Row],[SKDU]]</f>
        <v>70570.460000000894</v>
      </c>
      <c r="D19" s="62">
        <f>+Tableau3[[#This Row],[SKDU]]</f>
        <v>-3363017.6400000006</v>
      </c>
      <c r="E19" s="62">
        <f>+Tableau4[[#This Row],[SKDU]]</f>
        <v>-3709859.9099999983</v>
      </c>
      <c r="F19" s="62">
        <f>+Tableau5[[#This Row],[SKDU]]</f>
        <v>-5841065.8300000019</v>
      </c>
      <c r="G19" s="62">
        <f>+Tableau6[[#This Row],[SKDU]]</f>
        <v>1249889.4200000018</v>
      </c>
      <c r="H19" s="62">
        <f>+Tableau7[[#This Row],[SKDU]]</f>
        <v>2934049.8399999961</v>
      </c>
      <c r="I19" s="62">
        <f>+Tableau8[[#This Row],[SKDU]]</f>
        <v>-5319817.5799999954</v>
      </c>
      <c r="J19" s="62">
        <f>+Tableau9[[#This Row],[SKDU]]</f>
        <v>1610435.8099999987</v>
      </c>
      <c r="K19" s="62">
        <f>+Tableau10[[#This Row],[SKDU]]</f>
        <v>4722945.6400000053</v>
      </c>
      <c r="L19" s="62">
        <f>+Tableau11[[#This Row],[SKDU]]</f>
        <v>4305724.6100000069</v>
      </c>
      <c r="M19" s="62">
        <f>+Tableau12[[#This Row],[SKDU]]</f>
        <v>-3655823.4600000046</v>
      </c>
      <c r="N19" s="62">
        <f>+Tableau13[[#This Row],[SKDU]]</f>
        <v>7364808.7199999727</v>
      </c>
      <c r="O19" s="62">
        <f t="shared" si="0"/>
        <v>368840.07999998052</v>
      </c>
      <c r="P19" s="130">
        <f t="shared" si="1"/>
        <v>-8659433.660000002</v>
      </c>
      <c r="Q19" s="130">
        <f t="shared" si="2"/>
        <v>1013563.8700000085</v>
      </c>
    </row>
    <row r="20" spans="1:17" s="32" customFormat="1" ht="30.75" customHeight="1" x14ac:dyDescent="0.35">
      <c r="A20" s="212">
        <v>75</v>
      </c>
      <c r="B20" s="84" t="s">
        <v>16</v>
      </c>
      <c r="C20" s="52">
        <f>+Tableau2[[#This Row],[SKDU]]</f>
        <v>0</v>
      </c>
      <c r="D20" s="52">
        <f>+Tableau3[[#This Row],[SKDU]]</f>
        <v>0</v>
      </c>
      <c r="E20" s="52">
        <f>+Tableau4[[#This Row],[SKDU]]</f>
        <v>40000</v>
      </c>
      <c r="F20" s="52">
        <f>+Tableau5[[#This Row],[SKDU]]</f>
        <v>0</v>
      </c>
      <c r="G20" s="52">
        <f>+Tableau6[[#This Row],[SKDU]]</f>
        <v>0</v>
      </c>
      <c r="H20" s="52">
        <f>+Tableau7[[#This Row],[SKDU]]</f>
        <v>0</v>
      </c>
      <c r="I20" s="52">
        <f>+Tableau8[[#This Row],[SKDU]]</f>
        <v>861647.73</v>
      </c>
      <c r="J20" s="52">
        <f>+Tableau9[[#This Row],[SKDU]]</f>
        <v>1.2</v>
      </c>
      <c r="K20" s="52">
        <f>+Tableau10[[#This Row],[SKDU]]</f>
        <v>79090.28</v>
      </c>
      <c r="L20" s="52">
        <f>+Tableau11[[#This Row],[SKDU]]</f>
        <v>0</v>
      </c>
      <c r="M20" s="52">
        <f>+Tableau12[[#This Row],[SKDU]]</f>
        <v>0</v>
      </c>
      <c r="N20" s="52">
        <f>+Tableau13[[#This Row],[SKDU]]</f>
        <v>34306</v>
      </c>
      <c r="O20" s="52">
        <f t="shared" si="0"/>
        <v>1015045.21</v>
      </c>
      <c r="P20" s="132">
        <f t="shared" si="1"/>
        <v>40000</v>
      </c>
      <c r="Q20" s="132">
        <f t="shared" si="2"/>
        <v>940739.21</v>
      </c>
    </row>
    <row r="21" spans="1:17" s="32" customFormat="1" ht="30.75" customHeight="1" x14ac:dyDescent="0.35">
      <c r="A21" s="216">
        <v>65</v>
      </c>
      <c r="B21" s="81" t="s">
        <v>17</v>
      </c>
      <c r="C21" s="55">
        <f>+Tableau2[[#This Row],[SKDU]]</f>
        <v>0</v>
      </c>
      <c r="D21" s="55">
        <f>+Tableau3[[#This Row],[SKDU]]</f>
        <v>0</v>
      </c>
      <c r="E21" s="55">
        <f>+Tableau4[[#This Row],[SKDU]]</f>
        <v>0</v>
      </c>
      <c r="F21" s="55">
        <f>+Tableau5[[#This Row],[SKDU]]</f>
        <v>0</v>
      </c>
      <c r="G21" s="55">
        <f>+Tableau6[[#This Row],[SKDU]]</f>
        <v>0</v>
      </c>
      <c r="H21" s="55">
        <f>+Tableau7[[#This Row],[SKDU]]</f>
        <v>51472.12</v>
      </c>
      <c r="I21" s="55">
        <f>+Tableau8[[#This Row],[SKDU]]</f>
        <v>925654.68</v>
      </c>
      <c r="J21" s="55">
        <f>+Tableau9[[#This Row],[SKDU]]</f>
        <v>4.71</v>
      </c>
      <c r="K21" s="55">
        <f>+Tableau10[[#This Row],[SKDU]]</f>
        <v>0</v>
      </c>
      <c r="L21" s="55">
        <f>+Tableau11[[#This Row],[SKDU]]</f>
        <v>0</v>
      </c>
      <c r="M21" s="55">
        <f>+Tableau12[[#This Row],[SKDU]]</f>
        <v>0</v>
      </c>
      <c r="N21" s="55">
        <f>+Tableau13[[#This Row],[SKDU]]</f>
        <v>904706.22</v>
      </c>
      <c r="O21" s="55">
        <f t="shared" si="0"/>
        <v>1881837.73</v>
      </c>
      <c r="P21" s="132">
        <f t="shared" si="1"/>
        <v>51472.12</v>
      </c>
      <c r="Q21" s="132">
        <f t="shared" si="2"/>
        <v>925659.39</v>
      </c>
    </row>
    <row r="22" spans="1:17" s="27" customFormat="1" ht="30.75" customHeight="1" x14ac:dyDescent="0.35">
      <c r="A22" s="216"/>
      <c r="B22" s="87" t="s">
        <v>18</v>
      </c>
      <c r="C22" s="71">
        <f>+Tableau2[[#This Row],[SKDU]]</f>
        <v>0</v>
      </c>
      <c r="D22" s="71">
        <f>+Tableau3[[#This Row],[SKDU]]</f>
        <v>0</v>
      </c>
      <c r="E22" s="71">
        <f>+Tableau4[[#This Row],[SKDU]]</f>
        <v>0</v>
      </c>
      <c r="F22" s="71">
        <f>+Tableau5[[#This Row],[SKDU]]</f>
        <v>0</v>
      </c>
      <c r="G22" s="71">
        <f>+Tableau6[[#This Row],[SKDU]]</f>
        <v>0</v>
      </c>
      <c r="H22" s="71">
        <f>+Tableau7[[#This Row],[SKDU]]</f>
        <v>0</v>
      </c>
      <c r="I22" s="71">
        <f>+Tableau8[[#This Row],[SKDU]]</f>
        <v>0</v>
      </c>
      <c r="J22" s="71">
        <f>+Tableau9[[#This Row],[SKDU]]</f>
        <v>0</v>
      </c>
      <c r="K22" s="71">
        <f>+Tableau10[[#This Row],[SKDU]]</f>
        <v>0</v>
      </c>
      <c r="L22" s="71">
        <f>+Tableau11[[#This Row],[SKDU]]</f>
        <v>0</v>
      </c>
      <c r="M22" s="71">
        <f>+Tableau12[[#This Row],[SKDU]]</f>
        <v>0</v>
      </c>
      <c r="N22" s="71">
        <f>+Tableau13[[#This Row],[SKDU]]</f>
        <v>0</v>
      </c>
      <c r="O22" s="71">
        <f t="shared" si="0"/>
        <v>0</v>
      </c>
      <c r="P22" s="130">
        <f t="shared" si="1"/>
        <v>0</v>
      </c>
      <c r="Q22" s="130">
        <f t="shared" si="2"/>
        <v>0</v>
      </c>
    </row>
    <row r="23" spans="1:17" s="27" customFormat="1" ht="30.75" customHeight="1" x14ac:dyDescent="0.35">
      <c r="A23" s="216"/>
      <c r="B23" s="87" t="s">
        <v>19</v>
      </c>
      <c r="C23" s="71">
        <f>+Tableau2[[#This Row],[SKDU]]</f>
        <v>0</v>
      </c>
      <c r="D23" s="71">
        <f>+Tableau3[[#This Row],[SKDU]]</f>
        <v>0</v>
      </c>
      <c r="E23" s="71">
        <f>+Tableau4[[#This Row],[SKDU]]</f>
        <v>0</v>
      </c>
      <c r="F23" s="71">
        <f>+Tableau5[[#This Row],[SKDU]]</f>
        <v>0</v>
      </c>
      <c r="G23" s="71">
        <f>+Tableau6[[#This Row],[SKDU]]</f>
        <v>0</v>
      </c>
      <c r="H23" s="71">
        <f>+Tableau7[[#This Row],[SKDU]]</f>
        <v>0</v>
      </c>
      <c r="I23" s="71">
        <f>+Tableau8[[#This Row],[SKDU]]</f>
        <v>0</v>
      </c>
      <c r="J23" s="71">
        <f>+Tableau9[[#This Row],[SKDU]]</f>
        <v>0</v>
      </c>
      <c r="K23" s="71">
        <f>+Tableau10[[#This Row],[SKDU]]</f>
        <v>0</v>
      </c>
      <c r="L23" s="71">
        <f>+Tableau11[[#This Row],[SKDU]]</f>
        <v>0</v>
      </c>
      <c r="M23" s="71">
        <f>+Tableau12[[#This Row],[SKDU]]</f>
        <v>0</v>
      </c>
      <c r="N23" s="71">
        <f>+Tableau13[[#This Row],[SKDU]]</f>
        <v>0</v>
      </c>
      <c r="O23" s="71">
        <f t="shared" si="0"/>
        <v>0</v>
      </c>
      <c r="P23" s="130">
        <f t="shared" si="1"/>
        <v>0</v>
      </c>
      <c r="Q23" s="130">
        <f t="shared" si="2"/>
        <v>0</v>
      </c>
    </row>
    <row r="24" spans="1:17" s="32" customFormat="1" ht="30.75" customHeight="1" x14ac:dyDescent="0.35">
      <c r="A24" s="216">
        <v>68</v>
      </c>
      <c r="B24" s="81" t="s">
        <v>20</v>
      </c>
      <c r="C24" s="55">
        <f>+Tableau2[[#This Row],[SKDU]]</f>
        <v>360073.1</v>
      </c>
      <c r="D24" s="55">
        <f>+Tableau3[[#This Row],[SKDU]]</f>
        <v>360073.02</v>
      </c>
      <c r="E24" s="55">
        <f>+Tableau4[[#This Row],[SKDU]]</f>
        <v>360073.02</v>
      </c>
      <c r="F24" s="55">
        <f>+Tableau5[[#This Row],[SKDU]]</f>
        <v>360073.02</v>
      </c>
      <c r="G24" s="55">
        <f>+Tableau6[[#This Row],[SKDU]]</f>
        <v>573239.68000000005</v>
      </c>
      <c r="H24" s="55">
        <f>+Tableau7[[#This Row],[SKDU]]</f>
        <v>573239.68000000005</v>
      </c>
      <c r="I24" s="55">
        <f>+Tableau8[[#This Row],[SKDU]]</f>
        <v>565314.16</v>
      </c>
      <c r="J24" s="55">
        <f>+Tableau9[[#This Row],[SKDU]]</f>
        <v>565308.73</v>
      </c>
      <c r="K24" s="55">
        <f>+Tableau10[[#This Row],[SKDU]]</f>
        <v>563525.84</v>
      </c>
      <c r="L24" s="55">
        <f>+Tableau11[[#This Row],[SKDU]]</f>
        <v>572009.06999999995</v>
      </c>
      <c r="M24" s="55">
        <f>+Tableau12[[#This Row],[SKDU]]</f>
        <v>553549.44999999995</v>
      </c>
      <c r="N24" s="55">
        <f>+Tableau13[[#This Row],[SKDU]]</f>
        <v>3260353.03</v>
      </c>
      <c r="O24" s="55">
        <f t="shared" si="0"/>
        <v>8666831.8000000007</v>
      </c>
      <c r="P24" s="132">
        <f t="shared" si="1"/>
        <v>2586771.5200000005</v>
      </c>
      <c r="Q24" s="132">
        <f t="shared" si="2"/>
        <v>1694148.73</v>
      </c>
    </row>
    <row r="25" spans="1:17" s="32" customFormat="1" ht="30.75" customHeight="1" thickBot="1" x14ac:dyDescent="0.4">
      <c r="A25" s="213">
        <v>78</v>
      </c>
      <c r="B25" s="82" t="s">
        <v>21</v>
      </c>
      <c r="C25" s="59">
        <f>+Tableau2[[#This Row],[SKDU]]</f>
        <v>0</v>
      </c>
      <c r="D25" s="59">
        <f>+Tableau3[[#This Row],[SKDU]]</f>
        <v>0</v>
      </c>
      <c r="E25" s="59">
        <f>+Tableau4[[#This Row],[SKDU]]</f>
        <v>0</v>
      </c>
      <c r="F25" s="59">
        <f>+Tableau5[[#This Row],[SKDU]]</f>
        <v>0</v>
      </c>
      <c r="G25" s="59">
        <f>+Tableau6[[#This Row],[SKDU]]</f>
        <v>0</v>
      </c>
      <c r="H25" s="59">
        <f>+Tableau7[[#This Row],[SKDU]]</f>
        <v>0</v>
      </c>
      <c r="I25" s="59">
        <f>+Tableau8[[#This Row],[SKDU]]</f>
        <v>0</v>
      </c>
      <c r="J25" s="59">
        <f>+Tableau9[[#This Row],[SKDU]]</f>
        <v>0</v>
      </c>
      <c r="K25" s="59">
        <f>+Tableau10[[#This Row],[SKDU]]</f>
        <v>0</v>
      </c>
      <c r="L25" s="59">
        <f>+Tableau11[[#This Row],[SKDU]]</f>
        <v>0</v>
      </c>
      <c r="M25" s="59">
        <f>+Tableau12[[#This Row],[SKDU]]</f>
        <v>0</v>
      </c>
      <c r="N25" s="59">
        <f>+Tableau13[[#This Row],[SKDU]]</f>
        <v>10093631.470000001</v>
      </c>
      <c r="O25" s="59">
        <f t="shared" si="0"/>
        <v>10093631.470000001</v>
      </c>
      <c r="P25" s="132">
        <f t="shared" si="1"/>
        <v>0</v>
      </c>
      <c r="Q25" s="132">
        <f t="shared" si="2"/>
        <v>0</v>
      </c>
    </row>
    <row r="26" spans="1:17" s="27" customFormat="1" ht="30.75" customHeight="1" thickBot="1" x14ac:dyDescent="0.4">
      <c r="A26" s="214" t="s">
        <v>22</v>
      </c>
      <c r="B26" s="85" t="s">
        <v>23</v>
      </c>
      <c r="C26" s="62">
        <f>+Tableau2[[#This Row],[SKDU]]</f>
        <v>-289502.63999999908</v>
      </c>
      <c r="D26" s="62">
        <f>+Tableau3[[#This Row],[SKDU]]</f>
        <v>-3723090.6600000006</v>
      </c>
      <c r="E26" s="62">
        <f>+Tableau4[[#This Row],[SKDU]]</f>
        <v>-4029932.9299999983</v>
      </c>
      <c r="F26" s="62">
        <f>+Tableau5[[#This Row],[SKDU]]</f>
        <v>-6201138.8500000015</v>
      </c>
      <c r="G26" s="62">
        <f>+Tableau6[[#This Row],[SKDU]]</f>
        <v>676649.74000000174</v>
      </c>
      <c r="H26" s="62">
        <f>+Tableau7[[#This Row],[SKDU]]</f>
        <v>2309338.0399999963</v>
      </c>
      <c r="I26" s="62">
        <f>+Tableau8[[#This Row],[SKDU]]</f>
        <v>-5949138.6899999958</v>
      </c>
      <c r="J26" s="62">
        <f>+Tableau9[[#This Row],[SKDU]]</f>
        <v>1045123.5699999987</v>
      </c>
      <c r="K26" s="62">
        <f>+Tableau10[[#This Row],[SKDU]]</f>
        <v>4238510.0800000057</v>
      </c>
      <c r="L26" s="62">
        <f>+Tableau11[[#This Row],[SKDU]]</f>
        <v>3733715.540000007</v>
      </c>
      <c r="M26" s="62">
        <f>+Tableau12[[#This Row],[SKDU]]</f>
        <v>-4209372.9100000048</v>
      </c>
      <c r="N26" s="62">
        <f>+Tableau13[[#This Row],[SKDU]]</f>
        <v>13327686.939999975</v>
      </c>
      <c r="O26" s="62">
        <f t="shared" si="0"/>
        <v>928847.22999998555</v>
      </c>
      <c r="P26" s="130">
        <f t="shared" si="1"/>
        <v>-11257677.300000001</v>
      </c>
      <c r="Q26" s="130">
        <f t="shared" si="2"/>
        <v>-665505.03999999166</v>
      </c>
    </row>
    <row r="27" spans="1:17" s="32" customFormat="1" ht="30.75" customHeight="1" x14ac:dyDescent="0.35">
      <c r="A27" s="212">
        <v>76</v>
      </c>
      <c r="B27" s="84" t="s">
        <v>24</v>
      </c>
      <c r="C27" s="52">
        <f>+Tableau2[[#This Row],[SKDU]]</f>
        <v>0</v>
      </c>
      <c r="D27" s="52">
        <f>+Tableau3[[#This Row],[SKDU]]</f>
        <v>0</v>
      </c>
      <c r="E27" s="52">
        <f>+Tableau4[[#This Row],[SKDU]]</f>
        <v>0</v>
      </c>
      <c r="F27" s="52">
        <f>+Tableau5[[#This Row],[SKDU]]</f>
        <v>0</v>
      </c>
      <c r="G27" s="52">
        <f>+Tableau6[[#This Row],[SKDU]]</f>
        <v>0</v>
      </c>
      <c r="H27" s="52">
        <f>+Tableau7[[#This Row],[SKDU]]</f>
        <v>0</v>
      </c>
      <c r="I27" s="52">
        <f>+Tableau8[[#This Row],[SKDU]]</f>
        <v>0</v>
      </c>
      <c r="J27" s="52">
        <f>+Tableau9[[#This Row],[SKDU]]</f>
        <v>0</v>
      </c>
      <c r="K27" s="52">
        <f>+Tableau10[[#This Row],[SKDU]]</f>
        <v>0</v>
      </c>
      <c r="L27" s="52">
        <f>+Tableau11[[#This Row],[SKDU]]</f>
        <v>0</v>
      </c>
      <c r="M27" s="52">
        <f>+Tableau12[[#This Row],[SKDU]]</f>
        <v>0</v>
      </c>
      <c r="N27" s="52">
        <f>+Tableau13[[#This Row],[SKDU]]</f>
        <v>0</v>
      </c>
      <c r="O27" s="52">
        <f t="shared" si="0"/>
        <v>0</v>
      </c>
      <c r="P27" s="132">
        <f t="shared" si="1"/>
        <v>0</v>
      </c>
      <c r="Q27" s="132">
        <f t="shared" si="2"/>
        <v>0</v>
      </c>
    </row>
    <row r="28" spans="1:17" s="32" customFormat="1" ht="30.75" customHeight="1" thickBot="1" x14ac:dyDescent="0.4">
      <c r="A28" s="213">
        <v>66</v>
      </c>
      <c r="B28" s="82" t="s">
        <v>25</v>
      </c>
      <c r="C28" s="59">
        <f>+Tableau2[[#This Row],[SKDU]]</f>
        <v>0</v>
      </c>
      <c r="D28" s="59">
        <f>+Tableau3[[#This Row],[SKDU]]</f>
        <v>0</v>
      </c>
      <c r="E28" s="59">
        <f>+Tableau4[[#This Row],[SKDU]]</f>
        <v>0</v>
      </c>
      <c r="F28" s="59">
        <f>+Tableau5[[#This Row],[SKDU]]</f>
        <v>37119.15</v>
      </c>
      <c r="G28" s="59">
        <f>+Tableau6[[#This Row],[SKDU]]</f>
        <v>0</v>
      </c>
      <c r="H28" s="59">
        <f>+Tableau7[[#This Row],[SKDU]]</f>
        <v>0</v>
      </c>
      <c r="I28" s="59">
        <f>+Tableau8[[#This Row],[SKDU]]</f>
        <v>0</v>
      </c>
      <c r="J28" s="59">
        <f>+Tableau9[[#This Row],[SKDU]]</f>
        <v>0</v>
      </c>
      <c r="K28" s="59">
        <f>+Tableau10[[#This Row],[SKDU]]</f>
        <v>0</v>
      </c>
      <c r="L28" s="59">
        <f>+Tableau11[[#This Row],[SKDU]]</f>
        <v>0</v>
      </c>
      <c r="M28" s="59">
        <f>+Tableau12[[#This Row],[SKDU]]</f>
        <v>0</v>
      </c>
      <c r="N28" s="59">
        <f>+Tableau13[[#This Row],[SKDU]]</f>
        <v>0</v>
      </c>
      <c r="O28" s="59">
        <f t="shared" si="0"/>
        <v>37119.15</v>
      </c>
      <c r="P28" s="132">
        <f t="shared" si="1"/>
        <v>37119.15</v>
      </c>
      <c r="Q28" s="132">
        <f t="shared" si="2"/>
        <v>0</v>
      </c>
    </row>
    <row r="29" spans="1:17" s="27" customFormat="1" ht="30.75" customHeight="1" thickBot="1" x14ac:dyDescent="0.4">
      <c r="A29" s="214" t="s">
        <v>26</v>
      </c>
      <c r="B29" s="85" t="s">
        <v>27</v>
      </c>
      <c r="C29" s="62">
        <f>+Tableau2[[#This Row],[SKDU]]</f>
        <v>0</v>
      </c>
      <c r="D29" s="62">
        <f>+Tableau3[[#This Row],[SKDU]]</f>
        <v>0</v>
      </c>
      <c r="E29" s="62">
        <f>+Tableau4[[#This Row],[SKDU]]</f>
        <v>0</v>
      </c>
      <c r="F29" s="62">
        <f>+Tableau5[[#This Row],[SKDU]]</f>
        <v>-37119.15</v>
      </c>
      <c r="G29" s="62">
        <f>+Tableau6[[#This Row],[SKDU]]</f>
        <v>0</v>
      </c>
      <c r="H29" s="62">
        <f>+Tableau7[[#This Row],[SKDU]]</f>
        <v>0</v>
      </c>
      <c r="I29" s="62">
        <f>+Tableau8[[#This Row],[SKDU]]</f>
        <v>0</v>
      </c>
      <c r="J29" s="62">
        <f>+Tableau9[[#This Row],[SKDU]]</f>
        <v>0</v>
      </c>
      <c r="K29" s="62">
        <f>+Tableau10[[#This Row],[SKDU]]</f>
        <v>0</v>
      </c>
      <c r="L29" s="62">
        <f>+Tableau11[[#This Row],[SKDU]]</f>
        <v>0</v>
      </c>
      <c r="M29" s="62">
        <f>+Tableau12[[#This Row],[SKDU]]</f>
        <v>0</v>
      </c>
      <c r="N29" s="62">
        <f>+Tableau13[[#This Row],[SKDU]]</f>
        <v>0</v>
      </c>
      <c r="O29" s="62">
        <f t="shared" si="0"/>
        <v>-37119.15</v>
      </c>
      <c r="P29" s="130">
        <f t="shared" si="1"/>
        <v>-37119.15</v>
      </c>
      <c r="Q29" s="130">
        <f t="shared" si="2"/>
        <v>0</v>
      </c>
    </row>
    <row r="30" spans="1:17" s="27" customFormat="1" ht="30.75" customHeight="1" thickBot="1" x14ac:dyDescent="0.4">
      <c r="A30" s="214" t="s">
        <v>28</v>
      </c>
      <c r="B30" s="85" t="s">
        <v>29</v>
      </c>
      <c r="C30" s="62">
        <f>+Tableau2[[#This Row],[SKDU]]</f>
        <v>-289502.63999999908</v>
      </c>
      <c r="D30" s="62">
        <f>+Tableau3[[#This Row],[SKDU]]</f>
        <v>-3723090.6600000006</v>
      </c>
      <c r="E30" s="62">
        <f>+Tableau4[[#This Row],[SKDU]]</f>
        <v>-4029932.9299999983</v>
      </c>
      <c r="F30" s="62">
        <f>+Tableau5[[#This Row],[SKDU]]</f>
        <v>-6238258.0000000019</v>
      </c>
      <c r="G30" s="62">
        <f>+Tableau6[[#This Row],[SKDU]]</f>
        <v>676649.74000000174</v>
      </c>
      <c r="H30" s="62">
        <f>+Tableau7[[#This Row],[SKDU]]</f>
        <v>2309338.0399999963</v>
      </c>
      <c r="I30" s="62">
        <f>+Tableau8[[#This Row],[SKDU]]</f>
        <v>-5949138.6899999958</v>
      </c>
      <c r="J30" s="62">
        <f>+Tableau9[[#This Row],[SKDU]]</f>
        <v>1045123.5699999987</v>
      </c>
      <c r="K30" s="62">
        <f>+Tableau10[[#This Row],[SKDU]]</f>
        <v>4238510.0800000057</v>
      </c>
      <c r="L30" s="62">
        <f>+Tableau11[[#This Row],[SKDU]]</f>
        <v>3733715.540000007</v>
      </c>
      <c r="M30" s="62">
        <f>+Tableau12[[#This Row],[SKDU]]</f>
        <v>-4209372.9100000048</v>
      </c>
      <c r="N30" s="62">
        <f>+Tableau13[[#This Row],[SKDU]]</f>
        <v>13327686.939999975</v>
      </c>
      <c r="O30" s="62">
        <f t="shared" si="0"/>
        <v>891728.07999997959</v>
      </c>
      <c r="P30" s="130">
        <f t="shared" si="1"/>
        <v>-11294796.450000003</v>
      </c>
      <c r="Q30" s="130">
        <f t="shared" si="2"/>
        <v>-665505.03999999166</v>
      </c>
    </row>
    <row r="31" spans="1:17" s="32" customFormat="1" ht="30.75" customHeight="1" x14ac:dyDescent="0.35">
      <c r="A31" s="212" t="s">
        <v>30</v>
      </c>
      <c r="B31" s="84" t="s">
        <v>31</v>
      </c>
      <c r="C31" s="52">
        <f>+Tableau2[[#This Row],[SKDU]]</f>
        <v>0</v>
      </c>
      <c r="D31" s="52">
        <f>+Tableau3[[#This Row],[SKDU]]</f>
        <v>0</v>
      </c>
      <c r="E31" s="52">
        <f>+Tableau4[[#This Row],[SKDU]]</f>
        <v>0</v>
      </c>
      <c r="F31" s="52">
        <f>+Tableau5[[#This Row],[SKDU]]</f>
        <v>0</v>
      </c>
      <c r="G31" s="52">
        <f>+Tableau6[[#This Row],[SKDU]]</f>
        <v>0</v>
      </c>
      <c r="H31" s="52">
        <f>+Tableau7[[#This Row],[SKDU]]</f>
        <v>0</v>
      </c>
      <c r="I31" s="52">
        <f>+Tableau8[[#This Row],[SKDU]]</f>
        <v>0</v>
      </c>
      <c r="J31" s="52">
        <f>+Tableau9[[#This Row],[SKDU]]</f>
        <v>0</v>
      </c>
      <c r="K31" s="52">
        <f>+Tableau10[[#This Row],[SKDU]]</f>
        <v>0</v>
      </c>
      <c r="L31" s="52">
        <f>+Tableau11[[#This Row],[SKDU]]</f>
        <v>0</v>
      </c>
      <c r="M31" s="52">
        <f>+Tableau12[[#This Row],[SKDU]]</f>
        <v>0</v>
      </c>
      <c r="N31" s="52">
        <f>+Tableau13[[#This Row],[SKDU]]</f>
        <v>0</v>
      </c>
      <c r="O31" s="52">
        <f t="shared" si="0"/>
        <v>0</v>
      </c>
      <c r="P31" s="132">
        <f t="shared" si="1"/>
        <v>0</v>
      </c>
      <c r="Q31" s="132">
        <f t="shared" si="2"/>
        <v>0</v>
      </c>
    </row>
    <row r="32" spans="1:17" s="32" customFormat="1" ht="30.75" customHeight="1" x14ac:dyDescent="0.35">
      <c r="A32" s="216" t="s">
        <v>32</v>
      </c>
      <c r="B32" s="81" t="s">
        <v>33</v>
      </c>
      <c r="C32" s="55">
        <f>+Tableau2[[#This Row],[SKDU]]</f>
        <v>0</v>
      </c>
      <c r="D32" s="55">
        <f>+Tableau3[[#This Row],[SKDU]]</f>
        <v>0</v>
      </c>
      <c r="E32" s="55">
        <f>+Tableau4[[#This Row],[SKDU]]</f>
        <v>0</v>
      </c>
      <c r="F32" s="55">
        <f>+Tableau5[[#This Row],[SKDU]]</f>
        <v>0</v>
      </c>
      <c r="G32" s="55">
        <f>+Tableau6[[#This Row],[SKDU]]</f>
        <v>0</v>
      </c>
      <c r="H32" s="55">
        <f>+Tableau7[[#This Row],[SKDU]]</f>
        <v>0</v>
      </c>
      <c r="I32" s="55">
        <f>+Tableau8[[#This Row],[SKDU]]</f>
        <v>0</v>
      </c>
      <c r="J32" s="55">
        <f>+Tableau9[[#This Row],[SKDU]]</f>
        <v>0</v>
      </c>
      <c r="K32" s="55">
        <f>+Tableau10[[#This Row],[SKDU]]</f>
        <v>0</v>
      </c>
      <c r="L32" s="55">
        <f>+Tableau11[[#This Row],[SKDU]]</f>
        <v>0</v>
      </c>
      <c r="M32" s="55">
        <f>+Tableau12[[#This Row],[SKDU]]</f>
        <v>0</v>
      </c>
      <c r="N32" s="55">
        <f>+Tableau13[[#This Row],[SKDU]]</f>
        <v>-3301632.18</v>
      </c>
      <c r="O32" s="55">
        <f t="shared" si="0"/>
        <v>-3301632.18</v>
      </c>
      <c r="P32" s="132">
        <f t="shared" si="1"/>
        <v>0</v>
      </c>
      <c r="Q32" s="132">
        <f t="shared" si="2"/>
        <v>0</v>
      </c>
    </row>
    <row r="33" spans="1:17" s="37" customFormat="1" ht="30.75" customHeight="1" x14ac:dyDescent="0.35">
      <c r="A33" s="217"/>
      <c r="B33" s="88" t="s">
        <v>45</v>
      </c>
      <c r="C33" s="75">
        <f>+Tableau2[[#This Row],[SKDU]]</f>
        <v>20417144.390000001</v>
      </c>
      <c r="D33" s="75">
        <f>+Tableau3[[#This Row],[SKDU]]</f>
        <v>19700745.359999999</v>
      </c>
      <c r="E33" s="75">
        <f>+Tableau4[[#This Row],[SKDU]]</f>
        <v>18748029.420000002</v>
      </c>
      <c r="F33" s="75">
        <f>+Tableau5[[#This Row],[SKDU]]</f>
        <v>11849877.189999998</v>
      </c>
      <c r="G33" s="75">
        <f>+Tableau6[[#This Row],[SKDU]]</f>
        <v>18466925.400000002</v>
      </c>
      <c r="H33" s="75">
        <f>+Tableau7[[#This Row],[SKDU]]</f>
        <v>27349988.339999996</v>
      </c>
      <c r="I33" s="75">
        <f>+Tableau8[[#This Row],[SKDU]]</f>
        <v>22540831.390000004</v>
      </c>
      <c r="J33" s="75">
        <f>+Tableau9[[#This Row],[SKDU]]</f>
        <v>31762443.189999998</v>
      </c>
      <c r="K33" s="75">
        <f>+Tableau10[[#This Row],[SKDU]]</f>
        <v>39481957.540000007</v>
      </c>
      <c r="L33" s="75">
        <f>+Tableau11[[#This Row],[SKDU]]</f>
        <v>35903772.290000007</v>
      </c>
      <c r="M33" s="75">
        <f>+Tableau12[[#This Row],[SKDU]]</f>
        <v>31090193.539999995</v>
      </c>
      <c r="N33" s="75">
        <f>+Tableau13[[#This Row],[SKDU]]</f>
        <v>57268745.629999973</v>
      </c>
      <c r="O33" s="75">
        <f t="shared" si="0"/>
        <v>334580653.68000007</v>
      </c>
      <c r="P33" s="129">
        <f t="shared" si="1"/>
        <v>116532710.09999999</v>
      </c>
      <c r="Q33" s="129">
        <f t="shared" si="2"/>
        <v>93785232.120000005</v>
      </c>
    </row>
    <row r="34" spans="1:17" s="37" customFormat="1" ht="30.75" customHeight="1" thickBot="1" x14ac:dyDescent="0.4">
      <c r="A34" s="218"/>
      <c r="B34" s="89" t="s">
        <v>46</v>
      </c>
      <c r="C34" s="77">
        <f>+Tableau2[[#This Row],[SKDU]]</f>
        <v>20706647.030000001</v>
      </c>
      <c r="D34" s="77">
        <f>+Tableau3[[#This Row],[SKDU]]</f>
        <v>23423836.02</v>
      </c>
      <c r="E34" s="77">
        <f>+Tableau4[[#This Row],[SKDU]]</f>
        <v>22777962.349999998</v>
      </c>
      <c r="F34" s="77">
        <f>+Tableau5[[#This Row],[SKDU]]</f>
        <v>18088135.190000001</v>
      </c>
      <c r="G34" s="77">
        <f>+Tableau6[[#This Row],[SKDU]]</f>
        <v>17790275.66</v>
      </c>
      <c r="H34" s="77">
        <f>+Tableau7[[#This Row],[SKDU]]</f>
        <v>25040650.300000001</v>
      </c>
      <c r="I34" s="77">
        <f>+Tableau8[[#This Row],[SKDU]]</f>
        <v>28489970.080000002</v>
      </c>
      <c r="J34" s="77">
        <f>+Tableau9[[#This Row],[SKDU]]</f>
        <v>30717319.620000001</v>
      </c>
      <c r="K34" s="77">
        <f>+Tableau10[[#This Row],[SKDU]]</f>
        <v>35243447.460000001</v>
      </c>
      <c r="L34" s="77">
        <f>+Tableau11[[#This Row],[SKDU]]</f>
        <v>32170056.75</v>
      </c>
      <c r="M34" s="77">
        <f>+Tableau12[[#This Row],[SKDU]]</f>
        <v>35299566.450000003</v>
      </c>
      <c r="N34" s="77">
        <f>+Tableau13[[#This Row],[SKDU]]</f>
        <v>47242690.869999997</v>
      </c>
      <c r="O34" s="77">
        <f t="shared" si="0"/>
        <v>336990557.78000003</v>
      </c>
      <c r="P34" s="129">
        <f t="shared" si="1"/>
        <v>127827506.54999998</v>
      </c>
      <c r="Q34" s="129">
        <f t="shared" si="2"/>
        <v>94450737.159999996</v>
      </c>
    </row>
    <row r="35" spans="1:17" s="27" customFormat="1" ht="30.75" customHeight="1" thickBot="1" x14ac:dyDescent="0.4">
      <c r="A35" s="214" t="s">
        <v>34</v>
      </c>
      <c r="B35" s="85" t="s">
        <v>35</v>
      </c>
      <c r="C35" s="62">
        <f>+Tableau2[[#This Row],[SKDU]]</f>
        <v>-289502.63999999908</v>
      </c>
      <c r="D35" s="62">
        <f>+Tableau3[[#This Row],[SKDU]]</f>
        <v>-3723090.6600000006</v>
      </c>
      <c r="E35" s="62">
        <f>+Tableau4[[#This Row],[SKDU]]</f>
        <v>-4029932.9299999983</v>
      </c>
      <c r="F35" s="62">
        <f>+Tableau5[[#This Row],[SKDU]]</f>
        <v>-6238258.0000000019</v>
      </c>
      <c r="G35" s="62">
        <f>+Tableau6[[#This Row],[SKDU]]</f>
        <v>676649.74000000174</v>
      </c>
      <c r="H35" s="62">
        <f>+Tableau7[[#This Row],[SKDU]]</f>
        <v>2309338.0399999963</v>
      </c>
      <c r="I35" s="62">
        <f>+Tableau8[[#This Row],[SKDU]]</f>
        <v>-5949138.6899999958</v>
      </c>
      <c r="J35" s="62">
        <f>+Tableau9[[#This Row],[SKDU]]</f>
        <v>1045123.5699999987</v>
      </c>
      <c r="K35" s="62">
        <f>+Tableau10[[#This Row],[SKDU]]</f>
        <v>4238510.0800000057</v>
      </c>
      <c r="L35" s="62">
        <f>+Tableau11[[#This Row],[SKDU]]</f>
        <v>3733715.540000007</v>
      </c>
      <c r="M35" s="62">
        <f>+Tableau12[[#This Row],[SKDU]]</f>
        <v>-4209372.9100000048</v>
      </c>
      <c r="N35" s="62">
        <f>+Tableau13[[#This Row],[SKDU]]</f>
        <v>10026054.759999976</v>
      </c>
      <c r="O35" s="62">
        <f t="shared" si="0"/>
        <v>-2409904.1000000201</v>
      </c>
      <c r="P35" s="130">
        <f t="shared" si="1"/>
        <v>-11294796.450000003</v>
      </c>
      <c r="Q35" s="130">
        <f t="shared" si="2"/>
        <v>-665505.03999999166</v>
      </c>
    </row>
    <row r="36" spans="1:17" s="32" customFormat="1" ht="30.75" customHeight="1" x14ac:dyDescent="0.35">
      <c r="A36" s="212">
        <v>77</v>
      </c>
      <c r="B36" s="84" t="s">
        <v>36</v>
      </c>
      <c r="C36" s="52">
        <f>+Tableau2[[#This Row],[SKDU]]</f>
        <v>0</v>
      </c>
      <c r="D36" s="52">
        <f>+Tableau3[[#This Row],[SKDU]]</f>
        <v>0</v>
      </c>
      <c r="E36" s="52">
        <f>+Tableau4[[#This Row],[SKDU]]</f>
        <v>0</v>
      </c>
      <c r="F36" s="52">
        <f>+Tableau5[[#This Row],[SKDU]]</f>
        <v>0</v>
      </c>
      <c r="G36" s="52">
        <f>+Tableau6[[#This Row],[SKDU]]</f>
        <v>0</v>
      </c>
      <c r="H36" s="52">
        <f>+Tableau7[[#This Row],[SKDU]]</f>
        <v>0</v>
      </c>
      <c r="I36" s="52">
        <f>+Tableau8[[#This Row],[SKDU]]</f>
        <v>0</v>
      </c>
      <c r="J36" s="52">
        <f>+Tableau9[[#This Row],[SKDU]]</f>
        <v>0</v>
      </c>
      <c r="K36" s="52">
        <f>+Tableau10[[#This Row],[SKDU]]</f>
        <v>0</v>
      </c>
      <c r="L36" s="52">
        <f>+Tableau11[[#This Row],[SKDU]]</f>
        <v>0</v>
      </c>
      <c r="M36" s="52">
        <f>+Tableau12[[#This Row],[SKDU]]</f>
        <v>0</v>
      </c>
      <c r="N36" s="52">
        <f>+Tableau13[[#This Row],[SKDU]]</f>
        <v>0</v>
      </c>
      <c r="O36" s="52">
        <f t="shared" si="0"/>
        <v>0</v>
      </c>
      <c r="P36" s="132">
        <f t="shared" si="1"/>
        <v>0</v>
      </c>
      <c r="Q36" s="132">
        <f t="shared" si="2"/>
        <v>0</v>
      </c>
    </row>
    <row r="37" spans="1:17" s="32" customFormat="1" ht="30.75" customHeight="1" thickBot="1" x14ac:dyDescent="0.4">
      <c r="A37" s="213">
        <v>67</v>
      </c>
      <c r="B37" s="82" t="s">
        <v>37</v>
      </c>
      <c r="C37" s="59">
        <f>+Tableau2[[#This Row],[SKDU]]</f>
        <v>0</v>
      </c>
      <c r="D37" s="59">
        <f>+Tableau3[[#This Row],[SKDU]]</f>
        <v>0</v>
      </c>
      <c r="E37" s="59">
        <f>+Tableau4[[#This Row],[SKDU]]</f>
        <v>0</v>
      </c>
      <c r="F37" s="59">
        <f>+Tableau5[[#This Row],[SKDU]]</f>
        <v>0</v>
      </c>
      <c r="G37" s="59">
        <f>+Tableau6[[#This Row],[SKDU]]</f>
        <v>0</v>
      </c>
      <c r="H37" s="59">
        <f>+Tableau7[[#This Row],[SKDU]]</f>
        <v>0</v>
      </c>
      <c r="I37" s="59">
        <f>+Tableau8[[#This Row],[SKDU]]</f>
        <v>0</v>
      </c>
      <c r="J37" s="59">
        <f>+Tableau9[[#This Row],[SKDU]]</f>
        <v>0</v>
      </c>
      <c r="K37" s="59">
        <f>+Tableau10[[#This Row],[SKDU]]</f>
        <v>0</v>
      </c>
      <c r="L37" s="59">
        <f>+Tableau11[[#This Row],[SKDU]]</f>
        <v>0</v>
      </c>
      <c r="M37" s="59">
        <f>+Tableau12[[#This Row],[SKDU]]</f>
        <v>0</v>
      </c>
      <c r="N37" s="59">
        <f>+Tableau13[[#This Row],[SKDU]]</f>
        <v>0</v>
      </c>
      <c r="O37" s="59">
        <f t="shared" si="0"/>
        <v>0</v>
      </c>
      <c r="P37" s="132">
        <f t="shared" si="1"/>
        <v>0</v>
      </c>
      <c r="Q37" s="132">
        <f t="shared" si="2"/>
        <v>0</v>
      </c>
    </row>
    <row r="38" spans="1:17" s="27" customFormat="1" ht="30.75" customHeight="1" thickBot="1" x14ac:dyDescent="0.4">
      <c r="A38" s="214" t="s">
        <v>38</v>
      </c>
      <c r="B38" s="85" t="s">
        <v>39</v>
      </c>
      <c r="C38" s="62">
        <f>+Tableau2[[#This Row],[SKDU]]</f>
        <v>0</v>
      </c>
      <c r="D38" s="62">
        <f>+Tableau3[[#This Row],[SKDU]]</f>
        <v>0</v>
      </c>
      <c r="E38" s="62">
        <f>+Tableau4[[#This Row],[SKDU]]</f>
        <v>0</v>
      </c>
      <c r="F38" s="62">
        <f>+Tableau5[[#This Row],[SKDU]]</f>
        <v>0</v>
      </c>
      <c r="G38" s="62">
        <f>+Tableau6[[#This Row],[SKDU]]</f>
        <v>0</v>
      </c>
      <c r="H38" s="62">
        <f>+Tableau7[[#This Row],[SKDU]]</f>
        <v>0</v>
      </c>
      <c r="I38" s="62">
        <f>+Tableau8[[#This Row],[SKDU]]</f>
        <v>0</v>
      </c>
      <c r="J38" s="62">
        <f>+Tableau9[[#This Row],[SKDU]]</f>
        <v>0</v>
      </c>
      <c r="K38" s="62">
        <f>+Tableau10[[#This Row],[SKDU]]</f>
        <v>0</v>
      </c>
      <c r="L38" s="62">
        <f>+Tableau11[[#This Row],[SKDU]]</f>
        <v>0</v>
      </c>
      <c r="M38" s="62">
        <f>+Tableau12[[#This Row],[SKDU]]</f>
        <v>0</v>
      </c>
      <c r="N38" s="62">
        <f>+Tableau13[[#This Row],[SKDU]]</f>
        <v>0</v>
      </c>
      <c r="O38" s="62">
        <f t="shared" si="0"/>
        <v>0</v>
      </c>
      <c r="P38" s="130">
        <f t="shared" si="1"/>
        <v>0</v>
      </c>
      <c r="Q38" s="130">
        <f t="shared" si="2"/>
        <v>0</v>
      </c>
    </row>
    <row r="39" spans="1:17" s="27" customFormat="1" ht="30.6" customHeight="1" thickBot="1" x14ac:dyDescent="0.4">
      <c r="A39" s="214" t="s">
        <v>40</v>
      </c>
      <c r="B39" s="85" t="s">
        <v>41</v>
      </c>
      <c r="C39" s="62">
        <f>+Tableau2[[#This Row],[SKDU]]</f>
        <v>-289502.63999999908</v>
      </c>
      <c r="D39" s="62">
        <f>+Tableau3[[#This Row],[SKDU]]</f>
        <v>-3723090.6600000006</v>
      </c>
      <c r="E39" s="62">
        <f>+Tableau4[[#This Row],[SKDU]]</f>
        <v>-4029932.9299999983</v>
      </c>
      <c r="F39" s="62">
        <f>+Tableau5[[#This Row],[SKDU]]</f>
        <v>-6238258.0000000019</v>
      </c>
      <c r="G39" s="62">
        <f>+Tableau6[[#This Row],[SKDU]]</f>
        <v>676649.74000000174</v>
      </c>
      <c r="H39" s="62">
        <f>+Tableau7[[#This Row],[SKDU]]</f>
        <v>2309338.0399999963</v>
      </c>
      <c r="I39" s="62">
        <f>+Tableau8[[#This Row],[SKDU]]</f>
        <v>-5949138.6899999958</v>
      </c>
      <c r="J39" s="62">
        <f>+Tableau9[[#This Row],[SKDU]]</f>
        <v>1045123.5699999987</v>
      </c>
      <c r="K39" s="62">
        <f>+Tableau10[[#This Row],[SKDU]]</f>
        <v>4238510.0800000057</v>
      </c>
      <c r="L39" s="62">
        <f>+Tableau11[[#This Row],[SKDU]]</f>
        <v>3733715.540000007</v>
      </c>
      <c r="M39" s="62">
        <f>+Tableau12[[#This Row],[SKDU]]</f>
        <v>-4209372.9100000048</v>
      </c>
      <c r="N39" s="62">
        <f>+Tableau13[[#This Row],[SKDU]]</f>
        <v>10026054.759999976</v>
      </c>
      <c r="O39" s="62">
        <f t="shared" si="0"/>
        <v>-2409904.1000000201</v>
      </c>
      <c r="P39" s="247">
        <f t="shared" si="1"/>
        <v>-11294796.450000003</v>
      </c>
      <c r="Q39" s="247">
        <f t="shared" si="2"/>
        <v>-665505.03999999166</v>
      </c>
    </row>
    <row r="40" spans="1:17" s="27" customFormat="1" ht="11.4" customHeight="1" thickBot="1" x14ac:dyDescent="0.4">
      <c r="A40" s="90"/>
      <c r="B40" s="90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130"/>
      <c r="Q40" s="130"/>
    </row>
    <row r="41" spans="1:17" s="27" customFormat="1" ht="18.600000000000001" thickBot="1" x14ac:dyDescent="0.4">
      <c r="A41" s="225" t="s">
        <v>51</v>
      </c>
      <c r="B41" s="226"/>
      <c r="C41" s="222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4"/>
      <c r="P41" s="130"/>
      <c r="Q41" s="130"/>
    </row>
    <row r="42" spans="1:17" s="37" customFormat="1" ht="18" x14ac:dyDescent="0.35">
      <c r="A42" s="219">
        <v>1</v>
      </c>
      <c r="B42" s="220" t="s">
        <v>52</v>
      </c>
      <c r="C42" s="221">
        <f t="shared" ref="C42:O42" si="3">+C12/C7</f>
        <v>0.60908069410424981</v>
      </c>
      <c r="D42" s="221">
        <f t="shared" si="3"/>
        <v>0.74845629549121906</v>
      </c>
      <c r="E42" s="221">
        <f t="shared" si="3"/>
        <v>0.59673710850290729</v>
      </c>
      <c r="F42" s="221">
        <f t="shared" si="3"/>
        <v>0.47398656721746762</v>
      </c>
      <c r="G42" s="221">
        <f t="shared" si="3"/>
        <v>0.42158635795733462</v>
      </c>
      <c r="H42" s="221">
        <f t="shared" si="3"/>
        <v>0.52124438533795292</v>
      </c>
      <c r="I42" s="221">
        <f t="shared" si="3"/>
        <v>0.62121564375485339</v>
      </c>
      <c r="J42" s="221">
        <f t="shared" si="3"/>
        <v>0.62748014615607373</v>
      </c>
      <c r="K42" s="221">
        <f t="shared" si="3"/>
        <v>0.74216928769754609</v>
      </c>
      <c r="L42" s="221">
        <f t="shared" si="3"/>
        <v>0.58918454795565978</v>
      </c>
      <c r="M42" s="221">
        <f t="shared" si="3"/>
        <v>0.491037305532456</v>
      </c>
      <c r="N42" s="221">
        <f t="shared" si="3"/>
        <v>0.46775512503106859</v>
      </c>
      <c r="O42" s="221">
        <f t="shared" si="3"/>
        <v>0.56147513911763558</v>
      </c>
      <c r="P42" s="129"/>
      <c r="Q42" s="129"/>
    </row>
    <row r="43" spans="1:17" s="37" customFormat="1" ht="18" x14ac:dyDescent="0.35">
      <c r="A43" s="92">
        <v>2</v>
      </c>
      <c r="B43" s="93" t="s">
        <v>53</v>
      </c>
      <c r="C43" s="95">
        <f t="shared" ref="C43:O43" si="4">+C13/C7</f>
        <v>0.30107869942905163</v>
      </c>
      <c r="D43" s="95">
        <f t="shared" si="4"/>
        <v>0.48518317185904719</v>
      </c>
      <c r="E43" s="95">
        <f t="shared" si="4"/>
        <v>0.37679041504577637</v>
      </c>
      <c r="F43" s="95">
        <f t="shared" si="4"/>
        <v>0.30253778158083833</v>
      </c>
      <c r="G43" s="95">
        <f t="shared" si="4"/>
        <v>0.15023614364782537</v>
      </c>
      <c r="H43" s="95">
        <f t="shared" si="4"/>
        <v>0.26745628770299468</v>
      </c>
      <c r="I43" s="95">
        <f t="shared" si="4"/>
        <v>0.38810645287348011</v>
      </c>
      <c r="J43" s="95">
        <f t="shared" si="4"/>
        <v>0.36424744590666769</v>
      </c>
      <c r="K43" s="95">
        <f t="shared" si="4"/>
        <v>0.41966320429981802</v>
      </c>
      <c r="L43" s="95">
        <f t="shared" si="4"/>
        <v>0.29684680096361166</v>
      </c>
      <c r="M43" s="95">
        <f t="shared" si="4"/>
        <v>0.26087094153062423</v>
      </c>
      <c r="N43" s="95">
        <f t="shared" si="4"/>
        <v>0.22985304418860994</v>
      </c>
      <c r="O43" s="95">
        <f t="shared" si="4"/>
        <v>0.30356617752252135</v>
      </c>
      <c r="P43" s="129"/>
      <c r="Q43" s="129"/>
    </row>
    <row r="44" spans="1:17" s="36" customFormat="1" ht="18" x14ac:dyDescent="0.35">
      <c r="A44" s="250">
        <v>3</v>
      </c>
      <c r="B44" s="251" t="s">
        <v>56</v>
      </c>
      <c r="C44" s="141">
        <f t="shared" ref="C44:O44" si="5">+C13/C12</f>
        <v>0.49431660261672855</v>
      </c>
      <c r="D44" s="141">
        <f t="shared" si="5"/>
        <v>0.64824516111607666</v>
      </c>
      <c r="E44" s="141">
        <f t="shared" si="5"/>
        <v>0.63141777120425324</v>
      </c>
      <c r="F44" s="141">
        <f t="shared" si="5"/>
        <v>0.63828345042958212</v>
      </c>
      <c r="G44" s="141">
        <f t="shared" si="5"/>
        <v>0.35635912028972616</v>
      </c>
      <c r="H44" s="141">
        <f t="shared" si="5"/>
        <v>0.51311111491318473</v>
      </c>
      <c r="I44" s="141">
        <f t="shared" si="5"/>
        <v>0.62475318639373523</v>
      </c>
      <c r="J44" s="141">
        <f t="shared" si="5"/>
        <v>0.5804923839232804</v>
      </c>
      <c r="K44" s="141">
        <f t="shared" si="5"/>
        <v>0.56545482446700501</v>
      </c>
      <c r="L44" s="141">
        <f t="shared" si="5"/>
        <v>0.5038265208984255</v>
      </c>
      <c r="M44" s="141">
        <f t="shared" si="5"/>
        <v>0.53126501508423873</v>
      </c>
      <c r="N44" s="141">
        <f t="shared" si="5"/>
        <v>0.49139609998574141</v>
      </c>
      <c r="O44" s="141">
        <f t="shared" si="5"/>
        <v>0.54065827028348745</v>
      </c>
      <c r="P44" s="129"/>
      <c r="Q44" s="129"/>
    </row>
    <row r="45" spans="1:17" s="37" customFormat="1" ht="18" x14ac:dyDescent="0.35">
      <c r="A45" s="92">
        <v>4</v>
      </c>
      <c r="B45" s="93" t="s">
        <v>57</v>
      </c>
      <c r="C45" s="95">
        <f t="shared" ref="C45:O45" si="6">+C15/C12</f>
        <v>0.57010267683178195</v>
      </c>
      <c r="D45" s="95">
        <f t="shared" si="6"/>
        <v>0.71413921924830159</v>
      </c>
      <c r="E45" s="95">
        <f t="shared" si="6"/>
        <v>0.71417648166174408</v>
      </c>
      <c r="F45" s="95">
        <f t="shared" si="6"/>
        <v>0.77425535158647518</v>
      </c>
      <c r="G45" s="95">
        <f t="shared" si="6"/>
        <v>0.47164922645975488</v>
      </c>
      <c r="H45" s="95">
        <f t="shared" si="6"/>
        <v>0.58036422658306708</v>
      </c>
      <c r="I45" s="95">
        <f t="shared" si="6"/>
        <v>0.68124717293898318</v>
      </c>
      <c r="J45" s="95">
        <f t="shared" si="6"/>
        <v>0.62697072618880212</v>
      </c>
      <c r="K45" s="95">
        <f t="shared" si="6"/>
        <v>0.61793076172193262</v>
      </c>
      <c r="L45" s="95">
        <f t="shared" si="6"/>
        <v>0.57466600760908504</v>
      </c>
      <c r="M45" s="95">
        <f t="shared" si="6"/>
        <v>0.71638865133935103</v>
      </c>
      <c r="N45" s="95">
        <f t="shared" si="6"/>
        <v>0.6035370921820874</v>
      </c>
      <c r="O45" s="95">
        <f t="shared" si="6"/>
        <v>0.62823150893840796</v>
      </c>
      <c r="P45" s="129"/>
      <c r="Q45" s="129"/>
    </row>
    <row r="46" spans="1:17" s="37" customFormat="1" ht="18" x14ac:dyDescent="0.35">
      <c r="A46" s="92">
        <v>5</v>
      </c>
      <c r="B46" s="93" t="s">
        <v>58</v>
      </c>
      <c r="C46" s="95">
        <f t="shared" ref="C46:O46" si="7">+C17/C12</f>
        <v>0.4098275008574791</v>
      </c>
      <c r="D46" s="95">
        <f t="shared" si="7"/>
        <v>0.44319186560969792</v>
      </c>
      <c r="E46" s="95">
        <f t="shared" si="7"/>
        <v>0.46719809466709716</v>
      </c>
      <c r="F46" s="95">
        <f t="shared" si="7"/>
        <v>0.69670914791986982</v>
      </c>
      <c r="G46" s="95">
        <f t="shared" si="7"/>
        <v>0.43666456247232144</v>
      </c>
      <c r="H46" s="95">
        <f t="shared" si="7"/>
        <v>0.29296080752917797</v>
      </c>
      <c r="I46" s="95">
        <f t="shared" si="7"/>
        <v>0.49936217017130974</v>
      </c>
      <c r="J46" s="95">
        <f t="shared" si="7"/>
        <v>0.3061066546161994</v>
      </c>
      <c r="K46" s="95">
        <f t="shared" si="7"/>
        <v>0.24848399293874121</v>
      </c>
      <c r="L46" s="95">
        <f t="shared" si="7"/>
        <v>0.28817359681399646</v>
      </c>
      <c r="M46" s="95">
        <f t="shared" si="7"/>
        <v>0.38042362119049072</v>
      </c>
      <c r="N46" s="95">
        <f t="shared" si="7"/>
        <v>0.21001481617365647</v>
      </c>
      <c r="O46" s="95">
        <f t="shared" si="7"/>
        <v>0.34805175621132711</v>
      </c>
      <c r="P46" s="129"/>
      <c r="Q46" s="129"/>
    </row>
    <row r="47" spans="1:17" s="37" customFormat="1" ht="18" x14ac:dyDescent="0.35">
      <c r="A47" s="92">
        <v>6</v>
      </c>
      <c r="B47" s="93" t="s">
        <v>54</v>
      </c>
      <c r="C47" s="95">
        <f t="shared" ref="C47:O47" si="8">+C16/C17</f>
        <v>1.0489713898377904</v>
      </c>
      <c r="D47" s="95">
        <f t="shared" si="8"/>
        <v>0.64500457461790373</v>
      </c>
      <c r="E47" s="95">
        <f t="shared" si="8"/>
        <v>0.61178228593145256</v>
      </c>
      <c r="F47" s="95">
        <f t="shared" si="8"/>
        <v>0.32401562271360945</v>
      </c>
      <c r="G47" s="95">
        <f t="shared" si="8"/>
        <v>1.2099694340864571</v>
      </c>
      <c r="H47" s="95">
        <f t="shared" si="8"/>
        <v>1.4323956059383083</v>
      </c>
      <c r="I47" s="95">
        <f t="shared" si="8"/>
        <v>0.63831993310920299</v>
      </c>
      <c r="J47" s="95">
        <f t="shared" si="8"/>
        <v>1.2186251693185399</v>
      </c>
      <c r="K47" s="95">
        <f t="shared" si="8"/>
        <v>1.537601009060809</v>
      </c>
      <c r="L47" s="95">
        <f t="shared" si="8"/>
        <v>1.4759644779859884</v>
      </c>
      <c r="M47" s="95">
        <f t="shared" si="8"/>
        <v>0.74551456025028318</v>
      </c>
      <c r="N47" s="95">
        <f t="shared" si="8"/>
        <v>1.8877854193395882</v>
      </c>
      <c r="O47" s="95">
        <f t="shared" si="8"/>
        <v>1.0681414026133078</v>
      </c>
      <c r="P47" s="129"/>
      <c r="Q47" s="129"/>
    </row>
    <row r="48" spans="1:17" s="37" customFormat="1" ht="18" x14ac:dyDescent="0.35">
      <c r="A48" s="92">
        <v>7</v>
      </c>
      <c r="B48" s="93" t="s">
        <v>55</v>
      </c>
      <c r="C48" s="95">
        <f t="shared" ref="C48:O48" si="9">+C19/C12</f>
        <v>3.4564314505492358E-3</v>
      </c>
      <c r="D48" s="95">
        <f t="shared" si="9"/>
        <v>-0.17070509661163402</v>
      </c>
      <c r="E48" s="95">
        <f t="shared" si="9"/>
        <v>-0.19830308295506185</v>
      </c>
      <c r="F48" s="95">
        <f t="shared" si="9"/>
        <v>-0.49292205618208629</v>
      </c>
      <c r="G48" s="95">
        <f t="shared" si="9"/>
        <v>6.7682594309933244E-2</v>
      </c>
      <c r="H48" s="95">
        <f t="shared" si="9"/>
        <v>0.10727791922707622</v>
      </c>
      <c r="I48" s="95">
        <f t="shared" si="9"/>
        <v>-0.24538827953266182</v>
      </c>
      <c r="J48" s="95">
        <f t="shared" si="9"/>
        <v>5.07025187328803E-2</v>
      </c>
      <c r="K48" s="95">
        <f t="shared" si="9"/>
        <v>0.11986299395005004</v>
      </c>
      <c r="L48" s="95">
        <f t="shared" si="9"/>
        <v>0.11992401732113386</v>
      </c>
      <c r="M48" s="95">
        <f t="shared" si="9"/>
        <v>-0.1175876713439078</v>
      </c>
      <c r="N48" s="95">
        <f t="shared" si="9"/>
        <v>0.15623000554006575</v>
      </c>
      <c r="O48" s="95">
        <f t="shared" si="9"/>
        <v>1.1402535806060892E-3</v>
      </c>
      <c r="P48" s="129"/>
      <c r="Q48" s="129"/>
    </row>
    <row r="49" spans="1:15" ht="15.6" x14ac:dyDescent="0.3">
      <c r="A49" s="90"/>
      <c r="B49" s="90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</row>
    <row r="50" spans="1:15" s="249" customFormat="1" x14ac:dyDescent="0.45">
      <c r="A50" s="248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</row>
  </sheetData>
  <sheetProtection formatCells="0" formatColumns="0" formatRows="0" insertColumns="0" insertRows="0" insertHyperlinks="0" deleteColumns="0" deleteRows="0" selectLockedCells="1" sort="0" autoFilter="0" pivotTables="0"/>
  <mergeCells count="3">
    <mergeCell ref="O1:P1"/>
    <mergeCell ref="O2:P2"/>
    <mergeCell ref="A5:O5"/>
  </mergeCells>
  <conditionalFormatting sqref="C1:O2 C40:O40 C6:M6 C42:O1048576 C3:N4">
    <cfRule type="cellIs" dxfId="40" priority="7" operator="lessThan">
      <formula>-0.01</formula>
    </cfRule>
  </conditionalFormatting>
  <conditionalFormatting sqref="C7:C39">
    <cfRule type="cellIs" dxfId="39" priority="6" operator="lessThan">
      <formula>-0.01</formula>
    </cfRule>
  </conditionalFormatting>
  <conditionalFormatting sqref="D7:N39">
    <cfRule type="cellIs" dxfId="38" priority="5" operator="lessThan">
      <formula>-0.01</formula>
    </cfRule>
  </conditionalFormatting>
  <conditionalFormatting sqref="O6">
    <cfRule type="cellIs" dxfId="37" priority="3" operator="lessThan">
      <formula>-0.01</formula>
    </cfRule>
  </conditionalFormatting>
  <conditionalFormatting sqref="N6">
    <cfRule type="cellIs" dxfId="36" priority="4" operator="lessThan">
      <formula>-0.01</formula>
    </cfRule>
  </conditionalFormatting>
  <conditionalFormatting sqref="O7:O39">
    <cfRule type="cellIs" dxfId="35" priority="2" operator="lessThan">
      <formula>-0.01</formula>
    </cfRule>
  </conditionalFormatting>
  <conditionalFormatting sqref="O3:O4">
    <cfRule type="cellIs" dxfId="34" priority="1" operator="lessThan">
      <formula>-0.01</formula>
    </cfRule>
  </conditionalFormatting>
  <pageMargins left="0.15748031496062992" right="0.11811023622047245" top="0.15748031496062992" bottom="0.15748031496062992" header="0.15748031496062992" footer="0"/>
  <pageSetup paperSize="9" scale="42" orientation="landscape" r:id="rId1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Y51"/>
  <sheetViews>
    <sheetView view="pageBreakPreview" zoomScale="60" zoomScaleNormal="50" workbookViewId="0">
      <pane xSplit="2" ySplit="6" topLeftCell="O36" activePane="bottomRight" state="frozen"/>
      <selection activeCell="C5" sqref="C5:D5"/>
      <selection pane="topRight" activeCell="C5" sqref="C5:D5"/>
      <selection pane="bottomLeft" activeCell="C5" sqref="C5:D5"/>
      <selection pane="bottomRight" activeCell="AC53" sqref="AC53"/>
    </sheetView>
  </sheetViews>
  <sheetFormatPr baseColWidth="10" defaultColWidth="11.44140625" defaultRowHeight="23.4" x14ac:dyDescent="0.45"/>
  <cols>
    <col min="1" max="1" width="7.6640625" style="2" customWidth="1"/>
    <col min="2" max="2" width="76.5546875" style="2" customWidth="1"/>
    <col min="3" max="14" width="19.77734375" style="3" customWidth="1"/>
    <col min="15" max="15" width="19.77734375" style="96" customWidth="1"/>
    <col min="16" max="16384" width="11.44140625" style="1"/>
  </cols>
  <sheetData>
    <row r="1" spans="1:25" s="42" customFormat="1" ht="13.8" customHeight="1" x14ac:dyDescent="0.45">
      <c r="A1" s="25"/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97"/>
      <c r="P1" s="39"/>
      <c r="Q1" s="39"/>
      <c r="R1" s="39"/>
      <c r="S1" s="39"/>
      <c r="T1" s="39"/>
      <c r="U1" s="39"/>
      <c r="V1" s="39"/>
      <c r="W1" s="39"/>
      <c r="X1" s="39"/>
      <c r="Y1" s="39"/>
    </row>
    <row r="2" spans="1:25" s="42" customFormat="1" ht="13.8" customHeight="1" x14ac:dyDescent="0.45">
      <c r="A2" s="25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98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s="42" customFormat="1" ht="13.8" customHeight="1" x14ac:dyDescent="0.4">
      <c r="A3" s="46"/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259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s="42" customFormat="1" ht="13.8" customHeight="1" x14ac:dyDescent="0.4">
      <c r="A4" s="46"/>
      <c r="B4" s="46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259"/>
    </row>
    <row r="5" spans="1:25" ht="26.4" thickBot="1" x14ac:dyDescent="0.55000000000000004">
      <c r="A5" s="281" t="s">
        <v>117</v>
      </c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</row>
    <row r="6" spans="1:25" s="27" customFormat="1" ht="52.2" customHeight="1" thickBot="1" x14ac:dyDescent="0.4">
      <c r="A6" s="203" t="s">
        <v>0</v>
      </c>
      <c r="B6" s="203" t="s">
        <v>1</v>
      </c>
      <c r="C6" s="204" t="s">
        <v>102</v>
      </c>
      <c r="D6" s="205" t="s">
        <v>103</v>
      </c>
      <c r="E6" s="206" t="s">
        <v>104</v>
      </c>
      <c r="F6" s="206" t="s">
        <v>105</v>
      </c>
      <c r="G6" s="206" t="s">
        <v>106</v>
      </c>
      <c r="H6" s="206" t="s">
        <v>107</v>
      </c>
      <c r="I6" s="206" t="s">
        <v>108</v>
      </c>
      <c r="J6" s="206" t="s">
        <v>109</v>
      </c>
      <c r="K6" s="206" t="s">
        <v>110</v>
      </c>
      <c r="L6" s="206" t="s">
        <v>111</v>
      </c>
      <c r="M6" s="206" t="s">
        <v>112</v>
      </c>
      <c r="N6" s="204" t="s">
        <v>113</v>
      </c>
      <c r="O6" s="207" t="s">
        <v>114</v>
      </c>
    </row>
    <row r="7" spans="1:25" s="29" customFormat="1" ht="30.75" customHeight="1" x14ac:dyDescent="0.35">
      <c r="A7" s="227"/>
      <c r="B7" s="228" t="s">
        <v>2</v>
      </c>
      <c r="C7" s="229">
        <f>+Tableau2[[#This Row],[AZDU]]</f>
        <v>8523681.1999999993</v>
      </c>
      <c r="D7" s="229">
        <f>+Tableau3[[#This Row],[AZDU]]</f>
        <v>7326465.7000000002</v>
      </c>
      <c r="E7" s="229">
        <f>+Tableau4[[#This Row],[AZDU]]</f>
        <v>2553408</v>
      </c>
      <c r="F7" s="229">
        <f>+Tableau5[[#This Row],[AZDU]]</f>
        <v>24729842</v>
      </c>
      <c r="G7" s="229">
        <f>+Tableau6[[#This Row],[AZDU]]</f>
        <v>34374382.899999999</v>
      </c>
      <c r="H7" s="229">
        <f>+Tableau7[[#This Row],[AZDU]]</f>
        <v>8585085.5999999996</v>
      </c>
      <c r="I7" s="229">
        <f>+Tableau8[[#This Row],[AZDU]]</f>
        <v>16563058.199999999</v>
      </c>
      <c r="J7" s="229">
        <f>+Tableau9[[#This Row],[AZDU]]</f>
        <v>22796482.600000001</v>
      </c>
      <c r="K7" s="229">
        <f>+Tableau10[[#This Row],[AZDU]]</f>
        <v>29134300.149999999</v>
      </c>
      <c r="L7" s="229">
        <f>+Tableau11[[#This Row],[AZDU]]</f>
        <v>56564470.960000001</v>
      </c>
      <c r="M7" s="229">
        <f>+Tableau12[[#This Row],[AZDU]]</f>
        <v>47013622.200000003</v>
      </c>
      <c r="N7" s="229">
        <f>+Tableau13[[#This Row],[AZDU]]</f>
        <v>151103715.44</v>
      </c>
      <c r="O7" s="229">
        <f>SUM(C7:N7)</f>
        <v>409268514.94999999</v>
      </c>
    </row>
    <row r="8" spans="1:25" s="29" customFormat="1" ht="30.75" customHeight="1" x14ac:dyDescent="0.35">
      <c r="A8" s="209"/>
      <c r="B8" s="80" t="s">
        <v>42</v>
      </c>
      <c r="C8" s="55">
        <f>+Tableau2[[#This Row],[AZDU]]</f>
        <v>6400</v>
      </c>
      <c r="D8" s="55">
        <f>+Tableau3[[#This Row],[AZDU]]</f>
        <v>0</v>
      </c>
      <c r="E8" s="55">
        <f>+Tableau4[[#This Row],[AZDU]]</f>
        <v>0</v>
      </c>
      <c r="F8" s="55">
        <f>+Tableau5[[#This Row],[AZDU]]</f>
        <v>0</v>
      </c>
      <c r="G8" s="55">
        <f>+Tableau6[[#This Row],[AZDU]]</f>
        <v>0</v>
      </c>
      <c r="H8" s="55">
        <f>+Tableau7[[#This Row],[AZDU]]</f>
        <v>4000</v>
      </c>
      <c r="I8" s="55">
        <f>+Tableau8[[#This Row],[AZDU]]</f>
        <v>0</v>
      </c>
      <c r="J8" s="55">
        <f>+Tableau9[[#This Row],[AZDU]]</f>
        <v>0</v>
      </c>
      <c r="K8" s="55">
        <f>+Tableau10[[#This Row],[AZDU]]</f>
        <v>0</v>
      </c>
      <c r="L8" s="55">
        <f>+Tableau11[[#This Row],[AZDU]]</f>
        <v>0</v>
      </c>
      <c r="M8" s="55">
        <f>+Tableau12[[#This Row],[AZDU]]</f>
        <v>0</v>
      </c>
      <c r="N8" s="55">
        <f>+Tableau13[[#This Row],[AZDU]]</f>
        <v>0</v>
      </c>
      <c r="O8" s="55">
        <f t="shared" ref="O8:O39" si="0">SUM(C8:N8)</f>
        <v>10400</v>
      </c>
    </row>
    <row r="9" spans="1:25" s="27" customFormat="1" ht="30.75" customHeight="1" x14ac:dyDescent="0.35">
      <c r="A9" s="209"/>
      <c r="B9" s="81" t="s">
        <v>3</v>
      </c>
      <c r="C9" s="55">
        <f>+Tableau2[[#This Row],[AZDU]]</f>
        <v>291305.15000000002</v>
      </c>
      <c r="D9" s="55">
        <f>+Tableau3[[#This Row],[AZDU]]</f>
        <v>3227487.33</v>
      </c>
      <c r="E9" s="55">
        <f>+Tableau4[[#This Row],[AZDU]]</f>
        <v>3057846.16</v>
      </c>
      <c r="F9" s="55">
        <f>+Tableau5[[#This Row],[AZDU]]</f>
        <v>-17800558.949999999</v>
      </c>
      <c r="G9" s="55">
        <f>+Tableau6[[#This Row],[AZDU]]</f>
        <v>-25680628.989999998</v>
      </c>
      <c r="H9" s="55">
        <f>+Tableau7[[#This Row],[AZDU]]</f>
        <v>4275710.54</v>
      </c>
      <c r="I9" s="55">
        <f>+Tableau8[[#This Row],[AZDU]]</f>
        <v>-10312348.57</v>
      </c>
      <c r="J9" s="55">
        <f>+Tableau9[[#This Row],[AZDU]]</f>
        <v>-14568656.98</v>
      </c>
      <c r="K9" s="55">
        <f>+Tableau10[[#This Row],[AZDU]]</f>
        <v>-12096847.18</v>
      </c>
      <c r="L9" s="55">
        <f>+Tableau11[[#This Row],[AZDU]]</f>
        <v>-35132240.829999998</v>
      </c>
      <c r="M9" s="55">
        <f>+Tableau12[[#This Row],[AZDU]]</f>
        <v>-24669350.640000001</v>
      </c>
      <c r="N9" s="55">
        <f>+Tableau13[[#This Row],[AZDU]]</f>
        <v>-62833965.240000002</v>
      </c>
      <c r="O9" s="183">
        <f t="shared" si="0"/>
        <v>-192242248.20000002</v>
      </c>
    </row>
    <row r="10" spans="1:25" s="27" customFormat="1" ht="30.75" customHeight="1" x14ac:dyDescent="0.35">
      <c r="A10" s="209"/>
      <c r="B10" s="81" t="s">
        <v>4</v>
      </c>
      <c r="C10" s="55">
        <f>+Tableau2[[#This Row],[AZDU]]</f>
        <v>0</v>
      </c>
      <c r="D10" s="55">
        <f>+Tableau3[[#This Row],[AZDU]]</f>
        <v>0</v>
      </c>
      <c r="E10" s="55">
        <f>+Tableau4[[#This Row],[AZDU]]</f>
        <v>0</v>
      </c>
      <c r="F10" s="55">
        <f>+Tableau5[[#This Row],[AZDU]]</f>
        <v>0</v>
      </c>
      <c r="G10" s="55">
        <f>+Tableau6[[#This Row],[AZDU]]</f>
        <v>0</v>
      </c>
      <c r="H10" s="55">
        <f>+Tableau7[[#This Row],[AZDU]]</f>
        <v>0</v>
      </c>
      <c r="I10" s="55">
        <f>+Tableau8[[#This Row],[AZDU]]</f>
        <v>0</v>
      </c>
      <c r="J10" s="55">
        <f>+Tableau9[[#This Row],[AZDU]]</f>
        <v>0</v>
      </c>
      <c r="K10" s="55">
        <f>+Tableau10[[#This Row],[AZDU]]</f>
        <v>0</v>
      </c>
      <c r="L10" s="55">
        <f>+Tableau11[[#This Row],[AZDU]]</f>
        <v>0</v>
      </c>
      <c r="M10" s="55">
        <f>+Tableau12[[#This Row],[AZDU]]</f>
        <v>0</v>
      </c>
      <c r="N10" s="55">
        <f>+Tableau13[[#This Row],[AZDU]]</f>
        <v>0</v>
      </c>
      <c r="O10" s="55">
        <f t="shared" si="0"/>
        <v>0</v>
      </c>
    </row>
    <row r="11" spans="1:25" s="27" customFormat="1" ht="30.75" customHeight="1" thickBot="1" x14ac:dyDescent="0.4">
      <c r="A11" s="210"/>
      <c r="B11" s="82" t="s">
        <v>5</v>
      </c>
      <c r="C11" s="59">
        <f>+Tableau2[[#This Row],[AZDU]]</f>
        <v>0</v>
      </c>
      <c r="D11" s="59">
        <f>+Tableau3[[#This Row],[AZDU]]</f>
        <v>0</v>
      </c>
      <c r="E11" s="59">
        <f>+Tableau4[[#This Row],[AZDU]]</f>
        <v>0</v>
      </c>
      <c r="F11" s="59">
        <f>+Tableau5[[#This Row],[AZDU]]</f>
        <v>0</v>
      </c>
      <c r="G11" s="59">
        <f>+Tableau6[[#This Row],[AZDU]]</f>
        <v>0</v>
      </c>
      <c r="H11" s="59">
        <f>+Tableau7[[#This Row],[AZDU]]</f>
        <v>0</v>
      </c>
      <c r="I11" s="59">
        <f>+Tableau8[[#This Row],[AZDU]]</f>
        <v>0</v>
      </c>
      <c r="J11" s="59">
        <f>+Tableau9[[#This Row],[AZDU]]</f>
        <v>0</v>
      </c>
      <c r="K11" s="59">
        <f>+Tableau10[[#This Row],[AZDU]]</f>
        <v>0</v>
      </c>
      <c r="L11" s="59">
        <f>+Tableau11[[#This Row],[AZDU]]</f>
        <v>0</v>
      </c>
      <c r="M11" s="59">
        <f>+Tableau12[[#This Row],[AZDU]]</f>
        <v>0</v>
      </c>
      <c r="N11" s="59">
        <f>+Tableau13[[#This Row],[AZDU]]</f>
        <v>0</v>
      </c>
      <c r="O11" s="59">
        <f t="shared" si="0"/>
        <v>0</v>
      </c>
    </row>
    <row r="12" spans="1:25" s="27" customFormat="1" ht="30.75" customHeight="1" thickBot="1" x14ac:dyDescent="0.4">
      <c r="A12" s="211"/>
      <c r="B12" s="83" t="s">
        <v>6</v>
      </c>
      <c r="C12" s="62">
        <f>+Tableau2[[#This Row],[AZDU]]</f>
        <v>8821386.3499999996</v>
      </c>
      <c r="D12" s="62">
        <f>+Tableau3[[#This Row],[AZDU]]</f>
        <v>10553953.030000001</v>
      </c>
      <c r="E12" s="62">
        <f>+Tableau4[[#This Row],[AZDU]]</f>
        <v>5611254.1600000001</v>
      </c>
      <c r="F12" s="62">
        <f>+Tableau5[[#This Row],[AZDU]]</f>
        <v>6929283.0500000007</v>
      </c>
      <c r="G12" s="62">
        <f>+Tableau6[[#This Row],[AZDU]]</f>
        <v>8693753.9100000001</v>
      </c>
      <c r="H12" s="62">
        <f>+Tableau7[[#This Row],[AZDU]]</f>
        <v>12864796.140000001</v>
      </c>
      <c r="I12" s="62">
        <f>+Tableau8[[#This Row],[AZDU]]</f>
        <v>6250709.629999999</v>
      </c>
      <c r="J12" s="62">
        <f>+Tableau9[[#This Row],[AZDU]]</f>
        <v>8227825.620000001</v>
      </c>
      <c r="K12" s="62">
        <f>+Tableau10[[#This Row],[AZDU]]</f>
        <v>17037452.969999999</v>
      </c>
      <c r="L12" s="62">
        <f>+Tableau11[[#This Row],[AZDU]]</f>
        <v>21432230.130000003</v>
      </c>
      <c r="M12" s="62">
        <f>+Tableau12[[#This Row],[AZDU]]</f>
        <v>22344271.560000002</v>
      </c>
      <c r="N12" s="62">
        <f>+Tableau13[[#This Row],[AZDU]]</f>
        <v>88269750.199999988</v>
      </c>
      <c r="O12" s="62">
        <f t="shared" si="0"/>
        <v>217036666.75</v>
      </c>
    </row>
    <row r="13" spans="1:25" s="32" customFormat="1" ht="30.75" customHeight="1" x14ac:dyDescent="0.35">
      <c r="A13" s="212">
        <v>60</v>
      </c>
      <c r="B13" s="84" t="s">
        <v>7</v>
      </c>
      <c r="C13" s="65">
        <f>+Tableau2[[#This Row],[AZDU]]</f>
        <v>10717019.279999999</v>
      </c>
      <c r="D13" s="65">
        <f>+Tableau3[[#This Row],[AZDU]]</f>
        <v>8916447.4299999997</v>
      </c>
      <c r="E13" s="65">
        <f>+Tableau4[[#This Row],[AZDU]]</f>
        <v>7927205.1200000001</v>
      </c>
      <c r="F13" s="65">
        <f>+Tableau5[[#This Row],[AZDU]]</f>
        <v>8766555.9199999999</v>
      </c>
      <c r="G13" s="65">
        <f>+Tableau6[[#This Row],[AZDU]]</f>
        <v>7152528.6299999999</v>
      </c>
      <c r="H13" s="65">
        <f>+Tableau7[[#This Row],[AZDU]]</f>
        <v>10007923.640000001</v>
      </c>
      <c r="I13" s="65">
        <f>+Tableau8[[#This Row],[AZDU]]</f>
        <v>10613527.539999999</v>
      </c>
      <c r="J13" s="65">
        <f>+Tableau9[[#This Row],[AZDU]]</f>
        <v>14408748.539999999</v>
      </c>
      <c r="K13" s="65">
        <f>+Tableau10[[#This Row],[AZDU]]</f>
        <v>17153611.609999999</v>
      </c>
      <c r="L13" s="65">
        <f>+Tableau11[[#This Row],[AZDU]]</f>
        <v>20570214.59</v>
      </c>
      <c r="M13" s="65">
        <f>+Tableau12[[#This Row],[AZDU]]</f>
        <v>18216417.879999999</v>
      </c>
      <c r="N13" s="65">
        <f>+Tableau13[[#This Row],[AZDU]]</f>
        <v>45832103.880000003</v>
      </c>
      <c r="O13" s="65">
        <f t="shared" si="0"/>
        <v>180282304.06</v>
      </c>
    </row>
    <row r="14" spans="1:25" s="32" customFormat="1" ht="30.75" customHeight="1" thickBot="1" x14ac:dyDescent="0.4">
      <c r="A14" s="213" t="s">
        <v>8</v>
      </c>
      <c r="B14" s="82" t="s">
        <v>43</v>
      </c>
      <c r="C14" s="59">
        <f>+Tableau2[[#This Row],[AZDU]]</f>
        <v>1311166.22</v>
      </c>
      <c r="D14" s="59">
        <f>+Tableau3[[#This Row],[AZDU]]</f>
        <v>1194855.67</v>
      </c>
      <c r="E14" s="59">
        <f>+Tableau4[[#This Row],[AZDU]]</f>
        <v>1430808.4</v>
      </c>
      <c r="F14" s="59">
        <f>+Tableau5[[#This Row],[AZDU]]</f>
        <v>829233.78</v>
      </c>
      <c r="G14" s="59">
        <f>+Tableau6[[#This Row],[AZDU]]</f>
        <v>834097.43</v>
      </c>
      <c r="H14" s="59">
        <f>+Tableau7[[#This Row],[AZDU]]</f>
        <v>4387589.49</v>
      </c>
      <c r="I14" s="59">
        <f>+Tableau8[[#This Row],[AZDU]]</f>
        <v>3079582.56</v>
      </c>
      <c r="J14" s="59">
        <f>+Tableau9[[#This Row],[AZDU]]</f>
        <v>1067331.51</v>
      </c>
      <c r="K14" s="59">
        <f>+Tableau10[[#This Row],[AZDU]]</f>
        <v>3021044.07</v>
      </c>
      <c r="L14" s="59">
        <f>+Tableau11[[#This Row],[AZDU]]</f>
        <v>1920846.96</v>
      </c>
      <c r="M14" s="59">
        <f>+Tableau12[[#This Row],[AZDU]]</f>
        <v>4043276.75</v>
      </c>
      <c r="N14" s="59">
        <f>+Tableau13[[#This Row],[AZDU]]</f>
        <v>10212396.5</v>
      </c>
      <c r="O14" s="77">
        <f t="shared" si="0"/>
        <v>33332229.34</v>
      </c>
    </row>
    <row r="15" spans="1:25" s="27" customFormat="1" ht="30.75" customHeight="1" thickBot="1" x14ac:dyDescent="0.4">
      <c r="A15" s="214" t="s">
        <v>9</v>
      </c>
      <c r="B15" s="85" t="s">
        <v>10</v>
      </c>
      <c r="C15" s="62">
        <f>+Tableau2[[#This Row],[AZDU]]</f>
        <v>12028185.5</v>
      </c>
      <c r="D15" s="62">
        <f>+Tableau3[[#This Row],[AZDU]]</f>
        <v>10111303.1</v>
      </c>
      <c r="E15" s="62">
        <f>+Tableau4[[#This Row],[AZDU]]</f>
        <v>9358013.5199999996</v>
      </c>
      <c r="F15" s="62">
        <f>+Tableau5[[#This Row],[AZDU]]</f>
        <v>9595789.6999999993</v>
      </c>
      <c r="G15" s="62">
        <f>+Tableau6[[#This Row],[AZDU]]</f>
        <v>7986626.0599999996</v>
      </c>
      <c r="H15" s="62">
        <f>+Tableau7[[#This Row],[AZDU]]</f>
        <v>14395513.130000001</v>
      </c>
      <c r="I15" s="62">
        <f>+Tableau8[[#This Row],[AZDU]]</f>
        <v>13693110.1</v>
      </c>
      <c r="J15" s="62">
        <f>+Tableau9[[#This Row],[AZDU]]</f>
        <v>15476080.049999999</v>
      </c>
      <c r="K15" s="62">
        <f>+Tableau10[[#This Row],[AZDU]]</f>
        <v>20174655.68</v>
      </c>
      <c r="L15" s="62">
        <f>+Tableau11[[#This Row],[AZDU]]</f>
        <v>22491061.550000001</v>
      </c>
      <c r="M15" s="62">
        <f>+Tableau12[[#This Row],[AZDU]]</f>
        <v>22259694.629999999</v>
      </c>
      <c r="N15" s="62">
        <f>+Tableau13[[#This Row],[AZDU]]</f>
        <v>56044500.380000003</v>
      </c>
      <c r="O15" s="62">
        <f t="shared" si="0"/>
        <v>213614533.40000001</v>
      </c>
    </row>
    <row r="16" spans="1:25" s="27" customFormat="1" ht="30.75" customHeight="1" thickBot="1" x14ac:dyDescent="0.4">
      <c r="A16" s="215" t="s">
        <v>11</v>
      </c>
      <c r="B16" s="86" t="s">
        <v>12</v>
      </c>
      <c r="C16" s="68">
        <f>+Tableau2[[#This Row],[AZDU]]</f>
        <v>-3206799.1500000004</v>
      </c>
      <c r="D16" s="68">
        <f>+Tableau3[[#This Row],[AZDU]]</f>
        <v>442649.93000000156</v>
      </c>
      <c r="E16" s="68">
        <f>+Tableau4[[#This Row],[AZDU]]</f>
        <v>-3746759.3599999994</v>
      </c>
      <c r="F16" s="68">
        <f>+Tableau5[[#This Row],[AZDU]]</f>
        <v>-2666506.6499999985</v>
      </c>
      <c r="G16" s="68">
        <f>+Tableau6[[#This Row],[AZDU]]</f>
        <v>707127.85000000056</v>
      </c>
      <c r="H16" s="68">
        <f>+Tableau7[[#This Row],[AZDU]]</f>
        <v>-1530716.9900000002</v>
      </c>
      <c r="I16" s="68">
        <f>+Tableau8[[#This Row],[AZDU]]</f>
        <v>-7442400.4700000007</v>
      </c>
      <c r="J16" s="68">
        <f>+Tableau9[[#This Row],[AZDU]]</f>
        <v>-7248254.4299999978</v>
      </c>
      <c r="K16" s="68">
        <f>+Tableau10[[#This Row],[AZDU]]</f>
        <v>-3137202.7100000009</v>
      </c>
      <c r="L16" s="68">
        <f>+Tableau11[[#This Row],[AZDU]]</f>
        <v>-1058831.4199999981</v>
      </c>
      <c r="M16" s="68">
        <f>+Tableau12[[#This Row],[AZDU]]</f>
        <v>84576.930000003427</v>
      </c>
      <c r="N16" s="68">
        <f>+Tableau13[[#This Row],[AZDU]]</f>
        <v>32225249.819999985</v>
      </c>
      <c r="O16" s="68">
        <f t="shared" si="0"/>
        <v>3422133.349999994</v>
      </c>
    </row>
    <row r="17" spans="1:15" s="32" customFormat="1" ht="30.75" customHeight="1" x14ac:dyDescent="0.35">
      <c r="A17" s="212">
        <v>63</v>
      </c>
      <c r="B17" s="84" t="s">
        <v>44</v>
      </c>
      <c r="C17" s="65">
        <f>+Tableau2[[#This Row],[AZDU]]</f>
        <v>9053540.2100000009</v>
      </c>
      <c r="D17" s="65">
        <f>+Tableau3[[#This Row],[AZDU]]</f>
        <v>8632602.5</v>
      </c>
      <c r="E17" s="65">
        <f>+Tableau4[[#This Row],[AZDU]]</f>
        <v>10456033.199999999</v>
      </c>
      <c r="F17" s="65">
        <f>+Tableau5[[#This Row],[AZDU]]</f>
        <v>9102644.1099999994</v>
      </c>
      <c r="G17" s="65">
        <f>+Tableau6[[#This Row],[AZDU]]</f>
        <v>8737517.5999999996</v>
      </c>
      <c r="H17" s="65">
        <f>+Tableau7[[#This Row],[AZDU]]</f>
        <v>8476784.5199999996</v>
      </c>
      <c r="I17" s="65">
        <f>+Tableau8[[#This Row],[AZDU]]</f>
        <v>10977740.51</v>
      </c>
      <c r="J17" s="65">
        <f>+Tableau9[[#This Row],[AZDU]]</f>
        <v>10478746.48</v>
      </c>
      <c r="K17" s="65">
        <f>+Tableau10[[#This Row],[AZDU]]</f>
        <v>9386123.5099999998</v>
      </c>
      <c r="L17" s="65">
        <f>+Tableau11[[#This Row],[AZDU]]</f>
        <v>10638240.699999999</v>
      </c>
      <c r="M17" s="65">
        <f>+Tableau12[[#This Row],[AZDU]]</f>
        <v>10971405.65</v>
      </c>
      <c r="N17" s="65">
        <f>+Tableau13[[#This Row],[AZDU]]</f>
        <v>7184550.8200000003</v>
      </c>
      <c r="O17" s="65">
        <f t="shared" si="0"/>
        <v>114095929.81</v>
      </c>
    </row>
    <row r="18" spans="1:15" s="32" customFormat="1" ht="30.75" customHeight="1" thickBot="1" x14ac:dyDescent="0.4">
      <c r="A18" s="213">
        <v>64</v>
      </c>
      <c r="B18" s="82" t="s">
        <v>13</v>
      </c>
      <c r="C18" s="59">
        <f>+Tableau2[[#This Row],[AZDU]]</f>
        <v>292186</v>
      </c>
      <c r="D18" s="59">
        <f>+Tableau3[[#This Row],[AZDU]]</f>
        <v>74384</v>
      </c>
      <c r="E18" s="59">
        <f>+Tableau4[[#This Row],[AZDU]]</f>
        <v>33375.370000000003</v>
      </c>
      <c r="F18" s="59">
        <f>+Tableau5[[#This Row],[AZDU]]</f>
        <v>248398</v>
      </c>
      <c r="G18" s="59">
        <f>+Tableau6[[#This Row],[AZDU]]</f>
        <v>344263</v>
      </c>
      <c r="H18" s="59">
        <f>+Tableau7[[#This Row],[AZDU]]</f>
        <v>94140</v>
      </c>
      <c r="I18" s="59">
        <f>+Tableau8[[#This Row],[AZDU]]</f>
        <v>167670.57999999999</v>
      </c>
      <c r="J18" s="59">
        <f>+Tableau9[[#This Row],[AZDU]]</f>
        <v>227964.83</v>
      </c>
      <c r="K18" s="59">
        <f>+Tableau10[[#This Row],[AZDU]]</f>
        <v>292585.56</v>
      </c>
      <c r="L18" s="59">
        <f>+Tableau11[[#This Row],[AZDU]]</f>
        <v>570220</v>
      </c>
      <c r="M18" s="59">
        <f>+Tableau12[[#This Row],[AZDU]]</f>
        <v>2265762</v>
      </c>
      <c r="N18" s="59">
        <f>+Tableau13[[#This Row],[AZDU]]</f>
        <v>1460056.85</v>
      </c>
      <c r="O18" s="59">
        <f t="shared" si="0"/>
        <v>6071006.1899999995</v>
      </c>
    </row>
    <row r="19" spans="1:15" s="27" customFormat="1" ht="30.75" customHeight="1" thickBot="1" x14ac:dyDescent="0.4">
      <c r="A19" s="214" t="s">
        <v>14</v>
      </c>
      <c r="B19" s="85" t="s">
        <v>15</v>
      </c>
      <c r="C19" s="62">
        <f>+Tableau2[[#This Row],[AZDU]]</f>
        <v>-12552525.360000001</v>
      </c>
      <c r="D19" s="62">
        <f>+Tableau3[[#This Row],[AZDU]]</f>
        <v>-8264336.5699999984</v>
      </c>
      <c r="E19" s="62">
        <f>+Tableau4[[#This Row],[AZDU]]</f>
        <v>-14236167.929999998</v>
      </c>
      <c r="F19" s="62">
        <f>+Tableau5[[#This Row],[AZDU]]</f>
        <v>-12017548.759999998</v>
      </c>
      <c r="G19" s="62">
        <f>+Tableau6[[#This Row],[AZDU]]</f>
        <v>-8374652.7499999991</v>
      </c>
      <c r="H19" s="62">
        <f>+Tableau7[[#This Row],[AZDU]]</f>
        <v>-10101641.51</v>
      </c>
      <c r="I19" s="62">
        <f>+Tableau8[[#This Row],[AZDU]]</f>
        <v>-18587811.559999999</v>
      </c>
      <c r="J19" s="62">
        <f>+Tableau9[[#This Row],[AZDU]]</f>
        <v>-17954965.739999995</v>
      </c>
      <c r="K19" s="62">
        <f>+Tableau10[[#This Row],[AZDU]]</f>
        <v>-12815911.780000001</v>
      </c>
      <c r="L19" s="62">
        <f>+Tableau11[[#This Row],[AZDU]]</f>
        <v>-12267292.119999997</v>
      </c>
      <c r="M19" s="62">
        <f>+Tableau12[[#This Row],[AZDU]]</f>
        <v>-13152590.719999997</v>
      </c>
      <c r="N19" s="62">
        <f>+Tableau13[[#This Row],[AZDU]]</f>
        <v>23580642.149999984</v>
      </c>
      <c r="O19" s="62">
        <f t="shared" si="0"/>
        <v>-116744802.65000001</v>
      </c>
    </row>
    <row r="20" spans="1:15" s="32" customFormat="1" ht="30.75" customHeight="1" x14ac:dyDescent="0.35">
      <c r="A20" s="212">
        <v>75</v>
      </c>
      <c r="B20" s="84" t="s">
        <v>16</v>
      </c>
      <c r="C20" s="52">
        <f>+Tableau2[[#This Row],[AZDU]]</f>
        <v>0</v>
      </c>
      <c r="D20" s="52">
        <f>+Tableau3[[#This Row],[AZDU]]</f>
        <v>53900</v>
      </c>
      <c r="E20" s="52">
        <f>+Tableau4[[#This Row],[AZDU]]</f>
        <v>0</v>
      </c>
      <c r="F20" s="52">
        <f>+Tableau5[[#This Row],[AZDU]]</f>
        <v>0</v>
      </c>
      <c r="G20" s="52">
        <f>+Tableau6[[#This Row],[AZDU]]</f>
        <v>0</v>
      </c>
      <c r="H20" s="52">
        <f>+Tableau7[[#This Row],[AZDU]]</f>
        <v>0</v>
      </c>
      <c r="I20" s="52">
        <f>+Tableau8[[#This Row],[AZDU]]</f>
        <v>0</v>
      </c>
      <c r="J20" s="52">
        <f>+Tableau9[[#This Row],[AZDU]]</f>
        <v>0</v>
      </c>
      <c r="K20" s="52">
        <f>+Tableau10[[#This Row],[AZDU]]</f>
        <v>0</v>
      </c>
      <c r="L20" s="52">
        <f>+Tableau11[[#This Row],[AZDU]]</f>
        <v>0</v>
      </c>
      <c r="M20" s="52">
        <f>+Tableau12[[#This Row],[AZDU]]</f>
        <v>2676723.13</v>
      </c>
      <c r="N20" s="52">
        <f>+Tableau13[[#This Row],[AZDU]]</f>
        <v>0</v>
      </c>
      <c r="O20" s="52">
        <f t="shared" si="0"/>
        <v>2730623.13</v>
      </c>
    </row>
    <row r="21" spans="1:15" s="32" customFormat="1" ht="30.75" customHeight="1" x14ac:dyDescent="0.35">
      <c r="A21" s="216">
        <v>65</v>
      </c>
      <c r="B21" s="81" t="s">
        <v>17</v>
      </c>
      <c r="C21" s="55">
        <f>+Tableau2[[#This Row],[AZDU]]</f>
        <v>0</v>
      </c>
      <c r="D21" s="55">
        <f>+Tableau3[[#This Row],[AZDU]]</f>
        <v>0</v>
      </c>
      <c r="E21" s="55">
        <f>+Tableau4[[#This Row],[AZDU]]</f>
        <v>0</v>
      </c>
      <c r="F21" s="55">
        <f>+Tableau5[[#This Row],[AZDU]]</f>
        <v>0</v>
      </c>
      <c r="G21" s="55">
        <f>+Tableau6[[#This Row],[AZDU]]</f>
        <v>0</v>
      </c>
      <c r="H21" s="55">
        <f>+Tableau7[[#This Row],[AZDU]]</f>
        <v>60050</v>
      </c>
      <c r="I21" s="55">
        <f>+Tableau8[[#This Row],[AZDU]]</f>
        <v>0</v>
      </c>
      <c r="J21" s="55">
        <f>+Tableau9[[#This Row],[AZDU]]</f>
        <v>0</v>
      </c>
      <c r="K21" s="55">
        <f>+Tableau10[[#This Row],[AZDU]]</f>
        <v>0</v>
      </c>
      <c r="L21" s="55">
        <f>+Tableau11[[#This Row],[AZDU]]</f>
        <v>1200</v>
      </c>
      <c r="M21" s="55">
        <f>+Tableau12[[#This Row],[AZDU]]</f>
        <v>0</v>
      </c>
      <c r="N21" s="55">
        <f>+Tableau13[[#This Row],[AZDU]]</f>
        <v>769093.9</v>
      </c>
      <c r="O21" s="55">
        <f t="shared" si="0"/>
        <v>830343.9</v>
      </c>
    </row>
    <row r="22" spans="1:15" s="27" customFormat="1" ht="30.75" customHeight="1" x14ac:dyDescent="0.35">
      <c r="A22" s="216"/>
      <c r="B22" s="87" t="s">
        <v>18</v>
      </c>
      <c r="C22" s="71">
        <f>+Tableau2[[#This Row],[AZDU]]</f>
        <v>0</v>
      </c>
      <c r="D22" s="71">
        <f>+Tableau3[[#This Row],[AZDU]]</f>
        <v>0</v>
      </c>
      <c r="E22" s="71">
        <f>+Tableau4[[#This Row],[AZDU]]</f>
        <v>0</v>
      </c>
      <c r="F22" s="71">
        <f>+Tableau5[[#This Row],[AZDU]]</f>
        <v>0</v>
      </c>
      <c r="G22" s="71">
        <f>+Tableau6[[#This Row],[AZDU]]</f>
        <v>0</v>
      </c>
      <c r="H22" s="71">
        <f>+Tableau7[[#This Row],[AZDU]]</f>
        <v>0</v>
      </c>
      <c r="I22" s="71">
        <f>+Tableau8[[#This Row],[AZDU]]</f>
        <v>0</v>
      </c>
      <c r="J22" s="71">
        <f>+Tableau9[[#This Row],[AZDU]]</f>
        <v>0</v>
      </c>
      <c r="K22" s="71">
        <f>+Tableau10[[#This Row],[AZDU]]</f>
        <v>0</v>
      </c>
      <c r="L22" s="71">
        <f>+Tableau11[[#This Row],[AZDU]]</f>
        <v>0</v>
      </c>
      <c r="M22" s="71">
        <f>+Tableau12[[#This Row],[AZDU]]</f>
        <v>0</v>
      </c>
      <c r="N22" s="71">
        <f>+Tableau13[[#This Row],[AZDU]]</f>
        <v>0</v>
      </c>
      <c r="O22" s="71">
        <f t="shared" si="0"/>
        <v>0</v>
      </c>
    </row>
    <row r="23" spans="1:15" s="27" customFormat="1" ht="30.75" customHeight="1" x14ac:dyDescent="0.35">
      <c r="A23" s="216"/>
      <c r="B23" s="87" t="s">
        <v>19</v>
      </c>
      <c r="C23" s="71">
        <f>+Tableau2[[#This Row],[AZDU]]</f>
        <v>0</v>
      </c>
      <c r="D23" s="71">
        <f>+Tableau3[[#This Row],[AZDU]]</f>
        <v>0</v>
      </c>
      <c r="E23" s="71">
        <f>+Tableau4[[#This Row],[AZDU]]</f>
        <v>0</v>
      </c>
      <c r="F23" s="71">
        <f>+Tableau5[[#This Row],[AZDU]]</f>
        <v>0</v>
      </c>
      <c r="G23" s="71">
        <f>+Tableau6[[#This Row],[AZDU]]</f>
        <v>0</v>
      </c>
      <c r="H23" s="71">
        <f>+Tableau7[[#This Row],[AZDU]]</f>
        <v>0</v>
      </c>
      <c r="I23" s="71">
        <f>+Tableau8[[#This Row],[AZDU]]</f>
        <v>0</v>
      </c>
      <c r="J23" s="71">
        <f>+Tableau9[[#This Row],[AZDU]]</f>
        <v>0</v>
      </c>
      <c r="K23" s="71">
        <f>+Tableau10[[#This Row],[AZDU]]</f>
        <v>0</v>
      </c>
      <c r="L23" s="71">
        <f>+Tableau11[[#This Row],[AZDU]]</f>
        <v>0</v>
      </c>
      <c r="M23" s="71">
        <f>+Tableau12[[#This Row],[AZDU]]</f>
        <v>0</v>
      </c>
      <c r="N23" s="71">
        <f>+Tableau13[[#This Row],[AZDU]]</f>
        <v>0</v>
      </c>
      <c r="O23" s="71">
        <f t="shared" si="0"/>
        <v>0</v>
      </c>
    </row>
    <row r="24" spans="1:15" s="32" customFormat="1" ht="30.75" customHeight="1" x14ac:dyDescent="0.35">
      <c r="A24" s="216">
        <v>68</v>
      </c>
      <c r="B24" s="81" t="s">
        <v>20</v>
      </c>
      <c r="C24" s="55">
        <f>+Tableau2[[#This Row],[AZDU]]</f>
        <v>575613.82999999996</v>
      </c>
      <c r="D24" s="55">
        <f>+Tableau3[[#This Row],[AZDU]]</f>
        <v>575613.82999999996</v>
      </c>
      <c r="E24" s="55">
        <f>+Tableau4[[#This Row],[AZDU]]</f>
        <v>576798.82999999996</v>
      </c>
      <c r="F24" s="55">
        <f>+Tableau5[[#This Row],[AZDU]]</f>
        <v>575012.74</v>
      </c>
      <c r="G24" s="55">
        <f>+Tableau6[[#This Row],[AZDU]]</f>
        <v>575456.29</v>
      </c>
      <c r="H24" s="55">
        <f>+Tableau7[[#This Row],[AZDU]]</f>
        <v>575447.93000000005</v>
      </c>
      <c r="I24" s="55">
        <f>+Tableau8[[#This Row],[AZDU]]</f>
        <v>573996.17000000004</v>
      </c>
      <c r="J24" s="55">
        <f>+Tableau9[[#This Row],[AZDU]]</f>
        <v>576832.29</v>
      </c>
      <c r="K24" s="55">
        <f>+Tableau10[[#This Row],[AZDU]]</f>
        <v>577602.29</v>
      </c>
      <c r="L24" s="55">
        <f>+Tableau11[[#This Row],[AZDU]]</f>
        <v>573368.19999999995</v>
      </c>
      <c r="M24" s="55">
        <f>+Tableau12[[#This Row],[AZDU]]</f>
        <v>573352.72</v>
      </c>
      <c r="N24" s="55">
        <f>+Tableau13[[#This Row],[AZDU]]</f>
        <v>2752525.73</v>
      </c>
      <c r="O24" s="55">
        <f t="shared" si="0"/>
        <v>9081620.8499999996</v>
      </c>
    </row>
    <row r="25" spans="1:15" s="32" customFormat="1" ht="30.75" customHeight="1" thickBot="1" x14ac:dyDescent="0.4">
      <c r="A25" s="213">
        <v>78</v>
      </c>
      <c r="B25" s="82" t="s">
        <v>21</v>
      </c>
      <c r="C25" s="59">
        <f>+Tableau2[[#This Row],[AZDU]]</f>
        <v>0</v>
      </c>
      <c r="D25" s="59">
        <f>+Tableau3[[#This Row],[AZDU]]</f>
        <v>0</v>
      </c>
      <c r="E25" s="59">
        <f>+Tableau4[[#This Row],[AZDU]]</f>
        <v>0</v>
      </c>
      <c r="F25" s="59">
        <f>+Tableau5[[#This Row],[AZDU]]</f>
        <v>0</v>
      </c>
      <c r="G25" s="59">
        <f>+Tableau6[[#This Row],[AZDU]]</f>
        <v>0</v>
      </c>
      <c r="H25" s="59">
        <f>+Tableau7[[#This Row],[AZDU]]</f>
        <v>0</v>
      </c>
      <c r="I25" s="59">
        <f>+Tableau8[[#This Row],[AZDU]]</f>
        <v>0</v>
      </c>
      <c r="J25" s="59">
        <f>+Tableau9[[#This Row],[AZDU]]</f>
        <v>854700.85</v>
      </c>
      <c r="K25" s="59">
        <f>+Tableau10[[#This Row],[AZDU]]</f>
        <v>0</v>
      </c>
      <c r="L25" s="59">
        <f>+Tableau11[[#This Row],[AZDU]]</f>
        <v>0</v>
      </c>
      <c r="M25" s="59">
        <f>+Tableau12[[#This Row],[AZDU]]</f>
        <v>0</v>
      </c>
      <c r="N25" s="59">
        <f>+Tableau13[[#This Row],[AZDU]]</f>
        <v>54352939.409999996</v>
      </c>
      <c r="O25" s="59">
        <f t="shared" si="0"/>
        <v>55207640.259999998</v>
      </c>
    </row>
    <row r="26" spans="1:15" s="27" customFormat="1" ht="30.75" customHeight="1" thickBot="1" x14ac:dyDescent="0.4">
      <c r="A26" s="214" t="s">
        <v>22</v>
      </c>
      <c r="B26" s="85" t="s">
        <v>23</v>
      </c>
      <c r="C26" s="62">
        <f t="shared" ref="C26:O26" si="1">+C19+C20+C25-(C21+C22+C23+C24)</f>
        <v>-13128139.190000001</v>
      </c>
      <c r="D26" s="62">
        <f t="shared" si="1"/>
        <v>-8786050.3999999985</v>
      </c>
      <c r="E26" s="62">
        <f t="shared" si="1"/>
        <v>-14812966.759999998</v>
      </c>
      <c r="F26" s="62">
        <f t="shared" si="1"/>
        <v>-12592561.499999998</v>
      </c>
      <c r="G26" s="62">
        <f t="shared" si="1"/>
        <v>-8950109.0399999991</v>
      </c>
      <c r="H26" s="62">
        <f t="shared" si="1"/>
        <v>-10737139.439999999</v>
      </c>
      <c r="I26" s="62">
        <f t="shared" si="1"/>
        <v>-19161807.73</v>
      </c>
      <c r="J26" s="62">
        <f t="shared" si="1"/>
        <v>-17677097.179999992</v>
      </c>
      <c r="K26" s="62">
        <f t="shared" si="1"/>
        <v>-13393514.07</v>
      </c>
      <c r="L26" s="62">
        <f t="shared" si="1"/>
        <v>-12841860.319999997</v>
      </c>
      <c r="M26" s="62">
        <f t="shared" si="1"/>
        <v>-11049220.309999997</v>
      </c>
      <c r="N26" s="62">
        <f t="shared" si="1"/>
        <v>74411961.929999977</v>
      </c>
      <c r="O26" s="62">
        <f t="shared" si="1"/>
        <v>-68718504.01000002</v>
      </c>
    </row>
    <row r="27" spans="1:15" s="32" customFormat="1" ht="30.75" customHeight="1" x14ac:dyDescent="0.35">
      <c r="A27" s="212">
        <v>76</v>
      </c>
      <c r="B27" s="84" t="s">
        <v>24</v>
      </c>
      <c r="C27" s="52">
        <f>+Tableau2[[#This Row],[AZDU]]</f>
        <v>0</v>
      </c>
      <c r="D27" s="52">
        <f>+Tableau3[[#This Row],[AZDU]]</f>
        <v>0</v>
      </c>
      <c r="E27" s="52">
        <f>+Tableau4[[#This Row],[AZDU]]</f>
        <v>0</v>
      </c>
      <c r="F27" s="52">
        <f>+Tableau5[[#This Row],[AZDU]]</f>
        <v>0</v>
      </c>
      <c r="G27" s="52">
        <f>+Tableau6[[#This Row],[AZDU]]</f>
        <v>0</v>
      </c>
      <c r="H27" s="52">
        <f>+Tableau7[[#This Row],[AZDU]]</f>
        <v>0</v>
      </c>
      <c r="I27" s="52">
        <f>+Tableau8[[#This Row],[AZDU]]</f>
        <v>0</v>
      </c>
      <c r="J27" s="52">
        <f>+Tableau9[[#This Row],[AZDU]]</f>
        <v>0</v>
      </c>
      <c r="K27" s="52">
        <f>+Tableau10[[#This Row],[AZDU]]</f>
        <v>0</v>
      </c>
      <c r="L27" s="52">
        <f>+Tableau11[[#This Row],[AZDU]]</f>
        <v>0</v>
      </c>
      <c r="M27" s="52">
        <f>+Tableau12[[#This Row],[AZDU]]</f>
        <v>0</v>
      </c>
      <c r="N27" s="52">
        <f>+Tableau13[[#This Row],[AZDU]]</f>
        <v>0</v>
      </c>
      <c r="O27" s="52">
        <f t="shared" si="0"/>
        <v>0</v>
      </c>
    </row>
    <row r="28" spans="1:15" s="32" customFormat="1" ht="30.75" customHeight="1" thickBot="1" x14ac:dyDescent="0.4">
      <c r="A28" s="213">
        <v>66</v>
      </c>
      <c r="B28" s="82" t="s">
        <v>25</v>
      </c>
      <c r="C28" s="59">
        <f>+Tableau2[[#This Row],[AZDU]]</f>
        <v>0</v>
      </c>
      <c r="D28" s="59">
        <f>+Tableau3[[#This Row],[AZDU]]</f>
        <v>0</v>
      </c>
      <c r="E28" s="59">
        <f>+Tableau4[[#This Row],[AZDU]]</f>
        <v>0</v>
      </c>
      <c r="F28" s="59">
        <f>+Tableau5[[#This Row],[AZDU]]</f>
        <v>0</v>
      </c>
      <c r="G28" s="59">
        <f>+Tableau6[[#This Row],[AZDU]]</f>
        <v>0</v>
      </c>
      <c r="H28" s="59">
        <f>+Tableau7[[#This Row],[AZDU]]</f>
        <v>0</v>
      </c>
      <c r="I28" s="59">
        <f>+Tableau8[[#This Row],[AZDU]]</f>
        <v>0</v>
      </c>
      <c r="J28" s="59">
        <f>+Tableau9[[#This Row],[AZDU]]</f>
        <v>0</v>
      </c>
      <c r="K28" s="59">
        <f>+Tableau10[[#This Row],[AZDU]]</f>
        <v>0</v>
      </c>
      <c r="L28" s="59">
        <f>+Tableau11[[#This Row],[AZDU]]</f>
        <v>0</v>
      </c>
      <c r="M28" s="59">
        <f>+Tableau12[[#This Row],[AZDU]]</f>
        <v>0</v>
      </c>
      <c r="N28" s="59">
        <f>+Tableau13[[#This Row],[AZDU]]</f>
        <v>0</v>
      </c>
      <c r="O28" s="59">
        <f t="shared" si="0"/>
        <v>0</v>
      </c>
    </row>
    <row r="29" spans="1:15" s="27" customFormat="1" ht="30.75" customHeight="1" thickBot="1" x14ac:dyDescent="0.4">
      <c r="A29" s="214" t="s">
        <v>26</v>
      </c>
      <c r="B29" s="85" t="s">
        <v>27</v>
      </c>
      <c r="C29" s="62">
        <f>+Tableau2[[#This Row],[AZDU]]</f>
        <v>0</v>
      </c>
      <c r="D29" s="62">
        <f>+Tableau3[[#This Row],[AZDU]]</f>
        <v>0</v>
      </c>
      <c r="E29" s="62">
        <f>+Tableau4[[#This Row],[AZDU]]</f>
        <v>0</v>
      </c>
      <c r="F29" s="62">
        <f>+Tableau5[[#This Row],[AZDU]]</f>
        <v>0</v>
      </c>
      <c r="G29" s="62">
        <f>+Tableau6[[#This Row],[AZDU]]</f>
        <v>0</v>
      </c>
      <c r="H29" s="62">
        <f>+Tableau7[[#This Row],[AZDU]]</f>
        <v>0</v>
      </c>
      <c r="I29" s="62">
        <f>+Tableau8[[#This Row],[AZDU]]</f>
        <v>0</v>
      </c>
      <c r="J29" s="62">
        <f>+Tableau9[[#This Row],[AZDU]]</f>
        <v>0</v>
      </c>
      <c r="K29" s="62">
        <f>+Tableau10[[#This Row],[AZDU]]</f>
        <v>0</v>
      </c>
      <c r="L29" s="62">
        <f>+Tableau11[[#This Row],[AZDU]]</f>
        <v>0</v>
      </c>
      <c r="M29" s="62">
        <f>+Tableau12[[#This Row],[AZDU]]</f>
        <v>0</v>
      </c>
      <c r="N29" s="62">
        <f>+Tableau13[[#This Row],[AZDU]]</f>
        <v>0</v>
      </c>
      <c r="O29" s="62">
        <f t="shared" si="0"/>
        <v>0</v>
      </c>
    </row>
    <row r="30" spans="1:15" s="27" customFormat="1" ht="30.75" customHeight="1" thickBot="1" x14ac:dyDescent="0.4">
      <c r="A30" s="214" t="s">
        <v>28</v>
      </c>
      <c r="B30" s="85" t="s">
        <v>29</v>
      </c>
      <c r="C30" s="62">
        <f>+Tableau2[[#This Row],[AZDU]]</f>
        <v>-13128139.190000001</v>
      </c>
      <c r="D30" s="62">
        <f>+Tableau3[[#This Row],[AZDU]]</f>
        <v>-8786050.3999999985</v>
      </c>
      <c r="E30" s="62">
        <f>+Tableau4[[#This Row],[AZDU]]</f>
        <v>-14812966.759999998</v>
      </c>
      <c r="F30" s="62">
        <f>+Tableau5[[#This Row],[AZDU]]</f>
        <v>-12592561.499999998</v>
      </c>
      <c r="G30" s="62">
        <f>+Tableau6[[#This Row],[AZDU]]</f>
        <v>-8950109.0399999991</v>
      </c>
      <c r="H30" s="62">
        <f>+Tableau7[[#This Row],[AZDU]]</f>
        <v>-10737139.439999999</v>
      </c>
      <c r="I30" s="62">
        <f>+Tableau8[[#This Row],[AZDU]]</f>
        <v>-19161807.73</v>
      </c>
      <c r="J30" s="62">
        <f>+Tableau9[[#This Row],[AZDU]]</f>
        <v>-17677097.179999992</v>
      </c>
      <c r="K30" s="62">
        <f>+Tableau10[[#This Row],[AZDU]]</f>
        <v>-13393514.07</v>
      </c>
      <c r="L30" s="62">
        <f>+Tableau11[[#This Row],[AZDU]]</f>
        <v>-12841860.319999997</v>
      </c>
      <c r="M30" s="62">
        <f>+Tableau12[[#This Row],[AZDU]]</f>
        <v>-11049220.309999997</v>
      </c>
      <c r="N30" s="62">
        <f>+Tableau13[[#This Row],[AZDU]]</f>
        <v>74411961.929999977</v>
      </c>
      <c r="O30" s="62">
        <f t="shared" si="0"/>
        <v>-68718504.01000002</v>
      </c>
    </row>
    <row r="31" spans="1:15" s="32" customFormat="1" ht="30.75" customHeight="1" x14ac:dyDescent="0.35">
      <c r="A31" s="212" t="s">
        <v>30</v>
      </c>
      <c r="B31" s="84" t="s">
        <v>31</v>
      </c>
      <c r="C31" s="52">
        <f>+Tableau2[[#This Row],[AZDU]]</f>
        <v>0</v>
      </c>
      <c r="D31" s="52">
        <f>+Tableau3[[#This Row],[AZDU]]</f>
        <v>0</v>
      </c>
      <c r="E31" s="52">
        <f>+Tableau4[[#This Row],[AZDU]]</f>
        <v>0</v>
      </c>
      <c r="F31" s="52">
        <f>+Tableau5[[#This Row],[AZDU]]</f>
        <v>0</v>
      </c>
      <c r="G31" s="52">
        <f>+Tableau6[[#This Row],[AZDU]]</f>
        <v>0</v>
      </c>
      <c r="H31" s="52">
        <f>+Tableau7[[#This Row],[AZDU]]</f>
        <v>0</v>
      </c>
      <c r="I31" s="52">
        <f>+Tableau8[[#This Row],[AZDU]]</f>
        <v>0</v>
      </c>
      <c r="J31" s="52">
        <f>+Tableau9[[#This Row],[AZDU]]</f>
        <v>0</v>
      </c>
      <c r="K31" s="52">
        <f>+Tableau10[[#This Row],[AZDU]]</f>
        <v>0</v>
      </c>
      <c r="L31" s="52">
        <f>+Tableau11[[#This Row],[AZDU]]</f>
        <v>0</v>
      </c>
      <c r="M31" s="52">
        <f>+Tableau12[[#This Row],[AZDU]]</f>
        <v>0</v>
      </c>
      <c r="N31" s="52">
        <f>+Tableau13[[#This Row],[AZDU]]</f>
        <v>0</v>
      </c>
      <c r="O31" s="52">
        <f t="shared" si="0"/>
        <v>0</v>
      </c>
    </row>
    <row r="32" spans="1:15" s="32" customFormat="1" ht="30.75" customHeight="1" x14ac:dyDescent="0.35">
      <c r="A32" s="216" t="s">
        <v>32</v>
      </c>
      <c r="B32" s="81" t="s">
        <v>33</v>
      </c>
      <c r="C32" s="55">
        <f>+Tableau2[[#This Row],[AZDU]]</f>
        <v>0</v>
      </c>
      <c r="D32" s="55">
        <f>+Tableau3[[#This Row],[AZDU]]</f>
        <v>0</v>
      </c>
      <c r="E32" s="55">
        <f>+Tableau4[[#This Row],[AZDU]]</f>
        <v>0</v>
      </c>
      <c r="F32" s="55">
        <f>+Tableau5[[#This Row],[AZDU]]</f>
        <v>0</v>
      </c>
      <c r="G32" s="55">
        <f>+Tableau6[[#This Row],[AZDU]]</f>
        <v>0</v>
      </c>
      <c r="H32" s="55">
        <f>+Tableau7[[#This Row],[AZDU]]</f>
        <v>0</v>
      </c>
      <c r="I32" s="55">
        <f>+Tableau8[[#This Row],[AZDU]]</f>
        <v>0</v>
      </c>
      <c r="J32" s="55">
        <f>+Tableau9[[#This Row],[AZDU]]</f>
        <v>0</v>
      </c>
      <c r="K32" s="55">
        <f>+Tableau10[[#This Row],[AZDU]]</f>
        <v>0</v>
      </c>
      <c r="L32" s="55">
        <f>+Tableau11[[#This Row],[AZDU]]</f>
        <v>0</v>
      </c>
      <c r="M32" s="55">
        <f>+Tableau12[[#This Row],[AZDU]]</f>
        <v>0</v>
      </c>
      <c r="N32" s="55">
        <f>+Tableau13[[#This Row],[AZDU]]</f>
        <v>-15258025.529999999</v>
      </c>
      <c r="O32" s="55">
        <f t="shared" si="0"/>
        <v>-15258025.529999999</v>
      </c>
    </row>
    <row r="33" spans="1:15" s="37" customFormat="1" ht="30.75" customHeight="1" x14ac:dyDescent="0.35">
      <c r="A33" s="217"/>
      <c r="B33" s="88" t="s">
        <v>45</v>
      </c>
      <c r="C33" s="75">
        <f t="shared" ref="C33:O33" si="2">+C12+C20+C27+C25</f>
        <v>8821386.3499999996</v>
      </c>
      <c r="D33" s="75">
        <f t="shared" si="2"/>
        <v>10607853.030000001</v>
      </c>
      <c r="E33" s="75">
        <f t="shared" si="2"/>
        <v>5611254.1600000001</v>
      </c>
      <c r="F33" s="75">
        <f t="shared" si="2"/>
        <v>6929283.0500000007</v>
      </c>
      <c r="G33" s="75">
        <f t="shared" si="2"/>
        <v>8693753.9100000001</v>
      </c>
      <c r="H33" s="75">
        <f t="shared" si="2"/>
        <v>12864796.140000001</v>
      </c>
      <c r="I33" s="75">
        <f t="shared" si="2"/>
        <v>6250709.629999999</v>
      </c>
      <c r="J33" s="75">
        <f t="shared" si="2"/>
        <v>9082526.4700000007</v>
      </c>
      <c r="K33" s="75">
        <f t="shared" si="2"/>
        <v>17037452.969999999</v>
      </c>
      <c r="L33" s="75">
        <f t="shared" si="2"/>
        <v>21432230.130000003</v>
      </c>
      <c r="M33" s="75">
        <f t="shared" si="2"/>
        <v>25020994.690000001</v>
      </c>
      <c r="N33" s="75">
        <f t="shared" si="2"/>
        <v>142622689.60999998</v>
      </c>
      <c r="O33" s="75">
        <f t="shared" si="2"/>
        <v>274974930.13999999</v>
      </c>
    </row>
    <row r="34" spans="1:15" s="37" customFormat="1" ht="30.75" customHeight="1" thickBot="1" x14ac:dyDescent="0.4">
      <c r="A34" s="218"/>
      <c r="B34" s="89" t="s">
        <v>46</v>
      </c>
      <c r="C34" s="77">
        <f>+Tableau2[[#This Row],[AZDU]]</f>
        <v>21949525.539999999</v>
      </c>
      <c r="D34" s="77">
        <f>+Tableau3[[#This Row],[AZDU]]</f>
        <v>19393903.43</v>
      </c>
      <c r="E34" s="77">
        <f>+Tableau4[[#This Row],[AZDU]]</f>
        <v>20424220.919999998</v>
      </c>
      <c r="F34" s="77">
        <f>+Tableau5[[#This Row],[AZDU]]</f>
        <v>19521844.549999997</v>
      </c>
      <c r="G34" s="77">
        <f>+Tableau6[[#This Row],[AZDU]]</f>
        <v>17643862.949999999</v>
      </c>
      <c r="H34" s="77">
        <f>+Tableau7[[#This Row],[AZDU]]</f>
        <v>23601935.579999998</v>
      </c>
      <c r="I34" s="77">
        <f>+Tableau8[[#This Row],[AZDU]]</f>
        <v>25412517.359999999</v>
      </c>
      <c r="J34" s="77">
        <f>+Tableau9[[#This Row],[AZDU]]</f>
        <v>26759623.649999999</v>
      </c>
      <c r="K34" s="77">
        <f>+Tableau10[[#This Row],[AZDU]]</f>
        <v>30430967.039999995</v>
      </c>
      <c r="L34" s="77">
        <f>+Tableau11[[#This Row],[AZDU]]</f>
        <v>34274090.450000003</v>
      </c>
      <c r="M34" s="77">
        <f>+Tableau12[[#This Row],[AZDU]]</f>
        <v>36070215</v>
      </c>
      <c r="N34" s="77">
        <f>+Tableau13[[#This Row],[AZDU]]</f>
        <v>83468753.210000008</v>
      </c>
      <c r="O34" s="77">
        <f t="shared" si="0"/>
        <v>358951459.67999995</v>
      </c>
    </row>
    <row r="35" spans="1:15" s="27" customFormat="1" ht="30.75" customHeight="1" thickBot="1" x14ac:dyDescent="0.4">
      <c r="A35" s="214" t="s">
        <v>34</v>
      </c>
      <c r="B35" s="85" t="s">
        <v>35</v>
      </c>
      <c r="C35" s="62">
        <f>+Tableau2[[#This Row],[AZDU]]</f>
        <v>-13128139.190000001</v>
      </c>
      <c r="D35" s="62">
        <f>+Tableau3[[#This Row],[AZDU]]</f>
        <v>-8786050.3999999985</v>
      </c>
      <c r="E35" s="62">
        <f>+Tableau4[[#This Row],[AZDU]]</f>
        <v>-14812966.759999998</v>
      </c>
      <c r="F35" s="62">
        <f>+Tableau5[[#This Row],[AZDU]]</f>
        <v>-12592561.499999998</v>
      </c>
      <c r="G35" s="62">
        <f>+Tableau6[[#This Row],[AZDU]]</f>
        <v>-8950109.0399999991</v>
      </c>
      <c r="H35" s="62">
        <f>+Tableau7[[#This Row],[AZDU]]</f>
        <v>-10737139.439999999</v>
      </c>
      <c r="I35" s="62">
        <f>+Tableau8[[#This Row],[AZDU]]</f>
        <v>-19161807.73</v>
      </c>
      <c r="J35" s="62">
        <f>+Tableau9[[#This Row],[AZDU]]</f>
        <v>-17677097.179999992</v>
      </c>
      <c r="K35" s="62">
        <f>+Tableau10[[#This Row],[AZDU]]</f>
        <v>-13393514.07</v>
      </c>
      <c r="L35" s="62">
        <f>+Tableau11[[#This Row],[AZDU]]</f>
        <v>-12841860.319999997</v>
      </c>
      <c r="M35" s="62">
        <f>+Tableau12[[#This Row],[AZDU]]</f>
        <v>-11049220.309999997</v>
      </c>
      <c r="N35" s="62">
        <f>+Tableau13[[#This Row],[AZDU]]</f>
        <v>59153936.399999976</v>
      </c>
      <c r="O35" s="62">
        <f t="shared" si="0"/>
        <v>-83976529.540000021</v>
      </c>
    </row>
    <row r="36" spans="1:15" s="32" customFormat="1" ht="30.75" customHeight="1" x14ac:dyDescent="0.35">
      <c r="A36" s="212">
        <v>77</v>
      </c>
      <c r="B36" s="84" t="s">
        <v>36</v>
      </c>
      <c r="C36" s="52">
        <f>+Tableau2[[#This Row],[AZDU]]</f>
        <v>0</v>
      </c>
      <c r="D36" s="52">
        <f>+Tableau3[[#This Row],[AZDU]]</f>
        <v>0</v>
      </c>
      <c r="E36" s="52">
        <f>+Tableau4[[#This Row],[AZDU]]</f>
        <v>0</v>
      </c>
      <c r="F36" s="52">
        <f>+Tableau5[[#This Row],[AZDU]]</f>
        <v>0</v>
      </c>
      <c r="G36" s="52">
        <f>+Tableau6[[#This Row],[AZDU]]</f>
        <v>0</v>
      </c>
      <c r="H36" s="52">
        <f>+Tableau7[[#This Row],[AZDU]]</f>
        <v>0</v>
      </c>
      <c r="I36" s="52">
        <f>+Tableau8[[#This Row],[AZDU]]</f>
        <v>0</v>
      </c>
      <c r="J36" s="52">
        <f>+Tableau9[[#This Row],[AZDU]]</f>
        <v>0</v>
      </c>
      <c r="K36" s="52">
        <f>+Tableau10[[#This Row],[AZDU]]</f>
        <v>0</v>
      </c>
      <c r="L36" s="52">
        <f>+Tableau11[[#This Row],[AZDU]]</f>
        <v>0</v>
      </c>
      <c r="M36" s="52">
        <f>+Tableau12[[#This Row],[AZDU]]</f>
        <v>0</v>
      </c>
      <c r="N36" s="52">
        <f>+Tableau13[[#This Row],[AZDU]]</f>
        <v>0</v>
      </c>
      <c r="O36" s="52">
        <f t="shared" si="0"/>
        <v>0</v>
      </c>
    </row>
    <row r="37" spans="1:15" s="32" customFormat="1" ht="30.75" customHeight="1" thickBot="1" x14ac:dyDescent="0.4">
      <c r="A37" s="213">
        <v>67</v>
      </c>
      <c r="B37" s="82" t="s">
        <v>37</v>
      </c>
      <c r="C37" s="59">
        <f>+Tableau2[[#This Row],[AZDU]]</f>
        <v>0</v>
      </c>
      <c r="D37" s="59">
        <f>+Tableau3[[#This Row],[AZDU]]</f>
        <v>0</v>
      </c>
      <c r="E37" s="59">
        <f>+Tableau4[[#This Row],[AZDU]]</f>
        <v>0</v>
      </c>
      <c r="F37" s="59">
        <f>+Tableau5[[#This Row],[AZDU]]</f>
        <v>0</v>
      </c>
      <c r="G37" s="59">
        <f>+Tableau6[[#This Row],[AZDU]]</f>
        <v>0</v>
      </c>
      <c r="H37" s="59">
        <f>+Tableau7[[#This Row],[AZDU]]</f>
        <v>0</v>
      </c>
      <c r="I37" s="59">
        <f>+Tableau8[[#This Row],[AZDU]]</f>
        <v>0</v>
      </c>
      <c r="J37" s="59">
        <f>+Tableau9[[#This Row],[AZDU]]</f>
        <v>0</v>
      </c>
      <c r="K37" s="59">
        <f>+Tableau10[[#This Row],[AZDU]]</f>
        <v>0</v>
      </c>
      <c r="L37" s="59">
        <f>+Tableau11[[#This Row],[AZDU]]</f>
        <v>0</v>
      </c>
      <c r="M37" s="59">
        <f>+Tableau12[[#This Row],[AZDU]]</f>
        <v>0</v>
      </c>
      <c r="N37" s="59">
        <f>+Tableau13[[#This Row],[AZDU]]</f>
        <v>0</v>
      </c>
      <c r="O37" s="59">
        <f t="shared" si="0"/>
        <v>0</v>
      </c>
    </row>
    <row r="38" spans="1:15" s="27" customFormat="1" ht="30.75" customHeight="1" thickBot="1" x14ac:dyDescent="0.4">
      <c r="A38" s="214" t="s">
        <v>38</v>
      </c>
      <c r="B38" s="85" t="s">
        <v>39</v>
      </c>
      <c r="C38" s="62">
        <f>+Tableau2[[#This Row],[AZDU]]</f>
        <v>0</v>
      </c>
      <c r="D38" s="62">
        <f>+Tableau3[[#This Row],[AZDU]]</f>
        <v>0</v>
      </c>
      <c r="E38" s="62">
        <f>+Tableau4[[#This Row],[AZDU]]</f>
        <v>0</v>
      </c>
      <c r="F38" s="62">
        <f>+Tableau5[[#This Row],[AZDU]]</f>
        <v>0</v>
      </c>
      <c r="G38" s="62">
        <f>+Tableau6[[#This Row],[AZDU]]</f>
        <v>0</v>
      </c>
      <c r="H38" s="62">
        <f>+Tableau7[[#This Row],[AZDU]]</f>
        <v>0</v>
      </c>
      <c r="I38" s="62">
        <f>+Tableau8[[#This Row],[AZDU]]</f>
        <v>0</v>
      </c>
      <c r="J38" s="62">
        <f>+Tableau9[[#This Row],[AZDU]]</f>
        <v>0</v>
      </c>
      <c r="K38" s="62">
        <f>+Tableau10[[#This Row],[AZDU]]</f>
        <v>0</v>
      </c>
      <c r="L38" s="62">
        <f>+Tableau11[[#This Row],[AZDU]]</f>
        <v>0</v>
      </c>
      <c r="M38" s="62">
        <f>+Tableau12[[#This Row],[AZDU]]</f>
        <v>0</v>
      </c>
      <c r="N38" s="62">
        <f>+Tableau13[[#This Row],[AZDU]]</f>
        <v>0</v>
      </c>
      <c r="O38" s="62">
        <f t="shared" si="0"/>
        <v>0</v>
      </c>
    </row>
    <row r="39" spans="1:15" s="27" customFormat="1" ht="30.6" customHeight="1" thickBot="1" x14ac:dyDescent="0.4">
      <c r="A39" s="214" t="s">
        <v>40</v>
      </c>
      <c r="B39" s="85" t="s">
        <v>41</v>
      </c>
      <c r="C39" s="62">
        <f>+Tableau2[[#This Row],[AZDU]]</f>
        <v>-13128139.190000001</v>
      </c>
      <c r="D39" s="62">
        <f>+Tableau3[[#This Row],[AZDU]]</f>
        <v>-8786050.3999999985</v>
      </c>
      <c r="E39" s="62">
        <f>+Tableau4[[#This Row],[AZDU]]</f>
        <v>-14812966.759999998</v>
      </c>
      <c r="F39" s="62">
        <f>+Tableau5[[#This Row],[AZDU]]</f>
        <v>-12592561.499999998</v>
      </c>
      <c r="G39" s="62">
        <f>+Tableau6[[#This Row],[AZDU]]</f>
        <v>-8950109.0399999991</v>
      </c>
      <c r="H39" s="62">
        <f>+Tableau7[[#This Row],[AZDU]]</f>
        <v>-10737139.439999999</v>
      </c>
      <c r="I39" s="62">
        <f>+Tableau8[[#This Row],[AZDU]]</f>
        <v>-19161807.73</v>
      </c>
      <c r="J39" s="62">
        <f>+Tableau9[[#This Row],[AZDU]]</f>
        <v>-17677097.179999992</v>
      </c>
      <c r="K39" s="62">
        <f>+Tableau10[[#This Row],[AZDU]]</f>
        <v>-13393514.07</v>
      </c>
      <c r="L39" s="62">
        <f>+Tableau11[[#This Row],[AZDU]]</f>
        <v>-12841860.319999997</v>
      </c>
      <c r="M39" s="62">
        <f>+Tableau12[[#This Row],[AZDU]]</f>
        <v>-11049220.309999997</v>
      </c>
      <c r="N39" s="62">
        <f>+Tableau13[[#This Row],[AZDU]]</f>
        <v>59153936.399999976</v>
      </c>
      <c r="O39" s="62">
        <f t="shared" si="0"/>
        <v>-83976529.540000021</v>
      </c>
    </row>
    <row r="40" spans="1:15" s="27" customFormat="1" ht="11.4" customHeight="1" thickBot="1" x14ac:dyDescent="0.4">
      <c r="A40" s="90"/>
      <c r="B40" s="90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</row>
    <row r="41" spans="1:15" s="27" customFormat="1" ht="18.600000000000001" thickBot="1" x14ac:dyDescent="0.4">
      <c r="A41" s="282" t="s">
        <v>51</v>
      </c>
      <c r="B41" s="283"/>
      <c r="C41" s="283"/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283"/>
      <c r="O41" s="284"/>
    </row>
    <row r="42" spans="1:15" s="37" customFormat="1" ht="18" x14ac:dyDescent="0.35">
      <c r="A42" s="219">
        <v>1</v>
      </c>
      <c r="B42" s="220" t="s">
        <v>52</v>
      </c>
      <c r="C42" s="221">
        <f t="shared" ref="C42:O42" si="3">+C12/C7</f>
        <v>1.0349268283285866</v>
      </c>
      <c r="D42" s="221">
        <f t="shared" si="3"/>
        <v>1.4405244577886991</v>
      </c>
      <c r="E42" s="221">
        <f t="shared" si="3"/>
        <v>2.1975548600145376</v>
      </c>
      <c r="F42" s="221">
        <f t="shared" si="3"/>
        <v>0.28019924470200824</v>
      </c>
      <c r="G42" s="221">
        <f t="shared" si="3"/>
        <v>0.25291374496209501</v>
      </c>
      <c r="H42" s="221">
        <f t="shared" si="3"/>
        <v>1.4985052845600051</v>
      </c>
      <c r="I42" s="221">
        <f t="shared" si="3"/>
        <v>0.37738861715766953</v>
      </c>
      <c r="J42" s="221">
        <f t="shared" si="3"/>
        <v>0.36092522536788202</v>
      </c>
      <c r="K42" s="221">
        <f t="shared" si="3"/>
        <v>0.58479019170810598</v>
      </c>
      <c r="L42" s="221">
        <f t="shared" si="3"/>
        <v>0.37889915288266318</v>
      </c>
      <c r="M42" s="221">
        <f t="shared" si="3"/>
        <v>0.47527228310436376</v>
      </c>
      <c r="N42" s="221">
        <f t="shared" si="3"/>
        <v>0.58416664304359867</v>
      </c>
      <c r="O42" s="221">
        <f t="shared" si="3"/>
        <v>0.53030384410712661</v>
      </c>
    </row>
    <row r="43" spans="1:15" s="37" customFormat="1" ht="18" x14ac:dyDescent="0.35">
      <c r="A43" s="92">
        <v>2</v>
      </c>
      <c r="B43" s="93" t="s">
        <v>53</v>
      </c>
      <c r="C43" s="95">
        <f t="shared" ref="C43:O43" si="4">+C13/C7</f>
        <v>1.2573228665567642</v>
      </c>
      <c r="D43" s="95">
        <f t="shared" si="4"/>
        <v>1.217018927693881</v>
      </c>
      <c r="E43" s="95">
        <f t="shared" si="4"/>
        <v>3.1045587387522873</v>
      </c>
      <c r="F43" s="95">
        <f t="shared" si="4"/>
        <v>0.35449300161319269</v>
      </c>
      <c r="G43" s="95">
        <f t="shared" si="4"/>
        <v>0.20807729554906426</v>
      </c>
      <c r="H43" s="95">
        <f t="shared" si="4"/>
        <v>1.165733704507268</v>
      </c>
      <c r="I43" s="95">
        <f t="shared" si="4"/>
        <v>0.64079516064249531</v>
      </c>
      <c r="J43" s="95">
        <f t="shared" si="4"/>
        <v>0.63206016440448576</v>
      </c>
      <c r="K43" s="95">
        <f t="shared" si="4"/>
        <v>0.5887771980683737</v>
      </c>
      <c r="L43" s="95">
        <f t="shared" si="4"/>
        <v>0.3636596301686687</v>
      </c>
      <c r="M43" s="95">
        <f t="shared" si="4"/>
        <v>0.38747105684615807</v>
      </c>
      <c r="N43" s="95">
        <f t="shared" si="4"/>
        <v>0.30331553229211583</v>
      </c>
      <c r="O43" s="95">
        <f t="shared" si="4"/>
        <v>0.44049883505459725</v>
      </c>
    </row>
    <row r="44" spans="1:15" s="36" customFormat="1" ht="18" x14ac:dyDescent="0.35">
      <c r="A44" s="250">
        <v>3</v>
      </c>
      <c r="B44" s="251" t="s">
        <v>56</v>
      </c>
      <c r="C44" s="141">
        <f t="shared" ref="C44:O44" si="5">+C13/C12</f>
        <v>1.2148905914318104</v>
      </c>
      <c r="D44" s="141">
        <f t="shared" si="5"/>
        <v>0.84484433507091317</v>
      </c>
      <c r="E44" s="141">
        <f t="shared" si="5"/>
        <v>1.4127332132822157</v>
      </c>
      <c r="F44" s="141">
        <f t="shared" si="5"/>
        <v>1.2651461712189689</v>
      </c>
      <c r="G44" s="141">
        <f t="shared" si="5"/>
        <v>0.82272039259965657</v>
      </c>
      <c r="H44" s="141">
        <f t="shared" si="5"/>
        <v>0.77793099331615212</v>
      </c>
      <c r="I44" s="141">
        <f t="shared" si="5"/>
        <v>1.6979716173441897</v>
      </c>
      <c r="J44" s="141">
        <f t="shared" si="5"/>
        <v>1.7512219151771471</v>
      </c>
      <c r="K44" s="141">
        <f t="shared" si="5"/>
        <v>1.0068178406833777</v>
      </c>
      <c r="L44" s="141">
        <f t="shared" si="5"/>
        <v>0.95977947536157771</v>
      </c>
      <c r="M44" s="141">
        <f t="shared" si="5"/>
        <v>0.81526121051135292</v>
      </c>
      <c r="N44" s="141">
        <f t="shared" si="5"/>
        <v>0.51922775102630814</v>
      </c>
      <c r="O44" s="141">
        <f t="shared" si="5"/>
        <v>0.83065367138016089</v>
      </c>
    </row>
    <row r="45" spans="1:15" s="37" customFormat="1" ht="18" x14ac:dyDescent="0.35">
      <c r="A45" s="92">
        <v>4</v>
      </c>
      <c r="B45" s="93" t="s">
        <v>57</v>
      </c>
      <c r="C45" s="95">
        <f t="shared" ref="C45:O45" si="6">+C15/C12</f>
        <v>1.3635255302019507</v>
      </c>
      <c r="D45" s="95">
        <f t="shared" si="6"/>
        <v>0.95805837597137744</v>
      </c>
      <c r="E45" s="95">
        <f t="shared" si="6"/>
        <v>1.667722269062216</v>
      </c>
      <c r="F45" s="95">
        <f t="shared" si="6"/>
        <v>1.3848171060063708</v>
      </c>
      <c r="G45" s="95">
        <f t="shared" si="6"/>
        <v>0.91866254125428759</v>
      </c>
      <c r="H45" s="95">
        <f t="shared" si="6"/>
        <v>1.1189849394690836</v>
      </c>
      <c r="I45" s="95">
        <f t="shared" si="6"/>
        <v>2.1906488879727406</v>
      </c>
      <c r="J45" s="95">
        <f t="shared" si="6"/>
        <v>1.880944099298983</v>
      </c>
      <c r="K45" s="95">
        <f t="shared" si="6"/>
        <v>1.1841356636771982</v>
      </c>
      <c r="L45" s="95">
        <f t="shared" si="6"/>
        <v>1.0494036977756172</v>
      </c>
      <c r="M45" s="95">
        <f t="shared" si="6"/>
        <v>0.99621482715277188</v>
      </c>
      <c r="N45" s="95">
        <f t="shared" si="6"/>
        <v>0.63492306541046506</v>
      </c>
      <c r="O45" s="95">
        <f t="shared" si="6"/>
        <v>0.98423246448978197</v>
      </c>
    </row>
    <row r="46" spans="1:15" s="37" customFormat="1" ht="18" x14ac:dyDescent="0.35">
      <c r="A46" s="92">
        <v>5</v>
      </c>
      <c r="B46" s="93" t="s">
        <v>58</v>
      </c>
      <c r="C46" s="95">
        <f t="shared" ref="C46:O46" si="7">+C17/C12</f>
        <v>1.0263171627212542</v>
      </c>
      <c r="D46" s="95">
        <f t="shared" si="7"/>
        <v>0.81794967965666598</v>
      </c>
      <c r="E46" s="95">
        <f t="shared" si="7"/>
        <v>1.8634039560239772</v>
      </c>
      <c r="F46" s="95">
        <f t="shared" si="7"/>
        <v>1.3136487634171616</v>
      </c>
      <c r="G46" s="95">
        <f t="shared" si="7"/>
        <v>1.005033923257209</v>
      </c>
      <c r="H46" s="95">
        <f t="shared" si="7"/>
        <v>0.65891324104573012</v>
      </c>
      <c r="I46" s="95">
        <f t="shared" si="7"/>
        <v>1.7562390768102281</v>
      </c>
      <c r="J46" s="95">
        <f t="shared" si="7"/>
        <v>1.2735742058665553</v>
      </c>
      <c r="K46" s="95">
        <f t="shared" si="7"/>
        <v>0.55091119115793519</v>
      </c>
      <c r="L46" s="95">
        <f t="shared" si="7"/>
        <v>0.4963664833511191</v>
      </c>
      <c r="M46" s="95">
        <f t="shared" si="7"/>
        <v>0.49101648360023775</v>
      </c>
      <c r="N46" s="95">
        <f t="shared" si="7"/>
        <v>8.1393125093493252E-2</v>
      </c>
      <c r="O46" s="95">
        <f t="shared" si="7"/>
        <v>0.52569886700953028</v>
      </c>
    </row>
    <row r="47" spans="1:15" s="37" customFormat="1" ht="18" x14ac:dyDescent="0.35">
      <c r="A47" s="92">
        <v>6</v>
      </c>
      <c r="B47" s="93" t="s">
        <v>54</v>
      </c>
      <c r="C47" s="95">
        <f t="shared" ref="C47:O47" si="8">+C16/C17</f>
        <v>-0.35420388882328718</v>
      </c>
      <c r="D47" s="95">
        <f t="shared" si="8"/>
        <v>5.1276533351327314E-2</v>
      </c>
      <c r="E47" s="95">
        <f t="shared" si="8"/>
        <v>-0.35833468470624208</v>
      </c>
      <c r="F47" s="95">
        <f t="shared" si="8"/>
        <v>-0.29293759239368949</v>
      </c>
      <c r="G47" s="95">
        <f t="shared" si="8"/>
        <v>8.0930063019272275E-2</v>
      </c>
      <c r="H47" s="95">
        <f t="shared" si="8"/>
        <v>-0.18057755112076393</v>
      </c>
      <c r="I47" s="95">
        <f t="shared" si="8"/>
        <v>-0.67795376136104357</v>
      </c>
      <c r="J47" s="95">
        <f t="shared" si="8"/>
        <v>-0.69171006702320725</v>
      </c>
      <c r="K47" s="95">
        <f t="shared" si="8"/>
        <v>-0.33423837931150352</v>
      </c>
      <c r="L47" s="95">
        <f t="shared" si="8"/>
        <v>-9.9530688377825305E-2</v>
      </c>
      <c r="M47" s="95">
        <f t="shared" si="8"/>
        <v>7.7088508709003412E-3</v>
      </c>
      <c r="N47" s="95">
        <f t="shared" si="8"/>
        <v>4.4853534517833618</v>
      </c>
      <c r="O47" s="95">
        <f t="shared" si="8"/>
        <v>2.9993474400872619E-2</v>
      </c>
    </row>
    <row r="48" spans="1:15" s="37" customFormat="1" ht="18" x14ac:dyDescent="0.35">
      <c r="A48" s="92">
        <v>7</v>
      </c>
      <c r="B48" s="93" t="s">
        <v>55</v>
      </c>
      <c r="C48" s="95">
        <f t="shared" ref="C48:O48" si="9">+C19/C12</f>
        <v>-1.422965151050209</v>
      </c>
      <c r="D48" s="95">
        <f t="shared" si="9"/>
        <v>-0.78305603090219533</v>
      </c>
      <c r="E48" s="95">
        <f t="shared" si="9"/>
        <v>-2.5370741591929598</v>
      </c>
      <c r="F48" s="95">
        <f t="shared" si="9"/>
        <v>-1.7343134453137972</v>
      </c>
      <c r="G48" s="95">
        <f t="shared" si="9"/>
        <v>-0.96329535396292332</v>
      </c>
      <c r="H48" s="95">
        <f t="shared" si="9"/>
        <v>-0.78521582464811601</v>
      </c>
      <c r="I48" s="95">
        <f t="shared" si="9"/>
        <v>-2.9737122119364874</v>
      </c>
      <c r="J48" s="95">
        <f t="shared" si="9"/>
        <v>-2.1822248755923428</v>
      </c>
      <c r="K48" s="95">
        <f t="shared" si="9"/>
        <v>-0.75221993584173641</v>
      </c>
      <c r="L48" s="95">
        <f t="shared" si="9"/>
        <v>-0.57237590514804704</v>
      </c>
      <c r="M48" s="95">
        <f t="shared" si="9"/>
        <v>-0.58863367663080779</v>
      </c>
      <c r="N48" s="95">
        <f t="shared" si="9"/>
        <v>0.26714295776946684</v>
      </c>
      <c r="O48" s="95">
        <f t="shared" si="9"/>
        <v>-0.53790359204362415</v>
      </c>
    </row>
    <row r="49" spans="1:15" ht="15.6" x14ac:dyDescent="0.3">
      <c r="A49" s="90"/>
      <c r="B49" s="90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</row>
    <row r="50" spans="1:15" s="249" customFormat="1" x14ac:dyDescent="0.45">
      <c r="A50" s="248"/>
      <c r="B50" s="248"/>
      <c r="C50" s="248">
        <f>+C13/C12</f>
        <v>1.2148905914318104</v>
      </c>
      <c r="D50" s="248">
        <f t="shared" ref="D50:O50" si="10">+D13/D12</f>
        <v>0.84484433507091317</v>
      </c>
      <c r="E50" s="248">
        <f>+E13/E12</f>
        <v>1.4127332132822157</v>
      </c>
      <c r="F50" s="248">
        <f t="shared" si="10"/>
        <v>1.2651461712189689</v>
      </c>
      <c r="G50" s="248">
        <f t="shared" si="10"/>
        <v>0.82272039259965657</v>
      </c>
      <c r="H50" s="248">
        <f t="shared" si="10"/>
        <v>0.77793099331615212</v>
      </c>
      <c r="I50" s="248">
        <f t="shared" si="10"/>
        <v>1.6979716173441897</v>
      </c>
      <c r="J50" s="248">
        <f t="shared" si="10"/>
        <v>1.7512219151771471</v>
      </c>
      <c r="K50" s="248">
        <f t="shared" si="10"/>
        <v>1.0068178406833777</v>
      </c>
      <c r="L50" s="248">
        <f t="shared" si="10"/>
        <v>0.95977947536157771</v>
      </c>
      <c r="M50" s="248">
        <f t="shared" si="10"/>
        <v>0.81526121051135292</v>
      </c>
      <c r="N50" s="248">
        <f t="shared" si="10"/>
        <v>0.51922775102630814</v>
      </c>
      <c r="O50" s="248">
        <f t="shared" si="10"/>
        <v>0.83065367138016089</v>
      </c>
    </row>
    <row r="51" spans="1:15" x14ac:dyDescent="0.45">
      <c r="O51" s="96">
        <f>+O50-O39</f>
        <v>83976530.370653689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2">
    <mergeCell ref="A41:O41"/>
    <mergeCell ref="A5:O5"/>
  </mergeCells>
  <conditionalFormatting sqref="C1:O2 C40:O40 C6:M6 C42:O49 C51:O1048576 C3:N4">
    <cfRule type="cellIs" dxfId="27" priority="8" operator="lessThan">
      <formula>-0.01</formula>
    </cfRule>
  </conditionalFormatting>
  <conditionalFormatting sqref="C7:C39">
    <cfRule type="cellIs" dxfId="26" priority="7" operator="lessThan">
      <formula>-0.01</formula>
    </cfRule>
  </conditionalFormatting>
  <conditionalFormatting sqref="D7:N39">
    <cfRule type="cellIs" dxfId="25" priority="6" operator="lessThan">
      <formula>-0.01</formula>
    </cfRule>
  </conditionalFormatting>
  <conditionalFormatting sqref="O6">
    <cfRule type="cellIs" dxfId="24" priority="4" operator="lessThan">
      <formula>-0.01</formula>
    </cfRule>
  </conditionalFormatting>
  <conditionalFormatting sqref="N6">
    <cfRule type="cellIs" dxfId="23" priority="5" operator="lessThan">
      <formula>-0.01</formula>
    </cfRule>
  </conditionalFormatting>
  <conditionalFormatting sqref="O7:O39">
    <cfRule type="cellIs" dxfId="22" priority="3" operator="lessThan">
      <formula>-0.01</formula>
    </cfRule>
  </conditionalFormatting>
  <conditionalFormatting sqref="C50:O50">
    <cfRule type="cellIs" dxfId="21" priority="2" operator="lessThan">
      <formula>-0.01</formula>
    </cfRule>
  </conditionalFormatting>
  <conditionalFormatting sqref="O3:O4">
    <cfRule type="cellIs" dxfId="20" priority="1" operator="lessThan">
      <formula>-0.01</formula>
    </cfRule>
  </conditionalFormatting>
  <pageMargins left="0.15748031496062992" right="0.11811023622047245" top="0.15748031496062992" bottom="0.15748031496062992" header="0.15748031496062992" footer="0"/>
  <pageSetup paperSize="9" scale="42" orientation="landscape" r:id="rId1"/>
  <drawing r:id="rId2"/>
  <legacyDrawing r:id="rId3"/>
  <tableParts count="1">
    <tablePart r:id="rId4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E49"/>
  <sheetViews>
    <sheetView view="pageBreakPreview" zoomScale="80" zoomScaleNormal="50" zoomScaleSheetLayoutView="80" workbookViewId="0">
      <pane xSplit="2" ySplit="6" topLeftCell="F7" activePane="bottomRight" state="frozen"/>
      <selection activeCell="C5" sqref="C5:D5"/>
      <selection pane="topRight" activeCell="C5" sqref="C5:D5"/>
      <selection pane="bottomLeft" activeCell="C5" sqref="C5:D5"/>
      <selection pane="bottomRight" activeCell="W6" sqref="W6:X6"/>
    </sheetView>
  </sheetViews>
  <sheetFormatPr baseColWidth="10" defaultColWidth="11.44140625" defaultRowHeight="23.4" x14ac:dyDescent="0.45"/>
  <cols>
    <col min="1" max="1" width="7.6640625" style="2" customWidth="1"/>
    <col min="2" max="2" width="62.33203125" style="2" customWidth="1"/>
    <col min="3" max="5" width="17.77734375" style="96" hidden="1" customWidth="1"/>
    <col min="6" max="6" width="17.77734375" style="153" customWidth="1"/>
    <col min="7" max="9" width="17.77734375" style="96" hidden="1" customWidth="1"/>
    <col min="10" max="10" width="17.77734375" style="153" customWidth="1"/>
    <col min="11" max="13" width="17.77734375" style="96" hidden="1" customWidth="1"/>
    <col min="14" max="14" width="17.77734375" style="153" customWidth="1"/>
    <col min="15" max="17" width="17.77734375" style="96" hidden="1" customWidth="1"/>
    <col min="18" max="18" width="17.77734375" style="142" hidden="1" customWidth="1"/>
    <col min="19" max="19" width="18.5546875" style="153" hidden="1" customWidth="1"/>
    <col min="20" max="20" width="12" style="169" bestFit="1" customWidth="1"/>
    <col min="21" max="21" width="11.44140625" style="1"/>
    <col min="22" max="22" width="49.88671875" style="1" bestFit="1" customWidth="1"/>
    <col min="23" max="24" width="22.21875" style="1" bestFit="1" customWidth="1"/>
    <col min="25" max="16384" width="11.44140625" style="1"/>
  </cols>
  <sheetData>
    <row r="1" spans="1:31" s="42" customFormat="1" ht="13.8" customHeight="1" x14ac:dyDescent="0.45">
      <c r="A1" s="25"/>
      <c r="B1" s="39">
        <v>126401650.40000001</v>
      </c>
      <c r="C1" s="97"/>
      <c r="D1" s="97"/>
      <c r="E1" s="97"/>
      <c r="F1" s="154"/>
      <c r="G1" s="97"/>
      <c r="H1" s="97"/>
      <c r="I1" s="97"/>
      <c r="J1" s="154"/>
      <c r="K1" s="97"/>
      <c r="L1" s="97"/>
      <c r="M1" s="97"/>
      <c r="N1" s="154"/>
      <c r="O1" s="97"/>
      <c r="P1" s="97"/>
      <c r="Q1" s="97"/>
      <c r="R1" s="162"/>
      <c r="S1" s="154"/>
      <c r="T1" s="174"/>
      <c r="U1" s="174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s="42" customFormat="1" ht="13.8" customHeight="1" x14ac:dyDescent="0.45">
      <c r="A2" s="25"/>
      <c r="B2" s="43"/>
      <c r="C2" s="98"/>
      <c r="D2" s="98"/>
      <c r="E2" s="98"/>
      <c r="F2" s="155"/>
      <c r="G2" s="98"/>
      <c r="H2" s="98"/>
      <c r="I2" s="98"/>
      <c r="J2" s="155"/>
      <c r="K2" s="98"/>
      <c r="L2" s="98"/>
      <c r="M2" s="98"/>
      <c r="N2" s="155"/>
      <c r="O2" s="98"/>
      <c r="P2" s="98"/>
      <c r="Q2" s="98"/>
      <c r="R2" s="163"/>
      <c r="S2" s="155"/>
      <c r="T2" s="279"/>
      <c r="U2" s="279"/>
      <c r="V2" s="39"/>
      <c r="W2" s="39"/>
      <c r="X2" s="39"/>
      <c r="Y2" s="39"/>
      <c r="Z2" s="39"/>
      <c r="AA2" s="39"/>
      <c r="AB2" s="39"/>
      <c r="AC2" s="39"/>
      <c r="AD2" s="39"/>
      <c r="AE2" s="39"/>
    </row>
    <row r="3" spans="1:31" s="42" customFormat="1" ht="13.8" customHeight="1" x14ac:dyDescent="0.4">
      <c r="A3" s="46"/>
      <c r="B3" s="47"/>
      <c r="C3" s="99"/>
      <c r="D3" s="99"/>
      <c r="E3" s="99"/>
      <c r="F3" s="156"/>
      <c r="G3" s="99"/>
      <c r="H3" s="99"/>
      <c r="I3" s="99"/>
      <c r="J3" s="156"/>
      <c r="K3" s="99"/>
      <c r="L3" s="99"/>
      <c r="M3" s="99"/>
      <c r="N3" s="156"/>
      <c r="O3" s="99"/>
      <c r="P3" s="99"/>
      <c r="Q3" s="99"/>
      <c r="R3" s="164"/>
      <c r="S3" s="156"/>
      <c r="T3" s="280"/>
      <c r="U3" s="280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1:31" s="42" customFormat="1" ht="13.8" customHeight="1" x14ac:dyDescent="0.4">
      <c r="A4" s="46"/>
      <c r="B4" s="46"/>
      <c r="C4" s="100"/>
      <c r="D4" s="100"/>
      <c r="E4" s="100"/>
      <c r="F4" s="157"/>
      <c r="G4" s="100"/>
      <c r="H4" s="100"/>
      <c r="I4" s="100"/>
      <c r="J4" s="157"/>
      <c r="K4" s="100"/>
      <c r="L4" s="100"/>
      <c r="M4" s="100"/>
      <c r="N4" s="157"/>
      <c r="O4" s="100"/>
      <c r="P4" s="100"/>
      <c r="Q4" s="100"/>
      <c r="R4" s="165"/>
      <c r="S4" s="157"/>
      <c r="T4" s="168"/>
    </row>
    <row r="5" spans="1:31" ht="25.8" x14ac:dyDescent="0.5">
      <c r="A5" s="288" t="s">
        <v>95</v>
      </c>
      <c r="B5" s="288"/>
      <c r="C5" s="288"/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158"/>
    </row>
    <row r="6" spans="1:31" s="27" customFormat="1" ht="34.799999999999997" customHeight="1" x14ac:dyDescent="0.35">
      <c r="A6" s="113" t="s">
        <v>0</v>
      </c>
      <c r="B6" s="114" t="s">
        <v>1</v>
      </c>
      <c r="C6" s="133">
        <v>43831</v>
      </c>
      <c r="D6" s="133">
        <v>43862</v>
      </c>
      <c r="E6" s="133">
        <v>43891</v>
      </c>
      <c r="F6" s="181" t="s">
        <v>93</v>
      </c>
      <c r="G6" s="133">
        <v>43922</v>
      </c>
      <c r="H6" s="133">
        <v>43952</v>
      </c>
      <c r="I6" s="133">
        <v>43983</v>
      </c>
      <c r="J6" s="181" t="s">
        <v>94</v>
      </c>
      <c r="K6" s="133">
        <v>44013</v>
      </c>
      <c r="L6" s="133">
        <v>44044</v>
      </c>
      <c r="M6" s="133">
        <v>44075</v>
      </c>
      <c r="N6" s="181" t="s">
        <v>96</v>
      </c>
      <c r="O6" s="133">
        <v>44105</v>
      </c>
      <c r="P6" s="133">
        <v>44136</v>
      </c>
      <c r="Q6" s="133">
        <v>44166</v>
      </c>
      <c r="R6" s="133" t="s">
        <v>97</v>
      </c>
      <c r="S6" s="167" t="s">
        <v>59</v>
      </c>
      <c r="T6" s="170"/>
      <c r="W6" s="182" t="s">
        <v>100</v>
      </c>
      <c r="X6" s="182" t="s">
        <v>101</v>
      </c>
    </row>
    <row r="7" spans="1:31" s="29" customFormat="1" ht="30.75" customHeight="1" x14ac:dyDescent="0.35">
      <c r="A7" s="101"/>
      <c r="B7" s="79" t="s">
        <v>2</v>
      </c>
      <c r="C7" s="52">
        <v>72594616.900000006</v>
      </c>
      <c r="D7" s="52">
        <v>94859717.139999986</v>
      </c>
      <c r="E7" s="52">
        <v>93211833.340000004</v>
      </c>
      <c r="F7" s="143">
        <f>+C7+D7+E7</f>
        <v>260666167.38</v>
      </c>
      <c r="G7" s="52">
        <v>96220446.400000006</v>
      </c>
      <c r="H7" s="52">
        <v>152159875.80000001</v>
      </c>
      <c r="I7" s="52">
        <v>169560781.19999999</v>
      </c>
      <c r="J7" s="143">
        <f>+G7+H7+I7</f>
        <v>417941103.39999998</v>
      </c>
      <c r="K7" s="52">
        <v>126401650.40000001</v>
      </c>
      <c r="L7" s="52">
        <v>156058689.19999999</v>
      </c>
      <c r="M7" s="52">
        <v>207071804.28999999</v>
      </c>
      <c r="N7" s="143">
        <f>+K7+L7+M7</f>
        <v>489532143.88999999</v>
      </c>
      <c r="O7" s="52"/>
      <c r="P7" s="52"/>
      <c r="Q7" s="52"/>
      <c r="R7" s="134">
        <f>+O7+P7+Q7</f>
        <v>0</v>
      </c>
      <c r="S7" s="143">
        <f>+F7+J7+N7+R7</f>
        <v>1168139414.6700001</v>
      </c>
      <c r="T7" s="171">
        <v>1168.1394146700002</v>
      </c>
      <c r="V7" s="175" t="s">
        <v>2</v>
      </c>
      <c r="W7" s="176">
        <v>2196654860.6999998</v>
      </c>
      <c r="X7" s="176">
        <f>+F7+J7+N7</f>
        <v>1168139414.6700001</v>
      </c>
    </row>
    <row r="8" spans="1:31" s="29" customFormat="1" ht="30.75" customHeight="1" x14ac:dyDescent="0.35">
      <c r="A8" s="102"/>
      <c r="B8" s="80" t="s">
        <v>42</v>
      </c>
      <c r="C8" s="55"/>
      <c r="D8" s="55"/>
      <c r="E8" s="55"/>
      <c r="F8" s="144"/>
      <c r="G8" s="55"/>
      <c r="H8" s="55"/>
      <c r="I8" s="55"/>
      <c r="J8" s="144"/>
      <c r="K8" s="55"/>
      <c r="L8" s="55"/>
      <c r="M8" s="55">
        <v>0</v>
      </c>
      <c r="N8" s="144">
        <f t="shared" ref="N8:N11" si="0">+K8+L8+M8</f>
        <v>0</v>
      </c>
      <c r="O8" s="55"/>
      <c r="P8" s="55"/>
      <c r="Q8" s="55"/>
      <c r="R8" s="135"/>
      <c r="S8" s="144"/>
      <c r="T8" s="171"/>
      <c r="V8" s="177" t="s">
        <v>6</v>
      </c>
      <c r="W8" s="178">
        <v>2247419600.5699997</v>
      </c>
      <c r="X8" s="178">
        <f>+F12+J12+N12</f>
        <v>1249720513.6700001</v>
      </c>
    </row>
    <row r="9" spans="1:31" s="27" customFormat="1" ht="30.75" customHeight="1" x14ac:dyDescent="0.35">
      <c r="A9" s="102"/>
      <c r="B9" s="81" t="s">
        <v>3</v>
      </c>
      <c r="C9" s="55">
        <v>48358797.18</v>
      </c>
      <c r="D9" s="55">
        <v>40979243.36999999</v>
      </c>
      <c r="E9" s="55">
        <v>38245916.840000004</v>
      </c>
      <c r="F9" s="144">
        <f>+C9+D9+E9</f>
        <v>127583957.38999999</v>
      </c>
      <c r="G9" s="55">
        <v>-24135124.940000001</v>
      </c>
      <c r="H9" s="55">
        <v>-46137287.729999997</v>
      </c>
      <c r="I9" s="55">
        <v>36754850.969999999</v>
      </c>
      <c r="J9" s="144">
        <f>+G9+H9+I9</f>
        <v>-33517561.700000003</v>
      </c>
      <c r="K9" s="55">
        <v>4406531.5299999993</v>
      </c>
      <c r="L9" s="55">
        <v>8121768.0600000024</v>
      </c>
      <c r="M9" s="55">
        <v>-25473341.560000002</v>
      </c>
      <c r="N9" s="144">
        <f t="shared" si="0"/>
        <v>-12945041.970000001</v>
      </c>
      <c r="O9" s="55"/>
      <c r="P9" s="55"/>
      <c r="Q9" s="55"/>
      <c r="R9" s="135">
        <f>+O9+P9+Q9</f>
        <v>0</v>
      </c>
      <c r="S9" s="144">
        <f t="shared" ref="S9:S10" si="1">+F9+J9+N9+R9</f>
        <v>81121353.719999984</v>
      </c>
      <c r="T9" s="170"/>
      <c r="V9" s="177" t="s">
        <v>10</v>
      </c>
      <c r="W9" s="178">
        <v>1791262711.49</v>
      </c>
      <c r="X9" s="178">
        <f>+F15+J15+N15</f>
        <v>1011159068.8700001</v>
      </c>
    </row>
    <row r="10" spans="1:31" s="27" customFormat="1" ht="30.75" customHeight="1" x14ac:dyDescent="0.35">
      <c r="A10" s="102"/>
      <c r="B10" s="81" t="s">
        <v>4</v>
      </c>
      <c r="C10" s="55">
        <v>48635.77</v>
      </c>
      <c r="D10" s="55"/>
      <c r="E10" s="55"/>
      <c r="F10" s="144">
        <f>+C10+D10+E10</f>
        <v>48635.77</v>
      </c>
      <c r="G10" s="55"/>
      <c r="H10" s="55"/>
      <c r="I10" s="55">
        <v>86565.51</v>
      </c>
      <c r="J10" s="144">
        <f>+G10+H10+I10</f>
        <v>86565.51</v>
      </c>
      <c r="K10" s="55">
        <v>162272</v>
      </c>
      <c r="L10" s="55">
        <v>162272</v>
      </c>
      <c r="M10" s="55">
        <v>0</v>
      </c>
      <c r="N10" s="144">
        <f t="shared" si="0"/>
        <v>324544</v>
      </c>
      <c r="O10" s="55"/>
      <c r="P10" s="55"/>
      <c r="Q10" s="55"/>
      <c r="R10" s="135">
        <f>+O10+P10+Q10</f>
        <v>0</v>
      </c>
      <c r="S10" s="144">
        <f t="shared" si="1"/>
        <v>459745.28000000003</v>
      </c>
      <c r="T10" s="170"/>
      <c r="V10" s="175" t="s">
        <v>12</v>
      </c>
      <c r="W10" s="176">
        <v>456156889.07999969</v>
      </c>
      <c r="X10" s="176">
        <f>+F16+J16+N16</f>
        <v>238561444.79999983</v>
      </c>
    </row>
    <row r="11" spans="1:31" s="27" customFormat="1" ht="30.75" customHeight="1" thickBot="1" x14ac:dyDescent="0.4">
      <c r="A11" s="103"/>
      <c r="B11" s="82" t="s">
        <v>5</v>
      </c>
      <c r="C11" s="59"/>
      <c r="D11" s="59"/>
      <c r="E11" s="59"/>
      <c r="F11" s="145"/>
      <c r="G11" s="59"/>
      <c r="H11" s="59"/>
      <c r="I11" s="59"/>
      <c r="J11" s="145"/>
      <c r="K11" s="59"/>
      <c r="L11" s="59"/>
      <c r="M11" s="59">
        <v>0</v>
      </c>
      <c r="N11" s="145">
        <f t="shared" si="0"/>
        <v>0</v>
      </c>
      <c r="O11" s="59"/>
      <c r="P11" s="59"/>
      <c r="Q11" s="59"/>
      <c r="R11" s="136"/>
      <c r="S11" s="145"/>
      <c r="T11" s="170"/>
      <c r="V11" s="175" t="s">
        <v>44</v>
      </c>
      <c r="W11" s="176">
        <v>569541640.45000005</v>
      </c>
      <c r="X11" s="176">
        <f>+F17+J17+N17</f>
        <v>489999725.84999996</v>
      </c>
    </row>
    <row r="12" spans="1:31" s="27" customFormat="1" ht="30.75" customHeight="1" thickBot="1" x14ac:dyDescent="0.4">
      <c r="A12" s="104"/>
      <c r="B12" s="83" t="s">
        <v>6</v>
      </c>
      <c r="C12" s="62">
        <f>SUM(C7:C11)</f>
        <v>121002049.85000001</v>
      </c>
      <c r="D12" s="62">
        <f>SUM(D7:D11)</f>
        <v>135838960.50999999</v>
      </c>
      <c r="E12" s="62">
        <f>SUM(E7:E11)</f>
        <v>131457750.18000001</v>
      </c>
      <c r="F12" s="146">
        <f>SUM(F7:F11)</f>
        <v>388298760.53999996</v>
      </c>
      <c r="G12" s="62">
        <f t="shared" ref="G12:S12" si="2">SUM(G7:G11)</f>
        <v>72085321.460000008</v>
      </c>
      <c r="H12" s="62">
        <f t="shared" si="2"/>
        <v>106022588.07000002</v>
      </c>
      <c r="I12" s="62">
        <f t="shared" si="2"/>
        <v>206402197.67999998</v>
      </c>
      <c r="J12" s="146">
        <f t="shared" si="2"/>
        <v>384510107.20999998</v>
      </c>
      <c r="K12" s="62">
        <f t="shared" si="2"/>
        <v>130970453.93000001</v>
      </c>
      <c r="L12" s="62">
        <f t="shared" si="2"/>
        <v>164342729.25999999</v>
      </c>
      <c r="M12" s="62">
        <f t="shared" si="2"/>
        <v>181598462.72999999</v>
      </c>
      <c r="N12" s="146">
        <f t="shared" si="2"/>
        <v>476911645.91999996</v>
      </c>
      <c r="O12" s="62">
        <f t="shared" si="2"/>
        <v>0</v>
      </c>
      <c r="P12" s="62">
        <f t="shared" si="2"/>
        <v>0</v>
      </c>
      <c r="Q12" s="62">
        <f t="shared" si="2"/>
        <v>0</v>
      </c>
      <c r="R12" s="62">
        <f t="shared" si="2"/>
        <v>0</v>
      </c>
      <c r="S12" s="146">
        <f t="shared" si="2"/>
        <v>1249720513.6700001</v>
      </c>
      <c r="T12" s="171">
        <v>1249.7205136700002</v>
      </c>
      <c r="V12" s="175" t="s">
        <v>15</v>
      </c>
      <c r="W12" s="176">
        <v>-141668386.07000035</v>
      </c>
      <c r="X12" s="176">
        <f>+F19+J19+N19</f>
        <v>-264781555.41000015</v>
      </c>
    </row>
    <row r="13" spans="1:31" s="32" customFormat="1" ht="30.75" customHeight="1" x14ac:dyDescent="0.35">
      <c r="A13" s="105">
        <v>60</v>
      </c>
      <c r="B13" s="84" t="s">
        <v>7</v>
      </c>
      <c r="C13" s="65">
        <v>104036052.63</v>
      </c>
      <c r="D13" s="65">
        <v>101094146.48000002</v>
      </c>
      <c r="E13" s="65">
        <v>99773181.239999995</v>
      </c>
      <c r="F13" s="147">
        <f>+C13+D13+E13</f>
        <v>304903380.35000002</v>
      </c>
      <c r="G13" s="65">
        <v>60572071.119999997</v>
      </c>
      <c r="H13" s="65">
        <v>66082179.039999999</v>
      </c>
      <c r="I13" s="65">
        <v>140406268.16</v>
      </c>
      <c r="J13" s="147">
        <f>+G13+H13+I13</f>
        <v>267060518.31999999</v>
      </c>
      <c r="K13" s="65">
        <v>87479380.379999995</v>
      </c>
      <c r="L13" s="65">
        <v>126967071.13000001</v>
      </c>
      <c r="M13" s="65">
        <v>140220897.31999999</v>
      </c>
      <c r="N13" s="147">
        <f t="shared" ref="N13:N14" si="3">+K13+L13+M13</f>
        <v>354667348.82999998</v>
      </c>
      <c r="O13" s="65"/>
      <c r="P13" s="65"/>
      <c r="Q13" s="65"/>
      <c r="R13" s="137">
        <f>+O13+P13+Q13</f>
        <v>0</v>
      </c>
      <c r="S13" s="147">
        <f t="shared" ref="S13:S14" si="4">+F13+J13+N13+R13</f>
        <v>926631247.5</v>
      </c>
      <c r="T13" s="172"/>
      <c r="V13" s="177" t="s">
        <v>23</v>
      </c>
      <c r="W13" s="176">
        <v>-8876888.8800003529</v>
      </c>
      <c r="X13" s="176">
        <f>+F26+J26+N26</f>
        <v>-286522920.94000018</v>
      </c>
    </row>
    <row r="14" spans="1:31" s="32" customFormat="1" ht="30.75" customHeight="1" thickBot="1" x14ac:dyDescent="0.4">
      <c r="A14" s="106" t="s">
        <v>8</v>
      </c>
      <c r="B14" s="82" t="s">
        <v>43</v>
      </c>
      <c r="C14" s="59">
        <v>9812337.0800000001</v>
      </c>
      <c r="D14" s="59">
        <v>8156643.6099999994</v>
      </c>
      <c r="E14" s="59">
        <v>7628866.7300000004</v>
      </c>
      <c r="F14" s="145">
        <f>+C14+D14+E14</f>
        <v>25597847.419999998</v>
      </c>
      <c r="G14" s="59">
        <v>5861220.3200000003</v>
      </c>
      <c r="H14" s="59">
        <v>8246900.1799999997</v>
      </c>
      <c r="I14" s="59">
        <v>16582746.289999999</v>
      </c>
      <c r="J14" s="145">
        <f>+G14+H14+I14</f>
        <v>30690866.789999999</v>
      </c>
      <c r="K14" s="59">
        <v>6924604.7199999997</v>
      </c>
      <c r="L14" s="59">
        <v>11982708.220000001</v>
      </c>
      <c r="M14" s="59">
        <v>9331794.2200000007</v>
      </c>
      <c r="N14" s="145">
        <f t="shared" si="3"/>
        <v>28239107.160000004</v>
      </c>
      <c r="O14" s="59"/>
      <c r="P14" s="59"/>
      <c r="Q14" s="59"/>
      <c r="R14" s="136">
        <f>+O14+P14+Q14</f>
        <v>0</v>
      </c>
      <c r="S14" s="145">
        <f t="shared" si="4"/>
        <v>84527821.370000005</v>
      </c>
      <c r="T14" s="172"/>
      <c r="V14" s="179" t="s">
        <v>29</v>
      </c>
      <c r="W14" s="180">
        <v>13993203.129999638</v>
      </c>
      <c r="X14" s="180">
        <f>+F30+J30+N30</f>
        <v>-180484318.91000021</v>
      </c>
    </row>
    <row r="15" spans="1:31" s="27" customFormat="1" ht="30.75" customHeight="1" thickBot="1" x14ac:dyDescent="0.4">
      <c r="A15" s="107" t="s">
        <v>9</v>
      </c>
      <c r="B15" s="85" t="s">
        <v>10</v>
      </c>
      <c r="C15" s="62">
        <f>SUM(C13:C14)</f>
        <v>113848389.70999999</v>
      </c>
      <c r="D15" s="62">
        <f>SUM(D13:D14)</f>
        <v>109250790.09000002</v>
      </c>
      <c r="E15" s="62">
        <f>SUM(E13:E14)</f>
        <v>107402047.97</v>
      </c>
      <c r="F15" s="146">
        <f>SUM(F13:F14)</f>
        <v>330501227.77000004</v>
      </c>
      <c r="G15" s="62">
        <f t="shared" ref="G15:S15" si="5">SUM(G13:G14)</f>
        <v>66433291.439999998</v>
      </c>
      <c r="H15" s="62">
        <f t="shared" si="5"/>
        <v>74329079.219999999</v>
      </c>
      <c r="I15" s="62">
        <f t="shared" si="5"/>
        <v>156989014.44999999</v>
      </c>
      <c r="J15" s="146">
        <f t="shared" si="5"/>
        <v>297751385.11000001</v>
      </c>
      <c r="K15" s="62">
        <f t="shared" si="5"/>
        <v>94403985.099999994</v>
      </c>
      <c r="L15" s="62">
        <f t="shared" si="5"/>
        <v>138949779.35000002</v>
      </c>
      <c r="M15" s="62">
        <f t="shared" si="5"/>
        <v>149552691.53999999</v>
      </c>
      <c r="N15" s="146">
        <f t="shared" si="5"/>
        <v>382906455.99000001</v>
      </c>
      <c r="O15" s="62">
        <f t="shared" si="5"/>
        <v>0</v>
      </c>
      <c r="P15" s="62">
        <f t="shared" si="5"/>
        <v>0</v>
      </c>
      <c r="Q15" s="62">
        <f t="shared" si="5"/>
        <v>0</v>
      </c>
      <c r="R15" s="62">
        <f t="shared" si="5"/>
        <v>0</v>
      </c>
      <c r="S15" s="146">
        <f t="shared" si="5"/>
        <v>1011159068.87</v>
      </c>
      <c r="T15" s="170"/>
      <c r="V15" s="179" t="s">
        <v>41</v>
      </c>
      <c r="W15" s="180">
        <v>18813604.409999639</v>
      </c>
      <c r="X15" s="180">
        <f>+F39+J39+N39</f>
        <v>-180494318.91000021</v>
      </c>
    </row>
    <row r="16" spans="1:31" s="27" customFormat="1" ht="30.75" customHeight="1" thickBot="1" x14ac:dyDescent="0.4">
      <c r="A16" s="108" t="s">
        <v>11</v>
      </c>
      <c r="B16" s="86" t="s">
        <v>12</v>
      </c>
      <c r="C16" s="68">
        <f>+C12-C15</f>
        <v>7153660.1400000155</v>
      </c>
      <c r="D16" s="68">
        <f>+D12-D15</f>
        <v>26588170.419999972</v>
      </c>
      <c r="E16" s="68">
        <f>+E12-E15</f>
        <v>24055702.210000008</v>
      </c>
      <c r="F16" s="148">
        <f>+F12-F15</f>
        <v>57797532.769999921</v>
      </c>
      <c r="G16" s="68">
        <f t="shared" ref="G16:S16" si="6">+G12-G15</f>
        <v>5652030.0200000107</v>
      </c>
      <c r="H16" s="68">
        <f t="shared" si="6"/>
        <v>31693508.850000024</v>
      </c>
      <c r="I16" s="68">
        <f t="shared" si="6"/>
        <v>49413183.229999989</v>
      </c>
      <c r="J16" s="148">
        <f t="shared" si="6"/>
        <v>86758722.099999964</v>
      </c>
      <c r="K16" s="68">
        <f t="shared" si="6"/>
        <v>36566468.830000013</v>
      </c>
      <c r="L16" s="68">
        <f t="shared" si="6"/>
        <v>25392949.909999967</v>
      </c>
      <c r="M16" s="68">
        <f t="shared" si="6"/>
        <v>32045771.189999998</v>
      </c>
      <c r="N16" s="148">
        <f t="shared" si="6"/>
        <v>94005189.929999948</v>
      </c>
      <c r="O16" s="68">
        <f t="shared" si="6"/>
        <v>0</v>
      </c>
      <c r="P16" s="68">
        <f t="shared" si="6"/>
        <v>0</v>
      </c>
      <c r="Q16" s="68">
        <f t="shared" si="6"/>
        <v>0</v>
      </c>
      <c r="R16" s="68">
        <f t="shared" si="6"/>
        <v>0</v>
      </c>
      <c r="S16" s="148">
        <f t="shared" si="6"/>
        <v>238561444.80000007</v>
      </c>
      <c r="T16" s="171">
        <v>238.56144480000006</v>
      </c>
      <c r="V16" s="175" t="s">
        <v>98</v>
      </c>
      <c r="W16" s="176"/>
      <c r="X16" s="176"/>
    </row>
    <row r="17" spans="1:24" s="32" customFormat="1" ht="30.75" customHeight="1" x14ac:dyDescent="0.35">
      <c r="A17" s="105">
        <v>63</v>
      </c>
      <c r="B17" s="84" t="s">
        <v>44</v>
      </c>
      <c r="C17" s="65">
        <v>49109086.020000003</v>
      </c>
      <c r="D17" s="65">
        <v>50108682.780000001</v>
      </c>
      <c r="E17" s="65">
        <v>52597598.100000001</v>
      </c>
      <c r="F17" s="147">
        <f>+C17+D17+E17</f>
        <v>151815366.90000001</v>
      </c>
      <c r="G17" s="65">
        <v>52168291.420000002</v>
      </c>
      <c r="H17" s="65">
        <v>50447913.079999998</v>
      </c>
      <c r="I17" s="65">
        <v>50249244.259999998</v>
      </c>
      <c r="J17" s="147">
        <f>+G17+H17+I17</f>
        <v>152865448.75999999</v>
      </c>
      <c r="K17" s="65">
        <v>60985343.339999996</v>
      </c>
      <c r="L17" s="65">
        <v>59967406.759999998</v>
      </c>
      <c r="M17" s="65">
        <v>64366160.089999996</v>
      </c>
      <c r="N17" s="147">
        <f t="shared" ref="N17:N18" si="7">+K17+L17+M17</f>
        <v>185318910.19</v>
      </c>
      <c r="O17" s="65"/>
      <c r="P17" s="65"/>
      <c r="Q17" s="65"/>
      <c r="R17" s="137">
        <f>+O17+P17+Q17</f>
        <v>0</v>
      </c>
      <c r="S17" s="147">
        <f t="shared" ref="S17:S18" si="8">+F17+J17+N17+R17</f>
        <v>489999725.84999996</v>
      </c>
      <c r="T17" s="171">
        <v>489.99972584999995</v>
      </c>
      <c r="V17" s="177" t="s">
        <v>99</v>
      </c>
      <c r="W17" s="176"/>
      <c r="X17" s="176"/>
    </row>
    <row r="18" spans="1:24" s="32" customFormat="1" ht="30.75" customHeight="1" thickBot="1" x14ac:dyDescent="0.4">
      <c r="A18" s="106">
        <v>64</v>
      </c>
      <c r="B18" s="82" t="s">
        <v>13</v>
      </c>
      <c r="C18" s="59">
        <v>919180</v>
      </c>
      <c r="D18" s="59">
        <v>1000748.56</v>
      </c>
      <c r="E18" s="59">
        <v>864798.37</v>
      </c>
      <c r="F18" s="145">
        <f>+C18+D18+E18</f>
        <v>2784726.93</v>
      </c>
      <c r="G18" s="59">
        <v>948810.18</v>
      </c>
      <c r="H18" s="59">
        <v>1927733.56</v>
      </c>
      <c r="I18" s="59">
        <v>1628390.23</v>
      </c>
      <c r="J18" s="145">
        <f>+G18+H18+I18</f>
        <v>4504933.9700000007</v>
      </c>
      <c r="K18" s="59">
        <v>2342790.96</v>
      </c>
      <c r="L18" s="59">
        <v>1593543.83</v>
      </c>
      <c r="M18" s="59">
        <v>2117278.67</v>
      </c>
      <c r="N18" s="145">
        <f t="shared" si="7"/>
        <v>6053613.46</v>
      </c>
      <c r="O18" s="59"/>
      <c r="P18" s="59"/>
      <c r="Q18" s="59"/>
      <c r="R18" s="136">
        <f>+O18+P18+Q18</f>
        <v>0</v>
      </c>
      <c r="S18" s="145">
        <f t="shared" si="8"/>
        <v>13343274.359999999</v>
      </c>
      <c r="T18" s="172"/>
    </row>
    <row r="19" spans="1:24" s="27" customFormat="1" ht="30.75" customHeight="1" thickBot="1" x14ac:dyDescent="0.4">
      <c r="A19" s="107" t="s">
        <v>14</v>
      </c>
      <c r="B19" s="85" t="s">
        <v>15</v>
      </c>
      <c r="C19" s="62">
        <f>+C16-C17-C18</f>
        <v>-42874605.879999988</v>
      </c>
      <c r="D19" s="62">
        <f>+D16-D17-D18</f>
        <v>-24521260.920000028</v>
      </c>
      <c r="E19" s="62">
        <f>+E16-E17-E18</f>
        <v>-29406694.259999994</v>
      </c>
      <c r="F19" s="146">
        <f>+F16-F17-F18</f>
        <v>-96802561.060000092</v>
      </c>
      <c r="G19" s="62">
        <f t="shared" ref="G19:S19" si="9">+G16-G17-G18</f>
        <v>-47465071.579999991</v>
      </c>
      <c r="H19" s="62">
        <f t="shared" si="9"/>
        <v>-20682137.789999973</v>
      </c>
      <c r="I19" s="62">
        <f t="shared" si="9"/>
        <v>-2464451.2600000086</v>
      </c>
      <c r="J19" s="146">
        <f t="shared" si="9"/>
        <v>-70611660.630000025</v>
      </c>
      <c r="K19" s="62">
        <f t="shared" si="9"/>
        <v>-26761665.469999984</v>
      </c>
      <c r="L19" s="62">
        <f t="shared" si="9"/>
        <v>-36168000.68000003</v>
      </c>
      <c r="M19" s="62">
        <f t="shared" si="9"/>
        <v>-34437667.57</v>
      </c>
      <c r="N19" s="146">
        <f t="shared" si="9"/>
        <v>-97367333.720000044</v>
      </c>
      <c r="O19" s="62">
        <f t="shared" si="9"/>
        <v>0</v>
      </c>
      <c r="P19" s="62">
        <f t="shared" si="9"/>
        <v>0</v>
      </c>
      <c r="Q19" s="62">
        <f t="shared" si="9"/>
        <v>0</v>
      </c>
      <c r="R19" s="62">
        <f t="shared" si="9"/>
        <v>0</v>
      </c>
      <c r="S19" s="146">
        <f t="shared" si="9"/>
        <v>-264781555.40999991</v>
      </c>
      <c r="T19" s="171">
        <v>-264.7815554099999</v>
      </c>
    </row>
    <row r="20" spans="1:24" s="32" customFormat="1" ht="30.75" customHeight="1" x14ac:dyDescent="0.35">
      <c r="A20" s="105">
        <v>75</v>
      </c>
      <c r="B20" s="84" t="s">
        <v>16</v>
      </c>
      <c r="C20" s="52">
        <v>45200</v>
      </c>
      <c r="D20" s="52">
        <v>126781.18999999994</v>
      </c>
      <c r="E20" s="52">
        <v>456500</v>
      </c>
      <c r="F20" s="143">
        <f>+C20+D20+E20</f>
        <v>628481.18999999994</v>
      </c>
      <c r="G20" s="52">
        <v>0.01</v>
      </c>
      <c r="H20" s="52">
        <v>26143251.710000001</v>
      </c>
      <c r="I20" s="52">
        <v>108168.97</v>
      </c>
      <c r="J20" s="143">
        <f>+G20+H20+I20</f>
        <v>26251420.690000001</v>
      </c>
      <c r="K20" s="52">
        <v>108160</v>
      </c>
      <c r="L20" s="52">
        <v>37520.57</v>
      </c>
      <c r="M20" s="52">
        <v>32263107.550000001</v>
      </c>
      <c r="N20" s="143">
        <f t="shared" ref="N20:N25" si="10">+K20+L20+M20</f>
        <v>32408788.120000001</v>
      </c>
      <c r="O20" s="52"/>
      <c r="P20" s="52"/>
      <c r="Q20" s="52"/>
      <c r="R20" s="134">
        <f>+O20+P20+Q20</f>
        <v>0</v>
      </c>
      <c r="S20" s="143">
        <f t="shared" ref="S20:S21" si="11">+F20+J20+N20+R20</f>
        <v>59288690</v>
      </c>
      <c r="T20" s="172"/>
    </row>
    <row r="21" spans="1:24" s="32" customFormat="1" ht="30.75" customHeight="1" x14ac:dyDescent="0.35">
      <c r="A21" s="109">
        <v>65</v>
      </c>
      <c r="B21" s="81" t="s">
        <v>17</v>
      </c>
      <c r="C21" s="55">
        <v>559002.49</v>
      </c>
      <c r="D21" s="55">
        <v>135320</v>
      </c>
      <c r="E21" s="55">
        <v>234450.71</v>
      </c>
      <c r="F21" s="144">
        <f>+C21+D21+E21</f>
        <v>928773.2</v>
      </c>
      <c r="G21" s="55">
        <v>136065.91</v>
      </c>
      <c r="H21" s="55">
        <v>370938.53</v>
      </c>
      <c r="I21" s="55">
        <v>570095.81000000006</v>
      </c>
      <c r="J21" s="144">
        <f>+G21+H21+I21</f>
        <v>1077100.25</v>
      </c>
      <c r="K21" s="55"/>
      <c r="L21" s="55"/>
      <c r="M21" s="55">
        <v>4870066.92</v>
      </c>
      <c r="N21" s="144">
        <f t="shared" si="10"/>
        <v>4870066.92</v>
      </c>
      <c r="O21" s="55"/>
      <c r="P21" s="55"/>
      <c r="Q21" s="55"/>
      <c r="R21" s="135">
        <f>+O21+P21+Q21</f>
        <v>0</v>
      </c>
      <c r="S21" s="144">
        <f t="shared" si="11"/>
        <v>6875940.3700000001</v>
      </c>
      <c r="T21" s="172"/>
    </row>
    <row r="22" spans="1:24" s="27" customFormat="1" ht="30.75" customHeight="1" x14ac:dyDescent="0.35">
      <c r="A22" s="109"/>
      <c r="B22" s="87" t="s">
        <v>18</v>
      </c>
      <c r="C22" s="71"/>
      <c r="D22" s="71"/>
      <c r="E22" s="71"/>
      <c r="F22" s="144"/>
      <c r="G22" s="71"/>
      <c r="H22" s="71"/>
      <c r="I22" s="71"/>
      <c r="J22" s="144"/>
      <c r="K22" s="71"/>
      <c r="L22" s="71"/>
      <c r="M22" s="71">
        <v>0</v>
      </c>
      <c r="N22" s="144">
        <f t="shared" si="10"/>
        <v>0</v>
      </c>
      <c r="O22" s="71"/>
      <c r="P22" s="71"/>
      <c r="Q22" s="71"/>
      <c r="R22" s="138"/>
      <c r="S22" s="144"/>
      <c r="T22" s="170"/>
    </row>
    <row r="23" spans="1:24" s="27" customFormat="1" ht="30.75" customHeight="1" x14ac:dyDescent="0.35">
      <c r="A23" s="109"/>
      <c r="B23" s="87" t="s">
        <v>19</v>
      </c>
      <c r="C23" s="71"/>
      <c r="D23" s="71"/>
      <c r="E23" s="71"/>
      <c r="F23" s="144"/>
      <c r="G23" s="71"/>
      <c r="H23" s="71"/>
      <c r="I23" s="71"/>
      <c r="J23" s="144"/>
      <c r="K23" s="71"/>
      <c r="L23" s="71"/>
      <c r="M23" s="71">
        <v>0</v>
      </c>
      <c r="N23" s="144">
        <f t="shared" si="10"/>
        <v>0</v>
      </c>
      <c r="O23" s="71"/>
      <c r="P23" s="71"/>
      <c r="Q23" s="71"/>
      <c r="R23" s="138"/>
      <c r="S23" s="144"/>
      <c r="T23" s="170"/>
    </row>
    <row r="24" spans="1:24" s="32" customFormat="1" ht="30.75" customHeight="1" x14ac:dyDescent="0.35">
      <c r="A24" s="109">
        <v>68</v>
      </c>
      <c r="B24" s="81" t="s">
        <v>20</v>
      </c>
      <c r="C24" s="55">
        <v>7548276.8499999996</v>
      </c>
      <c r="D24" s="55">
        <v>7621104.040000001</v>
      </c>
      <c r="E24" s="55">
        <v>7920123.5700000003</v>
      </c>
      <c r="F24" s="144">
        <f>+C24+D24+E24</f>
        <v>23089504.460000001</v>
      </c>
      <c r="G24" s="55">
        <v>7958704.75</v>
      </c>
      <c r="H24" s="55">
        <v>8170645.1100000003</v>
      </c>
      <c r="I24" s="55">
        <v>8166580.1699999999</v>
      </c>
      <c r="J24" s="144">
        <f>+G24+H24+I24</f>
        <v>24295930.030000001</v>
      </c>
      <c r="K24" s="55">
        <v>9204911.6600000001</v>
      </c>
      <c r="L24" s="55">
        <v>9383746.2800000012</v>
      </c>
      <c r="M24" s="55">
        <v>8180022.7299999986</v>
      </c>
      <c r="N24" s="144">
        <f t="shared" si="10"/>
        <v>26768680.670000002</v>
      </c>
      <c r="O24" s="55"/>
      <c r="P24" s="55"/>
      <c r="Q24" s="55"/>
      <c r="R24" s="135">
        <f>+O24+P24+Q24</f>
        <v>0</v>
      </c>
      <c r="S24" s="144">
        <f>+F24+J24+N24+R24</f>
        <v>74154115.159999996</v>
      </c>
      <c r="T24" s="172"/>
    </row>
    <row r="25" spans="1:24" s="32" customFormat="1" ht="30.75" customHeight="1" thickBot="1" x14ac:dyDescent="0.4">
      <c r="A25" s="106">
        <v>78</v>
      </c>
      <c r="B25" s="82" t="s">
        <v>21</v>
      </c>
      <c r="C25" s="59"/>
      <c r="D25" s="59"/>
      <c r="E25" s="59"/>
      <c r="F25" s="145"/>
      <c r="G25" s="59"/>
      <c r="H25" s="59"/>
      <c r="I25" s="59"/>
      <c r="J25" s="145"/>
      <c r="K25" s="59"/>
      <c r="L25" s="59"/>
      <c r="M25" s="59">
        <v>0</v>
      </c>
      <c r="N25" s="145">
        <f t="shared" si="10"/>
        <v>0</v>
      </c>
      <c r="O25" s="59"/>
      <c r="P25" s="59"/>
      <c r="Q25" s="59"/>
      <c r="R25" s="136"/>
      <c r="S25" s="145"/>
      <c r="T25" s="172"/>
    </row>
    <row r="26" spans="1:24" s="27" customFormat="1" ht="30.75" customHeight="1" thickBot="1" x14ac:dyDescent="0.4">
      <c r="A26" s="107" t="s">
        <v>22</v>
      </c>
      <c r="B26" s="85" t="s">
        <v>23</v>
      </c>
      <c r="C26" s="62">
        <f>+C19+C20-(C21+C22+C23+C24)+C25</f>
        <v>-50936685.219999984</v>
      </c>
      <c r="D26" s="62">
        <f>+D19+D20-(D21+D22+D23+D24)+D25</f>
        <v>-32150903.770000026</v>
      </c>
      <c r="E26" s="62">
        <f>+E19+E20-(E21+E22+E23+E24)+E25</f>
        <v>-37104768.539999992</v>
      </c>
      <c r="F26" s="146">
        <f>+F19+F20-(F21+F22+F23+F24)+F25</f>
        <v>-120192357.53000009</v>
      </c>
      <c r="G26" s="62">
        <f t="shared" ref="G26:S26" si="12">+G19+G20-(G21+G22+G23+G24)+G25</f>
        <v>-55559842.229999989</v>
      </c>
      <c r="H26" s="62">
        <f>+H19+H20-(H21+H22+H23+H24)+H25</f>
        <v>-3080469.7199999727</v>
      </c>
      <c r="I26" s="62">
        <f t="shared" si="12"/>
        <v>-11092958.270000009</v>
      </c>
      <c r="J26" s="146">
        <f t="shared" si="12"/>
        <v>-69733270.220000029</v>
      </c>
      <c r="K26" s="62">
        <f t="shared" si="12"/>
        <v>-35858417.12999998</v>
      </c>
      <c r="L26" s="62">
        <f t="shared" si="12"/>
        <v>-45514226.39000003</v>
      </c>
      <c r="M26" s="62">
        <f t="shared" si="12"/>
        <v>-15224649.669999998</v>
      </c>
      <c r="N26" s="146">
        <f t="shared" si="12"/>
        <v>-96597293.190000042</v>
      </c>
      <c r="O26" s="62">
        <f t="shared" si="12"/>
        <v>0</v>
      </c>
      <c r="P26" s="62">
        <f t="shared" si="12"/>
        <v>0</v>
      </c>
      <c r="Q26" s="62">
        <f t="shared" si="12"/>
        <v>0</v>
      </c>
      <c r="R26" s="62">
        <f t="shared" si="12"/>
        <v>0</v>
      </c>
      <c r="S26" s="146">
        <f t="shared" si="12"/>
        <v>-286522920.93999994</v>
      </c>
      <c r="T26" s="170"/>
    </row>
    <row r="27" spans="1:24" s="32" customFormat="1" ht="30.75" customHeight="1" x14ac:dyDescent="0.35">
      <c r="A27" s="105">
        <v>76</v>
      </c>
      <c r="B27" s="84" t="s">
        <v>24</v>
      </c>
      <c r="C27" s="52">
        <v>105137.29</v>
      </c>
      <c r="D27" s="52">
        <v>12624.660000000003</v>
      </c>
      <c r="E27" s="52">
        <v>33333.01</v>
      </c>
      <c r="F27" s="143">
        <f>+C27+D27+E27</f>
        <v>151094.96</v>
      </c>
      <c r="G27" s="52">
        <v>161789942.91</v>
      </c>
      <c r="H27" s="52">
        <v>112866.48</v>
      </c>
      <c r="I27" s="52">
        <v>12508637.1</v>
      </c>
      <c r="J27" s="143">
        <f>+G27+H27+I27</f>
        <v>174411446.48999998</v>
      </c>
      <c r="K27" s="52"/>
      <c r="L27" s="52"/>
      <c r="M27" s="52">
        <v>0</v>
      </c>
      <c r="N27" s="143">
        <f t="shared" ref="N27:N28" si="13">+K27+L27+M27</f>
        <v>0</v>
      </c>
      <c r="O27" s="52"/>
      <c r="P27" s="52"/>
      <c r="Q27" s="52"/>
      <c r="R27" s="134">
        <f>+O27+P27+Q27</f>
        <v>0</v>
      </c>
      <c r="S27" s="143">
        <f t="shared" ref="S27:S28" si="14">+F27+J27+N27+R27</f>
        <v>174562541.44999999</v>
      </c>
      <c r="T27" s="172"/>
    </row>
    <row r="28" spans="1:24" s="32" customFormat="1" ht="30.75" customHeight="1" thickBot="1" x14ac:dyDescent="0.4">
      <c r="A28" s="106">
        <v>66</v>
      </c>
      <c r="B28" s="82" t="s">
        <v>25</v>
      </c>
      <c r="C28" s="59">
        <v>162173.32999999999</v>
      </c>
      <c r="D28" s="59"/>
      <c r="E28" s="59"/>
      <c r="F28" s="145">
        <f>+C28+D28+E28</f>
        <v>162173.32999999999</v>
      </c>
      <c r="G28" s="59">
        <v>37119.15</v>
      </c>
      <c r="H28" s="59">
        <v>310127.67</v>
      </c>
      <c r="I28" s="59">
        <v>57139519.270000003</v>
      </c>
      <c r="J28" s="145">
        <f>+G28+H28+I28</f>
        <v>57486766.090000004</v>
      </c>
      <c r="K28" s="59"/>
      <c r="L28" s="59"/>
      <c r="M28" s="59">
        <v>10875000</v>
      </c>
      <c r="N28" s="145">
        <f t="shared" si="13"/>
        <v>10875000</v>
      </c>
      <c r="O28" s="59"/>
      <c r="P28" s="59"/>
      <c r="Q28" s="59"/>
      <c r="R28" s="136">
        <f>+O28+P28+Q28</f>
        <v>0</v>
      </c>
      <c r="S28" s="145">
        <f t="shared" si="14"/>
        <v>68523939.420000002</v>
      </c>
      <c r="T28" s="172"/>
    </row>
    <row r="29" spans="1:24" s="27" customFormat="1" ht="30.75" customHeight="1" thickBot="1" x14ac:dyDescent="0.4">
      <c r="A29" s="107" t="s">
        <v>26</v>
      </c>
      <c r="B29" s="85" t="s">
        <v>27</v>
      </c>
      <c r="C29" s="62">
        <f>+C27-C28</f>
        <v>-57036.039999999994</v>
      </c>
      <c r="D29" s="62">
        <f>+D27-D28</f>
        <v>12624.660000000003</v>
      </c>
      <c r="E29" s="62">
        <f>+E27-E28</f>
        <v>33333.01</v>
      </c>
      <c r="F29" s="146">
        <f>+F27-F28</f>
        <v>-11078.369999999995</v>
      </c>
      <c r="G29" s="62">
        <f t="shared" ref="G29:S29" si="15">+G27-G28</f>
        <v>161752823.75999999</v>
      </c>
      <c r="H29" s="62">
        <f t="shared" si="15"/>
        <v>-197261.19</v>
      </c>
      <c r="I29" s="62">
        <f t="shared" si="15"/>
        <v>-44630882.170000002</v>
      </c>
      <c r="J29" s="146">
        <f>+J27-J28</f>
        <v>116924680.39999998</v>
      </c>
      <c r="K29" s="62">
        <f t="shared" si="15"/>
        <v>0</v>
      </c>
      <c r="L29" s="62">
        <f t="shared" si="15"/>
        <v>0</v>
      </c>
      <c r="M29" s="62">
        <f t="shared" si="15"/>
        <v>-10875000</v>
      </c>
      <c r="N29" s="146">
        <f t="shared" si="15"/>
        <v>-10875000</v>
      </c>
      <c r="O29" s="62">
        <f t="shared" si="15"/>
        <v>0</v>
      </c>
      <c r="P29" s="62">
        <f t="shared" si="15"/>
        <v>0</v>
      </c>
      <c r="Q29" s="62">
        <f t="shared" si="15"/>
        <v>0</v>
      </c>
      <c r="R29" s="62">
        <f>+R27-R28</f>
        <v>0</v>
      </c>
      <c r="S29" s="146">
        <f t="shared" si="15"/>
        <v>106038602.02999999</v>
      </c>
      <c r="T29" s="170"/>
    </row>
    <row r="30" spans="1:24" s="27" customFormat="1" ht="30.75" customHeight="1" thickBot="1" x14ac:dyDescent="0.4">
      <c r="A30" s="107" t="s">
        <v>28</v>
      </c>
      <c r="B30" s="85" t="s">
        <v>29</v>
      </c>
      <c r="C30" s="62">
        <f>+C26+C29</f>
        <v>-50993721.259999983</v>
      </c>
      <c r="D30" s="62">
        <f>+D26+D29</f>
        <v>-32138279.110000025</v>
      </c>
      <c r="E30" s="62">
        <f>+E26+E29</f>
        <v>-37071435.529999994</v>
      </c>
      <c r="F30" s="146">
        <f>+F26+F29</f>
        <v>-120203435.9000001</v>
      </c>
      <c r="G30" s="62">
        <f t="shared" ref="G30:S30" si="16">+G26+G29</f>
        <v>106192981.53</v>
      </c>
      <c r="H30" s="62">
        <f t="shared" si="16"/>
        <v>-3277730.9099999727</v>
      </c>
      <c r="I30" s="62">
        <f t="shared" si="16"/>
        <v>-55723840.440000013</v>
      </c>
      <c r="J30" s="146">
        <f>+J26+J29</f>
        <v>47191410.179999948</v>
      </c>
      <c r="K30" s="62">
        <f t="shared" si="16"/>
        <v>-35858417.12999998</v>
      </c>
      <c r="L30" s="62">
        <f t="shared" si="16"/>
        <v>-45514226.39000003</v>
      </c>
      <c r="M30" s="62">
        <f t="shared" si="16"/>
        <v>-26099649.669999998</v>
      </c>
      <c r="N30" s="146">
        <f t="shared" si="16"/>
        <v>-107472293.19000004</v>
      </c>
      <c r="O30" s="62">
        <f t="shared" si="16"/>
        <v>0</v>
      </c>
      <c r="P30" s="62">
        <f t="shared" si="16"/>
        <v>0</v>
      </c>
      <c r="Q30" s="62">
        <f t="shared" si="16"/>
        <v>0</v>
      </c>
      <c r="R30" s="62">
        <f>+R26+R29</f>
        <v>0</v>
      </c>
      <c r="S30" s="146">
        <f t="shared" si="16"/>
        <v>-180484318.90999997</v>
      </c>
      <c r="T30" s="170"/>
    </row>
    <row r="31" spans="1:24" s="32" customFormat="1" ht="30.75" customHeight="1" x14ac:dyDescent="0.35">
      <c r="A31" s="105" t="s">
        <v>30</v>
      </c>
      <c r="B31" s="84" t="s">
        <v>31</v>
      </c>
      <c r="C31" s="52"/>
      <c r="D31" s="52"/>
      <c r="E31" s="52"/>
      <c r="F31" s="143"/>
      <c r="G31" s="52"/>
      <c r="H31" s="52"/>
      <c r="I31" s="52">
        <v>-10000</v>
      </c>
      <c r="J31" s="143">
        <f>+G31+H31+I31</f>
        <v>-10000</v>
      </c>
      <c r="K31" s="52"/>
      <c r="L31" s="52"/>
      <c r="M31" s="52"/>
      <c r="N31" s="143">
        <f t="shared" ref="N31:N34" si="17">+K31+L31+M31</f>
        <v>0</v>
      </c>
      <c r="O31" s="52"/>
      <c r="P31" s="52"/>
      <c r="Q31" s="52"/>
      <c r="R31" s="134">
        <f>+O31+P31+Q31</f>
        <v>0</v>
      </c>
      <c r="S31" s="143">
        <f>+F31+J31+N31+R31</f>
        <v>-10000</v>
      </c>
      <c r="T31" s="172"/>
    </row>
    <row r="32" spans="1:24" s="32" customFormat="1" ht="30.75" customHeight="1" x14ac:dyDescent="0.35">
      <c r="A32" s="109" t="s">
        <v>32</v>
      </c>
      <c r="B32" s="81" t="s">
        <v>33</v>
      </c>
      <c r="C32" s="55"/>
      <c r="D32" s="55"/>
      <c r="E32" s="55"/>
      <c r="F32" s="144"/>
      <c r="G32" s="55"/>
      <c r="H32" s="55">
        <f>+H33+H27</f>
        <v>132391572.74000004</v>
      </c>
      <c r="I32" s="55"/>
      <c r="J32" s="144"/>
      <c r="K32" s="55"/>
      <c r="L32" s="55"/>
      <c r="M32" s="55"/>
      <c r="N32" s="144">
        <f t="shared" si="17"/>
        <v>0</v>
      </c>
      <c r="O32" s="55"/>
      <c r="P32" s="55"/>
      <c r="Q32" s="55"/>
      <c r="R32" s="135"/>
      <c r="S32" s="144"/>
      <c r="T32" s="172"/>
    </row>
    <row r="33" spans="1:20" s="37" customFormat="1" ht="30.75" customHeight="1" x14ac:dyDescent="0.35">
      <c r="A33" s="110"/>
      <c r="B33" s="88" t="s">
        <v>45</v>
      </c>
      <c r="C33" s="75">
        <f t="shared" ref="C33:H33" si="18">+C12+C20+C27</f>
        <v>121152387.14000002</v>
      </c>
      <c r="D33" s="75">
        <f t="shared" si="18"/>
        <v>135978366.35999998</v>
      </c>
      <c r="E33" s="75">
        <f t="shared" si="18"/>
        <v>131947583.19000001</v>
      </c>
      <c r="F33" s="149">
        <f t="shared" si="18"/>
        <v>389078336.68999994</v>
      </c>
      <c r="G33" s="75">
        <f t="shared" si="18"/>
        <v>233875264.38</v>
      </c>
      <c r="H33" s="75">
        <f t="shared" si="18"/>
        <v>132278706.26000004</v>
      </c>
      <c r="I33" s="75">
        <f t="shared" ref="I33:S33" si="19">+I12+I20+I27</f>
        <v>219019003.74999997</v>
      </c>
      <c r="J33" s="149">
        <f>+J12+J20+J27</f>
        <v>585172974.38999999</v>
      </c>
      <c r="K33" s="75">
        <f t="shared" si="19"/>
        <v>131078613.93000001</v>
      </c>
      <c r="L33" s="75">
        <f t="shared" si="19"/>
        <v>164380249.82999998</v>
      </c>
      <c r="M33" s="75">
        <f t="shared" si="19"/>
        <v>213861570.28</v>
      </c>
      <c r="N33" s="149">
        <f t="shared" si="17"/>
        <v>509320434.03999996</v>
      </c>
      <c r="O33" s="75">
        <f t="shared" si="19"/>
        <v>0</v>
      </c>
      <c r="P33" s="75">
        <f t="shared" si="19"/>
        <v>0</v>
      </c>
      <c r="Q33" s="75">
        <f t="shared" si="19"/>
        <v>0</v>
      </c>
      <c r="R33" s="139">
        <f>+R12+R20+R27</f>
        <v>0</v>
      </c>
      <c r="S33" s="149">
        <f t="shared" si="19"/>
        <v>1483571745.1200001</v>
      </c>
      <c r="T33" s="173"/>
    </row>
    <row r="34" spans="1:20" s="37" customFormat="1" ht="30.75" customHeight="1" thickBot="1" x14ac:dyDescent="0.4">
      <c r="A34" s="111"/>
      <c r="B34" s="89" t="s">
        <v>46</v>
      </c>
      <c r="C34" s="77">
        <f t="shared" ref="C34:S34" si="20">+C15+C17+C18+C24+C21+C28</f>
        <v>172146108.40000001</v>
      </c>
      <c r="D34" s="77">
        <f>+D15+D17+D18+D24+D21+D28</f>
        <v>168116645.47</v>
      </c>
      <c r="E34" s="77">
        <f>+E15+E17+E18+E24+E21+E28</f>
        <v>169019018.72</v>
      </c>
      <c r="F34" s="150">
        <f>+F15+F17+F18+F24+F21+F28</f>
        <v>509281772.59000003</v>
      </c>
      <c r="G34" s="77">
        <f>+G15+G17+G18+G24+G21+G28</f>
        <v>127682282.85000001</v>
      </c>
      <c r="H34" s="77">
        <f t="shared" si="20"/>
        <v>135556437.16999999</v>
      </c>
      <c r="I34" s="77">
        <f t="shared" si="20"/>
        <v>274742844.18999994</v>
      </c>
      <c r="J34" s="150">
        <f>+J15+J17+J18+J24+J21+J28</f>
        <v>537981564.21000004</v>
      </c>
      <c r="K34" s="77">
        <f t="shared" si="20"/>
        <v>166937031.06</v>
      </c>
      <c r="L34" s="77">
        <f t="shared" si="20"/>
        <v>209894476.22000003</v>
      </c>
      <c r="M34" s="77">
        <f t="shared" si="20"/>
        <v>239961219.94999996</v>
      </c>
      <c r="N34" s="150">
        <f t="shared" si="17"/>
        <v>616792727.23000002</v>
      </c>
      <c r="O34" s="77">
        <f t="shared" si="20"/>
        <v>0</v>
      </c>
      <c r="P34" s="77">
        <f t="shared" si="20"/>
        <v>0</v>
      </c>
      <c r="Q34" s="77">
        <f t="shared" si="20"/>
        <v>0</v>
      </c>
      <c r="R34" s="140">
        <f>+R15+R17+R18+R24+R21+R28</f>
        <v>0</v>
      </c>
      <c r="S34" s="150">
        <f t="shared" si="20"/>
        <v>1664056064.03</v>
      </c>
      <c r="T34" s="173"/>
    </row>
    <row r="35" spans="1:20" s="27" customFormat="1" ht="30.75" customHeight="1" thickBot="1" x14ac:dyDescent="0.4">
      <c r="A35" s="107" t="s">
        <v>34</v>
      </c>
      <c r="B35" s="85" t="s">
        <v>35</v>
      </c>
      <c r="C35" s="62">
        <f>+C30</f>
        <v>-50993721.259999983</v>
      </c>
      <c r="D35" s="62">
        <f>+D30</f>
        <v>-32138279.110000025</v>
      </c>
      <c r="E35" s="62">
        <f>+E30</f>
        <v>-37071435.529999994</v>
      </c>
      <c r="F35" s="146">
        <f>+F30</f>
        <v>-120203435.9000001</v>
      </c>
      <c r="G35" s="62">
        <f t="shared" ref="G35:S35" si="21">+G30</f>
        <v>106192981.53</v>
      </c>
      <c r="H35" s="62">
        <f t="shared" si="21"/>
        <v>-3277730.9099999727</v>
      </c>
      <c r="I35" s="62">
        <f>+I33-I34+I31</f>
        <v>-55733840.439999968</v>
      </c>
      <c r="J35" s="146">
        <f>+J33-J34+J31</f>
        <v>47181410.179999948</v>
      </c>
      <c r="K35" s="62">
        <f t="shared" si="21"/>
        <v>-35858417.12999998</v>
      </c>
      <c r="L35" s="62">
        <f t="shared" si="21"/>
        <v>-45514226.39000003</v>
      </c>
      <c r="M35" s="62">
        <f t="shared" si="21"/>
        <v>-26099649.669999998</v>
      </c>
      <c r="N35" s="146">
        <f>+N33-N34+N31</f>
        <v>-107472293.19000006</v>
      </c>
      <c r="O35" s="62">
        <f t="shared" si="21"/>
        <v>0</v>
      </c>
      <c r="P35" s="62">
        <f t="shared" si="21"/>
        <v>0</v>
      </c>
      <c r="Q35" s="62">
        <f t="shared" si="21"/>
        <v>0</v>
      </c>
      <c r="R35" s="62">
        <f>+R33-R34+R31</f>
        <v>0</v>
      </c>
      <c r="S35" s="146">
        <f t="shared" si="21"/>
        <v>-180484318.90999997</v>
      </c>
      <c r="T35" s="170"/>
    </row>
    <row r="36" spans="1:20" s="32" customFormat="1" ht="30.75" customHeight="1" x14ac:dyDescent="0.35">
      <c r="A36" s="105">
        <v>77</v>
      </c>
      <c r="B36" s="84" t="s">
        <v>36</v>
      </c>
      <c r="C36" s="52">
        <v>0</v>
      </c>
      <c r="D36" s="52">
        <v>0</v>
      </c>
      <c r="E36" s="52">
        <v>0</v>
      </c>
      <c r="F36" s="143"/>
      <c r="G36" s="52">
        <v>0</v>
      </c>
      <c r="H36" s="52">
        <v>0</v>
      </c>
      <c r="I36" s="52">
        <v>0</v>
      </c>
      <c r="J36" s="143"/>
      <c r="K36" s="52">
        <v>0</v>
      </c>
      <c r="L36" s="52">
        <v>0</v>
      </c>
      <c r="M36" s="52">
        <v>0</v>
      </c>
      <c r="N36" s="143"/>
      <c r="O36" s="52">
        <v>0</v>
      </c>
      <c r="P36" s="52">
        <v>0</v>
      </c>
      <c r="Q36" s="52">
        <v>0</v>
      </c>
      <c r="R36" s="134"/>
      <c r="S36" s="143">
        <f t="shared" ref="S36:S37" si="22">+F36+J36+N36+R36</f>
        <v>0</v>
      </c>
      <c r="T36" s="172"/>
    </row>
    <row r="37" spans="1:20" s="32" customFormat="1" ht="30.75" customHeight="1" thickBot="1" x14ac:dyDescent="0.4">
      <c r="A37" s="106">
        <v>67</v>
      </c>
      <c r="B37" s="82" t="s">
        <v>37</v>
      </c>
      <c r="C37" s="59">
        <v>0</v>
      </c>
      <c r="D37" s="59">
        <v>0</v>
      </c>
      <c r="E37" s="59">
        <v>0</v>
      </c>
      <c r="F37" s="145"/>
      <c r="G37" s="59">
        <v>0</v>
      </c>
      <c r="H37" s="59">
        <v>0</v>
      </c>
      <c r="I37" s="59">
        <v>0</v>
      </c>
      <c r="J37" s="145"/>
      <c r="K37" s="59">
        <v>0</v>
      </c>
      <c r="L37" s="59">
        <v>0</v>
      </c>
      <c r="M37" s="59">
        <v>0</v>
      </c>
      <c r="N37" s="145"/>
      <c r="O37" s="59">
        <v>0</v>
      </c>
      <c r="P37" s="59">
        <v>0</v>
      </c>
      <c r="Q37" s="59">
        <v>0</v>
      </c>
      <c r="R37" s="136"/>
      <c r="S37" s="145">
        <f t="shared" si="22"/>
        <v>0</v>
      </c>
      <c r="T37" s="172"/>
    </row>
    <row r="38" spans="1:20" s="27" customFormat="1" ht="30.75" customHeight="1" thickBot="1" x14ac:dyDescent="0.4">
      <c r="A38" s="107" t="s">
        <v>38</v>
      </c>
      <c r="B38" s="85" t="s">
        <v>39</v>
      </c>
      <c r="C38" s="62"/>
      <c r="D38" s="62"/>
      <c r="E38" s="62"/>
      <c r="F38" s="146"/>
      <c r="G38" s="62"/>
      <c r="H38" s="62"/>
      <c r="I38" s="62"/>
      <c r="J38" s="146"/>
      <c r="K38" s="62"/>
      <c r="L38" s="62"/>
      <c r="M38" s="62"/>
      <c r="N38" s="146"/>
      <c r="O38" s="62"/>
      <c r="P38" s="62"/>
      <c r="Q38" s="62"/>
      <c r="R38" s="62"/>
      <c r="S38" s="146"/>
      <c r="T38" s="170"/>
    </row>
    <row r="39" spans="1:20" s="27" customFormat="1" ht="30.6" customHeight="1" x14ac:dyDescent="0.35">
      <c r="A39" s="120" t="s">
        <v>40</v>
      </c>
      <c r="B39" s="121" t="s">
        <v>41</v>
      </c>
      <c r="C39" s="123">
        <f>+C35</f>
        <v>-50993721.259999983</v>
      </c>
      <c r="D39" s="123">
        <f>+D35</f>
        <v>-32138279.110000025</v>
      </c>
      <c r="E39" s="123">
        <f>+E35</f>
        <v>-37071435.529999994</v>
      </c>
      <c r="F39" s="151">
        <f>+F35</f>
        <v>-120203435.9000001</v>
      </c>
      <c r="G39" s="123">
        <f t="shared" ref="G39:S39" si="23">+G35</f>
        <v>106192981.53</v>
      </c>
      <c r="H39" s="123">
        <f t="shared" si="23"/>
        <v>-3277730.9099999727</v>
      </c>
      <c r="I39" s="123">
        <f t="shared" si="23"/>
        <v>-55733840.439999968</v>
      </c>
      <c r="J39" s="151">
        <f t="shared" si="23"/>
        <v>47181410.179999948</v>
      </c>
      <c r="K39" s="123">
        <f t="shared" si="23"/>
        <v>-35858417.12999998</v>
      </c>
      <c r="L39" s="123">
        <f t="shared" si="23"/>
        <v>-45514226.39000003</v>
      </c>
      <c r="M39" s="123">
        <f t="shared" si="23"/>
        <v>-26099649.669999998</v>
      </c>
      <c r="N39" s="151">
        <f>+N35</f>
        <v>-107472293.19000006</v>
      </c>
      <c r="O39" s="123">
        <f t="shared" si="23"/>
        <v>0</v>
      </c>
      <c r="P39" s="123">
        <f t="shared" si="23"/>
        <v>0</v>
      </c>
      <c r="Q39" s="123">
        <f t="shared" si="23"/>
        <v>0</v>
      </c>
      <c r="R39" s="123">
        <f t="shared" si="23"/>
        <v>0</v>
      </c>
      <c r="S39" s="151">
        <f t="shared" si="23"/>
        <v>-180484318.90999997</v>
      </c>
      <c r="T39" s="171">
        <v>-180.48431890999996</v>
      </c>
    </row>
    <row r="40" spans="1:20" s="37" customFormat="1" ht="11.4" customHeight="1" x14ac:dyDescent="0.35">
      <c r="A40" s="159"/>
      <c r="B40" s="159"/>
      <c r="C40" s="160"/>
      <c r="D40" s="160"/>
      <c r="E40" s="160"/>
      <c r="F40" s="161"/>
      <c r="G40" s="160"/>
      <c r="H40" s="160"/>
      <c r="I40" s="160"/>
      <c r="J40" s="161"/>
      <c r="K40" s="160"/>
      <c r="L40" s="160"/>
      <c r="M40" s="160"/>
      <c r="N40" s="161"/>
      <c r="O40" s="160"/>
      <c r="P40" s="160"/>
      <c r="Q40" s="160"/>
      <c r="R40" s="166"/>
      <c r="S40" s="161"/>
      <c r="T40" s="173"/>
    </row>
    <row r="41" spans="1:20" s="27" customFormat="1" ht="18" x14ac:dyDescent="0.35">
      <c r="A41" s="286" t="s">
        <v>51</v>
      </c>
      <c r="B41" s="287"/>
      <c r="C41" s="287"/>
      <c r="D41" s="287"/>
      <c r="E41" s="287"/>
      <c r="F41" s="287"/>
      <c r="G41" s="287"/>
      <c r="H41" s="287"/>
      <c r="I41" s="287"/>
      <c r="J41" s="287"/>
      <c r="K41" s="287"/>
      <c r="L41" s="287"/>
      <c r="M41" s="287"/>
      <c r="N41" s="287"/>
      <c r="O41" s="287"/>
      <c r="P41" s="287"/>
      <c r="Q41" s="287"/>
      <c r="R41" s="287"/>
      <c r="S41" s="287"/>
      <c r="T41" s="170"/>
    </row>
    <row r="42" spans="1:20" s="37" customFormat="1" ht="18" x14ac:dyDescent="0.35">
      <c r="A42" s="92">
        <v>1</v>
      </c>
      <c r="B42" s="93" t="s">
        <v>52</v>
      </c>
      <c r="C42" s="95">
        <f>+C12/C7</f>
        <v>1.6668184917441171</v>
      </c>
      <c r="D42" s="95">
        <f>+D12/D7</f>
        <v>1.431998371969845</v>
      </c>
      <c r="E42" s="95">
        <f>+E12/E7</f>
        <v>1.4103118184629411</v>
      </c>
      <c r="F42" s="152">
        <f>+F12/F7</f>
        <v>1.4896400420616793</v>
      </c>
      <c r="G42" s="95">
        <f t="shared" ref="G42:S42" si="24">+G12/G7</f>
        <v>0.74916843723975912</v>
      </c>
      <c r="H42" s="95">
        <f t="shared" si="24"/>
        <v>0.69678413913374138</v>
      </c>
      <c r="I42" s="95">
        <f t="shared" si="24"/>
        <v>1.2172755764585967</v>
      </c>
      <c r="J42" s="152"/>
      <c r="K42" s="95">
        <f t="shared" si="24"/>
        <v>1.0361451256019361</v>
      </c>
      <c r="L42" s="95">
        <f t="shared" si="24"/>
        <v>1.0530828504485479</v>
      </c>
      <c r="M42" s="95">
        <f t="shared" si="24"/>
        <v>0.8769830511336778</v>
      </c>
      <c r="N42" s="152"/>
      <c r="O42" s="95" t="e">
        <f t="shared" si="24"/>
        <v>#DIV/0!</v>
      </c>
      <c r="P42" s="95" t="e">
        <f t="shared" si="24"/>
        <v>#DIV/0!</v>
      </c>
      <c r="Q42" s="95" t="e">
        <f t="shared" si="24"/>
        <v>#DIV/0!</v>
      </c>
      <c r="R42" s="141"/>
      <c r="S42" s="152">
        <f t="shared" si="24"/>
        <v>1.0698384952818725</v>
      </c>
      <c r="T42" s="173"/>
    </row>
    <row r="43" spans="1:20" s="37" customFormat="1" ht="18" x14ac:dyDescent="0.35">
      <c r="A43" s="92">
        <v>2</v>
      </c>
      <c r="B43" s="93" t="s">
        <v>53</v>
      </c>
      <c r="C43" s="95">
        <f>+C13/C7</f>
        <v>1.433109741088805</v>
      </c>
      <c r="D43" s="95">
        <f>+D13/D7</f>
        <v>1.0657226220778084</v>
      </c>
      <c r="E43" s="95">
        <f>+E13/E7</f>
        <v>1.0703917910944503</v>
      </c>
      <c r="F43" s="152">
        <f>+F13/F7</f>
        <v>1.1697083032087969</v>
      </c>
      <c r="G43" s="95">
        <f t="shared" ref="G43:S43" si="25">+G13/G7</f>
        <v>0.62951351179763382</v>
      </c>
      <c r="H43" s="95">
        <f t="shared" si="25"/>
        <v>0.43429438077919352</v>
      </c>
      <c r="I43" s="95">
        <f t="shared" si="25"/>
        <v>0.8280586298690632</v>
      </c>
      <c r="J43" s="152"/>
      <c r="K43" s="95">
        <f t="shared" si="25"/>
        <v>0.69207466914530091</v>
      </c>
      <c r="L43" s="95">
        <f t="shared" si="25"/>
        <v>0.81358540034437266</v>
      </c>
      <c r="M43" s="95">
        <f t="shared" si="25"/>
        <v>0.67716074528245951</v>
      </c>
      <c r="N43" s="152"/>
      <c r="O43" s="95" t="e">
        <f t="shared" si="25"/>
        <v>#DIV/0!</v>
      </c>
      <c r="P43" s="95" t="e">
        <f t="shared" si="25"/>
        <v>#DIV/0!</v>
      </c>
      <c r="Q43" s="95" t="e">
        <f t="shared" si="25"/>
        <v>#DIV/0!</v>
      </c>
      <c r="R43" s="141"/>
      <c r="S43" s="152">
        <f t="shared" si="25"/>
        <v>0.79325398652161205</v>
      </c>
      <c r="T43" s="173"/>
    </row>
    <row r="44" spans="1:20" s="37" customFormat="1" ht="18" x14ac:dyDescent="0.35">
      <c r="A44" s="92">
        <v>3</v>
      </c>
      <c r="B44" s="93" t="s">
        <v>56</v>
      </c>
      <c r="C44" s="95">
        <f>+C13/C12</f>
        <v>0.85978752226898736</v>
      </c>
      <c r="D44" s="95">
        <f>+D13/D12</f>
        <v>0.74422055425371003</v>
      </c>
      <c r="E44" s="95">
        <f>+E13/E12</f>
        <v>0.7589752685055422</v>
      </c>
      <c r="F44" s="152">
        <f>+F13/F12</f>
        <v>0.78522882722050535</v>
      </c>
      <c r="G44" s="95">
        <f t="shared" ref="G44:S44" si="26">+G13/G12</f>
        <v>0.84028301314590537</v>
      </c>
      <c r="H44" s="95">
        <f t="shared" si="26"/>
        <v>0.62328396469976854</v>
      </c>
      <c r="I44" s="95">
        <f t="shared" si="26"/>
        <v>0.68025568399073844</v>
      </c>
      <c r="J44" s="152"/>
      <c r="K44" s="95">
        <f t="shared" si="26"/>
        <v>0.66793217672403615</v>
      </c>
      <c r="L44" s="95">
        <f t="shared" si="26"/>
        <v>0.77257492133485584</v>
      </c>
      <c r="M44" s="95">
        <f t="shared" si="26"/>
        <v>0.77214804140979965</v>
      </c>
      <c r="N44" s="152"/>
      <c r="O44" s="95" t="e">
        <f t="shared" si="26"/>
        <v>#DIV/0!</v>
      </c>
      <c r="P44" s="95" t="e">
        <f t="shared" si="26"/>
        <v>#DIV/0!</v>
      </c>
      <c r="Q44" s="95" t="e">
        <f t="shared" si="26"/>
        <v>#DIV/0!</v>
      </c>
      <c r="R44" s="141"/>
      <c r="S44" s="152">
        <f t="shared" si="26"/>
        <v>0.74147078275830025</v>
      </c>
      <c r="T44" s="173"/>
    </row>
    <row r="45" spans="1:20" s="37" customFormat="1" ht="18" x14ac:dyDescent="0.35">
      <c r="A45" s="92">
        <v>4</v>
      </c>
      <c r="B45" s="93" t="s">
        <v>57</v>
      </c>
      <c r="C45" s="95">
        <f>+C15/C12</f>
        <v>0.94087984336738062</v>
      </c>
      <c r="D45" s="95">
        <f>+D15/D12</f>
        <v>0.80426697671878422</v>
      </c>
      <c r="E45" s="95">
        <f>+E15/E12</f>
        <v>0.81700810962410764</v>
      </c>
      <c r="F45" s="152">
        <f>+F15/F12</f>
        <v>0.85115189991947959</v>
      </c>
      <c r="G45" s="95">
        <f t="shared" ref="G45:S45" si="27">+G15/G12</f>
        <v>0.92159249753590533</v>
      </c>
      <c r="H45" s="95">
        <f t="shared" si="27"/>
        <v>0.70106833433386095</v>
      </c>
      <c r="I45" s="95">
        <f t="shared" si="27"/>
        <v>0.76059759156921014</v>
      </c>
      <c r="J45" s="152"/>
      <c r="K45" s="95">
        <f t="shared" si="27"/>
        <v>0.7208036795112297</v>
      </c>
      <c r="L45" s="95">
        <f t="shared" si="27"/>
        <v>0.84548784102382279</v>
      </c>
      <c r="M45" s="95">
        <f t="shared" si="27"/>
        <v>0.82353500845629102</v>
      </c>
      <c r="N45" s="152"/>
      <c r="O45" s="95" t="e">
        <f t="shared" si="27"/>
        <v>#DIV/0!</v>
      </c>
      <c r="P45" s="95" t="e">
        <f t="shared" si="27"/>
        <v>#DIV/0!</v>
      </c>
      <c r="Q45" s="95" t="e">
        <f t="shared" si="27"/>
        <v>#DIV/0!</v>
      </c>
      <c r="R45" s="141"/>
      <c r="S45" s="152">
        <f t="shared" si="27"/>
        <v>0.80910816283280251</v>
      </c>
      <c r="T45" s="173"/>
    </row>
    <row r="46" spans="1:20" s="37" customFormat="1" ht="18" x14ac:dyDescent="0.35">
      <c r="A46" s="92">
        <v>5</v>
      </c>
      <c r="B46" s="93" t="s">
        <v>58</v>
      </c>
      <c r="C46" s="95">
        <f>+C17/C12</f>
        <v>0.40585333951679331</v>
      </c>
      <c r="D46" s="95">
        <f>+D17/D12</f>
        <v>0.36888299639418382</v>
      </c>
      <c r="E46" s="95">
        <f>+E17/E12</f>
        <v>0.4001102865976342</v>
      </c>
      <c r="F46" s="152">
        <f>+F17/F12</f>
        <v>0.3909756670066965</v>
      </c>
      <c r="G46" s="95">
        <f t="shared" ref="G46:S46" si="28">+G17/G12</f>
        <v>0.72370200150869934</v>
      </c>
      <c r="H46" s="95">
        <f t="shared" si="28"/>
        <v>0.47582231294610944</v>
      </c>
      <c r="I46" s="95">
        <f t="shared" si="28"/>
        <v>0.2434530485857761</v>
      </c>
      <c r="J46" s="152"/>
      <c r="K46" s="95">
        <f t="shared" si="28"/>
        <v>0.46564199412941587</v>
      </c>
      <c r="L46" s="95">
        <f t="shared" si="28"/>
        <v>0.36489236262547392</v>
      </c>
      <c r="M46" s="95">
        <f t="shared" si="28"/>
        <v>0.35444220794808928</v>
      </c>
      <c r="N46" s="152"/>
      <c r="O46" s="95" t="e">
        <f t="shared" si="28"/>
        <v>#DIV/0!</v>
      </c>
      <c r="P46" s="95" t="e">
        <f t="shared" si="28"/>
        <v>#DIV/0!</v>
      </c>
      <c r="Q46" s="95" t="e">
        <f t="shared" si="28"/>
        <v>#DIV/0!</v>
      </c>
      <c r="R46" s="141"/>
      <c r="S46" s="152">
        <f t="shared" si="28"/>
        <v>0.39208744714531329</v>
      </c>
      <c r="T46" s="173"/>
    </row>
    <row r="47" spans="1:20" s="37" customFormat="1" ht="18" x14ac:dyDescent="0.35">
      <c r="A47" s="92">
        <v>6</v>
      </c>
      <c r="B47" s="93" t="s">
        <v>54</v>
      </c>
      <c r="C47" s="95">
        <f>+C16/C17</f>
        <v>0.14566876966691336</v>
      </c>
      <c r="D47" s="95">
        <f>+D16/D17</f>
        <v>0.53061004490447661</v>
      </c>
      <c r="E47" s="95">
        <f>+E16/E17</f>
        <v>0.45735362600141255</v>
      </c>
      <c r="F47" s="152">
        <f>+F16/F17</f>
        <v>0.38070937053474208</v>
      </c>
      <c r="G47" s="95">
        <f t="shared" ref="G47:S47" si="29">+G16/G17</f>
        <v>0.10834224902050685</v>
      </c>
      <c r="H47" s="95">
        <f t="shared" si="29"/>
        <v>0.62824221885533005</v>
      </c>
      <c r="I47" s="95">
        <f t="shared" si="29"/>
        <v>0.98336171931911942</v>
      </c>
      <c r="J47" s="152"/>
      <c r="K47" s="95">
        <f t="shared" si="29"/>
        <v>0.59959437509661839</v>
      </c>
      <c r="L47" s="95">
        <f t="shared" si="29"/>
        <v>0.42344585637372939</v>
      </c>
      <c r="M47" s="95">
        <f t="shared" si="29"/>
        <v>0.49786675397743146</v>
      </c>
      <c r="N47" s="152"/>
      <c r="O47" s="95" t="e">
        <f t="shared" si="29"/>
        <v>#DIV/0!</v>
      </c>
      <c r="P47" s="95" t="e">
        <f t="shared" si="29"/>
        <v>#DIV/0!</v>
      </c>
      <c r="Q47" s="95" t="e">
        <f t="shared" si="29"/>
        <v>#DIV/0!</v>
      </c>
      <c r="R47" s="141"/>
      <c r="S47" s="152">
        <f t="shared" si="29"/>
        <v>0.48686036382197723</v>
      </c>
      <c r="T47" s="173"/>
    </row>
    <row r="48" spans="1:20" s="37" customFormat="1" ht="18" x14ac:dyDescent="0.35">
      <c r="A48" s="92">
        <v>7</v>
      </c>
      <c r="B48" s="93" t="s">
        <v>55</v>
      </c>
      <c r="C48" s="95">
        <f>+C19/C12</f>
        <v>-0.35432958311986801</v>
      </c>
      <c r="D48" s="95">
        <f>+D19/D12</f>
        <v>-0.18051714197411617</v>
      </c>
      <c r="E48" s="95">
        <f>+E19/E12</f>
        <v>-0.22369692330603974</v>
      </c>
      <c r="F48" s="152">
        <f>+F19/F12</f>
        <v>-0.24929917604006396</v>
      </c>
      <c r="G48" s="95">
        <f t="shared" ref="G48:S48" si="30">+G19/G12</f>
        <v>-0.65845682059333344</v>
      </c>
      <c r="H48" s="95">
        <f t="shared" si="30"/>
        <v>-0.19507293838502474</v>
      </c>
      <c r="I48" s="95">
        <f t="shared" si="30"/>
        <v>-1.1940043699635519E-2</v>
      </c>
      <c r="J48" s="152"/>
      <c r="K48" s="95">
        <f t="shared" si="30"/>
        <v>-0.20433360858857016</v>
      </c>
      <c r="L48" s="95">
        <f t="shared" si="30"/>
        <v>-0.22007667052176125</v>
      </c>
      <c r="M48" s="95">
        <f t="shared" si="30"/>
        <v>-0.18963633861373494</v>
      </c>
      <c r="N48" s="152"/>
      <c r="O48" s="95" t="e">
        <f t="shared" si="30"/>
        <v>#DIV/0!</v>
      </c>
      <c r="P48" s="95" t="e">
        <f t="shared" si="30"/>
        <v>#DIV/0!</v>
      </c>
      <c r="Q48" s="95" t="e">
        <f t="shared" si="30"/>
        <v>#DIV/0!</v>
      </c>
      <c r="R48" s="141"/>
      <c r="S48" s="152">
        <f t="shared" si="30"/>
        <v>-0.21187261672806137</v>
      </c>
      <c r="T48" s="173"/>
    </row>
    <row r="49" spans="1:2" ht="15.6" x14ac:dyDescent="0.3">
      <c r="A49" s="90"/>
      <c r="B49" s="90"/>
    </row>
  </sheetData>
  <sheetProtection formatCells="0" formatColumns="0" formatRows="0" insertColumns="0" insertRows="0" insertHyperlinks="0" deleteColumns="0" deleteRows="0" selectLockedCells="1" sort="0" autoFilter="0" pivotTables="0"/>
  <mergeCells count="4">
    <mergeCell ref="T2:U2"/>
    <mergeCell ref="T3:U3"/>
    <mergeCell ref="A41:S41"/>
    <mergeCell ref="A5:R5"/>
  </mergeCells>
  <phoneticPr fontId="32" type="noConversion"/>
  <conditionalFormatting sqref="H6 K6 M6 P6">
    <cfRule type="cellIs" dxfId="13" priority="15" operator="lessThan">
      <formula>-0.01</formula>
    </cfRule>
  </conditionalFormatting>
  <conditionalFormatting sqref="C1:C4 C42:C1048576 C6:C40 I6:J6 L6 O6 G6">
    <cfRule type="cellIs" dxfId="12" priority="11" operator="lessThan">
      <formula>-0.01</formula>
    </cfRule>
  </conditionalFormatting>
  <conditionalFormatting sqref="G1:M4 G42:M1048576 Q6 G7:M40 O7:Q40 O42:Q1048576 O1:Q4 S1:S4 S42:S1048576 S6:S40">
    <cfRule type="cellIs" dxfId="11" priority="10" operator="lessThan">
      <formula>-0.01</formula>
    </cfRule>
  </conditionalFormatting>
  <conditionalFormatting sqref="E1:F4 E42:F1048576 E6:F40">
    <cfRule type="cellIs" dxfId="10" priority="6" operator="lessThan">
      <formula>-0.01</formula>
    </cfRule>
  </conditionalFormatting>
  <conditionalFormatting sqref="N1:N4 N42:N1048576 N7:N40">
    <cfRule type="cellIs" dxfId="9" priority="3" operator="lessThan">
      <formula>-0.01</formula>
    </cfRule>
  </conditionalFormatting>
  <conditionalFormatting sqref="D1:D4 D42:D1048576 D6:D40">
    <cfRule type="cellIs" dxfId="8" priority="7" operator="lessThan">
      <formula>-0.01</formula>
    </cfRule>
  </conditionalFormatting>
  <conditionalFormatting sqref="R1:R4 R42:R1048576 R7:R40">
    <cfRule type="cellIs" dxfId="7" priority="1" operator="lessThan">
      <formula>-0.01</formula>
    </cfRule>
  </conditionalFormatting>
  <conditionalFormatting sqref="N6">
    <cfRule type="cellIs" dxfId="6" priority="4" operator="lessThan">
      <formula>-0.01</formula>
    </cfRule>
  </conditionalFormatting>
  <conditionalFormatting sqref="R6">
    <cfRule type="cellIs" dxfId="5" priority="2" operator="lessThan">
      <formula>-0.01</formula>
    </cfRule>
  </conditionalFormatting>
  <pageMargins left="0.14000000000000001" right="0.11" top="0.16" bottom="0.16" header="0.16" footer="0"/>
  <pageSetup paperSize="9" scale="62" orientation="portrait" r:id="rId1"/>
  <ignoredErrors>
    <ignoredError sqref="I35" formula="1"/>
  </ignoredErrors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24</vt:i4>
      </vt:variant>
      <vt:variant>
        <vt:lpstr>Plages nommées</vt:lpstr>
      </vt:variant>
      <vt:variant>
        <vt:i4>23</vt:i4>
      </vt:variant>
    </vt:vector>
  </HeadingPairs>
  <TitlesOfParts>
    <vt:vector size="47" baseType="lpstr">
      <vt:lpstr>contrôler la prod </vt:lpstr>
      <vt:lpstr>01 2020</vt:lpstr>
      <vt:lpstr>02 2020</vt:lpstr>
      <vt:lpstr>03 2020</vt:lpstr>
      <vt:lpstr>T01 2020</vt:lpstr>
      <vt:lpstr>04 2020</vt:lpstr>
      <vt:lpstr>05 2020</vt:lpstr>
      <vt:lpstr>06 2020</vt:lpstr>
      <vt:lpstr>T02 2020</vt:lpstr>
      <vt:lpstr>07 2020</vt:lpstr>
      <vt:lpstr>08 2020</vt:lpstr>
      <vt:lpstr>09 2020</vt:lpstr>
      <vt:lpstr>T03 2020</vt:lpstr>
      <vt:lpstr>10 2020</vt:lpstr>
      <vt:lpstr>11 2020</vt:lpstr>
      <vt:lpstr>12 2020</vt:lpstr>
      <vt:lpstr>T04 2020</vt:lpstr>
      <vt:lpstr>EX 2020</vt:lpstr>
      <vt:lpstr>CONSOLIDE</vt:lpstr>
      <vt:lpstr>SIEGE 2020</vt:lpstr>
      <vt:lpstr>KDU 2020</vt:lpstr>
      <vt:lpstr>SKDU 2020</vt:lpstr>
      <vt:lpstr>AZDU 2020</vt:lpstr>
      <vt:lpstr>TCR 12 2020 Consolidé</vt:lpstr>
      <vt:lpstr>'01 2020'!Zone_d_impression</vt:lpstr>
      <vt:lpstr>'02 2020'!Zone_d_impression</vt:lpstr>
      <vt:lpstr>'03 2020'!Zone_d_impression</vt:lpstr>
      <vt:lpstr>'04 2020'!Zone_d_impression</vt:lpstr>
      <vt:lpstr>'05 2020'!Zone_d_impression</vt:lpstr>
      <vt:lpstr>'06 2020'!Zone_d_impression</vt:lpstr>
      <vt:lpstr>'07 2020'!Zone_d_impression</vt:lpstr>
      <vt:lpstr>'08 2020'!Zone_d_impression</vt:lpstr>
      <vt:lpstr>'09 2020'!Zone_d_impression</vt:lpstr>
      <vt:lpstr>'10 2020'!Zone_d_impression</vt:lpstr>
      <vt:lpstr>'11 2020'!Zone_d_impression</vt:lpstr>
      <vt:lpstr>'12 2020'!Zone_d_impression</vt:lpstr>
      <vt:lpstr>'AZDU 2020'!Zone_d_impression</vt:lpstr>
      <vt:lpstr>CONSOLIDE!Zone_d_impression</vt:lpstr>
      <vt:lpstr>'EX 2020'!Zone_d_impression</vt:lpstr>
      <vt:lpstr>'KDU 2020'!Zone_d_impression</vt:lpstr>
      <vt:lpstr>'SIEGE 2020'!Zone_d_impression</vt:lpstr>
      <vt:lpstr>'SKDU 2020'!Zone_d_impression</vt:lpstr>
      <vt:lpstr>'T01 2020'!Zone_d_impression</vt:lpstr>
      <vt:lpstr>'T02 2020'!Zone_d_impression</vt:lpstr>
      <vt:lpstr>'T03 2020'!Zone_d_impression</vt:lpstr>
      <vt:lpstr>'T04 2020'!Zone_d_impression</vt:lpstr>
      <vt:lpstr>'TCR 12 2020 Consolidé'!Zone_d_impression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boussebah rabah</cp:lastModifiedBy>
  <cp:lastPrinted>2021-06-28T14:28:10Z</cp:lastPrinted>
  <dcterms:created xsi:type="dcterms:W3CDTF">2020-10-07T07:25:24Z</dcterms:created>
  <dcterms:modified xsi:type="dcterms:W3CDTF">2022-01-16T12:26:03Z</dcterms:modified>
</cp:coreProperties>
</file>